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4.xml" ContentType="application/vnd.openxmlformats-officedocument.spreadsheetml.pivotTable+xml"/>
  <Override PartName="/xl/pivotTables/pivotTable3.xml" ContentType="application/vnd.openxmlformats-officedocument.spreadsheetml.pivotTable+xml"/>
  <Override PartName="/xl/pivotTables/pivotTable5.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2.xml" ContentType="application/vnd.openxmlformats-officedocument.spreadsheetml.pivotTable+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11.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0.xml" ContentType="application/vnd.openxmlformats-officedocument.spreadsheetml.worksheet+xml"/>
  <Override PartName="/xl/worksheets/sheet28.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2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36.xml" ContentType="application/vnd.openxmlformats-officedocument.spreadsheetml.externalLink+xml"/>
  <Override PartName="/xl/externalLinks/externalLink1.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pivotCache/pivotCacheRecords5.xml" ContentType="application/vnd.openxmlformats-officedocument.spreadsheetml.pivotCacheRecords+xml"/>
  <Override PartName="/xl/pivotCache/pivotCacheDefinition5.xml" ContentType="application/vnd.openxmlformats-officedocument.spreadsheetml.pivotCacheDefinition+xml"/>
  <Override PartName="/xl/comments1.xml" ContentType="application/vnd.openxmlformats-officedocument.spreadsheetml.comments+xml"/>
  <Override PartName="/xl/externalLinks/externalLink30.xml" ContentType="application/vnd.openxmlformats-officedocument.spreadsheetml.externalLink+xml"/>
  <Override PartName="/xl/comments3.xml" ContentType="application/vnd.openxmlformats-officedocument.spreadsheetml.comments+xml"/>
  <Override PartName="/xl/externalLinks/externalLink29.xml" ContentType="application/vnd.openxmlformats-officedocument.spreadsheetml.externalLink+xml"/>
  <Override PartName="/xl/comments2.xml" ContentType="application/vnd.openxmlformats-officedocument.spreadsheetml.comments+xml"/>
  <Override PartName="/xl/pivotCache/pivotCacheRecords4.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28.xml" ContentType="application/vnd.openxmlformats-officedocument.spreadsheetml.externalLink+xml"/>
  <Override PartName="/xl/comments4.xml" ContentType="application/vnd.openxmlformats-officedocument.spreadsheetml.comments+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comments12.xml" ContentType="application/vnd.openxmlformats-officedocument.spreadsheetml.comments+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comments11.xml" ContentType="application/vnd.openxmlformats-officedocument.spreadsheetml.comments+xml"/>
  <Override PartName="/xl/externalLinks/externalLink20.xml" ContentType="application/vnd.openxmlformats-officedocument.spreadsheetml.externalLink+xml"/>
  <Override PartName="/xl/comments13.xml" ContentType="application/vnd.openxmlformats-officedocument.spreadsheetml.comments+xml"/>
  <Override PartName="/xl/externalLinks/externalLink15.xml" ContentType="application/vnd.openxmlformats-officedocument.spreadsheetml.externalLink+xml"/>
  <Override PartName="/xl/comments15.xml" ContentType="application/vnd.openxmlformats-officedocument.spreadsheetml.comments+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omments14.xml" ContentType="application/vnd.openxmlformats-officedocument.spreadsheetml.comments+xml"/>
  <Override PartName="/xl/externalLinks/externalLink14.xml" ContentType="application/vnd.openxmlformats-officedocument.spreadsheetml.externalLink+xml"/>
  <Override PartName="/xl/externalLinks/externalLink21.xml" ContentType="application/vnd.openxmlformats-officedocument.spreadsheetml.externalLink+xml"/>
  <Override PartName="/xl/externalLinks/externalLink25.xml" ContentType="application/vnd.openxmlformats-officedocument.spreadsheetml.externalLink+xml"/>
  <Override PartName="/xl/comments6.xml" ContentType="application/vnd.openxmlformats-officedocument.spreadsheetml.comments+xml"/>
  <Override PartName="/xl/externalLinks/externalLink26.xml" ContentType="application/vnd.openxmlformats-officedocument.spreadsheetml.externalLink+xml"/>
  <Override PartName="/xl/comments5.xml" ContentType="application/vnd.openxmlformats-officedocument.spreadsheetml.comments+xml"/>
  <Override PartName="/xl/externalLinks/externalLink27.xml" ContentType="application/vnd.openxmlformats-officedocument.spreadsheetml.externalLink+xml"/>
  <Override PartName="/xl/comments7.xml" ContentType="application/vnd.openxmlformats-officedocument.spreadsheetml.comments+xml"/>
  <Override PartName="/xl/externalLinks/externalLink24.xml" ContentType="application/vnd.openxmlformats-officedocument.spreadsheetml.externalLink+xml"/>
  <Override PartName="/xl/comments10.xml" ContentType="application/vnd.openxmlformats-officedocument.spreadsheetml.comments+xml"/>
  <Override PartName="/xl/externalLinks/externalLink22.xml" ContentType="application/vnd.openxmlformats-officedocument.spreadsheetml.externalLink+xml"/>
  <Override PartName="/xl/comments9.xml" ContentType="application/vnd.openxmlformats-officedocument.spreadsheetml.comments+xml"/>
  <Override PartName="/xl/externalLinks/externalLink23.xml" ContentType="application/vnd.openxmlformats-officedocument.spreadsheetml.externalLink+xml"/>
  <Override PartName="/xl/comments8.xml" ContentType="application/vnd.openxmlformats-officedocument.spreadsheetml.comments+xml"/>
  <Override PartName="/xl/externalLinks/externalLink35.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795" windowHeight="12075" tabRatio="841"/>
  </bookViews>
  <sheets>
    <sheet name="References" sheetId="13" r:id="rId1"/>
    <sheet name="2120_IS" sheetId="3" r:id="rId2"/>
    <sheet name="Consolidated IS" sheetId="1" r:id="rId3"/>
    <sheet name="Restating Adj's" sheetId="21" r:id="rId4"/>
    <sheet name="Pro-forma Adj's" sheetId="11" r:id="rId5"/>
    <sheet name="Ratios" sheetId="8" r:id="rId6"/>
    <sheet name="LG" sheetId="24" r:id="rId7"/>
    <sheet name="LG - Packer,RO" sheetId="25" r:id="rId8"/>
    <sheet name="LG - Recycle" sheetId="26" r:id="rId9"/>
    <sheet name="LG - Med Waste" sheetId="37" r:id="rId10"/>
    <sheet name="Spokane Reg - Price out" sheetId="14" r:id="rId11"/>
    <sheet name="Whitman Reg - Price Out" sheetId="15" r:id="rId12"/>
    <sheet name="Depr Summary" sheetId="28" r:id="rId13"/>
    <sheet name="Rate Sheet" sheetId="9" r:id="rId14"/>
    <sheet name="Disposal" sheetId="34" r:id="rId15"/>
    <sheet name="Empire Payroll" sheetId="30" r:id="rId16"/>
    <sheet name="Mgmt Alloc In" sheetId="22" r:id="rId17"/>
    <sheet name="Corp OH" sheetId="12" r:id="rId18"/>
    <sheet name="Region OH Calc" sheetId="27" r:id="rId19"/>
    <sheet name="WCI BS" sheetId="36" r:id="rId20"/>
    <sheet name="WCI IS" sheetId="35" r:id="rId21"/>
    <sheet name="40101" sheetId="31" r:id="rId22"/>
    <sheet name="40121" sheetId="33" r:id="rId23"/>
    <sheet name="40131" sheetId="32" r:id="rId24"/>
    <sheet name="70095" sheetId="16" r:id="rId25"/>
    <sheet name="70195" sheetId="17" r:id="rId26"/>
    <sheet name="12.31.16 BS" sheetId="39" r:id="rId27"/>
    <sheet name="12.31.17 BS" sheetId="38" r:id="rId28"/>
    <sheet name="IS End 1.31.18" sheetId="43"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2">[1]Hidden!$O$11</definedName>
    <definedName name="_123Graph_g" hidden="1">'[2]#REF'!$F$9:$F$83</definedName>
    <definedName name="_132" hidden="1">[3]XXXXXX!$B$10:$B$10</definedName>
    <definedName name="_132Graph_h" localSheetId="12" hidden="1">#REF!</definedName>
    <definedName name="_132Graph_h" localSheetId="9" hidden="1">#REF!</definedName>
    <definedName name="_132Graph_h" localSheetId="7" hidden="1">#REF!</definedName>
    <definedName name="_132Graph_h" localSheetId="8" hidden="1">#REF!</definedName>
    <definedName name="_132Graph_h" localSheetId="16" hidden="1">#REF!</definedName>
    <definedName name="_132Graph_h" localSheetId="13" hidden="1">#REF!</definedName>
    <definedName name="_132Graph_h" localSheetId="5" hidden="1">#REF!</definedName>
    <definedName name="_132Graph_h" localSheetId="0" hidden="1">#REF!</definedName>
    <definedName name="_132Graph_h" localSheetId="3" hidden="1">#REF!</definedName>
    <definedName name="_132Graph_h" hidden="1">#REF!</definedName>
    <definedName name="_ACT1" localSheetId="2">[4]Hidden!#REF!</definedName>
    <definedName name="_ACT1" localSheetId="12">[4]Hidden!#REF!</definedName>
    <definedName name="_ACT1" localSheetId="6">[5]Hidden!#REF!</definedName>
    <definedName name="_ACT1" localSheetId="9">[5]Hidden!#REF!</definedName>
    <definedName name="_ACT1" localSheetId="7">[5]Hidden!#REF!</definedName>
    <definedName name="_ACT1" localSheetId="8">[5]Hidden!#REF!</definedName>
    <definedName name="_ACT1" localSheetId="16">[5]Hidden!#REF!</definedName>
    <definedName name="_ACT1" localSheetId="13">[6]Hidden!#REF!</definedName>
    <definedName name="_ACT1" localSheetId="0">[7]Hidden!#REF!</definedName>
    <definedName name="_ACT1" localSheetId="11">[7]Hidden!#REF!</definedName>
    <definedName name="_ACT1">[4]Hidden!#REF!</definedName>
    <definedName name="_ACT2" localSheetId="2">[4]Hidden!#REF!</definedName>
    <definedName name="_ACT2" localSheetId="6">[5]Hidden!#REF!</definedName>
    <definedName name="_ACT2" localSheetId="9">[5]Hidden!#REF!</definedName>
    <definedName name="_ACT2" localSheetId="7">[5]Hidden!#REF!</definedName>
    <definedName name="_ACT2" localSheetId="8">[5]Hidden!#REF!</definedName>
    <definedName name="_ACT2" localSheetId="16">[5]Hidden!#REF!</definedName>
    <definedName name="_ACT2" localSheetId="13">[6]Hidden!#REF!</definedName>
    <definedName name="_ACT2" localSheetId="0">[7]Hidden!#REF!</definedName>
    <definedName name="_ACT2" localSheetId="11">[7]Hidden!#REF!</definedName>
    <definedName name="_ACT2">[4]Hidden!#REF!</definedName>
    <definedName name="_ACT3" localSheetId="2">[4]Hidden!#REF!</definedName>
    <definedName name="_ACT3" localSheetId="6">[5]Hidden!#REF!</definedName>
    <definedName name="_ACT3" localSheetId="9">[5]Hidden!#REF!</definedName>
    <definedName name="_ACT3" localSheetId="7">[5]Hidden!#REF!</definedName>
    <definedName name="_ACT3" localSheetId="8">[5]Hidden!#REF!</definedName>
    <definedName name="_ACT3" localSheetId="16">[5]Hidden!#REF!</definedName>
    <definedName name="_ACT3" localSheetId="13">[6]Hidden!#REF!</definedName>
    <definedName name="_ACT3" localSheetId="0">[7]Hidden!#REF!</definedName>
    <definedName name="_ACT3" localSheetId="11">[7]Hidden!#REF!</definedName>
    <definedName name="_ACT3">[4]Hidden!#REF!</definedName>
    <definedName name="_COS1" localSheetId="9">#REF!</definedName>
    <definedName name="_COS1" localSheetId="16">#REF!</definedName>
    <definedName name="_COS1" localSheetId="0">#REF!</definedName>
    <definedName name="_COS1">#REF!</definedName>
    <definedName name="_COS2" localSheetId="9">#REF!</definedName>
    <definedName name="_COS2" localSheetId="0">#REF!</definedName>
    <definedName name="_COS2">#REF!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12" hidden="1">#REF!</definedName>
    <definedName name="_Fill" localSheetId="9" hidden="1">#REF!</definedName>
    <definedName name="_Fill" localSheetId="7" hidden="1">#REF!</definedName>
    <definedName name="_Fill" localSheetId="8" hidden="1">#REF!</definedName>
    <definedName name="_Fill" localSheetId="16" hidden="1">#REF!</definedName>
    <definedName name="_Fill" localSheetId="13" hidden="1">#REF!</definedName>
    <definedName name="_Fill" localSheetId="5" hidden="1">#REF!</definedName>
    <definedName name="_Fill" localSheetId="0" hidden="1">#REF!</definedName>
    <definedName name="_Fill" localSheetId="3" hidden="1">#REF!</definedName>
    <definedName name="_Fill" hidden="1">#REF!</definedName>
    <definedName name="_xlnm._FilterDatabase" localSheetId="21" hidden="1">'40101'!$B$19:$AQ$20</definedName>
    <definedName name="_xlnm._FilterDatabase" localSheetId="22" hidden="1">'40121'!$B$19:$AQ$20</definedName>
    <definedName name="_xlnm._FilterDatabase" localSheetId="23" hidden="1">'40131'!$B$19:$AQ$20</definedName>
    <definedName name="_xlnm._FilterDatabase" localSheetId="24" hidden="1">'70095'!$B$19:$AQ$20</definedName>
    <definedName name="_xlnm._FilterDatabase" localSheetId="25" hidden="1">'70195'!$B$19:$AQ$20</definedName>
    <definedName name="_Key1" localSheetId="6" hidden="1">#REF!</definedName>
    <definedName name="_Key1" localSheetId="9" hidden="1">#REF!</definedName>
    <definedName name="_Key1" localSheetId="7" hidden="1">#REF!</definedName>
    <definedName name="_Key1" localSheetId="8" hidden="1">#REF!</definedName>
    <definedName name="_Key1" localSheetId="16" hidden="1">#REF!</definedName>
    <definedName name="_Key1" localSheetId="5" hidden="1">#REF!</definedName>
    <definedName name="_Key1" localSheetId="0" hidden="1">#REF!</definedName>
    <definedName name="_Key1" localSheetId="3" hidden="1">#REF!</definedName>
    <definedName name="_Key1" hidden="1">#REF!</definedName>
    <definedName name="_Key2" hidden="1">'[2]#REF'!$D$12</definedName>
    <definedName name="_key5" hidden="1">[3]XXXXXX!$H$10</definedName>
    <definedName name="_LYA12">[1]Hidden!$O$11</definedName>
    <definedName name="_max" localSheetId="12" hidden="1">#REF!</definedName>
    <definedName name="_max" localSheetId="9" hidden="1">#REF!</definedName>
    <definedName name="_max" localSheetId="7" hidden="1">#REF!</definedName>
    <definedName name="_max" localSheetId="8" hidden="1">#REF!</definedName>
    <definedName name="_max" localSheetId="16" hidden="1">#REF!</definedName>
    <definedName name="_max" localSheetId="13" hidden="1">#REF!</definedName>
    <definedName name="_max" localSheetId="5" hidden="1">#REF!</definedName>
    <definedName name="_max" localSheetId="0" hidden="1">#REF!</definedName>
    <definedName name="_max" localSheetId="3" hidden="1">#REF!</definedName>
    <definedName name="_max" hidden="1">#REF!</definedName>
    <definedName name="_Mon" localSheetId="9" hidden="1">#REF!</definedName>
    <definedName name="_Mon" localSheetId="7" hidden="1">#REF!</definedName>
    <definedName name="_Mon" localSheetId="8" hidden="1">#REF!</definedName>
    <definedName name="_Mon" localSheetId="16" hidden="1">#REF!</definedName>
    <definedName name="_Mon" localSheetId="5" hidden="1">#REF!</definedName>
    <definedName name="_Mon" localSheetId="0" hidden="1">#REF!</definedName>
    <definedName name="_Mon" localSheetId="3" hidden="1">#REF!</definedName>
    <definedName name="_Mon" hidden="1">#REF!</definedName>
    <definedName name="_Order1" hidden="1">255</definedName>
    <definedName name="_Order2" hidden="1">255</definedName>
    <definedName name="_Order3" hidden="1">0</definedName>
    <definedName name="_Sort" localSheetId="12" hidden="1">#REF!</definedName>
    <definedName name="_Sort" localSheetId="6" hidden="1">#REF!</definedName>
    <definedName name="_Sort" localSheetId="9" hidden="1">#REF!</definedName>
    <definedName name="_Sort" localSheetId="7" hidden="1">#REF!</definedName>
    <definedName name="_Sort" localSheetId="8" hidden="1">#REF!</definedName>
    <definedName name="_Sort" localSheetId="16" hidden="1">#REF!</definedName>
    <definedName name="_Sort" localSheetId="13" hidden="1">#REF!</definedName>
    <definedName name="_Sort" localSheetId="5" hidden="1">#REF!</definedName>
    <definedName name="_Sort" localSheetId="0" hidden="1">#REF!</definedName>
    <definedName name="_Sort" localSheetId="3" hidden="1">#REF!</definedName>
    <definedName name="_Sort" hidden="1">#REF!</definedName>
    <definedName name="_Sort1" hidden="1">'[2]#REF'!$A$10:$Z$281</definedName>
    <definedName name="_sort3" hidden="1">[3]XXXXXX!$G$10:$J$11</definedName>
    <definedName name="Accounts" localSheetId="21">'40101'!$M$13</definedName>
    <definedName name="Accounts" localSheetId="22">'40121'!$M$13</definedName>
    <definedName name="Accounts" localSheetId="23">'40131'!$M$13</definedName>
    <definedName name="Accounts" localSheetId="25">'70195'!$M$13</definedName>
    <definedName name="Accounts" localSheetId="15">#REF!</definedName>
    <definedName name="Accounts">'70095'!$M$13</definedName>
    <definedName name="ACCT" localSheetId="2">[4]Hidden!#REF!</definedName>
    <definedName name="ACCT" localSheetId="12">[4]Hidden!#REF!</definedName>
    <definedName name="ACCT" localSheetId="6">[5]Hidden!#REF!</definedName>
    <definedName name="ACCT" localSheetId="9">[5]Hidden!#REF!</definedName>
    <definedName name="ACCT" localSheetId="7">[5]Hidden!#REF!</definedName>
    <definedName name="ACCT" localSheetId="8">[5]Hidden!#REF!</definedName>
    <definedName name="ACCT" localSheetId="16">[5]Hidden!#REF!</definedName>
    <definedName name="ACCT" localSheetId="13">[1]Hidden!$D$11</definedName>
    <definedName name="ACCT" localSheetId="5">[4]Hidden!#REF!</definedName>
    <definedName name="ACCT" localSheetId="0">[7]Hidden!#REF!</definedName>
    <definedName name="ACCT" localSheetId="3">[4]Hidden!#REF!</definedName>
    <definedName name="ACCT" localSheetId="11">[7]Hidden!#REF!</definedName>
    <definedName name="ACCT">[1]Hidden!$D$11</definedName>
    <definedName name="ACCT.ConsolSum">[1]Hidden!$Q$11</definedName>
    <definedName name="ACT_CUR" localSheetId="2">[4]Hidden!#REF!</definedName>
    <definedName name="ACT_CUR" localSheetId="12">[4]Hidden!#REF!</definedName>
    <definedName name="ACT_CUR" localSheetId="6">[5]Hidden!#REF!</definedName>
    <definedName name="ACT_CUR" localSheetId="9">[5]Hidden!#REF!</definedName>
    <definedName name="ACT_CUR" localSheetId="7">[5]Hidden!#REF!</definedName>
    <definedName name="ACT_CUR" localSheetId="8">[5]Hidden!#REF!</definedName>
    <definedName name="ACT_CUR" localSheetId="16">[5]Hidden!#REF!</definedName>
    <definedName name="ACT_CUR" localSheetId="13">[6]Hidden!#REF!</definedName>
    <definedName name="ACT_CUR" localSheetId="5">[4]Hidden!#REF!</definedName>
    <definedName name="ACT_CUR" localSheetId="0">[7]Hidden!#REF!</definedName>
    <definedName name="ACT_CUR" localSheetId="11">[7]Hidden!#REF!</definedName>
    <definedName name="ACT_CUR">[4]Hidden!#REF!</definedName>
    <definedName name="ACT_YTD" localSheetId="6">[5]Hidden!#REF!</definedName>
    <definedName name="ACT_YTD" localSheetId="9">[5]Hidden!#REF!</definedName>
    <definedName name="ACT_YTD" localSheetId="7">[5]Hidden!#REF!</definedName>
    <definedName name="ACT_YTD" localSheetId="8">[5]Hidden!#REF!</definedName>
    <definedName name="ACT_YTD" localSheetId="16">[5]Hidden!#REF!</definedName>
    <definedName name="ACT_YTD" localSheetId="13">[6]Hidden!#REF!</definedName>
    <definedName name="ACT_YTD" localSheetId="0">[7]Hidden!#REF!</definedName>
    <definedName name="ACT_YTD" localSheetId="11">[7]Hidden!#REF!</definedName>
    <definedName name="ACT_YTD">[4]Hidden!#REF!</definedName>
    <definedName name="AmountCount" localSheetId="12">#REF!</definedName>
    <definedName name="AmountCount" localSheetId="6">#REF!</definedName>
    <definedName name="AmountCount" localSheetId="9">#REF!</definedName>
    <definedName name="AmountCount" localSheetId="7">#REF!</definedName>
    <definedName name="AmountCount" localSheetId="8">#REF!</definedName>
    <definedName name="AmountCount" localSheetId="16">#REF!</definedName>
    <definedName name="AmountCount" localSheetId="13">#REF!</definedName>
    <definedName name="AmountCount" localSheetId="5">#REF!</definedName>
    <definedName name="AmountCount" localSheetId="0">#REF!</definedName>
    <definedName name="AmountCount" localSheetId="3">#REF!</definedName>
    <definedName name="AmountCount" localSheetId="11">#REF!</definedName>
    <definedName name="AmountCount">#REF!</definedName>
    <definedName name="AmountCount1" localSheetId="9">#REF!</definedName>
    <definedName name="AmountCount1" localSheetId="7">#REF!</definedName>
    <definedName name="AmountCount1" localSheetId="8">#REF!</definedName>
    <definedName name="AmountCount1" localSheetId="16">#REF!</definedName>
    <definedName name="AmountCount1" localSheetId="5">#REF!</definedName>
    <definedName name="AmountCount1" localSheetId="0">#REF!</definedName>
    <definedName name="AmountCount1" localSheetId="3">#REF!</definedName>
    <definedName name="AmountCount1">#REF!</definedName>
    <definedName name="AmountFrom" localSheetId="21">'40101'!$P$13</definedName>
    <definedName name="AmountFrom" localSheetId="22">'40121'!$P$13</definedName>
    <definedName name="AmountFrom" localSheetId="23">'40131'!$P$13</definedName>
    <definedName name="AmountFrom" localSheetId="25">'70195'!$P$13</definedName>
    <definedName name="AmountFrom" localSheetId="15">#REF!</definedName>
    <definedName name="AmountFrom">'70095'!$P$13</definedName>
    <definedName name="AmountTo" localSheetId="21">'40101'!$P$14</definedName>
    <definedName name="AmountTo" localSheetId="22">'40121'!$P$14</definedName>
    <definedName name="AmountTo" localSheetId="23">'40131'!$P$14</definedName>
    <definedName name="AmountTo" localSheetId="25">'70195'!$P$14</definedName>
    <definedName name="AmountTo" localSheetId="15">#REF!</definedName>
    <definedName name="AmountTo">'70095'!$P$14</definedName>
    <definedName name="AmountTotal" localSheetId="6">#REF!</definedName>
    <definedName name="AmountTotal" localSheetId="9">#REF!</definedName>
    <definedName name="AmountTotal" localSheetId="7">#REF!</definedName>
    <definedName name="AmountTotal" localSheetId="8">#REF!</definedName>
    <definedName name="AmountTotal" localSheetId="16">#REF!</definedName>
    <definedName name="AmountTotal" localSheetId="13">#REF!</definedName>
    <definedName name="AmountTotal" localSheetId="0">#REF!</definedName>
    <definedName name="AmountTotal" localSheetId="3">#REF!</definedName>
    <definedName name="AmountTotal" localSheetId="11">#REF!</definedName>
    <definedName name="AmountTotal">#REF!</definedName>
    <definedName name="AmountTotal1" localSheetId="9">#REF!</definedName>
    <definedName name="AmountTotal1" localSheetId="7">#REF!</definedName>
    <definedName name="AmountTotal1" localSheetId="8">#REF!</definedName>
    <definedName name="AmountTotal1" localSheetId="16">#REF!</definedName>
    <definedName name="AmountTotal1" localSheetId="3">#REF!</definedName>
    <definedName name="AmountTotal1">#REF!</definedName>
    <definedName name="BookRev" localSheetId="6">'[8]Pacific Regulated - Price Out'!$F$50</definedName>
    <definedName name="BookRev" localSheetId="9">'[8]Pacific Regulated - Price Out'!$F$50</definedName>
    <definedName name="BookRev" localSheetId="7">'[8]Pacific Regulated - Price Out'!$F$50</definedName>
    <definedName name="BookRev" localSheetId="8">'[8]Pacific Regulated - Price Out'!$F$50</definedName>
    <definedName name="BookRev" localSheetId="16">'[8]Pacific Regulated - Price Out'!$F$50</definedName>
    <definedName name="BookRev" localSheetId="13">'[9]Pacific Regulated - Price Out'!$F$50</definedName>
    <definedName name="BookRev" localSheetId="0">'[9]Pacific Regulated - Price Out'!$F$50</definedName>
    <definedName name="BookRev">'[10]Pacific Regulated - Price Out'!$F$50</definedName>
    <definedName name="BookRev_com" localSheetId="6">'[8]Pacific Regulated - Price Out'!$F$214</definedName>
    <definedName name="BookRev_com" localSheetId="9">'[8]Pacific Regulated - Price Out'!$F$214</definedName>
    <definedName name="BookRev_com" localSheetId="7">'[8]Pacific Regulated - Price Out'!$F$214</definedName>
    <definedName name="BookRev_com" localSheetId="8">'[8]Pacific Regulated - Price Out'!$F$214</definedName>
    <definedName name="BookRev_com" localSheetId="16">'[8]Pacific Regulated - Price Out'!$F$214</definedName>
    <definedName name="BookRev_com" localSheetId="13">'[9]Pacific Regulated - Price Out'!$F$214</definedName>
    <definedName name="BookRev_com" localSheetId="0">'[9]Pacific Regulated - Price Out'!$F$214</definedName>
    <definedName name="BookRev_com">'[10]Pacific Regulated - Price Out'!$F$214</definedName>
    <definedName name="BookRev_mfr" localSheetId="6">'[8]Pacific Regulated - Price Out'!$F$222</definedName>
    <definedName name="BookRev_mfr" localSheetId="9">'[8]Pacific Regulated - Price Out'!$F$222</definedName>
    <definedName name="BookRev_mfr" localSheetId="7">'[8]Pacific Regulated - Price Out'!$F$222</definedName>
    <definedName name="BookRev_mfr" localSheetId="8">'[8]Pacific Regulated - Price Out'!$F$222</definedName>
    <definedName name="BookRev_mfr" localSheetId="16">'[8]Pacific Regulated - Price Out'!$F$222</definedName>
    <definedName name="BookRev_mfr" localSheetId="13">'[9]Pacific Regulated - Price Out'!$F$222</definedName>
    <definedName name="BookRev_mfr" localSheetId="0">'[9]Pacific Regulated - Price Out'!$F$222</definedName>
    <definedName name="BookRev_mfr">'[10]Pacific Regulated - Price Out'!$F$222</definedName>
    <definedName name="BookRev_ro" localSheetId="6">'[8]Pacific Regulated - Price Out'!$F$282</definedName>
    <definedName name="BookRev_ro" localSheetId="9">'[8]Pacific Regulated - Price Out'!$F$282</definedName>
    <definedName name="BookRev_ro" localSheetId="7">'[8]Pacific Regulated - Price Out'!$F$282</definedName>
    <definedName name="BookRev_ro" localSheetId="8">'[8]Pacific Regulated - Price Out'!$F$282</definedName>
    <definedName name="BookRev_ro" localSheetId="16">'[8]Pacific Regulated - Price Out'!$F$282</definedName>
    <definedName name="BookRev_ro" localSheetId="13">'[9]Pacific Regulated - Price Out'!$F$282</definedName>
    <definedName name="BookRev_ro" localSheetId="0">'[9]Pacific Regulated - Price Out'!$F$282</definedName>
    <definedName name="BookRev_ro">'[10]Pacific Regulated - Price Out'!$F$282</definedName>
    <definedName name="BookRev_rr" localSheetId="6">'[8]Pacific Regulated - Price Out'!$F$59</definedName>
    <definedName name="BookRev_rr" localSheetId="9">'[8]Pacific Regulated - Price Out'!$F$59</definedName>
    <definedName name="BookRev_rr" localSheetId="7">'[8]Pacific Regulated - Price Out'!$F$59</definedName>
    <definedName name="BookRev_rr" localSheetId="8">'[8]Pacific Regulated - Price Out'!$F$59</definedName>
    <definedName name="BookRev_rr" localSheetId="16">'[8]Pacific Regulated - Price Out'!$F$59</definedName>
    <definedName name="BookRev_rr" localSheetId="13">'[9]Pacific Regulated - Price Out'!$F$59</definedName>
    <definedName name="BookRev_rr" localSheetId="0">'[9]Pacific Regulated - Price Out'!$F$59</definedName>
    <definedName name="BookRev_rr">'[10]Pacific Regulated - Price Out'!$F$59</definedName>
    <definedName name="BookRev_yw" localSheetId="6">'[8]Pacific Regulated - Price Out'!$F$70</definedName>
    <definedName name="BookRev_yw" localSheetId="9">'[8]Pacific Regulated - Price Out'!$F$70</definedName>
    <definedName name="BookRev_yw" localSheetId="7">'[8]Pacific Regulated - Price Out'!$F$70</definedName>
    <definedName name="BookRev_yw" localSheetId="8">'[8]Pacific Regulated - Price Out'!$F$70</definedName>
    <definedName name="BookRev_yw" localSheetId="16">'[8]Pacific Regulated - Price Out'!$F$70</definedName>
    <definedName name="BookRev_yw" localSheetId="13">'[9]Pacific Regulated - Price Out'!$F$70</definedName>
    <definedName name="BookRev_yw" localSheetId="0">'[9]Pacific Regulated - Price Out'!$F$70</definedName>
    <definedName name="BookRev_yw">'[10]Pacific Regulated - Price Out'!$F$70</definedName>
    <definedName name="BREMAIR_COST_of_SERVICE_STUDY" localSheetId="2">#REF!</definedName>
    <definedName name="BREMAIR_COST_of_SERVICE_STUDY" localSheetId="12">#REF!</definedName>
    <definedName name="BREMAIR_COST_of_SERVICE_STUDY" localSheetId="14">#REF!</definedName>
    <definedName name="BREMAIR_COST_of_SERVICE_STUDY" localSheetId="6">#REF!</definedName>
    <definedName name="BREMAIR_COST_of_SERVICE_STUDY" localSheetId="9">#REF!</definedName>
    <definedName name="BREMAIR_COST_of_SERVICE_STUDY" localSheetId="7">#REF!</definedName>
    <definedName name="BREMAIR_COST_of_SERVICE_STUDY" localSheetId="8">#REF!</definedName>
    <definedName name="BREMAIR_COST_of_SERVICE_STUDY" localSheetId="16">#REF!</definedName>
    <definedName name="BREMAIR_COST_of_SERVICE_STUDY" localSheetId="13">#REF!</definedName>
    <definedName name="BREMAIR_COST_of_SERVICE_STUDY" localSheetId="5">#REF!</definedName>
    <definedName name="BREMAIR_COST_of_SERVICE_STUDY" localSheetId="0">#REF!</definedName>
    <definedName name="BREMAIR_COST_of_SERVICE_STUDY" localSheetId="3">#REF!</definedName>
    <definedName name="BREMAIR_COST_of_SERVICE_STUDY" localSheetId="11">#REF!</definedName>
    <definedName name="BREMAIR_COST_of_SERVICE_STUDY">#REF!</definedName>
    <definedName name="BUD_CUR" localSheetId="2">[4]Hidden!#REF!</definedName>
    <definedName name="BUD_CUR" localSheetId="12">[4]Hidden!#REF!</definedName>
    <definedName name="BUD_CUR" localSheetId="6">[5]Hidden!#REF!</definedName>
    <definedName name="BUD_CUR" localSheetId="9">[5]Hidden!#REF!</definedName>
    <definedName name="BUD_CUR" localSheetId="7">[5]Hidden!#REF!</definedName>
    <definedName name="BUD_CUR" localSheetId="8">[5]Hidden!#REF!</definedName>
    <definedName name="BUD_CUR" localSheetId="16">[5]Hidden!#REF!</definedName>
    <definedName name="BUD_CUR" localSheetId="13">[6]Hidden!#REF!</definedName>
    <definedName name="BUD_CUR" localSheetId="5">[4]Hidden!#REF!</definedName>
    <definedName name="BUD_CUR" localSheetId="0">[7]Hidden!#REF!</definedName>
    <definedName name="BUD_CUR" localSheetId="11">[7]Hidden!#REF!</definedName>
    <definedName name="BUD_CUR">[4]Hidden!#REF!</definedName>
    <definedName name="BUD_YTD" localSheetId="2">[4]Hidden!#REF!</definedName>
    <definedName name="BUD_YTD" localSheetId="6">[5]Hidden!#REF!</definedName>
    <definedName name="BUD_YTD" localSheetId="9">[5]Hidden!#REF!</definedName>
    <definedName name="BUD_YTD" localSheetId="7">[5]Hidden!#REF!</definedName>
    <definedName name="BUD_YTD" localSheetId="8">[5]Hidden!#REF!</definedName>
    <definedName name="BUD_YTD" localSheetId="16">[5]Hidden!#REF!</definedName>
    <definedName name="BUD_YTD" localSheetId="13">[6]Hidden!#REF!</definedName>
    <definedName name="BUD_YTD" localSheetId="0">[7]Hidden!#REF!</definedName>
    <definedName name="BUD_YTD" localSheetId="11">[7]Hidden!#REF!</definedName>
    <definedName name="BUD_YTD">[4]Hidden!#REF!</definedName>
    <definedName name="CalRecyTons" localSheetId="6">'[11]Recycl Tons, Commodity Value'!$L$23</definedName>
    <definedName name="CalRecyTons" localSheetId="9">'[11]Recycl Tons, Commodity Value'!$L$23</definedName>
    <definedName name="CalRecyTons" localSheetId="7">'[11]Recycl Tons, Commodity Value'!$L$23</definedName>
    <definedName name="CalRecyTons" localSheetId="8">'[11]Recycl Tons, Commodity Value'!$L$23</definedName>
    <definedName name="CalRecyTons" localSheetId="16">'[11]Recycl Tons, Commodity Value'!$L$23</definedName>
    <definedName name="CalRecyTons" localSheetId="13">'[12]Recycl Tons, Commodity Value'!$L$23</definedName>
    <definedName name="CalRecyTons" localSheetId="0">'[12]Recycl Tons, Commodity Value'!$L$23</definedName>
    <definedName name="CalRecyTons">'[13]Recycl Tons, Commodity Value'!$L$23</definedName>
    <definedName name="CheckTotals" localSheetId="2">#REF!</definedName>
    <definedName name="CheckTotals" localSheetId="12">#REF!</definedName>
    <definedName name="CheckTotals" localSheetId="6">#REF!</definedName>
    <definedName name="CheckTotals" localSheetId="9">#REF!</definedName>
    <definedName name="CheckTotals" localSheetId="7">#REF!</definedName>
    <definedName name="CheckTotals" localSheetId="8">#REF!</definedName>
    <definedName name="CheckTotals" localSheetId="16">#REF!</definedName>
    <definedName name="CheckTotals" localSheetId="13">#REF!</definedName>
    <definedName name="CheckTotals" localSheetId="5">#REF!</definedName>
    <definedName name="CheckTotals" localSheetId="0">#REF!</definedName>
    <definedName name="CheckTotals" localSheetId="3">#REF!</definedName>
    <definedName name="CheckTotals" localSheetId="11">#REF!</definedName>
    <definedName name="CheckTotals">#REF!</definedName>
    <definedName name="colgroup">[1]Orientation!$G$6</definedName>
    <definedName name="colsegment">[1]Orientation!$F$6</definedName>
    <definedName name="CommlStaffPriceOut" localSheetId="9">'[14]Price Out-Reg EASTSIDE-Resi'!#REF!</definedName>
    <definedName name="CommlStaffPriceOut" localSheetId="16">'[14]Price Out-Reg EASTSIDE-Resi'!#REF!</definedName>
    <definedName name="CommlStaffPriceOut" localSheetId="0">'[14]Price Out-Reg EASTSIDE-Resi'!#REF!</definedName>
    <definedName name="CommlStaffPriceOut">'[14]Price Out-Reg EASTSIDE-Resi'!#REF!</definedName>
    <definedName name="CRCTable" localSheetId="2">#REF!</definedName>
    <definedName name="CRCTable" localSheetId="12">#REF!</definedName>
    <definedName name="CRCTable" localSheetId="15">#REF!</definedName>
    <definedName name="CRCTable" localSheetId="6">#REF!</definedName>
    <definedName name="CRCTable" localSheetId="9">#REF!</definedName>
    <definedName name="CRCTable" localSheetId="7">#REF!</definedName>
    <definedName name="CRCTable" localSheetId="8">#REF!</definedName>
    <definedName name="CRCTable" localSheetId="16">#REF!</definedName>
    <definedName name="CRCTable" localSheetId="13">#REF!</definedName>
    <definedName name="CRCTable" localSheetId="5">#REF!</definedName>
    <definedName name="CRCTable" localSheetId="0">#REF!</definedName>
    <definedName name="CRCTable" localSheetId="3">#REF!</definedName>
    <definedName name="CRCTable" localSheetId="11">#REF!</definedName>
    <definedName name="CRCTable">#REF!</definedName>
    <definedName name="CRCTableOLD" localSheetId="2">#REF!</definedName>
    <definedName name="CRCTableOLD" localSheetId="15">#REF!</definedName>
    <definedName name="CRCTableOLD" localSheetId="6">#REF!</definedName>
    <definedName name="CRCTableOLD" localSheetId="9">#REF!</definedName>
    <definedName name="CRCTableOLD" localSheetId="7">#REF!</definedName>
    <definedName name="CRCTableOLD" localSheetId="8">#REF!</definedName>
    <definedName name="CRCTableOLD" localSheetId="16">#REF!</definedName>
    <definedName name="CRCTableOLD" localSheetId="13">#REF!</definedName>
    <definedName name="CRCTableOLD" localSheetId="0">#REF!</definedName>
    <definedName name="CRCTableOLD" localSheetId="3">#REF!</definedName>
    <definedName name="CRCTableOLD" localSheetId="11">#REF!</definedName>
    <definedName name="CRCTableOLD">#REF!</definedName>
    <definedName name="CriteriaType">[15]ControlPanel!$Z$2:$Z$5</definedName>
    <definedName name="CurrentMonth" localSheetId="21">'40101'!$J$8</definedName>
    <definedName name="CurrentMonth" localSheetId="22">'40121'!$J$8</definedName>
    <definedName name="CurrentMonth" localSheetId="23">'40131'!$J$8</definedName>
    <definedName name="CurrentMonth" localSheetId="24">'70095'!$J$8</definedName>
    <definedName name="CurrentMonth" localSheetId="25">'70195'!$J$8</definedName>
    <definedName name="CurrentMonth" localSheetId="15">#REF!</definedName>
    <definedName name="CurrentMonth" localSheetId="6">'[16]38000 Other Rev'!$H$8</definedName>
    <definedName name="CurrentMonth" localSheetId="9">'[16]38000 Other Rev'!$H$8</definedName>
    <definedName name="CurrentMonth" localSheetId="7">'[16]38000 Other Rev'!$H$8</definedName>
    <definedName name="CurrentMonth" localSheetId="8">'[16]38000 Other Rev'!$H$8</definedName>
    <definedName name="CurrentMonth" localSheetId="16">'[17]38000 Other Rev'!$H$8</definedName>
    <definedName name="CurrentMonth">'[18]38000 Other Rev'!$H$8</definedName>
    <definedName name="Cutomers" localSheetId="12">#REF!</definedName>
    <definedName name="Cutomers" localSheetId="6">#REF!</definedName>
    <definedName name="Cutomers" localSheetId="9">#REF!</definedName>
    <definedName name="Cutomers" localSheetId="7">#REF!</definedName>
    <definedName name="Cutomers" localSheetId="8">#REF!</definedName>
    <definedName name="Cutomers" localSheetId="16">#REF!</definedName>
    <definedName name="Cutomers" localSheetId="13">#REF!</definedName>
    <definedName name="Cutomers" localSheetId="5">#REF!</definedName>
    <definedName name="Cutomers" localSheetId="0">#REF!</definedName>
    <definedName name="Cutomers" localSheetId="3">#REF!</definedName>
    <definedName name="Cutomers" localSheetId="11">#REF!</definedName>
    <definedName name="Cutomers">#REF!</definedName>
    <definedName name="_xlnm.Database" localSheetId="2">#REF!</definedName>
    <definedName name="_xlnm.Database" localSheetId="14">#REF!</definedName>
    <definedName name="_xlnm.Database" localSheetId="15">#REF!</definedName>
    <definedName name="_xlnm.Database" localSheetId="6">#REF!</definedName>
    <definedName name="_xlnm.Database" localSheetId="9">#REF!</definedName>
    <definedName name="_xlnm.Database" localSheetId="7">#REF!</definedName>
    <definedName name="_xlnm.Database" localSheetId="8">#REF!</definedName>
    <definedName name="_xlnm.Database" localSheetId="16">#REF!</definedName>
    <definedName name="_xlnm.Database" localSheetId="13">#REF!</definedName>
    <definedName name="_xlnm.Database" localSheetId="0">#REF!</definedName>
    <definedName name="_xlnm.Database" localSheetId="3">#REF!</definedName>
    <definedName name="_xlnm.Database" localSheetId="11">#REF!</definedName>
    <definedName name="_xlnm.Database">#REF!</definedName>
    <definedName name="Database1" localSheetId="2">#REF!</definedName>
    <definedName name="Database1" localSheetId="14">#REF!</definedName>
    <definedName name="Database1" localSheetId="6">#REF!</definedName>
    <definedName name="Database1" localSheetId="9">#REF!</definedName>
    <definedName name="Database1" localSheetId="7">#REF!</definedName>
    <definedName name="Database1" localSheetId="8">#REF!</definedName>
    <definedName name="Database1" localSheetId="16">#REF!</definedName>
    <definedName name="Database1" localSheetId="13">#REF!</definedName>
    <definedName name="Database1" localSheetId="0">#REF!</definedName>
    <definedName name="Database1" localSheetId="3">#REF!</definedName>
    <definedName name="Database1" localSheetId="11">#REF!</definedName>
    <definedName name="Database1">#REF!</definedName>
    <definedName name="DateFrom" localSheetId="21">'40101'!$I$12</definedName>
    <definedName name="DateFrom" localSheetId="22">'40121'!$I$12</definedName>
    <definedName name="DateFrom" localSheetId="23">'40131'!$I$12</definedName>
    <definedName name="DateFrom" localSheetId="24">'70095'!$I$12</definedName>
    <definedName name="DateFrom" localSheetId="25">'70195'!$I$12</definedName>
    <definedName name="DateFrom" localSheetId="15">#REF!</definedName>
    <definedName name="DateFrom" localSheetId="6">'[16]38000 Other Rev'!$G$12</definedName>
    <definedName name="DateFrom" localSheetId="9">'[16]38000 Other Rev'!$G$12</definedName>
    <definedName name="DateFrom" localSheetId="7">'[16]38000 Other Rev'!$G$12</definedName>
    <definedName name="DateFrom" localSheetId="8">'[16]38000 Other Rev'!$G$12</definedName>
    <definedName name="DateFrom" localSheetId="16">'[17]38000 Other Rev'!$G$12</definedName>
    <definedName name="DateFrom">'[18]38000 Other Rev'!$G$12</definedName>
    <definedName name="DateTo" localSheetId="21">'40101'!$I$13</definedName>
    <definedName name="DateTo" localSheetId="22">'40121'!$I$13</definedName>
    <definedName name="DateTo" localSheetId="23">'40131'!$I$13</definedName>
    <definedName name="DateTo" localSheetId="24">'70095'!$I$13</definedName>
    <definedName name="DateTo" localSheetId="25">'70195'!$I$13</definedName>
    <definedName name="DateTo" localSheetId="15">#REF!</definedName>
    <definedName name="DateTo" localSheetId="6">'[16]38000 Other Rev'!$G$13</definedName>
    <definedName name="DateTo" localSheetId="9">'[16]38000 Other Rev'!$G$13</definedName>
    <definedName name="DateTo" localSheetId="7">'[16]38000 Other Rev'!$G$13</definedName>
    <definedName name="DateTo" localSheetId="8">'[16]38000 Other Rev'!$G$13</definedName>
    <definedName name="DateTo" localSheetId="16">'[17]38000 Other Rev'!$G$13</definedName>
    <definedName name="DateTo">'[18]38000 Other Rev'!$G$13</definedName>
    <definedName name="DBxStaffPriceOut" localSheetId="9">'[14]Price Out-Reg EASTSIDE-Resi'!#REF!</definedName>
    <definedName name="DBxStaffPriceOut" localSheetId="16">'[14]Price Out-Reg EASTSIDE-Resi'!#REF!</definedName>
    <definedName name="DBxStaffPriceOut" localSheetId="0">'[14]Price Out-Reg EASTSIDE-Resi'!#REF!</definedName>
    <definedName name="DBxStaffPriceOut">'[14]Price Out-Reg EASTSIDE-Resi'!#REF!</definedName>
    <definedName name="DEPT" localSheetId="2">[4]Hidden!#REF!</definedName>
    <definedName name="DEPT" localSheetId="12">[4]Hidden!#REF!</definedName>
    <definedName name="DEPT" localSheetId="6">[5]Hidden!#REF!</definedName>
    <definedName name="DEPT" localSheetId="9">[5]Hidden!#REF!</definedName>
    <definedName name="DEPT" localSheetId="7">[5]Hidden!#REF!</definedName>
    <definedName name="DEPT" localSheetId="8">[5]Hidden!#REF!</definedName>
    <definedName name="DEPT" localSheetId="16">[5]Hidden!#REF!</definedName>
    <definedName name="DEPT" localSheetId="13">[6]Hidden!#REF!</definedName>
    <definedName name="DEPT" localSheetId="0">[7]Hidden!#REF!</definedName>
    <definedName name="DEPT" localSheetId="11">[7]Hidden!#REF!</definedName>
    <definedName name="DEPT">[4]Hidden!#REF!</definedName>
    <definedName name="Dist" localSheetId="6">[19]Data!$E$3</definedName>
    <definedName name="Dist" localSheetId="9">[19]Data!$E$3</definedName>
    <definedName name="Dist" localSheetId="7">[19]Data!$E$3</definedName>
    <definedName name="Dist" localSheetId="8">[19]Data!$E$3</definedName>
    <definedName name="Dist" localSheetId="16">[19]Data!$E$3</definedName>
    <definedName name="Dist">[20]Data!$E$3</definedName>
    <definedName name="District" localSheetId="26">'12.31.16 BS'!$N$7</definedName>
    <definedName name="District" localSheetId="27">'12.31.17 BS'!$N$7</definedName>
    <definedName name="District" localSheetId="1">'2120_IS'!$N$6</definedName>
    <definedName name="District" localSheetId="12">'[21]Vashon BS'!#REF!</definedName>
    <definedName name="District" localSheetId="28">'IS End 1.31.18'!$K$1</definedName>
    <definedName name="District" localSheetId="9">'[21]Vashon BS'!#REF!</definedName>
    <definedName name="District" localSheetId="7">'[21]Vashon BS'!#REF!</definedName>
    <definedName name="District" localSheetId="8">'[21]Vashon BS'!#REF!</definedName>
    <definedName name="District" localSheetId="16">'[22]Vashon BS'!#REF!</definedName>
    <definedName name="District" localSheetId="4">'[23]Vashon BS'!#REF!</definedName>
    <definedName name="District" localSheetId="13">'[21]Vashon BS'!#REF!</definedName>
    <definedName name="District" localSheetId="5">'[21]Vashon BS'!#REF!</definedName>
    <definedName name="District" localSheetId="0">'[21]Vashon BS'!#REF!</definedName>
    <definedName name="District" localSheetId="18">'Region OH Calc'!$K$1</definedName>
    <definedName name="District" localSheetId="3">'[21]Vashon BS'!#REF!</definedName>
    <definedName name="District">#REF!</definedName>
    <definedName name="DistrictName" localSheetId="26">'12.31.16 BS'!$N$8</definedName>
    <definedName name="DistrictName" localSheetId="27">'12.31.17 BS'!$N$8</definedName>
    <definedName name="DistrictName" localSheetId="1">'2120_IS'!$N$7</definedName>
    <definedName name="DistrictName" localSheetId="28">'IS End 1.31.18'!$K$2</definedName>
    <definedName name="DistrictName" localSheetId="18">'Region OH Calc'!$K$2</definedName>
    <definedName name="DistrictNum" localSheetId="2">#REF!</definedName>
    <definedName name="DistrictNum" localSheetId="12">#REF!</definedName>
    <definedName name="DistrictNum" localSheetId="6">#REF!</definedName>
    <definedName name="DistrictNum" localSheetId="9">#REF!</definedName>
    <definedName name="DistrictNum" localSheetId="7">#REF!</definedName>
    <definedName name="DistrictNum" localSheetId="8">#REF!</definedName>
    <definedName name="DistrictNum" localSheetId="16">#REF!</definedName>
    <definedName name="DistrictNum" localSheetId="13">#REF!</definedName>
    <definedName name="DistrictNum" localSheetId="5">#REF!</definedName>
    <definedName name="DistrictNum" localSheetId="0">#REF!</definedName>
    <definedName name="DistrictNum" localSheetId="3">#REF!</definedName>
    <definedName name="DistrictNum" localSheetId="11">#REF!</definedName>
    <definedName name="DistrictNum">#REF!</definedName>
    <definedName name="Districts" localSheetId="21">'40101'!$M$12</definedName>
    <definedName name="Districts" localSheetId="22">'40121'!$M$12</definedName>
    <definedName name="Districts" localSheetId="23">'40131'!$M$12</definedName>
    <definedName name="Districts" localSheetId="25">'70195'!$M$12</definedName>
    <definedName name="Districts" localSheetId="15">#REF!</definedName>
    <definedName name="Districts">'70095'!$M$12</definedName>
    <definedName name="dOG" localSheetId="9">#REF!</definedName>
    <definedName name="dOG" localSheetId="7">#REF!</definedName>
    <definedName name="dOG" localSheetId="8">#REF!</definedName>
    <definedName name="dOG" localSheetId="16">#REF!</definedName>
    <definedName name="dOG" localSheetId="13">#REF!</definedName>
    <definedName name="dOG" localSheetId="0">#REF!</definedName>
    <definedName name="dOG" localSheetId="3">#REF!</definedName>
    <definedName name="dOG">#REF!</definedName>
    <definedName name="drlFilter">[1]Settings!$D$27</definedName>
    <definedName name="End" localSheetId="2">'[24]IS-2120'!#REF!</definedName>
    <definedName name="End" localSheetId="12">#REF!</definedName>
    <definedName name="End" localSheetId="14">'[25]IS-2120'!#REF!</definedName>
    <definedName name="End" localSheetId="6">#REF!</definedName>
    <definedName name="End" localSheetId="9">#REF!</definedName>
    <definedName name="End" localSheetId="7">#REF!</definedName>
    <definedName name="End" localSheetId="8">#REF!</definedName>
    <definedName name="End" localSheetId="16">#REF!</definedName>
    <definedName name="End" localSheetId="4">#REF!</definedName>
    <definedName name="End" localSheetId="13">'[25]IS-2120'!#REF!</definedName>
    <definedName name="End" localSheetId="5">#REF!</definedName>
    <definedName name="End" localSheetId="0">#REF!</definedName>
    <definedName name="End" localSheetId="3">#REF!</definedName>
    <definedName name="End" localSheetId="11">#REF!</definedName>
    <definedName name="End">#REF!</definedName>
    <definedName name="EntrieShownLimit" localSheetId="21">'40101'!$D$6</definedName>
    <definedName name="EntrieShownLimit" localSheetId="22">'40121'!$D$6</definedName>
    <definedName name="EntrieShownLimit" localSheetId="23">'40131'!$D$6</definedName>
    <definedName name="EntrieShownLimit" localSheetId="24">'70095'!$D$6</definedName>
    <definedName name="EntrieShownLimit" localSheetId="25">'70195'!$D$6</definedName>
    <definedName name="EntrieShownLimit" localSheetId="15">#REF!</definedName>
    <definedName name="EntrieShownLimit" localSheetId="6">'[16]38000 Other Rev'!$D$6</definedName>
    <definedName name="EntrieShownLimit" localSheetId="9">'[16]38000 Other Rev'!$D$6</definedName>
    <definedName name="EntrieShownLimit" localSheetId="7">'[16]38000 Other Rev'!$D$6</definedName>
    <definedName name="EntrieShownLimit" localSheetId="8">'[16]38000 Other Rev'!$D$6</definedName>
    <definedName name="EntrieShownLimit" localSheetId="16">'[17]38000 Other Rev'!$D$6</definedName>
    <definedName name="EntrieShownLimit">'[18]38000 Other Rev'!$D$6</definedName>
    <definedName name="ExcludeIC" localSheetId="26">'12.31.16 BS'!$V$7</definedName>
    <definedName name="ExcludeIC" localSheetId="27">'12.31.17 BS'!$V$7</definedName>
    <definedName name="ExcludeIC" localSheetId="1">'2120_IS'!$R$6</definedName>
    <definedName name="ExcludeIC" localSheetId="12">'[18]2025 BS'!#REF!</definedName>
    <definedName name="ExcludeIC" localSheetId="28">'IS End 1.31.18'!$O$1</definedName>
    <definedName name="ExcludeIC" localSheetId="6">'[16]2025 BS'!#REF!</definedName>
    <definedName name="ExcludeIC" localSheetId="9">'[16]2025 BS'!#REF!</definedName>
    <definedName name="ExcludeIC" localSheetId="7">'[16]2025 BS'!#REF!</definedName>
    <definedName name="ExcludeIC" localSheetId="8">'[16]2025 BS'!#REF!</definedName>
    <definedName name="ExcludeIC" localSheetId="16">'[17]2025 BS'!#REF!</definedName>
    <definedName name="ExcludeIC" localSheetId="4">'[26]2009 BS'!#REF!</definedName>
    <definedName name="ExcludeIC" localSheetId="13">'[21]Vashon BS'!#REF!</definedName>
    <definedName name="ExcludeIC" localSheetId="5">'[18]2025 BS'!#REF!</definedName>
    <definedName name="ExcludeIC" localSheetId="0">'[21]Vashon BS'!#REF!</definedName>
    <definedName name="ExcludeIC" localSheetId="18">'Region OH Calc'!$O$1</definedName>
    <definedName name="ExcludeIC" localSheetId="3">'[18]2025 BS'!#REF!</definedName>
    <definedName name="ExcludeIC">#REF!</definedName>
    <definedName name="EXT" localSheetId="9">#REF!</definedName>
    <definedName name="EXT" localSheetId="16">#REF!</definedName>
    <definedName name="EXT" localSheetId="0">#REF!</definedName>
    <definedName name="EXT">#REF!</definedName>
    <definedName name="FBTable" localSheetId="2">#REF!</definedName>
    <definedName name="FBTable" localSheetId="12">#REF!</definedName>
    <definedName name="FBTable" localSheetId="15">#REF!</definedName>
    <definedName name="FBTable" localSheetId="6">#REF!</definedName>
    <definedName name="FBTable" localSheetId="9">#REF!</definedName>
    <definedName name="FBTable" localSheetId="7">#REF!</definedName>
    <definedName name="FBTable" localSheetId="8">#REF!</definedName>
    <definedName name="FBTable" localSheetId="16">#REF!</definedName>
    <definedName name="FBTable" localSheetId="13">#REF!</definedName>
    <definedName name="FBTable" localSheetId="0">#REF!</definedName>
    <definedName name="FBTable" localSheetId="3">#REF!</definedName>
    <definedName name="FBTable" localSheetId="11">#REF!</definedName>
    <definedName name="FBTable">#REF!</definedName>
    <definedName name="FBTableOld" localSheetId="2">#REF!</definedName>
    <definedName name="FBTableOld" localSheetId="15">#REF!</definedName>
    <definedName name="FBTableOld" localSheetId="6">#REF!</definedName>
    <definedName name="FBTableOld" localSheetId="9">#REF!</definedName>
    <definedName name="FBTableOld" localSheetId="7">#REF!</definedName>
    <definedName name="FBTableOld" localSheetId="8">#REF!</definedName>
    <definedName name="FBTableOld" localSheetId="16">#REF!</definedName>
    <definedName name="FBTableOld" localSheetId="13">#REF!</definedName>
    <definedName name="FBTableOld" localSheetId="0">#REF!</definedName>
    <definedName name="FBTableOld" localSheetId="3">#REF!</definedName>
    <definedName name="FBTableOld" localSheetId="11">#REF!</definedName>
    <definedName name="FBTableOld">#REF!</definedName>
    <definedName name="filter">[1]Settings!$B$14:$H$25</definedName>
    <definedName name="FromMonth" localSheetId="21">'40101'!$C$8</definedName>
    <definedName name="FromMonth" localSheetId="22">'40121'!$C$8</definedName>
    <definedName name="FromMonth" localSheetId="23">'40131'!$C$8</definedName>
    <definedName name="FromMonth" localSheetId="25">'70195'!$C$8</definedName>
    <definedName name="FromMonth" localSheetId="15">#REF!</definedName>
    <definedName name="FromMonth">'70095'!$C$8</definedName>
    <definedName name="FundsApprPend" localSheetId="12">[20]Data!#REF!</definedName>
    <definedName name="FundsApprPend" localSheetId="6">[19]Data!#REF!</definedName>
    <definedName name="FundsApprPend" localSheetId="9">[19]Data!#REF!</definedName>
    <definedName name="FundsApprPend" localSheetId="7">[19]Data!#REF!</definedName>
    <definedName name="FundsApprPend" localSheetId="8">[19]Data!#REF!</definedName>
    <definedName name="FundsApprPend" localSheetId="16">[19]Data!#REF!</definedName>
    <definedName name="FundsApprPend" localSheetId="4">[20]Data!#REF!</definedName>
    <definedName name="FundsApprPend" localSheetId="13">[20]Data!#REF!</definedName>
    <definedName name="FundsApprPend" localSheetId="5">[20]Data!#REF!</definedName>
    <definedName name="FundsApprPend" localSheetId="0">[20]Data!#REF!</definedName>
    <definedName name="FundsApprPend">[20]Data!#REF!</definedName>
    <definedName name="FundsBudUnbud" localSheetId="6">[19]Data!#REF!</definedName>
    <definedName name="FundsBudUnbud" localSheetId="9">[19]Data!#REF!</definedName>
    <definedName name="FundsBudUnbud" localSheetId="7">[19]Data!#REF!</definedName>
    <definedName name="FundsBudUnbud" localSheetId="8">[19]Data!#REF!</definedName>
    <definedName name="FundsBudUnbud" localSheetId="16">[19]Data!#REF!</definedName>
    <definedName name="FundsBudUnbud" localSheetId="5">[20]Data!#REF!</definedName>
    <definedName name="FundsBudUnbud" localSheetId="0">[20]Data!#REF!</definedName>
    <definedName name="FundsBudUnbud">[20]Data!#REF!</definedName>
    <definedName name="GLMappingStart" localSheetId="12">#REF!</definedName>
    <definedName name="GLMappingStart" localSheetId="6">#REF!</definedName>
    <definedName name="GLMappingStart" localSheetId="9">#REF!</definedName>
    <definedName name="GLMappingStart" localSheetId="7">#REF!</definedName>
    <definedName name="GLMappingStart" localSheetId="8">#REF!</definedName>
    <definedName name="GLMappingStart" localSheetId="16">#REF!</definedName>
    <definedName name="GLMappingStart" localSheetId="13">#REF!</definedName>
    <definedName name="GLMappingStart" localSheetId="5">#REF!</definedName>
    <definedName name="GLMappingStart" localSheetId="0">#REF!</definedName>
    <definedName name="GLMappingStart" localSheetId="3">#REF!</definedName>
    <definedName name="GLMappingStart" localSheetId="11">#REF!</definedName>
    <definedName name="GLMappingStart">#REF!</definedName>
    <definedName name="GLMappingStart1" localSheetId="9">#REF!</definedName>
    <definedName name="GLMappingStart1" localSheetId="7">#REF!</definedName>
    <definedName name="GLMappingStart1" localSheetId="8">#REF!</definedName>
    <definedName name="GLMappingStart1" localSheetId="16">#REF!</definedName>
    <definedName name="GLMappingStart1" localSheetId="5">#REF!</definedName>
    <definedName name="GLMappingStart1" localSheetId="0">#REF!</definedName>
    <definedName name="GLMappingStart1" localSheetId="3">#REF!</definedName>
    <definedName name="GLMappingStart1">#REF!</definedName>
    <definedName name="Import_Range" localSheetId="12">[20]Data!#REF!</definedName>
    <definedName name="Import_Range" localSheetId="6">[19]Data!#REF!</definedName>
    <definedName name="Import_Range" localSheetId="9">[19]Data!#REF!</definedName>
    <definedName name="Import_Range" localSheetId="7">[19]Data!#REF!</definedName>
    <definedName name="Import_Range" localSheetId="8">[19]Data!#REF!</definedName>
    <definedName name="Import_Range" localSheetId="16">[19]Data!#REF!</definedName>
    <definedName name="Import_Range" localSheetId="4">[20]Data!#REF!</definedName>
    <definedName name="Import_Range" localSheetId="13">[20]Data!#REF!</definedName>
    <definedName name="Import_Range" localSheetId="5">[20]Data!#REF!</definedName>
    <definedName name="Import_Range" localSheetId="0">[20]Data!#REF!</definedName>
    <definedName name="Import_Range">[20]Data!#REF!</definedName>
    <definedName name="IncomeStmnt" localSheetId="2">#REF!</definedName>
    <definedName name="IncomeStmnt" localSheetId="12">#REF!</definedName>
    <definedName name="IncomeStmnt" localSheetId="6">#REF!</definedName>
    <definedName name="IncomeStmnt" localSheetId="9">#REF!</definedName>
    <definedName name="IncomeStmnt" localSheetId="7">#REF!</definedName>
    <definedName name="IncomeStmnt" localSheetId="8">#REF!</definedName>
    <definedName name="IncomeStmnt" localSheetId="16">#REF!</definedName>
    <definedName name="IncomeStmnt" localSheetId="13">#REF!</definedName>
    <definedName name="IncomeStmnt" localSheetId="5">#REF!</definedName>
    <definedName name="IncomeStmnt" localSheetId="0">#REF!</definedName>
    <definedName name="IncomeStmnt" localSheetId="3">#REF!</definedName>
    <definedName name="IncomeStmnt" localSheetId="11">#REF!</definedName>
    <definedName name="IncomeStmnt">#REF!</definedName>
    <definedName name="INPUT" localSheetId="2">#REF!</definedName>
    <definedName name="INPUT" localSheetId="14">#REF!</definedName>
    <definedName name="INPUT" localSheetId="6">#REF!</definedName>
    <definedName name="INPUT" localSheetId="9">#REF!</definedName>
    <definedName name="INPUT" localSheetId="7">#REF!</definedName>
    <definedName name="INPUT" localSheetId="8">#REF!</definedName>
    <definedName name="INPUT" localSheetId="16">#REF!</definedName>
    <definedName name="INPUT" localSheetId="13">#REF!</definedName>
    <definedName name="INPUT" localSheetId="0">#REF!</definedName>
    <definedName name="INPUT" localSheetId="3">#REF!</definedName>
    <definedName name="INPUT" localSheetId="11">#REF!</definedName>
    <definedName name="INPUT">#REF!</definedName>
    <definedName name="Insurance" localSheetId="2">#REF!</definedName>
    <definedName name="Insurance" localSheetId="6">#REF!</definedName>
    <definedName name="Insurance" localSheetId="9">#REF!</definedName>
    <definedName name="Insurance" localSheetId="7">#REF!</definedName>
    <definedName name="Insurance" localSheetId="8">#REF!</definedName>
    <definedName name="Insurance" localSheetId="16">#REF!</definedName>
    <definedName name="Insurance" localSheetId="13">#REF!</definedName>
    <definedName name="Insurance" localSheetId="0">#REF!</definedName>
    <definedName name="Insurance" localSheetId="3">#REF!</definedName>
    <definedName name="Insurance" localSheetId="11">#REF!</definedName>
    <definedName name="Insurance">#REF!</definedName>
    <definedName name="Interject_LastPulledValues_BalanceRange" localSheetId="26">#REF!</definedName>
    <definedName name="Interject_LastPulledValues_BalanceRange" localSheetId="27">#REF!</definedName>
    <definedName name="Interject_LastPulledValues_BalanceRange" localSheetId="9">#REF!</definedName>
    <definedName name="Interject_LastPulledValues_BalanceRange">#REF!</definedName>
    <definedName name="Interject_LastPulledValues_DescriptionRange" localSheetId="26">#REF!</definedName>
    <definedName name="Interject_LastPulledValues_DescriptionRange" localSheetId="27">#REF!</definedName>
    <definedName name="Interject_LastPulledValues_DescriptionRange" localSheetId="9">#REF!</definedName>
    <definedName name="Interject_LastPulledValues_DescriptionRange">#REF!</definedName>
    <definedName name="Interject_LastPulledValues_LastChangeGUID" localSheetId="26">#REF!</definedName>
    <definedName name="Interject_LastPulledValues_LastChangeGUID" localSheetId="27">#REF!</definedName>
    <definedName name="Interject_LastPulledValues_LastChangeGUID" localSheetId="9">#REF!</definedName>
    <definedName name="Interject_LastPulledValues_LastChangeGUID">#REF!</definedName>
    <definedName name="Interject_LastPulledValues_PreviousLastChangeGUID" localSheetId="26">#REF!</definedName>
    <definedName name="Interject_LastPulledValues_PreviousLastChangeGUID" localSheetId="27">#REF!</definedName>
    <definedName name="Interject_LastPulledValues_PreviousLastChangeGUID" localSheetId="9">#REF!</definedName>
    <definedName name="Interject_LastPulledValues_PreviousLastChangeGUID">#REF!</definedName>
    <definedName name="Invoice_Start" localSheetId="12">[20]Invoice_Drill!#REF!</definedName>
    <definedName name="Invoice_Start" localSheetId="6">[19]Invoice_Drill!#REF!</definedName>
    <definedName name="Invoice_Start" localSheetId="9">[19]Invoice_Drill!#REF!</definedName>
    <definedName name="Invoice_Start" localSheetId="7">[19]Invoice_Drill!#REF!</definedName>
    <definedName name="Invoice_Start" localSheetId="8">[19]Invoice_Drill!#REF!</definedName>
    <definedName name="Invoice_Start" localSheetId="16">[19]Invoice_Drill!#REF!</definedName>
    <definedName name="Invoice_Start" localSheetId="4">[20]Invoice_Drill!#REF!</definedName>
    <definedName name="Invoice_Start" localSheetId="13">[20]Invoice_Drill!#REF!</definedName>
    <definedName name="Invoice_Start" localSheetId="5">[20]Invoice_Drill!#REF!</definedName>
    <definedName name="Invoice_Start" localSheetId="0">[20]Invoice_Drill!#REF!</definedName>
    <definedName name="Invoice_Start">[20]Invoice_Drill!#REF!</definedName>
    <definedName name="JEDetail" localSheetId="12">#REF!</definedName>
    <definedName name="JEDetail" localSheetId="6">#REF!</definedName>
    <definedName name="JEDetail" localSheetId="9">#REF!</definedName>
    <definedName name="JEDetail" localSheetId="7">#REF!</definedName>
    <definedName name="JEDetail" localSheetId="8">#REF!</definedName>
    <definedName name="JEDetail" localSheetId="16">#REF!</definedName>
    <definedName name="JEDetail" localSheetId="13">#REF!</definedName>
    <definedName name="JEDetail" localSheetId="5">#REF!</definedName>
    <definedName name="JEDetail" localSheetId="0">#REF!</definedName>
    <definedName name="JEDetail" localSheetId="3">#REF!</definedName>
    <definedName name="JEDetail" localSheetId="11">#REF!</definedName>
    <definedName name="JEDetail">#REF!</definedName>
    <definedName name="JEDetail1" localSheetId="9">#REF!</definedName>
    <definedName name="JEDetail1" localSheetId="7">#REF!</definedName>
    <definedName name="JEDetail1" localSheetId="8">#REF!</definedName>
    <definedName name="JEDetail1" localSheetId="16">#REF!</definedName>
    <definedName name="JEDetail1" localSheetId="5">#REF!</definedName>
    <definedName name="JEDetail1" localSheetId="0">#REF!</definedName>
    <definedName name="JEDetail1" localSheetId="3">#REF!</definedName>
    <definedName name="JEDetail1">#REF!</definedName>
    <definedName name="JEType" localSheetId="6">#REF!</definedName>
    <definedName name="JEType" localSheetId="9">#REF!</definedName>
    <definedName name="JEType" localSheetId="7">#REF!</definedName>
    <definedName name="JEType" localSheetId="8">#REF!</definedName>
    <definedName name="JEType" localSheetId="16">#REF!</definedName>
    <definedName name="JEType" localSheetId="13">#REF!</definedName>
    <definedName name="JEType" localSheetId="0">#REF!</definedName>
    <definedName name="JEType" localSheetId="3">#REF!</definedName>
    <definedName name="JEType" localSheetId="11">#REF!</definedName>
    <definedName name="JEType">#REF!</definedName>
    <definedName name="JEType1" localSheetId="9">#REF!</definedName>
    <definedName name="JEType1" localSheetId="7">#REF!</definedName>
    <definedName name="JEType1" localSheetId="8">#REF!</definedName>
    <definedName name="JEType1" localSheetId="16">#REF!</definedName>
    <definedName name="JEType1" localSheetId="3">#REF!</definedName>
    <definedName name="JEType1">#REF!</definedName>
    <definedName name="lblBillAreaStatus" localSheetId="6">#REF!</definedName>
    <definedName name="lblBillAreaStatus" localSheetId="9">#REF!</definedName>
    <definedName name="lblBillAreaStatus" localSheetId="7">#REF!</definedName>
    <definedName name="lblBillAreaStatus" localSheetId="8">#REF!</definedName>
    <definedName name="lblBillAreaStatus" localSheetId="16">#REF!</definedName>
    <definedName name="lblBillAreaStatus" localSheetId="13">#REF!</definedName>
    <definedName name="lblBillAreaStatus" localSheetId="3">#REF!</definedName>
    <definedName name="lblBillAreaStatus" localSheetId="11">#REF!</definedName>
    <definedName name="lblBillAreaStatus">#REF!</definedName>
    <definedName name="lblBillCycleStatus" localSheetId="6">#REF!</definedName>
    <definedName name="lblBillCycleStatus" localSheetId="9">#REF!</definedName>
    <definedName name="lblBillCycleStatus" localSheetId="7">#REF!</definedName>
    <definedName name="lblBillCycleStatus" localSheetId="8">#REF!</definedName>
    <definedName name="lblBillCycleStatus" localSheetId="16">#REF!</definedName>
    <definedName name="lblBillCycleStatus" localSheetId="13">#REF!</definedName>
    <definedName name="lblBillCycleStatus" localSheetId="3">#REF!</definedName>
    <definedName name="lblBillCycleStatus" localSheetId="11">#REF!</definedName>
    <definedName name="lblBillCycleStatus">#REF!</definedName>
    <definedName name="lblCategoryStatus" localSheetId="6">#REF!</definedName>
    <definedName name="lblCategoryStatus" localSheetId="9">#REF!</definedName>
    <definedName name="lblCategoryStatus" localSheetId="7">#REF!</definedName>
    <definedName name="lblCategoryStatus" localSheetId="8">#REF!</definedName>
    <definedName name="lblCategoryStatus" localSheetId="16">#REF!</definedName>
    <definedName name="lblCategoryStatus" localSheetId="13">#REF!</definedName>
    <definedName name="lblCategoryStatus" localSheetId="3">#REF!</definedName>
    <definedName name="lblCategoryStatus" localSheetId="11">#REF!</definedName>
    <definedName name="lblCategoryStatus">#REF!</definedName>
    <definedName name="lblCompanyStatus" localSheetId="6">#REF!</definedName>
    <definedName name="lblCompanyStatus" localSheetId="9">#REF!</definedName>
    <definedName name="lblCompanyStatus" localSheetId="7">#REF!</definedName>
    <definedName name="lblCompanyStatus" localSheetId="8">#REF!</definedName>
    <definedName name="lblCompanyStatus" localSheetId="16">#REF!</definedName>
    <definedName name="lblCompanyStatus" localSheetId="13">#REF!</definedName>
    <definedName name="lblCompanyStatus" localSheetId="3">#REF!</definedName>
    <definedName name="lblCompanyStatus" localSheetId="11">#REF!</definedName>
    <definedName name="lblCompanyStatus">#REF!</definedName>
    <definedName name="lblDatabaseStatus" localSheetId="6">#REF!</definedName>
    <definedName name="lblDatabaseStatus" localSheetId="9">#REF!</definedName>
    <definedName name="lblDatabaseStatus" localSheetId="7">#REF!</definedName>
    <definedName name="lblDatabaseStatus" localSheetId="8">#REF!</definedName>
    <definedName name="lblDatabaseStatus" localSheetId="16">#REF!</definedName>
    <definedName name="lblDatabaseStatus" localSheetId="13">#REF!</definedName>
    <definedName name="lblDatabaseStatus" localSheetId="3">#REF!</definedName>
    <definedName name="lblDatabaseStatus" localSheetId="11">#REF!</definedName>
    <definedName name="lblDatabaseStatus">#REF!</definedName>
    <definedName name="lblPullStatus" localSheetId="6">#REF!</definedName>
    <definedName name="lblPullStatus" localSheetId="9">#REF!</definedName>
    <definedName name="lblPullStatus" localSheetId="7">#REF!</definedName>
    <definedName name="lblPullStatus" localSheetId="8">#REF!</definedName>
    <definedName name="lblPullStatus" localSheetId="16">#REF!</definedName>
    <definedName name="lblPullStatus" localSheetId="13">#REF!</definedName>
    <definedName name="lblPullStatus" localSheetId="3">#REF!</definedName>
    <definedName name="lblPullStatus" localSheetId="11">#REF!</definedName>
    <definedName name="lblPullStatus">#REF!</definedName>
    <definedName name="lllllllllllllllllllll" localSheetId="2">#REF!</definedName>
    <definedName name="lllllllllllllllllllll" localSheetId="6">#REF!</definedName>
    <definedName name="lllllllllllllllllllll" localSheetId="9">#REF!</definedName>
    <definedName name="lllllllllllllllllllll" localSheetId="7">#REF!</definedName>
    <definedName name="lllllllllllllllllllll" localSheetId="8">#REF!</definedName>
    <definedName name="lllllllllllllllllllll" localSheetId="16">#REF!</definedName>
    <definedName name="lllllllllllllllllllll" localSheetId="13">#REF!</definedName>
    <definedName name="lllllllllllllllllllll" localSheetId="3">#REF!</definedName>
    <definedName name="lllllllllllllllllllll" localSheetId="11">#REF!</definedName>
    <definedName name="lllllllllllllllllllll">#REF!</definedName>
    <definedName name="MainDataEnd" localSheetId="6">#REF!</definedName>
    <definedName name="MainDataEnd" localSheetId="9">#REF!</definedName>
    <definedName name="MainDataEnd" localSheetId="7">#REF!</definedName>
    <definedName name="MainDataEnd" localSheetId="8">#REF!</definedName>
    <definedName name="MainDataEnd" localSheetId="16">#REF!</definedName>
    <definedName name="MainDataEnd" localSheetId="13">#REF!</definedName>
    <definedName name="MainDataEnd" localSheetId="3">#REF!</definedName>
    <definedName name="MainDataEnd" localSheetId="11">#REF!</definedName>
    <definedName name="MainDataEnd">#REF!</definedName>
    <definedName name="MainDataStart" localSheetId="6">#REF!</definedName>
    <definedName name="MainDataStart" localSheetId="9">#REF!</definedName>
    <definedName name="MainDataStart" localSheetId="7">#REF!</definedName>
    <definedName name="MainDataStart" localSheetId="8">#REF!</definedName>
    <definedName name="MainDataStart" localSheetId="16">#REF!</definedName>
    <definedName name="MainDataStart" localSheetId="13">#REF!</definedName>
    <definedName name="MainDataStart" localSheetId="3">#REF!</definedName>
    <definedName name="MainDataStart" localSheetId="11">#REF!</definedName>
    <definedName name="MainDataStart">#REF!</definedName>
    <definedName name="MapKeyStart" localSheetId="6">#REF!</definedName>
    <definedName name="MapKeyStart" localSheetId="9">#REF!</definedName>
    <definedName name="MapKeyStart" localSheetId="7">#REF!</definedName>
    <definedName name="MapKeyStart" localSheetId="8">#REF!</definedName>
    <definedName name="MapKeyStart" localSheetId="16">#REF!</definedName>
    <definedName name="MapKeyStart" localSheetId="13">#REF!</definedName>
    <definedName name="MapKeyStart" localSheetId="3">#REF!</definedName>
    <definedName name="MapKeyStart" localSheetId="11">#REF!</definedName>
    <definedName name="MapKeyStart">#REF!</definedName>
    <definedName name="master_def" localSheetId="2">'[24]IS-2120'!#REF!</definedName>
    <definedName name="master_def" localSheetId="14">'[25]IS-2120'!#REF!</definedName>
    <definedName name="master_def" localSheetId="6">#REF!</definedName>
    <definedName name="master_def" localSheetId="9">#REF!</definedName>
    <definedName name="master_def" localSheetId="7">#REF!</definedName>
    <definedName name="master_def" localSheetId="8">#REF!</definedName>
    <definedName name="master_def" localSheetId="16">#REF!</definedName>
    <definedName name="master_def" localSheetId="4">#REF!</definedName>
    <definedName name="master_def" localSheetId="13">'[25]IS-2120'!#REF!</definedName>
    <definedName name="master_def" localSheetId="5">#REF!</definedName>
    <definedName name="master_def" localSheetId="0">#REF!</definedName>
    <definedName name="master_def" localSheetId="3">#REF!</definedName>
    <definedName name="master_def" localSheetId="11">#REF!</definedName>
    <definedName name="master_def">#REF!</definedName>
    <definedName name="MATRIX" localSheetId="9">#REF!</definedName>
    <definedName name="MATRIX" localSheetId="0">#REF!</definedName>
    <definedName name="MATRIX">#REF!</definedName>
    <definedName name="MemoAttachment" localSheetId="9">#REF!</definedName>
    <definedName name="MemoAttachment" localSheetId="7">#REF!</definedName>
    <definedName name="MemoAttachment" localSheetId="8">#REF!</definedName>
    <definedName name="MemoAttachment" localSheetId="16">#REF!</definedName>
    <definedName name="MemoAttachment" localSheetId="13">#REF!</definedName>
    <definedName name="MemoAttachment" localSheetId="3">#REF!</definedName>
    <definedName name="MemoAttachment">#REF!</definedName>
    <definedName name="MetaSet">[1]Orientation!$C$22</definedName>
    <definedName name="MFStaffPriceOut" localSheetId="9">'[14]Price Out-Reg EASTSIDE-Resi'!#REF!</definedName>
    <definedName name="MFStaffPriceOut" localSheetId="16">'[14]Price Out-Reg EASTSIDE-Resi'!#REF!</definedName>
    <definedName name="MFStaffPriceOut" localSheetId="0">'[14]Price Out-Reg EASTSIDE-Resi'!#REF!</definedName>
    <definedName name="MFStaffPriceOut">'[14]Price Out-Reg EASTSIDE-Resi'!#REF!</definedName>
    <definedName name="MonthList" localSheetId="6">'[19]Lookup Tables'!$A$1:$A$13</definedName>
    <definedName name="MonthList" localSheetId="9">'[19]Lookup Tables'!$A$1:$A$13</definedName>
    <definedName name="MonthList" localSheetId="7">'[19]Lookup Tables'!$A$1:$A$13</definedName>
    <definedName name="MonthList" localSheetId="8">'[19]Lookup Tables'!$A$1:$A$13</definedName>
    <definedName name="MonthList" localSheetId="16">'[19]Lookup Tables'!$A$1:$A$13</definedName>
    <definedName name="MonthList">'[20]Lookup Tables'!$A$1:$A$13</definedName>
    <definedName name="NewOnlyOrg">#N/A</definedName>
    <definedName name="nn" localSheetId="9">#REF!</definedName>
    <definedName name="nn" localSheetId="16">#REF!</definedName>
    <definedName name="nn" localSheetId="4">#REF!</definedName>
    <definedName name="nn" localSheetId="0">#REF!</definedName>
    <definedName name="nn">#REF!</definedName>
    <definedName name="NOTES" localSheetId="2">#REF!</definedName>
    <definedName name="NOTES" localSheetId="12">#REF!</definedName>
    <definedName name="NOTES" localSheetId="14">#REF!</definedName>
    <definedName name="NOTES" localSheetId="6">#REF!</definedName>
    <definedName name="NOTES" localSheetId="9">#REF!</definedName>
    <definedName name="NOTES" localSheetId="7">#REF!</definedName>
    <definedName name="NOTES" localSheetId="8">#REF!</definedName>
    <definedName name="NOTES" localSheetId="16">#REF!</definedName>
    <definedName name="NOTES" localSheetId="13">#REF!</definedName>
    <definedName name="NOTES" localSheetId="0">#REF!</definedName>
    <definedName name="NOTES" localSheetId="3">#REF!</definedName>
    <definedName name="NOTES" localSheetId="11">#REF!</definedName>
    <definedName name="NOTES">#REF!</definedName>
    <definedName name="NR" localSheetId="9">#REF!</definedName>
    <definedName name="NR" localSheetId="7">#REF!</definedName>
    <definedName name="NR" localSheetId="8">#REF!</definedName>
    <definedName name="NR" localSheetId="16">#REF!</definedName>
    <definedName name="NR" localSheetId="13">#REF!</definedName>
    <definedName name="NR" localSheetId="0">#REF!</definedName>
    <definedName name="NR" localSheetId="3">#REF!</definedName>
    <definedName name="NR">#REF!</definedName>
    <definedName name="OfficerSalary">#N/A</definedName>
    <definedName name="OffsetAcctBil" localSheetId="13">[27]JEexport!$L$10</definedName>
    <definedName name="OffsetAcctBil">[28]JEexport!$L$10</definedName>
    <definedName name="OffsetAcctPmt" localSheetId="13">[27]JEexport!$L$9</definedName>
    <definedName name="OffsetAcctPmt">[28]JEexport!$L$9</definedName>
    <definedName name="Org11_13">#N/A</definedName>
    <definedName name="Org7_10">#N/A</definedName>
    <definedName name="p" localSheetId="12">#REF!</definedName>
    <definedName name="p" localSheetId="6">#REF!</definedName>
    <definedName name="p" localSheetId="9">#REF!</definedName>
    <definedName name="p" localSheetId="7">#REF!</definedName>
    <definedName name="p" localSheetId="8">#REF!</definedName>
    <definedName name="p" localSheetId="16">#REF!</definedName>
    <definedName name="p" localSheetId="13">#REF!</definedName>
    <definedName name="p" localSheetId="5">#REF!</definedName>
    <definedName name="p" localSheetId="0">#REF!</definedName>
    <definedName name="p" localSheetId="3">#REF!</definedName>
    <definedName name="p" localSheetId="11">#REF!</definedName>
    <definedName name="p">#REF!</definedName>
    <definedName name="PAGE_1" localSheetId="2">#REF!</definedName>
    <definedName name="PAGE_1" localSheetId="14">#REF!</definedName>
    <definedName name="PAGE_1" localSheetId="6">#REF!</definedName>
    <definedName name="PAGE_1" localSheetId="9">#REF!</definedName>
    <definedName name="PAGE_1" localSheetId="7">#REF!</definedName>
    <definedName name="PAGE_1" localSheetId="8">#REF!</definedName>
    <definedName name="PAGE_1" localSheetId="16">#REF!</definedName>
    <definedName name="PAGE_1" localSheetId="13">#REF!</definedName>
    <definedName name="PAGE_1" localSheetId="0">#REF!</definedName>
    <definedName name="PAGE_1" localSheetId="3">#REF!</definedName>
    <definedName name="PAGE_1" localSheetId="11">#REF!</definedName>
    <definedName name="PAGE_1">#REF!</definedName>
    <definedName name="Page16" localSheetId="9">#REF!</definedName>
    <definedName name="Page16">#REF!</definedName>
    <definedName name="Page17" localSheetId="9">#REF!</definedName>
    <definedName name="Page17">#REF!</definedName>
    <definedName name="Page18" localSheetId="9">#REF!</definedName>
    <definedName name="Page18">#REF!</definedName>
    <definedName name="Page7a" localSheetId="9">#REF!</definedName>
    <definedName name="Page7a">#REF!</definedName>
    <definedName name="pBatchID" localSheetId="6">#REF!</definedName>
    <definedName name="pBatchID" localSheetId="9">#REF!</definedName>
    <definedName name="pBatchID" localSheetId="7">#REF!</definedName>
    <definedName name="pBatchID" localSheetId="8">#REF!</definedName>
    <definedName name="pBatchID" localSheetId="16">#REF!</definedName>
    <definedName name="pBatchID" localSheetId="13">#REF!</definedName>
    <definedName name="pBatchID" localSheetId="0">#REF!</definedName>
    <definedName name="pBatchID" localSheetId="3">#REF!</definedName>
    <definedName name="pBatchID" localSheetId="11">#REF!</definedName>
    <definedName name="pBatchID">#REF!</definedName>
    <definedName name="pBillArea" localSheetId="6">#REF!</definedName>
    <definedName name="pBillArea" localSheetId="9">#REF!</definedName>
    <definedName name="pBillArea" localSheetId="7">#REF!</definedName>
    <definedName name="pBillArea" localSheetId="8">#REF!</definedName>
    <definedName name="pBillArea" localSheetId="16">#REF!</definedName>
    <definedName name="pBillArea" localSheetId="13">#REF!</definedName>
    <definedName name="pBillArea" localSheetId="3">#REF!</definedName>
    <definedName name="pBillArea" localSheetId="11">#REF!</definedName>
    <definedName name="pBillArea">#REF!</definedName>
    <definedName name="pBillCycle" localSheetId="6">#REF!</definedName>
    <definedName name="pBillCycle" localSheetId="9">#REF!</definedName>
    <definedName name="pBillCycle" localSheetId="7">#REF!</definedName>
    <definedName name="pBillCycle" localSheetId="8">#REF!</definedName>
    <definedName name="pBillCycle" localSheetId="16">#REF!</definedName>
    <definedName name="pBillCycle" localSheetId="13">#REF!</definedName>
    <definedName name="pBillCycle" localSheetId="3">#REF!</definedName>
    <definedName name="pBillCycle" localSheetId="11">#REF!</definedName>
    <definedName name="pBillCycle">#REF!</definedName>
    <definedName name="pCategory" localSheetId="6">#REF!</definedName>
    <definedName name="pCategory" localSheetId="9">#REF!</definedName>
    <definedName name="pCategory" localSheetId="7">#REF!</definedName>
    <definedName name="pCategory" localSheetId="8">#REF!</definedName>
    <definedName name="pCategory" localSheetId="16">#REF!</definedName>
    <definedName name="pCategory" localSheetId="13">#REF!</definedName>
    <definedName name="pCategory" localSheetId="3">#REF!</definedName>
    <definedName name="pCategory" localSheetId="11">#REF!</definedName>
    <definedName name="pCategory">#REF!</definedName>
    <definedName name="pCompany" localSheetId="6">#REF!</definedName>
    <definedName name="pCompany" localSheetId="9">#REF!</definedName>
    <definedName name="pCompany" localSheetId="7">#REF!</definedName>
    <definedName name="pCompany" localSheetId="8">#REF!</definedName>
    <definedName name="pCompany" localSheetId="16">#REF!</definedName>
    <definedName name="pCompany" localSheetId="13">#REF!</definedName>
    <definedName name="pCompany" localSheetId="3">#REF!</definedName>
    <definedName name="pCompany" localSheetId="11">#REF!</definedName>
    <definedName name="pCompany">#REF!</definedName>
    <definedName name="pCustomerNumber" localSheetId="6">#REF!</definedName>
    <definedName name="pCustomerNumber" localSheetId="9">#REF!</definedName>
    <definedName name="pCustomerNumber" localSheetId="7">#REF!</definedName>
    <definedName name="pCustomerNumber" localSheetId="8">#REF!</definedName>
    <definedName name="pCustomerNumber" localSheetId="16">#REF!</definedName>
    <definedName name="pCustomerNumber" localSheetId="13">#REF!</definedName>
    <definedName name="pCustomerNumber" localSheetId="3">#REF!</definedName>
    <definedName name="pCustomerNumber" localSheetId="11">#REF!</definedName>
    <definedName name="pCustomerNumber">#REF!</definedName>
    <definedName name="pDatabase" localSheetId="6">#REF!</definedName>
    <definedName name="pDatabase" localSheetId="9">#REF!</definedName>
    <definedName name="pDatabase" localSheetId="7">#REF!</definedName>
    <definedName name="pDatabase" localSheetId="8">#REF!</definedName>
    <definedName name="pDatabase" localSheetId="16">#REF!</definedName>
    <definedName name="pDatabase" localSheetId="13">#REF!</definedName>
    <definedName name="pDatabase" localSheetId="3">#REF!</definedName>
    <definedName name="pDatabase" localSheetId="11">#REF!</definedName>
    <definedName name="pDatabase">#REF!</definedName>
    <definedName name="pEndPostDate" localSheetId="6">#REF!</definedName>
    <definedName name="pEndPostDate" localSheetId="9">#REF!</definedName>
    <definedName name="pEndPostDate" localSheetId="7">#REF!</definedName>
    <definedName name="pEndPostDate" localSheetId="8">#REF!</definedName>
    <definedName name="pEndPostDate" localSheetId="16">#REF!</definedName>
    <definedName name="pEndPostDate" localSheetId="13">#REF!</definedName>
    <definedName name="pEndPostDate" localSheetId="3">#REF!</definedName>
    <definedName name="pEndPostDate" localSheetId="11">#REF!</definedName>
    <definedName name="pEndPostDate">#REF!</definedName>
    <definedName name="Period" localSheetId="2">#REF!</definedName>
    <definedName name="Period" localSheetId="6">#REF!</definedName>
    <definedName name="Period" localSheetId="9">#REF!</definedName>
    <definedName name="Period" localSheetId="7">#REF!</definedName>
    <definedName name="Period" localSheetId="8">#REF!</definedName>
    <definedName name="Period" localSheetId="16">#REF!</definedName>
    <definedName name="Period" localSheetId="13">#REF!</definedName>
    <definedName name="Period" localSheetId="3">#REF!</definedName>
    <definedName name="Period" localSheetId="11">#REF!</definedName>
    <definedName name="Period">#REF!</definedName>
    <definedName name="pMonth" localSheetId="6">#REF!</definedName>
    <definedName name="pMonth" localSheetId="9">#REF!</definedName>
    <definedName name="pMonth" localSheetId="7">#REF!</definedName>
    <definedName name="pMonth" localSheetId="8">#REF!</definedName>
    <definedName name="pMonth" localSheetId="16">#REF!</definedName>
    <definedName name="pMonth" localSheetId="13">#REF!</definedName>
    <definedName name="pMonth" localSheetId="3">#REF!</definedName>
    <definedName name="pMonth" localSheetId="11">#REF!</definedName>
    <definedName name="pMonth">#REF!</definedName>
    <definedName name="pOnlyShowLastTranx" localSheetId="6">#REF!</definedName>
    <definedName name="pOnlyShowLastTranx" localSheetId="9">#REF!</definedName>
    <definedName name="pOnlyShowLastTranx" localSheetId="7">#REF!</definedName>
    <definedName name="pOnlyShowLastTranx" localSheetId="8">#REF!</definedName>
    <definedName name="pOnlyShowLastTranx" localSheetId="16">#REF!</definedName>
    <definedName name="pOnlyShowLastTranx" localSheetId="13">#REF!</definedName>
    <definedName name="pOnlyShowLastTranx" localSheetId="3">#REF!</definedName>
    <definedName name="pOnlyShowLastTranx" localSheetId="11">#REF!</definedName>
    <definedName name="pOnlyShowLastTranx">#REF!</definedName>
    <definedName name="Posting" localSheetId="21">'40101'!$P$15</definedName>
    <definedName name="Posting" localSheetId="22">'40121'!$P$15</definedName>
    <definedName name="Posting" localSheetId="23">'40131'!$P$15</definedName>
    <definedName name="Posting" localSheetId="25">'70195'!$P$15</definedName>
    <definedName name="Posting" localSheetId="15">#REF!</definedName>
    <definedName name="Posting">'70095'!$P$15</definedName>
    <definedName name="primtbl">[1]Orientation!$C$23</definedName>
    <definedName name="_xlnm.Print_Area" localSheetId="26">'12.31.16 BS'!$D$7:$V$209</definedName>
    <definedName name="_xlnm.Print_Area" localSheetId="27">'12.31.17 BS'!$D$7:$V$210</definedName>
    <definedName name="_xlnm.Print_Area" localSheetId="1">'2120_IS'!$D$6:$AJ$288</definedName>
    <definedName name="_xlnm.Print_Area" localSheetId="21">'40101'!$A:$Q</definedName>
    <definedName name="_xlnm.Print_Area" localSheetId="22">'40121'!$A$1:$P$50</definedName>
    <definedName name="_xlnm.Print_Area" localSheetId="23">'40131'!$A$1:$P$152</definedName>
    <definedName name="_xlnm.Print_Area" localSheetId="24">'70095'!$A$1:$P$97</definedName>
    <definedName name="_xlnm.Print_Area" localSheetId="25">'70195'!$A$1:$P$73</definedName>
    <definedName name="_xlnm.Print_Area" localSheetId="2">'Consolidated IS'!$A$1:$R$268</definedName>
    <definedName name="_xlnm.Print_Area" localSheetId="17">'Corp OH'!$A$1:$J$95</definedName>
    <definedName name="_xlnm.Print_Area" localSheetId="12">'Depr Summary'!$A$1:$AC$49</definedName>
    <definedName name="_xlnm.Print_Area" localSheetId="14">Disposal!$A$1:$Q$92</definedName>
    <definedName name="_xlnm.Print_Area" localSheetId="15">'Empire Payroll'!$A$1:$AE$165</definedName>
    <definedName name="_xlnm.Print_Area" localSheetId="28">'IS End 1.31.18'!$A$1:$AE$276</definedName>
    <definedName name="_xlnm.Print_Area" localSheetId="6">LG!$B$1:$K$27</definedName>
    <definedName name="_xlnm.Print_Area" localSheetId="9">'LG - Med Waste'!$B$1:$L$28</definedName>
    <definedName name="_xlnm.Print_Area" localSheetId="7">'LG - Packer,RO'!$B$1:$K$27</definedName>
    <definedName name="_xlnm.Print_Area" localSheetId="8">'LG - Recycle'!$B$1:$L$28</definedName>
    <definedName name="_xlnm.Print_Area" localSheetId="16">'Mgmt Alloc In'!$A$1:$H$28</definedName>
    <definedName name="_xlnm.Print_Area" localSheetId="4">'Pro-forma Adj''s'!$A$1:$H$46</definedName>
    <definedName name="_xlnm.Print_Area" localSheetId="13">'Rate Sheet'!$A$1:$F$527</definedName>
    <definedName name="_xlnm.Print_Area" localSheetId="5">Ratios!$A$1:$R$91</definedName>
    <definedName name="_xlnm.Print_Area" localSheetId="0">#REF!</definedName>
    <definedName name="_xlnm.Print_Area" localSheetId="18">'Region OH Calc'!$A$1:$AK$50</definedName>
    <definedName name="_xlnm.Print_Area" localSheetId="3">'Restating Adj''s'!$A$1:$Y$130</definedName>
    <definedName name="_xlnm.Print_Area" localSheetId="10">'Spokane Reg - Price out'!$A$1:$S$113</definedName>
    <definedName name="_xlnm.Print_Area" localSheetId="19">'WCI BS'!$A$1:$E$69</definedName>
    <definedName name="_xlnm.Print_Area" localSheetId="20">'WCI IS'!$B$11:$F$43</definedName>
    <definedName name="_xlnm.Print_Area" localSheetId="11">'Whitman Reg - Price Out'!$A$1:$P$174</definedName>
    <definedName name="_xlnm.Print_Area">#REF!</definedName>
    <definedName name="Print_Area_MI" localSheetId="2">#REF!</definedName>
    <definedName name="Print_Area_MI" localSheetId="12">#REF!</definedName>
    <definedName name="Print_Area_MI" localSheetId="14">#REF!</definedName>
    <definedName name="Print_Area_MI" localSheetId="6">#REF!</definedName>
    <definedName name="Print_Area_MI" localSheetId="9">#REF!</definedName>
    <definedName name="Print_Area_MI" localSheetId="7">#REF!</definedName>
    <definedName name="Print_Area_MI" localSheetId="8">#REF!</definedName>
    <definedName name="Print_Area_MI" localSheetId="16">#REF!</definedName>
    <definedName name="Print_Area_MI" localSheetId="13">#REF!</definedName>
    <definedName name="Print_Area_MI" localSheetId="0">#REF!</definedName>
    <definedName name="Print_Area_MI" localSheetId="3">#REF!</definedName>
    <definedName name="Print_Area_MI" localSheetId="11">#REF!</definedName>
    <definedName name="Print_Area_MI">#REF!</definedName>
    <definedName name="Print_Area1" localSheetId="2">#REF!</definedName>
    <definedName name="Print_Area1" localSheetId="14">#REF!</definedName>
    <definedName name="Print_Area1" localSheetId="6">#REF!</definedName>
    <definedName name="Print_Area1" localSheetId="9">#REF!</definedName>
    <definedName name="Print_Area1" localSheetId="7">#REF!</definedName>
    <definedName name="Print_Area1" localSheetId="8">#REF!</definedName>
    <definedName name="Print_Area1" localSheetId="16">#REF!</definedName>
    <definedName name="Print_Area1" localSheetId="13">#REF!</definedName>
    <definedName name="Print_Area1" localSheetId="3">#REF!</definedName>
    <definedName name="Print_Area1" localSheetId="11">#REF!</definedName>
    <definedName name="Print_Area1">#REF!</definedName>
    <definedName name="Print_Area2" localSheetId="2">#REF!</definedName>
    <definedName name="Print_Area2" localSheetId="14">#REF!</definedName>
    <definedName name="Print_Area2" localSheetId="6">#REF!</definedName>
    <definedName name="Print_Area2" localSheetId="9">#REF!</definedName>
    <definedName name="Print_Area2" localSheetId="7">#REF!</definedName>
    <definedName name="Print_Area2" localSheetId="8">#REF!</definedName>
    <definedName name="Print_Area2" localSheetId="16">#REF!</definedName>
    <definedName name="Print_Area2" localSheetId="13">#REF!</definedName>
    <definedName name="Print_Area2" localSheetId="3">#REF!</definedName>
    <definedName name="Print_Area2" localSheetId="11">#REF!</definedName>
    <definedName name="Print_Area2">#REF!</definedName>
    <definedName name="Print_Area3" localSheetId="2">#REF!</definedName>
    <definedName name="Print_Area3" localSheetId="14">#REF!</definedName>
    <definedName name="Print_Area3" localSheetId="6">#REF!</definedName>
    <definedName name="Print_Area3" localSheetId="9">#REF!</definedName>
    <definedName name="Print_Area3" localSheetId="7">#REF!</definedName>
    <definedName name="Print_Area3" localSheetId="8">#REF!</definedName>
    <definedName name="Print_Area3" localSheetId="16">#REF!</definedName>
    <definedName name="Print_Area3" localSheetId="13">#REF!</definedName>
    <definedName name="Print_Area3" localSheetId="3">#REF!</definedName>
    <definedName name="Print_Area3" localSheetId="11">#REF!</definedName>
    <definedName name="Print_Area3">#REF!</definedName>
    <definedName name="Print_Area5" localSheetId="2">#REF!</definedName>
    <definedName name="Print_Area5" localSheetId="14">#REF!</definedName>
    <definedName name="Print_Area5" localSheetId="6">#REF!</definedName>
    <definedName name="Print_Area5" localSheetId="9">#REF!</definedName>
    <definedName name="Print_Area5" localSheetId="7">#REF!</definedName>
    <definedName name="Print_Area5" localSheetId="8">#REF!</definedName>
    <definedName name="Print_Area5" localSheetId="16">#REF!</definedName>
    <definedName name="Print_Area5" localSheetId="13">#REF!</definedName>
    <definedName name="Print_Area5" localSheetId="3">#REF!</definedName>
    <definedName name="Print_Area5" localSheetId="11">#REF!</definedName>
    <definedName name="Print_Area5">#REF!</definedName>
    <definedName name="_xlnm.Print_Titles" localSheetId="26">'12.31.16 BS'!$D:$H,'12.31.16 BS'!$7:$15</definedName>
    <definedName name="_xlnm.Print_Titles" localSheetId="27">'12.31.17 BS'!$D:$H,'12.31.17 BS'!$7:$15</definedName>
    <definedName name="_xlnm.Print_Titles" localSheetId="1">'2120_IS'!$D:$H,'2120_IS'!$6:$12</definedName>
    <definedName name="_xlnm.Print_Titles" localSheetId="21">'40101'!$B:$B,'40101'!$9:$20</definedName>
    <definedName name="_xlnm.Print_Titles" localSheetId="22">'40121'!$B:$B,'40121'!$9:$20</definedName>
    <definedName name="_xlnm.Print_Titles" localSheetId="23">'40131'!$B:$B,'40131'!$9:$20</definedName>
    <definedName name="_xlnm.Print_Titles" localSheetId="24">'70095'!$B:$B,'70095'!$9:$20</definedName>
    <definedName name="_xlnm.Print_Titles" localSheetId="25">'70195'!$B:$B,'70195'!$9:$20</definedName>
    <definedName name="_xlnm.Print_Titles" localSheetId="2">'Consolidated IS'!$A:$B,'Consolidated IS'!$1:$8</definedName>
    <definedName name="_xlnm.Print_Titles" localSheetId="12">'Depr Summary'!$A:$A</definedName>
    <definedName name="_xlnm.Print_Titles" localSheetId="14">Disposal!$1:$2</definedName>
    <definedName name="_xlnm.Print_Titles" localSheetId="28">'IS End 1.31.18'!$A:$E,'IS End 1.31.18'!$1:$6</definedName>
    <definedName name="_xlnm.Print_Titles" localSheetId="13">'Rate Sheet'!$A:$A,'Rate Sheet'!$1:$6</definedName>
    <definedName name="_xlnm.Print_Titles" localSheetId="5">Ratios!$1:$3</definedName>
    <definedName name="_xlnm.Print_Titles" localSheetId="18">'Region OH Calc'!$A:$E,'Region OH Calc'!$1:$3</definedName>
    <definedName name="_xlnm.Print_Titles" localSheetId="3">'Restating Adj''s'!$1:$3</definedName>
    <definedName name="_xlnm.Print_Titles" localSheetId="19">'WCI BS'!$1:$2</definedName>
    <definedName name="Print1" localSheetId="2">#REF!</definedName>
    <definedName name="Print1" localSheetId="12">#REF!</definedName>
    <definedName name="Print1" localSheetId="14">#REF!</definedName>
    <definedName name="Print1" localSheetId="6">#REF!</definedName>
    <definedName name="Print1" localSheetId="9">#REF!</definedName>
    <definedName name="Print1" localSheetId="7">#REF!</definedName>
    <definedName name="Print1" localSheetId="8">#REF!</definedName>
    <definedName name="Print1" localSheetId="16">#REF!</definedName>
    <definedName name="Print1" localSheetId="13">#REF!</definedName>
    <definedName name="Print1" localSheetId="5">#REF!</definedName>
    <definedName name="Print1" localSheetId="3">#REF!</definedName>
    <definedName name="Print1" localSheetId="11">#REF!</definedName>
    <definedName name="Print1">#REF!</definedName>
    <definedName name="Print2" localSheetId="2">#REF!</definedName>
    <definedName name="Print2" localSheetId="14">#REF!</definedName>
    <definedName name="Print2" localSheetId="6">#REF!</definedName>
    <definedName name="Print2" localSheetId="9">#REF!</definedName>
    <definedName name="Print2" localSheetId="7">#REF!</definedName>
    <definedName name="Print2" localSheetId="8">#REF!</definedName>
    <definedName name="Print2" localSheetId="16">#REF!</definedName>
    <definedName name="Print2" localSheetId="13">#REF!</definedName>
    <definedName name="Print2" localSheetId="3">#REF!</definedName>
    <definedName name="Print2" localSheetId="11">#REF!</definedName>
    <definedName name="Print2">#REF!</definedName>
    <definedName name="Print5" localSheetId="2">#REF!</definedName>
    <definedName name="Print5" localSheetId="14">#REF!</definedName>
    <definedName name="Print5" localSheetId="6">#REF!</definedName>
    <definedName name="Print5" localSheetId="9">#REF!</definedName>
    <definedName name="Print5" localSheetId="7">#REF!</definedName>
    <definedName name="Print5" localSheetId="8">#REF!</definedName>
    <definedName name="Print5" localSheetId="16">#REF!</definedName>
    <definedName name="Print5" localSheetId="13">#REF!</definedName>
    <definedName name="Print5" localSheetId="3">#REF!</definedName>
    <definedName name="Print5" localSheetId="11">#REF!</definedName>
    <definedName name="Print5">#REF!</definedName>
    <definedName name="ProRev" localSheetId="6">'[8]Pacific Regulated - Price Out'!$M$49</definedName>
    <definedName name="ProRev" localSheetId="9">'[8]Pacific Regulated - Price Out'!$M$49</definedName>
    <definedName name="ProRev" localSheetId="7">'[8]Pacific Regulated - Price Out'!$M$49</definedName>
    <definedName name="ProRev" localSheetId="8">'[8]Pacific Regulated - Price Out'!$M$49</definedName>
    <definedName name="ProRev" localSheetId="16">'[8]Pacific Regulated - Price Out'!$M$49</definedName>
    <definedName name="ProRev" localSheetId="13">'[9]Pacific Regulated - Price Out'!$M$49</definedName>
    <definedName name="ProRev" localSheetId="0">'[9]Pacific Regulated - Price Out'!$M$49</definedName>
    <definedName name="ProRev">'[10]Pacific Regulated - Price Out'!$M$49</definedName>
    <definedName name="ProRev_com" localSheetId="6">'[8]Pacific Regulated - Price Out'!$M$213</definedName>
    <definedName name="ProRev_com" localSheetId="9">'[8]Pacific Regulated - Price Out'!$M$213</definedName>
    <definedName name="ProRev_com" localSheetId="7">'[8]Pacific Regulated - Price Out'!$M$213</definedName>
    <definedName name="ProRev_com" localSheetId="8">'[8]Pacific Regulated - Price Out'!$M$213</definedName>
    <definedName name="ProRev_com" localSheetId="16">'[8]Pacific Regulated - Price Out'!$M$213</definedName>
    <definedName name="ProRev_com" localSheetId="13">'[9]Pacific Regulated - Price Out'!$M$213</definedName>
    <definedName name="ProRev_com" localSheetId="0">'[9]Pacific Regulated - Price Out'!$M$213</definedName>
    <definedName name="ProRev_com">'[10]Pacific Regulated - Price Out'!$M$213</definedName>
    <definedName name="ProRev_mfr" localSheetId="6">'[8]Pacific Regulated - Price Out'!$M$221</definedName>
    <definedName name="ProRev_mfr" localSheetId="9">'[8]Pacific Regulated - Price Out'!$M$221</definedName>
    <definedName name="ProRev_mfr" localSheetId="7">'[8]Pacific Regulated - Price Out'!$M$221</definedName>
    <definedName name="ProRev_mfr" localSheetId="8">'[8]Pacific Regulated - Price Out'!$M$221</definedName>
    <definedName name="ProRev_mfr" localSheetId="16">'[8]Pacific Regulated - Price Out'!$M$221</definedName>
    <definedName name="ProRev_mfr" localSheetId="13">'[9]Pacific Regulated - Price Out'!$M$221</definedName>
    <definedName name="ProRev_mfr" localSheetId="0">'[9]Pacific Regulated - Price Out'!$M$221</definedName>
    <definedName name="ProRev_mfr">'[10]Pacific Regulated - Price Out'!$M$221</definedName>
    <definedName name="ProRev_ro" localSheetId="6">'[8]Pacific Regulated - Price Out'!$M$281</definedName>
    <definedName name="ProRev_ro" localSheetId="9">'[8]Pacific Regulated - Price Out'!$M$281</definedName>
    <definedName name="ProRev_ro" localSheetId="7">'[8]Pacific Regulated - Price Out'!$M$281</definedName>
    <definedName name="ProRev_ro" localSheetId="8">'[8]Pacific Regulated - Price Out'!$M$281</definedName>
    <definedName name="ProRev_ro" localSheetId="16">'[8]Pacific Regulated - Price Out'!$M$281</definedName>
    <definedName name="ProRev_ro" localSheetId="13">'[9]Pacific Regulated - Price Out'!$M$281</definedName>
    <definedName name="ProRev_ro" localSheetId="0">'[9]Pacific Regulated - Price Out'!$M$281</definedName>
    <definedName name="ProRev_ro">'[10]Pacific Regulated - Price Out'!$M$281</definedName>
    <definedName name="ProRev_rr" localSheetId="6">'[8]Pacific Regulated - Price Out'!$M$58</definedName>
    <definedName name="ProRev_rr" localSheetId="9">'[8]Pacific Regulated - Price Out'!$M$58</definedName>
    <definedName name="ProRev_rr" localSheetId="7">'[8]Pacific Regulated - Price Out'!$M$58</definedName>
    <definedName name="ProRev_rr" localSheetId="8">'[8]Pacific Regulated - Price Out'!$M$58</definedName>
    <definedName name="ProRev_rr" localSheetId="16">'[8]Pacific Regulated - Price Out'!$M$58</definedName>
    <definedName name="ProRev_rr" localSheetId="13">'[9]Pacific Regulated - Price Out'!$M$58</definedName>
    <definedName name="ProRev_rr" localSheetId="0">'[9]Pacific Regulated - Price Out'!$M$58</definedName>
    <definedName name="ProRev_rr">'[10]Pacific Regulated - Price Out'!$M$58</definedName>
    <definedName name="ProRev_yw" localSheetId="6">'[8]Pacific Regulated - Price Out'!$M$69</definedName>
    <definedName name="ProRev_yw" localSheetId="9">'[8]Pacific Regulated - Price Out'!$M$69</definedName>
    <definedName name="ProRev_yw" localSheetId="7">'[8]Pacific Regulated - Price Out'!$M$69</definedName>
    <definedName name="ProRev_yw" localSheetId="8">'[8]Pacific Regulated - Price Out'!$M$69</definedName>
    <definedName name="ProRev_yw" localSheetId="16">'[8]Pacific Regulated - Price Out'!$M$69</definedName>
    <definedName name="ProRev_yw" localSheetId="13">'[9]Pacific Regulated - Price Out'!$M$69</definedName>
    <definedName name="ProRev_yw" localSheetId="0">'[9]Pacific Regulated - Price Out'!$M$69</definedName>
    <definedName name="ProRev_yw">'[10]Pacific Regulated - Price Out'!$M$69</definedName>
    <definedName name="pServer" localSheetId="12">#REF!</definedName>
    <definedName name="pServer" localSheetId="6">#REF!</definedName>
    <definedName name="pServer" localSheetId="9">#REF!</definedName>
    <definedName name="pServer" localSheetId="7">#REF!</definedName>
    <definedName name="pServer" localSheetId="8">#REF!</definedName>
    <definedName name="pServer" localSheetId="16">#REF!</definedName>
    <definedName name="pServer" localSheetId="13">#REF!</definedName>
    <definedName name="pServer" localSheetId="5">#REF!</definedName>
    <definedName name="pServer" localSheetId="0">#REF!</definedName>
    <definedName name="pServer" localSheetId="3">#REF!</definedName>
    <definedName name="pServer" localSheetId="11">#REF!</definedName>
    <definedName name="pServer">#REF!</definedName>
    <definedName name="pServiceCode" localSheetId="6">#REF!</definedName>
    <definedName name="pServiceCode" localSheetId="9">#REF!</definedName>
    <definedName name="pServiceCode" localSheetId="7">#REF!</definedName>
    <definedName name="pServiceCode" localSheetId="8">#REF!</definedName>
    <definedName name="pServiceCode" localSheetId="16">#REF!</definedName>
    <definedName name="pServiceCode" localSheetId="13">#REF!</definedName>
    <definedName name="pServiceCode" localSheetId="0">#REF!</definedName>
    <definedName name="pServiceCode" localSheetId="3">#REF!</definedName>
    <definedName name="pServiceCode" localSheetId="11">#REF!</definedName>
    <definedName name="pServiceCode">#REF!</definedName>
    <definedName name="pShowAllUnposted" localSheetId="6">#REF!</definedName>
    <definedName name="pShowAllUnposted" localSheetId="9">#REF!</definedName>
    <definedName name="pShowAllUnposted" localSheetId="7">#REF!</definedName>
    <definedName name="pShowAllUnposted" localSheetId="8">#REF!</definedName>
    <definedName name="pShowAllUnposted" localSheetId="16">#REF!</definedName>
    <definedName name="pShowAllUnposted" localSheetId="13">#REF!</definedName>
    <definedName name="pShowAllUnposted" localSheetId="0">#REF!</definedName>
    <definedName name="pShowAllUnposted" localSheetId="3">#REF!</definedName>
    <definedName name="pShowAllUnposted" localSheetId="11">#REF!</definedName>
    <definedName name="pShowAllUnposted">#REF!</definedName>
    <definedName name="pShowCustomerDetail" localSheetId="6">#REF!</definedName>
    <definedName name="pShowCustomerDetail" localSheetId="9">#REF!</definedName>
    <definedName name="pShowCustomerDetail" localSheetId="7">#REF!</definedName>
    <definedName name="pShowCustomerDetail" localSheetId="8">#REF!</definedName>
    <definedName name="pShowCustomerDetail" localSheetId="16">#REF!</definedName>
    <definedName name="pShowCustomerDetail" localSheetId="13">#REF!</definedName>
    <definedName name="pShowCustomerDetail" localSheetId="3">#REF!</definedName>
    <definedName name="pShowCustomerDetail" localSheetId="11">#REF!</definedName>
    <definedName name="pShowCustomerDetail">#REF!</definedName>
    <definedName name="pSortOption" localSheetId="6">#REF!</definedName>
    <definedName name="pSortOption" localSheetId="9">#REF!</definedName>
    <definedName name="pSortOption" localSheetId="7">#REF!</definedName>
    <definedName name="pSortOption" localSheetId="8">#REF!</definedName>
    <definedName name="pSortOption" localSheetId="16">#REF!</definedName>
    <definedName name="pSortOption" localSheetId="13">#REF!</definedName>
    <definedName name="pSortOption" localSheetId="3">#REF!</definedName>
    <definedName name="pSortOption" localSheetId="11">#REF!</definedName>
    <definedName name="pSortOption">#REF!</definedName>
    <definedName name="pStartPostDate" localSheetId="6">#REF!</definedName>
    <definedName name="pStartPostDate" localSheetId="9">#REF!</definedName>
    <definedName name="pStartPostDate" localSheetId="7">#REF!</definedName>
    <definedName name="pStartPostDate" localSheetId="8">#REF!</definedName>
    <definedName name="pStartPostDate" localSheetId="16">#REF!</definedName>
    <definedName name="pStartPostDate" localSheetId="13">#REF!</definedName>
    <definedName name="pStartPostDate" localSheetId="3">#REF!</definedName>
    <definedName name="pStartPostDate" localSheetId="11">#REF!</definedName>
    <definedName name="pStartPostDate">#REF!</definedName>
    <definedName name="pTransType" localSheetId="6">#REF!</definedName>
    <definedName name="pTransType" localSheetId="9">#REF!</definedName>
    <definedName name="pTransType" localSheetId="7">#REF!</definedName>
    <definedName name="pTransType" localSheetId="8">#REF!</definedName>
    <definedName name="pTransType" localSheetId="16">#REF!</definedName>
    <definedName name="pTransType" localSheetId="13">#REF!</definedName>
    <definedName name="pTransType" localSheetId="3">#REF!</definedName>
    <definedName name="pTransType" localSheetId="11">#REF!</definedName>
    <definedName name="pTransType">#REF!</definedName>
    <definedName name="RCW_81.04.080">#N/A</definedName>
    <definedName name="RecyDisposal">#N/A</definedName>
    <definedName name="Reg_Cust_Billed_Percent" localSheetId="16">'[29]Consolidated IS 2009 2010'!$AK$20</definedName>
    <definedName name="Reg_Cust_Billed_Percent">'[30]Consolidated IS 2009 2010'!$AK$20</definedName>
    <definedName name="Reg_Cust_Percent" localSheetId="16">'[29]Consolidated IS 2009 2010'!$AC$20</definedName>
    <definedName name="Reg_Cust_Percent">'[30]Consolidated IS 2009 2010'!$AC$20</definedName>
    <definedName name="Reg_Drive_Percent" localSheetId="16">'[29]Consolidated IS 2009 2010'!$AC$40</definedName>
    <definedName name="Reg_Drive_Percent">'[30]Consolidated IS 2009 2010'!$AC$40</definedName>
    <definedName name="Reg_Haul_Rev_Percent" localSheetId="16">'[29]Consolidated IS 2009 2010'!$Z$18</definedName>
    <definedName name="Reg_Haul_Rev_Percent">'[30]Consolidated IS 2009 2010'!$Z$18</definedName>
    <definedName name="Reg_Lab_Percent" localSheetId="16">'[29]Consolidated IS 2009 2010'!$AC$39</definedName>
    <definedName name="Reg_Lab_Percent">'[30]Consolidated IS 2009 2010'!$AC$39</definedName>
    <definedName name="Reg_Steel_Cont_Percent" localSheetId="16">'[29]Consolidated IS 2009 2010'!$AE$120</definedName>
    <definedName name="Reg_Steel_Cont_Percent">'[30]Consolidated IS 2009 2010'!$AE$120</definedName>
    <definedName name="RegulatedIS" localSheetId="16">'[29]2009 IS'!$A$12:$Q$655</definedName>
    <definedName name="RegulatedIS">'[30]2009 IS'!$A$12:$Q$655</definedName>
    <definedName name="RelatedSalary">#N/A</definedName>
    <definedName name="report_type">[1]Orientation!$C$24</definedName>
    <definedName name="ReportNames" localSheetId="2">[15]ControlPanel!$X$2:$X$8</definedName>
    <definedName name="ReportNames" localSheetId="13">[15]ControlPanel!$X$2:$X$8</definedName>
    <definedName name="ReportNames" localSheetId="0">[15]ControlPanel!$X$2:$X$8</definedName>
    <definedName name="ReportNames">[31]ControlPanel!$S$2:$S$16</definedName>
    <definedName name="ReportVersion">[1]Settings!$D$5</definedName>
    <definedName name="ReslStaffPriceOut" localSheetId="9">'[14]Price Out-Reg EASTSIDE-Resi'!#REF!</definedName>
    <definedName name="ReslStaffPriceOut" localSheetId="16">'[14]Price Out-Reg EASTSIDE-Resi'!#REF!</definedName>
    <definedName name="ReslStaffPriceOut" localSheetId="0">'[14]Price Out-Reg EASTSIDE-Resi'!#REF!</definedName>
    <definedName name="ReslStaffPriceOut">'[14]Price Out-Reg EASTSIDE-Resi'!#REF!</definedName>
    <definedName name="RetainedEarnings" localSheetId="2">#REF!</definedName>
    <definedName name="RetainedEarnings" localSheetId="12">#REF!</definedName>
    <definedName name="RetainedEarnings" localSheetId="6">#REF!</definedName>
    <definedName name="RetainedEarnings" localSheetId="9">#REF!</definedName>
    <definedName name="RetainedEarnings" localSheetId="7">#REF!</definedName>
    <definedName name="RetainedEarnings" localSheetId="8">#REF!</definedName>
    <definedName name="RetainedEarnings" localSheetId="16">#REF!</definedName>
    <definedName name="RetainedEarnings" localSheetId="13">#REF!</definedName>
    <definedName name="RetainedEarnings" localSheetId="5">#REF!</definedName>
    <definedName name="RetainedEarnings" localSheetId="0">#REF!</definedName>
    <definedName name="RetainedEarnings" localSheetId="3">#REF!</definedName>
    <definedName name="RetainedEarnings" localSheetId="11">#REF!</definedName>
    <definedName name="RetainedEarnings">#REF!</definedName>
    <definedName name="RevCust" localSheetId="12">[32]RevenuesCust!#REF!</definedName>
    <definedName name="RevCust" localSheetId="14">[33]RevenuesCust!#REF!</definedName>
    <definedName name="RevCust" localSheetId="6">'[34]RevenuesCust, pg 8'!#REF!</definedName>
    <definedName name="RevCust" localSheetId="9">'[34]RevenuesCust, pg 8'!#REF!</definedName>
    <definedName name="RevCust" localSheetId="7">'[34]RevenuesCust, pg 8'!#REF!</definedName>
    <definedName name="RevCust" localSheetId="8">'[34]RevenuesCust, pg 8'!#REF!</definedName>
    <definedName name="RevCust" localSheetId="16">[35]RevenuesCust!#REF!</definedName>
    <definedName name="RevCust" localSheetId="13">[33]RevenuesCust!#REF!</definedName>
    <definedName name="RevCust" localSheetId="5">[32]RevenuesCust!#REF!</definedName>
    <definedName name="RevCust" localSheetId="0">[36]RevenuesCust!#REF!</definedName>
    <definedName name="RevCust" localSheetId="11">[36]RevenuesCust!#REF!</definedName>
    <definedName name="RevCust">[32]RevenuesCust!#REF!</definedName>
    <definedName name="RevCustomer" localSheetId="12">#REF!</definedName>
    <definedName name="RevCustomer" localSheetId="6">#REF!</definedName>
    <definedName name="RevCustomer" localSheetId="9">#REF!</definedName>
    <definedName name="RevCustomer" localSheetId="7">#REF!</definedName>
    <definedName name="RevCustomer" localSheetId="8">#REF!</definedName>
    <definedName name="RevCustomer" localSheetId="16">#REF!</definedName>
    <definedName name="RevCustomer" localSheetId="13">#REF!</definedName>
    <definedName name="RevCustomer" localSheetId="5">#REF!</definedName>
    <definedName name="RevCustomer" localSheetId="0">#REF!</definedName>
    <definedName name="RevCustomer" localSheetId="3">#REF!</definedName>
    <definedName name="RevCustomer">#REF!</definedName>
    <definedName name="rngCreateLog">[1]Delivery!$B$12</definedName>
    <definedName name="rngFilePassword">[1]Delivery!$B$6</definedName>
    <definedName name="rngSourceTab">[1]Delivery!$E$8</definedName>
    <definedName name="rowgroup">[1]Orientation!$C$17</definedName>
    <definedName name="rowsegment">[1]Orientation!$B$17</definedName>
    <definedName name="Sequential_Group">[1]Settings!$J$6</definedName>
    <definedName name="Sequential_Segment">[1]Settings!$I$6</definedName>
    <definedName name="Sequential_sort">[1]Settings!$I$10:$J$11</definedName>
    <definedName name="sortcol" localSheetId="2">'[24]IS-2120'!#REF!</definedName>
    <definedName name="sortcol" localSheetId="12">#REF!</definedName>
    <definedName name="sortcol" localSheetId="14">'[25]IS-2120'!#REF!</definedName>
    <definedName name="sortcol" localSheetId="6">#REF!</definedName>
    <definedName name="sortcol" localSheetId="9">#REF!</definedName>
    <definedName name="sortcol" localSheetId="7">#REF!</definedName>
    <definedName name="sortcol" localSheetId="8">#REF!</definedName>
    <definedName name="sortcol" localSheetId="16">#REF!</definedName>
    <definedName name="sortcol" localSheetId="4">#REF!</definedName>
    <definedName name="sortcol" localSheetId="13">'[25]IS-2120'!#REF!</definedName>
    <definedName name="sortcol" localSheetId="5">#REF!</definedName>
    <definedName name="sortcol" localSheetId="0">#REF!</definedName>
    <definedName name="sortcol" localSheetId="3">#REF!</definedName>
    <definedName name="sortcol" localSheetId="11">#REF!</definedName>
    <definedName name="sortcol">#REF!</definedName>
    <definedName name="sSRCDate" localSheetId="12">'[37]Feb''12 FAR Data'!#REF!</definedName>
    <definedName name="sSRCDate" localSheetId="6">'[38]Feb''12 FAR Data'!#REF!</definedName>
    <definedName name="sSRCDate" localSheetId="9">'[38]Feb''12 FAR Data'!#REF!</definedName>
    <definedName name="sSRCDate" localSheetId="7">'[38]Feb''12 FAR Data'!#REF!</definedName>
    <definedName name="sSRCDate" localSheetId="8">'[38]Feb''12 FAR Data'!#REF!</definedName>
    <definedName name="sSRCDate" localSheetId="16">'[37]Feb''12 FAR Data'!#REF!</definedName>
    <definedName name="sSRCDate" localSheetId="13">'[39]Feb''12 FAR Data'!#REF!</definedName>
    <definedName name="sSRCDate" localSheetId="5">'[37]Feb''12 FAR Data'!#REF!</definedName>
    <definedName name="sSRCDate" localSheetId="0">'[37]Feb''12 FAR Data'!#REF!</definedName>
    <definedName name="sSRCDate" localSheetId="3">'[37]Feb''12 FAR Data'!#REF!</definedName>
    <definedName name="sSRCDate" localSheetId="11">'[37]Feb''12 FAR Data'!#REF!</definedName>
    <definedName name="sSRCDate">'[40]Feb''12 FAR Data'!#REF!</definedName>
    <definedName name="SubSystems" localSheetId="21">'40101'!$M$15</definedName>
    <definedName name="SubSystems" localSheetId="22">'40121'!$M$15</definedName>
    <definedName name="SubSystems" localSheetId="23">'40131'!$M$15</definedName>
    <definedName name="SubSystems" localSheetId="25">'70195'!$M$15</definedName>
    <definedName name="SubSystems" localSheetId="15">#REF!</definedName>
    <definedName name="SubSystems">'70095'!$M$15</definedName>
    <definedName name="Supplemental_filter">[1]Settings!$C$31</definedName>
    <definedName name="SWDisposal">#N/A</definedName>
    <definedName name="System" localSheetId="26">'12.31.16 BS'!$V$8</definedName>
    <definedName name="System" localSheetId="27">'12.31.17 BS'!$V$8</definedName>
    <definedName name="System" localSheetId="1">'2120_IS'!$R$7</definedName>
    <definedName name="System" localSheetId="12">[41]BS_Close!$V$8</definedName>
    <definedName name="System" localSheetId="28">'IS End 1.31.18'!$O$2</definedName>
    <definedName name="System" localSheetId="9">#REF!</definedName>
    <definedName name="System" localSheetId="16">'[42]Yakima BS'!#REF!</definedName>
    <definedName name="System" localSheetId="4">[41]BS_Close!$V$8</definedName>
    <definedName name="System" localSheetId="13">[41]BS_Close!$V$8</definedName>
    <definedName name="System" localSheetId="5">[41]BS_Close!$V$8</definedName>
    <definedName name="System" localSheetId="0">[41]BS_Close!$V$8</definedName>
    <definedName name="System" localSheetId="18">'Region OH Calc'!$O$2</definedName>
    <definedName name="System" localSheetId="3">[41]BS_Close!$V$8</definedName>
    <definedName name="System">#REF!</definedName>
    <definedName name="Systems" localSheetId="21">'40101'!$M$14</definedName>
    <definedName name="Systems" localSheetId="22">'40121'!$M$14</definedName>
    <definedName name="Systems" localSheetId="23">'40131'!$M$14</definedName>
    <definedName name="Systems" localSheetId="25">'70195'!$M$14</definedName>
    <definedName name="Systems" localSheetId="15">#REF!</definedName>
    <definedName name="Systems">'70095'!$M$14</definedName>
    <definedName name="TemplateEnd" localSheetId="12">#REF!</definedName>
    <definedName name="TemplateEnd" localSheetId="6">#REF!</definedName>
    <definedName name="TemplateEnd" localSheetId="9">#REF!</definedName>
    <definedName name="TemplateEnd" localSheetId="7">#REF!</definedName>
    <definedName name="TemplateEnd" localSheetId="8">#REF!</definedName>
    <definedName name="TemplateEnd" localSheetId="16">#REF!</definedName>
    <definedName name="TemplateEnd" localSheetId="13">#REF!</definedName>
    <definedName name="TemplateEnd" localSheetId="5">#REF!</definedName>
    <definedName name="TemplateEnd" localSheetId="0">#REF!</definedName>
    <definedName name="TemplateEnd" localSheetId="3">#REF!</definedName>
    <definedName name="TemplateEnd" localSheetId="11">#REF!</definedName>
    <definedName name="TemplateEnd">#REF!</definedName>
    <definedName name="TemplateStart" localSheetId="6">#REF!</definedName>
    <definedName name="TemplateStart" localSheetId="9">#REF!</definedName>
    <definedName name="TemplateStart" localSheetId="7">#REF!</definedName>
    <definedName name="TemplateStart" localSheetId="8">#REF!</definedName>
    <definedName name="TemplateStart" localSheetId="16">#REF!</definedName>
    <definedName name="TemplateStart" localSheetId="13">#REF!</definedName>
    <definedName name="TemplateStart" localSheetId="0">#REF!</definedName>
    <definedName name="TemplateStart" localSheetId="3">#REF!</definedName>
    <definedName name="TemplateStart" localSheetId="11">#REF!</definedName>
    <definedName name="TemplateStart">#REF!</definedName>
    <definedName name="TheTable" localSheetId="2">#REF!</definedName>
    <definedName name="TheTable" localSheetId="15">#REF!</definedName>
    <definedName name="TheTable" localSheetId="6">#REF!</definedName>
    <definedName name="TheTable" localSheetId="9">#REF!</definedName>
    <definedName name="TheTable" localSheetId="7">#REF!</definedName>
    <definedName name="TheTable" localSheetId="8">#REF!</definedName>
    <definedName name="TheTable" localSheetId="16">#REF!</definedName>
    <definedName name="TheTable" localSheetId="13">#REF!</definedName>
    <definedName name="TheTable" localSheetId="0">#REF!</definedName>
    <definedName name="TheTable" localSheetId="3">#REF!</definedName>
    <definedName name="TheTable" localSheetId="11">#REF!</definedName>
    <definedName name="TheTable">#REF!</definedName>
    <definedName name="TheTableOLD" localSheetId="2">#REF!</definedName>
    <definedName name="TheTableOLD" localSheetId="15">#REF!</definedName>
    <definedName name="TheTableOLD" localSheetId="6">#REF!</definedName>
    <definedName name="TheTableOLD" localSheetId="9">#REF!</definedName>
    <definedName name="TheTableOLD" localSheetId="7">#REF!</definedName>
    <definedName name="TheTableOLD" localSheetId="8">#REF!</definedName>
    <definedName name="TheTableOLD" localSheetId="16">#REF!</definedName>
    <definedName name="TheTableOLD" localSheetId="13">#REF!</definedName>
    <definedName name="TheTableOLD" localSheetId="3">#REF!</definedName>
    <definedName name="TheTableOLD" localSheetId="11">#REF!</definedName>
    <definedName name="TheTableOLD">#REF!</definedName>
    <definedName name="timeseries">[1]Orientation!$B$6:$C$13</definedName>
    <definedName name="ToMonth" localSheetId="21">'40101'!$G$8</definedName>
    <definedName name="ToMonth" localSheetId="22">'40121'!$G$8</definedName>
    <definedName name="ToMonth" localSheetId="23">'40131'!$G$8</definedName>
    <definedName name="ToMonth" localSheetId="25">'70195'!$G$8</definedName>
    <definedName name="ToMonth" localSheetId="15">#REF!</definedName>
    <definedName name="ToMonth">'70095'!$G$8</definedName>
    <definedName name="Tons" localSheetId="9">#REF!</definedName>
    <definedName name="Tons" localSheetId="16">#REF!</definedName>
    <definedName name="Tons" localSheetId="4">#REF!</definedName>
    <definedName name="Tons" localSheetId="0">#REF!</definedName>
    <definedName name="Tons">#REF!</definedName>
    <definedName name="Total_Comm" localSheetId="6">'[11]Tariff Rate Sheet'!$L$214</definedName>
    <definedName name="Total_Comm" localSheetId="9">'[11]Tariff Rate Sheet'!$L$214</definedName>
    <definedName name="Total_Comm" localSheetId="7">'[11]Tariff Rate Sheet'!$L$214</definedName>
    <definedName name="Total_Comm" localSheetId="8">'[11]Tariff Rate Sheet'!$L$214</definedName>
    <definedName name="Total_Comm" localSheetId="16">'[11]Tariff Rate Sheet'!$L$214</definedName>
    <definedName name="Total_Comm" localSheetId="13">'[12]Tariff Rate Sheet'!$L$214</definedName>
    <definedName name="Total_Comm" localSheetId="0">'[12]Tariff Rate Sheet'!$L$214</definedName>
    <definedName name="Total_Comm">'[13]Tariff Rate Sheet'!$L$214</definedName>
    <definedName name="Total_DB" localSheetId="6">'[11]Tariff Rate Sheet'!$L$278</definedName>
    <definedName name="Total_DB" localSheetId="9">'[11]Tariff Rate Sheet'!$L$278</definedName>
    <definedName name="Total_DB" localSheetId="7">'[11]Tariff Rate Sheet'!$L$278</definedName>
    <definedName name="Total_DB" localSheetId="8">'[11]Tariff Rate Sheet'!$L$278</definedName>
    <definedName name="Total_DB" localSheetId="16">'[11]Tariff Rate Sheet'!$L$278</definedName>
    <definedName name="Total_DB" localSheetId="13">'[12]Tariff Rate Sheet'!$L$278</definedName>
    <definedName name="Total_DB" localSheetId="0">'[12]Tariff Rate Sheet'!$L$278</definedName>
    <definedName name="Total_DB">'[13]Tariff Rate Sheet'!$L$278</definedName>
    <definedName name="Total_Resi" localSheetId="6">'[11]Tariff Rate Sheet'!$L$107</definedName>
    <definedName name="Total_Resi" localSheetId="9">'[11]Tariff Rate Sheet'!$L$107</definedName>
    <definedName name="Total_Resi" localSheetId="7">'[11]Tariff Rate Sheet'!$L$107</definedName>
    <definedName name="Total_Resi" localSheetId="8">'[11]Tariff Rate Sheet'!$L$107</definedName>
    <definedName name="Total_Resi" localSheetId="16">'[11]Tariff Rate Sheet'!$L$107</definedName>
    <definedName name="Total_Resi" localSheetId="13">'[12]Tariff Rate Sheet'!$L$107</definedName>
    <definedName name="Total_Resi" localSheetId="0">'[12]Tariff Rate Sheet'!$L$107</definedName>
    <definedName name="Total_Resi">'[13]Tariff Rate Sheet'!$L$107</definedName>
    <definedName name="Transactions" localSheetId="12">#REF!</definedName>
    <definedName name="Transactions" localSheetId="6">#REF!</definedName>
    <definedName name="Transactions" localSheetId="9">#REF!</definedName>
    <definedName name="Transactions" localSheetId="7">#REF!</definedName>
    <definedName name="Transactions" localSheetId="8">#REF!</definedName>
    <definedName name="Transactions" localSheetId="16">#REF!</definedName>
    <definedName name="Transactions" localSheetId="13">#REF!</definedName>
    <definedName name="Transactions" localSheetId="5">#REF!</definedName>
    <definedName name="Transactions" localSheetId="0">#REF!</definedName>
    <definedName name="Transactions" localSheetId="3">#REF!</definedName>
    <definedName name="Transactions" localSheetId="11">#REF!</definedName>
    <definedName name="Transactions">#REF!</definedName>
    <definedName name="UnregulatedIS" localSheetId="16">'[29]2010 IS'!$A$12:$Q$654</definedName>
    <definedName name="UnregulatedIS">'[30]2010 IS'!$A$12:$Q$654</definedName>
    <definedName name="VendorCode" localSheetId="21">'40101'!$P$12</definedName>
    <definedName name="VendorCode" localSheetId="22">'40121'!$P$12</definedName>
    <definedName name="VendorCode" localSheetId="23">'40131'!$P$12</definedName>
    <definedName name="VendorCode" localSheetId="25">'70195'!$P$12</definedName>
    <definedName name="VendorCode" localSheetId="15">#REF!</definedName>
    <definedName name="VendorCode">'70095'!$P$12</definedName>
    <definedName name="Version" localSheetId="12">[20]Data!#REF!</definedName>
    <definedName name="Version" localSheetId="6">[19]Data!#REF!</definedName>
    <definedName name="Version" localSheetId="9">[19]Data!#REF!</definedName>
    <definedName name="Version" localSheetId="7">[19]Data!#REF!</definedName>
    <definedName name="Version" localSheetId="8">[19]Data!#REF!</definedName>
    <definedName name="Version" localSheetId="16">[19]Data!#REF!</definedName>
    <definedName name="Version" localSheetId="4">[20]Data!#REF!</definedName>
    <definedName name="Version" localSheetId="13">[20]Data!#REF!</definedName>
    <definedName name="Version" localSheetId="5">[20]Data!#REF!</definedName>
    <definedName name="Version" localSheetId="0">[20]Data!#REF!</definedName>
    <definedName name="Version">[20]Data!#REF!</definedName>
    <definedName name="wrn.PrintReview." localSheetId="16"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4"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6"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4"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2" hidden="1">{#N/A,#N/A,TRUE,"SUMM";#N/A,#N/A,TRUE,"Rev";#N/A,#N/A,TRUE,"Dir_Costs";#N/A,#N/A,TRUE,"G and A Costs";#N/A,#N/A,TRUE,"Itemize";#N/A,#N/A,TRUE,"Cust_Count1";#N/A,#N/A,TRUE,"Cust_Count2";#N/A,#N/A,TRUE,"Rev_Breakdown";#N/A,#N/A,TRUE,"Truck Hours";#N/A,#N/A,TRUE,"Labor Hours";#N/A,#N/A,TRUE,"Container Breakdown";#N/A,#N/A,TRUE,"Cart Breakdown"}</definedName>
    <definedName name="wrn.PrnPg1_Pg11." localSheetId="16"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4"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0"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hidden="1">{"Page1",#N/A,TRUE,"SUMM";"Page2",#N/A,TRUE,"Rev";"Page3",#N/A,TRUE,"Dir_Costs";"Page4",#N/A,TRUE,"G and A Costs";"Page5",#N/A,TRUE,"Itemize";"Page6",#N/A,TRUE,"Cust_Count1";"Page7",#N/A,TRUE,"Cust_Count2";"Page8",#N/A,TRUE,"Rev_Breakdown";"Page9",#N/A,TRUE,"Truck Hours";"Page10",#N/A,TRUE,"Labor Hours";"Page11",#N/A,TRUE,"Container Breakdown"}</definedName>
    <definedName name="wrn.test." localSheetId="16" hidden="1">{"Page1",#N/A,TRUE,"SUMM";"Page2",#N/A,TRUE,"Rev";"Page3",#N/A,TRUE,"Dir_Costs"}</definedName>
    <definedName name="wrn.test." localSheetId="4" hidden="1">{"Page1",#N/A,TRUE,"SUMM";"Page2",#N/A,TRUE,"Rev";"Page3",#N/A,TRUE,"Dir_Costs"}</definedName>
    <definedName name="wrn.test." localSheetId="0" hidden="1">{"Page1",#N/A,TRUE,"SUMM";"Page2",#N/A,TRUE,"Rev";"Page3",#N/A,TRUE,"Dir_Costs"}</definedName>
    <definedName name="wrn.test." hidden="1">{"Page1",#N/A,TRUE,"SUMM";"Page2",#N/A,TRUE,"Rev";"Page3",#N/A,TRUE,"Dir_Costs"}</definedName>
    <definedName name="WTable" localSheetId="2">#REF!</definedName>
    <definedName name="WTable" localSheetId="12">#REF!</definedName>
    <definedName name="WTable" localSheetId="15">#REF!</definedName>
    <definedName name="WTable" localSheetId="6">#REF!</definedName>
    <definedName name="WTable" localSheetId="9">#REF!</definedName>
    <definedName name="WTable" localSheetId="7">#REF!</definedName>
    <definedName name="WTable" localSheetId="8">#REF!</definedName>
    <definedName name="WTable" localSheetId="16">#REF!</definedName>
    <definedName name="WTable" localSheetId="13">#REF!</definedName>
    <definedName name="WTable" localSheetId="0">#REF!</definedName>
    <definedName name="WTable" localSheetId="3">#REF!</definedName>
    <definedName name="WTable" localSheetId="11">#REF!</definedName>
    <definedName name="WTable">#REF!</definedName>
    <definedName name="WTableOld" localSheetId="2">#REF!</definedName>
    <definedName name="WTableOld" localSheetId="15">#REF!</definedName>
    <definedName name="WTableOld" localSheetId="6">#REF!</definedName>
    <definedName name="WTableOld" localSheetId="9">#REF!</definedName>
    <definedName name="WTableOld" localSheetId="7">#REF!</definedName>
    <definedName name="WTableOld" localSheetId="8">#REF!</definedName>
    <definedName name="WTableOld" localSheetId="16">#REF!</definedName>
    <definedName name="WTableOld" localSheetId="13">#REF!</definedName>
    <definedName name="WTableOld" localSheetId="0">#REF!</definedName>
    <definedName name="WTableOld" localSheetId="3">#REF!</definedName>
    <definedName name="WTableOld" localSheetId="11">#REF!</definedName>
    <definedName name="WTableOld">#REF!</definedName>
    <definedName name="ww" localSheetId="9">#REF!</definedName>
    <definedName name="ww" localSheetId="7">#REF!</definedName>
    <definedName name="ww" localSheetId="8">#REF!</definedName>
    <definedName name="ww" localSheetId="16">#REF!</definedName>
    <definedName name="ww" localSheetId="13">#REF!</definedName>
    <definedName name="ww" localSheetId="0">#REF!</definedName>
    <definedName name="ww" localSheetId="3">#REF!</definedName>
    <definedName name="ww">#REF!</definedName>
    <definedName name="xperiod">[1]Orientation!$G$15</definedName>
    <definedName name="xtabin" localSheetId="2">[4]Hidden!#REF!</definedName>
    <definedName name="xtabin" localSheetId="12">[4]Hidden!#REF!</definedName>
    <definedName name="xtabin" localSheetId="6">[5]Hidden!#REF!</definedName>
    <definedName name="xtabin" localSheetId="9">[5]Hidden!#REF!</definedName>
    <definedName name="xtabin" localSheetId="7">[5]Hidden!#REF!</definedName>
    <definedName name="xtabin" localSheetId="8">[5]Hidden!#REF!</definedName>
    <definedName name="xtabin" localSheetId="16">[5]Hidden!#REF!</definedName>
    <definedName name="xtabin" localSheetId="13">[6]Hidden!#REF!</definedName>
    <definedName name="xtabin" localSheetId="5">[4]Hidden!#REF!</definedName>
    <definedName name="xtabin" localSheetId="0">[7]Hidden!#REF!</definedName>
    <definedName name="xtabin" localSheetId="11">[7]Hidden!#REF!</definedName>
    <definedName name="xtabin">[4]Hidden!#REF!</definedName>
    <definedName name="xx" localSheetId="2">#REF!</definedName>
    <definedName name="xx" localSheetId="12">#REF!</definedName>
    <definedName name="xx" localSheetId="14">#REF!</definedName>
    <definedName name="xx" localSheetId="6">#REF!</definedName>
    <definedName name="xx" localSheetId="9">#REF!</definedName>
    <definedName name="xx" localSheetId="7">#REF!</definedName>
    <definedName name="xx" localSheetId="8">#REF!</definedName>
    <definedName name="xx" localSheetId="16">#REF!</definedName>
    <definedName name="xx" localSheetId="13">#REF!</definedName>
    <definedName name="xx" localSheetId="5">#REF!</definedName>
    <definedName name="xx" localSheetId="0">#REF!</definedName>
    <definedName name="xx" localSheetId="3">#REF!</definedName>
    <definedName name="xx" localSheetId="11">#REF!</definedName>
    <definedName name="xx">#REF!</definedName>
    <definedName name="xxx" localSheetId="9">#REF!</definedName>
    <definedName name="xxx" localSheetId="7">#REF!</definedName>
    <definedName name="xxx" localSheetId="8">#REF!</definedName>
    <definedName name="xxx" localSheetId="16">#REF!</definedName>
    <definedName name="xxx" localSheetId="13">#REF!</definedName>
    <definedName name="xxx" localSheetId="0">#REF!</definedName>
    <definedName name="xxx" localSheetId="3">#REF!</definedName>
    <definedName name="xxx">#REF!</definedName>
    <definedName name="xxxx" localSheetId="9">#REF!</definedName>
    <definedName name="xxxx" localSheetId="7">#REF!</definedName>
    <definedName name="xxxx" localSheetId="8">#REF!</definedName>
    <definedName name="xxxx" localSheetId="16">#REF!</definedName>
    <definedName name="xxxx" localSheetId="13">#REF!</definedName>
    <definedName name="xxxx" localSheetId="0">#REF!</definedName>
    <definedName name="xxxx" localSheetId="3">#REF!</definedName>
    <definedName name="xxxx">#REF!</definedName>
    <definedName name="YearMonth" localSheetId="26">'12.31.16 BS'!$D$9</definedName>
    <definedName name="YearMonth" localSheetId="27">'12.31.17 BS'!$D$9</definedName>
    <definedName name="YearMonth" localSheetId="1">'2120_IS'!$D$8</definedName>
    <definedName name="YearMonth" localSheetId="12">'[21]Vashon BS'!#REF!</definedName>
    <definedName name="YearMonth" localSheetId="28">'IS End 1.31.18'!$A$3</definedName>
    <definedName name="YearMonth" localSheetId="9">'[21]Vashon BS'!#REF!</definedName>
    <definedName name="YearMonth" localSheetId="7">'[21]Vashon BS'!#REF!</definedName>
    <definedName name="YearMonth" localSheetId="8">'[21]Vashon BS'!#REF!</definedName>
    <definedName name="YearMonth" localSheetId="16">'[22]Vashon BS'!#REF!</definedName>
    <definedName name="YearMonth" localSheetId="4">'[23]Vashon BS'!#REF!</definedName>
    <definedName name="YearMonth" localSheetId="13">'[21]Vashon BS'!#REF!</definedName>
    <definedName name="YearMonth" localSheetId="5">'[21]Vashon BS'!#REF!</definedName>
    <definedName name="YearMonth" localSheetId="0">'[21]Vashon BS'!#REF!</definedName>
    <definedName name="YearMonth" localSheetId="18">'Region OH Calc'!$A$3</definedName>
    <definedName name="YearMonth" localSheetId="3">'[21]Vashon BS'!#REF!</definedName>
    <definedName name="YearMonth">#REF!</definedName>
    <definedName name="YWMedWasteDisp">#N/A</definedName>
    <definedName name="yy" localSheetId="12">#REF!</definedName>
    <definedName name="yy" localSheetId="6">#REF!</definedName>
    <definedName name="yy" localSheetId="9">#REF!</definedName>
    <definedName name="yy" localSheetId="7">#REF!</definedName>
    <definedName name="yy" localSheetId="8">#REF!</definedName>
    <definedName name="yy" localSheetId="16">#REF!</definedName>
    <definedName name="yy" localSheetId="13">#REF!</definedName>
    <definedName name="yy" localSheetId="5">#REF!</definedName>
    <definedName name="yy" localSheetId="0">#REF!</definedName>
    <definedName name="yy" localSheetId="3">#REF!</definedName>
    <definedName name="yy">#REF!</definedName>
  </definedNames>
  <calcPr calcId="145621" concurrentManualCount="4"/>
  <pivotCaches>
    <pivotCache cacheId="33" r:id="rId82"/>
    <pivotCache cacheId="34" r:id="rId83"/>
    <pivotCache cacheId="35" r:id="rId84"/>
    <pivotCache cacheId="36" r:id="rId85"/>
    <pivotCache cacheId="37" r:id="rId86"/>
  </pivotCaches>
</workbook>
</file>

<file path=xl/calcChain.xml><?xml version="1.0" encoding="utf-8"?>
<calcChain xmlns="http://schemas.openxmlformats.org/spreadsheetml/2006/main">
  <c r="P130" i="38" l="1"/>
  <c r="T130" i="38"/>
  <c r="V130" i="38" s="1"/>
  <c r="V58" i="30"/>
  <c r="V12" i="30"/>
  <c r="W12" i="30"/>
  <c r="D6" i="9" l="1"/>
  <c r="J5" i="15" l="1"/>
  <c r="H38" i="28" l="1"/>
  <c r="G38" i="28"/>
  <c r="F38" i="28"/>
  <c r="E38" i="28"/>
  <c r="D38" i="28"/>
  <c r="B38" i="28"/>
  <c r="C38" i="28" s="1"/>
  <c r="H34" i="28"/>
  <c r="G34" i="28"/>
  <c r="F34" i="28"/>
  <c r="E34" i="28"/>
  <c r="D34" i="28"/>
  <c r="B34" i="28"/>
  <c r="H32" i="28"/>
  <c r="G32" i="28"/>
  <c r="F32" i="28"/>
  <c r="E32" i="28"/>
  <c r="D32" i="28"/>
  <c r="B32" i="28"/>
  <c r="C32" i="28" s="1"/>
  <c r="H30" i="28"/>
  <c r="G30" i="28"/>
  <c r="F30" i="28"/>
  <c r="E30" i="28"/>
  <c r="D30" i="28"/>
  <c r="B30" i="28"/>
  <c r="H26" i="28"/>
  <c r="G26" i="28"/>
  <c r="F26" i="28"/>
  <c r="E26" i="28"/>
  <c r="D26" i="28"/>
  <c r="B26" i="28"/>
  <c r="H24" i="28"/>
  <c r="G24" i="28"/>
  <c r="F24" i="28"/>
  <c r="E24" i="28"/>
  <c r="D24" i="28"/>
  <c r="B24" i="28"/>
  <c r="C24" i="28" s="1"/>
  <c r="H22" i="28"/>
  <c r="G22" i="28"/>
  <c r="F22" i="28"/>
  <c r="E22" i="28"/>
  <c r="D22" i="28"/>
  <c r="B22" i="28"/>
  <c r="H20" i="28"/>
  <c r="G20" i="28"/>
  <c r="F20" i="28"/>
  <c r="E20" i="28"/>
  <c r="D20" i="28"/>
  <c r="B20" i="28"/>
  <c r="C20" i="28" s="1"/>
  <c r="H15" i="28"/>
  <c r="G15" i="28"/>
  <c r="F15" i="28"/>
  <c r="E15" i="28"/>
  <c r="D15" i="28"/>
  <c r="B15" i="28"/>
  <c r="H13" i="28"/>
  <c r="G13" i="28"/>
  <c r="F13" i="28"/>
  <c r="E13" i="28"/>
  <c r="D13" i="28"/>
  <c r="B13" i="28"/>
  <c r="H11" i="28"/>
  <c r="G11" i="28"/>
  <c r="F11" i="28"/>
  <c r="E11" i="28"/>
  <c r="D11" i="28"/>
  <c r="B11" i="28"/>
  <c r="H9" i="28"/>
  <c r="G9" i="28"/>
  <c r="F9" i="28"/>
  <c r="E9" i="28"/>
  <c r="D9" i="28"/>
  <c r="B9" i="28"/>
  <c r="H7" i="28"/>
  <c r="G7" i="28"/>
  <c r="F7" i="28"/>
  <c r="E7" i="28"/>
  <c r="D7" i="28"/>
  <c r="B7" i="28"/>
  <c r="C9" i="28" l="1"/>
  <c r="C13" i="28"/>
  <c r="C30" i="28"/>
  <c r="C15" i="28"/>
  <c r="C22" i="28"/>
  <c r="C26" i="28"/>
  <c r="C11" i="28"/>
  <c r="C34" i="28"/>
  <c r="P144" i="30" l="1"/>
  <c r="P88" i="30"/>
  <c r="V27" i="1" l="1"/>
  <c r="V28" i="1"/>
  <c r="V29" i="1"/>
  <c r="V30" i="1"/>
  <c r="V31" i="1"/>
  <c r="V32" i="1"/>
  <c r="V33" i="1"/>
  <c r="V34" i="1"/>
  <c r="V35" i="1"/>
  <c r="V36" i="1"/>
  <c r="V37" i="1"/>
  <c r="V38" i="1"/>
  <c r="V39" i="1"/>
  <c r="V40" i="1"/>
  <c r="V41" i="1"/>
  <c r="V42" i="1"/>
  <c r="V43" i="1"/>
  <c r="V44" i="1"/>
  <c r="V45" i="1"/>
  <c r="V46" i="1"/>
  <c r="V47" i="1"/>
  <c r="V48" i="1"/>
  <c r="V49" i="1"/>
  <c r="V50" i="1"/>
  <c r="V52" i="1"/>
  <c r="V54" i="1"/>
  <c r="V55" i="1"/>
  <c r="V56" i="1"/>
  <c r="V57" i="1"/>
  <c r="V58" i="1"/>
  <c r="V59" i="1"/>
  <c r="V61" i="1"/>
  <c r="V63" i="1"/>
  <c r="V65" i="1"/>
  <c r="V66" i="1"/>
  <c r="V67" i="1"/>
  <c r="V69" i="1"/>
  <c r="V71" i="1"/>
  <c r="V72" i="1"/>
  <c r="V74" i="1"/>
  <c r="V76" i="1"/>
  <c r="V77" i="1"/>
  <c r="V78" i="1"/>
  <c r="V79" i="1"/>
  <c r="V80" i="1"/>
  <c r="V82" i="1"/>
  <c r="V83" i="1"/>
  <c r="V84" i="1"/>
  <c r="V85" i="1"/>
  <c r="V86" i="1"/>
  <c r="V87" i="1"/>
  <c r="V89" i="1"/>
  <c r="V90" i="1"/>
  <c r="V92" i="1"/>
  <c r="V93" i="1"/>
  <c r="V95" i="1"/>
  <c r="V96" i="1"/>
  <c r="V97" i="1"/>
  <c r="V98" i="1"/>
  <c r="V99" i="1"/>
  <c r="V101" i="1"/>
  <c r="V102" i="1"/>
  <c r="V103" i="1"/>
  <c r="V104" i="1"/>
  <c r="V105" i="1"/>
  <c r="V106" i="1"/>
  <c r="V107" i="1"/>
  <c r="V108" i="1"/>
  <c r="V109" i="1"/>
  <c r="V110" i="1"/>
  <c r="V112" i="1"/>
  <c r="V113" i="1"/>
  <c r="V114" i="1"/>
  <c r="V115" i="1"/>
  <c r="V117" i="1"/>
  <c r="V118" i="1"/>
  <c r="V119" i="1"/>
  <c r="V120" i="1"/>
  <c r="V121" i="1"/>
  <c r="V122" i="1"/>
  <c r="V124" i="1"/>
  <c r="V125" i="1"/>
  <c r="V126" i="1"/>
  <c r="V130" i="1"/>
  <c r="V131" i="1"/>
  <c r="V132" i="1"/>
  <c r="V133" i="1"/>
  <c r="V134" i="1"/>
  <c r="V135" i="1"/>
  <c r="V136" i="1"/>
  <c r="V137" i="1"/>
  <c r="V138" i="1"/>
  <c r="V139" i="1"/>
  <c r="V140" i="1"/>
  <c r="V141" i="1"/>
  <c r="V142" i="1"/>
  <c r="V143" i="1"/>
  <c r="V144" i="1"/>
  <c r="V145" i="1"/>
  <c r="V146" i="1"/>
  <c r="V147" i="1"/>
  <c r="V148" i="1"/>
  <c r="V149" i="1"/>
  <c r="V150" i="1"/>
  <c r="V151" i="1"/>
  <c r="V153" i="1"/>
  <c r="V154" i="1"/>
  <c r="V155" i="1"/>
  <c r="V157" i="1"/>
  <c r="V158" i="1"/>
  <c r="V159" i="1"/>
  <c r="V160" i="1"/>
  <c r="V161" i="1"/>
  <c r="V162" i="1"/>
  <c r="V163" i="1"/>
  <c r="V164" i="1"/>
  <c r="V165" i="1"/>
  <c r="V166" i="1"/>
  <c r="V167" i="1"/>
  <c r="V168" i="1"/>
  <c r="V169" i="1"/>
  <c r="V171" i="1"/>
  <c r="V172" i="1"/>
  <c r="V173" i="1"/>
  <c r="V175" i="1"/>
  <c r="V176" i="1"/>
  <c r="V177" i="1"/>
  <c r="V179" i="1"/>
  <c r="V180" i="1"/>
  <c r="V181" i="1"/>
  <c r="V182" i="1"/>
  <c r="V183" i="1"/>
  <c r="V184" i="1"/>
  <c r="V186" i="1"/>
  <c r="V187" i="1"/>
  <c r="V188" i="1"/>
  <c r="V189" i="1"/>
  <c r="V190" i="1"/>
  <c r="V191" i="1"/>
  <c r="V193" i="1"/>
  <c r="V194" i="1"/>
  <c r="V195"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4" i="1"/>
  <c r="V235" i="1"/>
  <c r="V236" i="1"/>
  <c r="V238" i="1"/>
  <c r="V239" i="1"/>
  <c r="V240" i="1"/>
  <c r="V241" i="1"/>
  <c r="V243" i="1"/>
  <c r="V244" i="1"/>
  <c r="V245" i="1"/>
  <c r="V247" i="1"/>
  <c r="V248" i="1"/>
  <c r="V249" i="1"/>
  <c r="V250" i="1"/>
  <c r="V251" i="1"/>
  <c r="V252" i="1"/>
  <c r="V254" i="1"/>
  <c r="V24" i="1"/>
  <c r="V111" i="1" l="1"/>
  <c r="W27" i="1"/>
  <c r="W34" i="1"/>
  <c r="W35" i="1"/>
  <c r="W36" i="1"/>
  <c r="W37" i="1"/>
  <c r="W38" i="1"/>
  <c r="W39" i="1"/>
  <c r="W40" i="1"/>
  <c r="W41" i="1"/>
  <c r="W42" i="1"/>
  <c r="W43" i="1"/>
  <c r="W44" i="1"/>
  <c r="W50" i="1"/>
  <c r="W51" i="1"/>
  <c r="W54" i="1"/>
  <c r="W55" i="1"/>
  <c r="W56" i="1"/>
  <c r="W57" i="1"/>
  <c r="W58" i="1"/>
  <c r="W59" i="1"/>
  <c r="W63" i="1"/>
  <c r="W69" i="1"/>
  <c r="W74" i="1"/>
  <c r="W82" i="1"/>
  <c r="W83" i="1"/>
  <c r="W84" i="1"/>
  <c r="W85" i="1"/>
  <c r="W86" i="1"/>
  <c r="W87" i="1"/>
  <c r="W92" i="1"/>
  <c r="W93" i="1"/>
  <c r="W101" i="1"/>
  <c r="W102" i="1"/>
  <c r="W105" i="1"/>
  <c r="W107" i="1"/>
  <c r="W109" i="1"/>
  <c r="W110" i="1"/>
  <c r="W112" i="1"/>
  <c r="W113" i="1"/>
  <c r="W114" i="1"/>
  <c r="W117" i="1"/>
  <c r="W118" i="1"/>
  <c r="W119" i="1"/>
  <c r="W120" i="1"/>
  <c r="W121" i="1"/>
  <c r="W124" i="1"/>
  <c r="W125" i="1"/>
  <c r="W135" i="1"/>
  <c r="W136" i="1"/>
  <c r="W142" i="1"/>
  <c r="W143" i="1"/>
  <c r="W151" i="1"/>
  <c r="W155" i="1"/>
  <c r="W165" i="1"/>
  <c r="W166" i="1"/>
  <c r="W167" i="1"/>
  <c r="W168" i="1"/>
  <c r="W169" i="1"/>
  <c r="W173" i="1"/>
  <c r="W177" i="1"/>
  <c r="W184" i="1"/>
  <c r="W191" i="1"/>
  <c r="W195" i="1"/>
  <c r="W218" i="1"/>
  <c r="W219" i="1"/>
  <c r="W228" i="1"/>
  <c r="W229" i="1"/>
  <c r="W230" i="1"/>
  <c r="W231" i="1"/>
  <c r="W232" i="1"/>
  <c r="W236" i="1"/>
  <c r="W241" i="1"/>
  <c r="W245" i="1"/>
  <c r="W252" i="1"/>
  <c r="V255" i="1"/>
  <c r="W255" i="1" s="1"/>
  <c r="Q86" i="14" l="1"/>
  <c r="D86" i="14"/>
  <c r="M6" i="14" l="1"/>
  <c r="B44" i="11"/>
  <c r="AE6" i="43"/>
  <c r="AE16" i="43"/>
  <c r="AE15" i="43"/>
  <c r="AE14" i="43"/>
  <c r="AE13" i="43"/>
  <c r="AE12" i="43"/>
  <c r="AE11" i="43"/>
  <c r="AE10" i="43"/>
  <c r="AE9" i="43"/>
  <c r="AE20" i="43"/>
  <c r="AE26" i="43"/>
  <c r="AE25" i="43"/>
  <c r="AE31" i="43"/>
  <c r="AE35" i="43"/>
  <c r="AE41" i="43"/>
  <c r="AE40" i="43"/>
  <c r="AE50" i="43"/>
  <c r="AE49" i="43"/>
  <c r="AE48" i="43"/>
  <c r="AE54" i="43"/>
  <c r="AE61" i="43"/>
  <c r="AE60" i="43"/>
  <c r="AE59" i="43"/>
  <c r="AE67" i="43"/>
  <c r="AE66" i="43"/>
  <c r="AE71" i="43"/>
  <c r="AE89" i="43"/>
  <c r="AE88" i="43"/>
  <c r="AE87" i="43"/>
  <c r="AE86" i="43"/>
  <c r="AE85" i="43"/>
  <c r="AE84" i="43"/>
  <c r="AE83" i="43"/>
  <c r="AE82" i="43"/>
  <c r="AE81" i="43"/>
  <c r="AE80" i="43"/>
  <c r="AE93" i="43"/>
  <c r="AE117" i="43"/>
  <c r="AE116" i="43"/>
  <c r="AE115" i="43"/>
  <c r="AE114" i="43"/>
  <c r="AE113" i="43"/>
  <c r="AE112" i="43"/>
  <c r="AE111" i="43"/>
  <c r="AE110" i="43"/>
  <c r="AE109" i="43"/>
  <c r="AE108" i="43"/>
  <c r="AE107" i="43"/>
  <c r="AE106" i="43"/>
  <c r="AE105" i="43"/>
  <c r="AE104" i="43"/>
  <c r="AE103" i="43"/>
  <c r="AE102" i="43"/>
  <c r="AE101" i="43"/>
  <c r="AE100" i="43"/>
  <c r="AE99" i="43"/>
  <c r="AE98" i="43"/>
  <c r="AE123" i="43"/>
  <c r="AE122" i="43"/>
  <c r="AE133" i="43"/>
  <c r="AE132" i="43"/>
  <c r="AE131" i="43"/>
  <c r="AE130" i="43"/>
  <c r="AE129" i="43"/>
  <c r="AE128" i="43"/>
  <c r="AE146" i="43"/>
  <c r="AE145" i="43"/>
  <c r="AE144" i="43"/>
  <c r="AE143" i="43"/>
  <c r="AE142" i="43"/>
  <c r="AE141" i="43"/>
  <c r="AE140" i="43"/>
  <c r="AE139" i="43"/>
  <c r="AE138" i="43"/>
  <c r="AE159" i="43"/>
  <c r="AE158" i="43"/>
  <c r="AE161" i="43" s="1"/>
  <c r="AE157" i="43"/>
  <c r="AE156" i="43"/>
  <c r="AE155" i="43"/>
  <c r="AE163" i="43"/>
  <c r="AE172" i="43"/>
  <c r="AE212" i="43"/>
  <c r="AE211" i="43"/>
  <c r="AE210" i="43"/>
  <c r="AE209" i="43"/>
  <c r="AE208" i="43"/>
  <c r="AE207" i="43"/>
  <c r="AE206" i="43"/>
  <c r="AE205" i="43"/>
  <c r="AE204" i="43"/>
  <c r="AE203" i="43"/>
  <c r="AE202" i="43"/>
  <c r="AE201" i="43"/>
  <c r="AE200" i="43"/>
  <c r="AE199" i="43"/>
  <c r="AE198" i="43"/>
  <c r="AE197" i="43"/>
  <c r="AE196" i="43"/>
  <c r="AE195" i="43"/>
  <c r="AE194" i="43"/>
  <c r="AE193" i="43"/>
  <c r="AE192" i="43"/>
  <c r="AE191" i="43"/>
  <c r="AE190" i="43"/>
  <c r="AE189" i="43"/>
  <c r="AE188" i="43"/>
  <c r="AE187" i="43"/>
  <c r="AE186" i="43"/>
  <c r="AE185" i="43"/>
  <c r="AE184" i="43"/>
  <c r="AE183" i="43"/>
  <c r="AE182" i="43"/>
  <c r="AE181" i="43"/>
  <c r="AE180" i="43"/>
  <c r="AE179" i="43"/>
  <c r="AE178" i="43"/>
  <c r="AE177" i="43"/>
  <c r="AE216" i="43"/>
  <c r="AE230" i="43"/>
  <c r="AE229" i="43"/>
  <c r="AE228" i="43"/>
  <c r="AE227" i="43"/>
  <c r="AE234" i="43"/>
  <c r="AE238" i="43"/>
  <c r="AE246" i="43"/>
  <c r="AE250" i="43"/>
  <c r="AE254" i="43"/>
  <c r="AE260" i="43"/>
  <c r="AE262" i="43" s="1"/>
  <c r="AE266" i="43"/>
  <c r="AE272" i="43"/>
  <c r="G18" i="43"/>
  <c r="I18" i="43"/>
  <c r="K18" i="43"/>
  <c r="M18" i="43"/>
  <c r="O18" i="43"/>
  <c r="Q18" i="43"/>
  <c r="S18" i="43"/>
  <c r="U18" i="43"/>
  <c r="W18" i="43"/>
  <c r="Y18" i="43"/>
  <c r="AA18" i="43"/>
  <c r="AC18" i="43"/>
  <c r="AE18" i="43"/>
  <c r="G22" i="43"/>
  <c r="I22" i="43"/>
  <c r="K22" i="43"/>
  <c r="M22" i="43"/>
  <c r="O22" i="43"/>
  <c r="Q22" i="43"/>
  <c r="S22" i="43"/>
  <c r="U22" i="43"/>
  <c r="W22" i="43"/>
  <c r="Y22" i="43"/>
  <c r="AA22" i="43"/>
  <c r="AC22" i="43"/>
  <c r="AE22" i="43"/>
  <c r="AE28" i="43"/>
  <c r="G28" i="43"/>
  <c r="I28" i="43"/>
  <c r="K28" i="43"/>
  <c r="M28" i="43"/>
  <c r="O28" i="43"/>
  <c r="Q28" i="43"/>
  <c r="S28" i="43"/>
  <c r="U28" i="43"/>
  <c r="W28" i="43"/>
  <c r="Y28" i="43"/>
  <c r="AA28" i="43"/>
  <c r="AC28" i="43"/>
  <c r="G33" i="43"/>
  <c r="I33" i="43"/>
  <c r="K33" i="43"/>
  <c r="M33" i="43"/>
  <c r="O33" i="43"/>
  <c r="Q33" i="43"/>
  <c r="S33" i="43"/>
  <c r="U33" i="43"/>
  <c r="W33" i="43"/>
  <c r="Y33" i="43"/>
  <c r="AA33" i="43"/>
  <c r="AC33" i="43"/>
  <c r="AE33" i="43"/>
  <c r="G37" i="43"/>
  <c r="I37" i="43"/>
  <c r="K37" i="43"/>
  <c r="M37" i="43"/>
  <c r="O37" i="43"/>
  <c r="Q37" i="43"/>
  <c r="S37" i="43"/>
  <c r="U37" i="43"/>
  <c r="W37" i="43"/>
  <c r="Y37" i="43"/>
  <c r="AA37" i="43"/>
  <c r="AC37" i="43"/>
  <c r="AE37" i="43"/>
  <c r="G43" i="43"/>
  <c r="I43" i="43"/>
  <c r="K43" i="43"/>
  <c r="M43" i="43"/>
  <c r="O43" i="43"/>
  <c r="Q43" i="43"/>
  <c r="S43" i="43"/>
  <c r="U43" i="43"/>
  <c r="W43" i="43"/>
  <c r="Y43" i="43"/>
  <c r="AA43" i="43"/>
  <c r="AC43" i="43"/>
  <c r="AE43" i="43"/>
  <c r="G52" i="43"/>
  <c r="I52" i="43"/>
  <c r="K52" i="43"/>
  <c r="M52" i="43"/>
  <c r="O52" i="43"/>
  <c r="Q52" i="43"/>
  <c r="S52" i="43"/>
  <c r="U52" i="43"/>
  <c r="W52" i="43"/>
  <c r="Y52" i="43"/>
  <c r="AA52" i="43"/>
  <c r="AC52" i="43"/>
  <c r="AE52" i="43"/>
  <c r="G56" i="43"/>
  <c r="I56" i="43"/>
  <c r="K56" i="43"/>
  <c r="M56" i="43"/>
  <c r="O56" i="43"/>
  <c r="Q56" i="43"/>
  <c r="S56" i="43"/>
  <c r="U56" i="43"/>
  <c r="W56" i="43"/>
  <c r="Y56" i="43"/>
  <c r="AA56" i="43"/>
  <c r="AC56" i="43"/>
  <c r="AE56" i="43"/>
  <c r="G63" i="43"/>
  <c r="I63" i="43"/>
  <c r="K63" i="43"/>
  <c r="M63" i="43"/>
  <c r="O63" i="43"/>
  <c r="Q63" i="43"/>
  <c r="S63" i="43"/>
  <c r="U63" i="43"/>
  <c r="W63" i="43"/>
  <c r="Y63" i="43"/>
  <c r="AA63" i="43"/>
  <c r="AC63" i="43"/>
  <c r="AE63" i="43"/>
  <c r="G69" i="43"/>
  <c r="I69" i="43"/>
  <c r="K69" i="43"/>
  <c r="M69" i="43"/>
  <c r="O69" i="43"/>
  <c r="Q69" i="43"/>
  <c r="S69" i="43"/>
  <c r="U69" i="43"/>
  <c r="W69" i="43"/>
  <c r="Y69" i="43"/>
  <c r="AA69" i="43"/>
  <c r="AC69" i="43"/>
  <c r="AE69" i="43"/>
  <c r="G73" i="43"/>
  <c r="I73" i="43"/>
  <c r="K73" i="43"/>
  <c r="M73" i="43"/>
  <c r="O73" i="43"/>
  <c r="Q73" i="43"/>
  <c r="S73" i="43"/>
  <c r="U73" i="43"/>
  <c r="W73" i="43"/>
  <c r="Y73" i="43"/>
  <c r="AA73" i="43"/>
  <c r="AC73" i="43"/>
  <c r="AE73" i="43"/>
  <c r="AE91" i="43"/>
  <c r="G91" i="43"/>
  <c r="I91" i="43"/>
  <c r="K91" i="43"/>
  <c r="M91" i="43"/>
  <c r="O91" i="43"/>
  <c r="Q91" i="43"/>
  <c r="S91" i="43"/>
  <c r="U91" i="43"/>
  <c r="W91" i="43"/>
  <c r="Y91" i="43"/>
  <c r="AA91" i="43"/>
  <c r="AC91" i="43"/>
  <c r="AE95" i="43"/>
  <c r="G95" i="43"/>
  <c r="I95" i="43"/>
  <c r="K95" i="43"/>
  <c r="M95" i="43"/>
  <c r="O95" i="43"/>
  <c r="Q95" i="43"/>
  <c r="S95" i="43"/>
  <c r="U95" i="43"/>
  <c r="W95" i="43"/>
  <c r="Y95" i="43"/>
  <c r="AA95" i="43"/>
  <c r="AC95" i="43"/>
  <c r="AE119" i="43"/>
  <c r="G119" i="43"/>
  <c r="I119" i="43"/>
  <c r="K119" i="43"/>
  <c r="M119" i="43"/>
  <c r="O119" i="43"/>
  <c r="Q119" i="43"/>
  <c r="S119" i="43"/>
  <c r="U119" i="43"/>
  <c r="W119" i="43"/>
  <c r="Y119" i="43"/>
  <c r="AA119" i="43"/>
  <c r="AC119" i="43"/>
  <c r="G125" i="43"/>
  <c r="I125" i="43"/>
  <c r="K125" i="43"/>
  <c r="M125" i="43"/>
  <c r="O125" i="43"/>
  <c r="Q125" i="43"/>
  <c r="S125" i="43"/>
  <c r="U125" i="43"/>
  <c r="W125" i="43"/>
  <c r="Y125" i="43"/>
  <c r="AA125" i="43"/>
  <c r="AC125" i="43"/>
  <c r="AE125" i="43"/>
  <c r="G135" i="43"/>
  <c r="I135" i="43"/>
  <c r="K135" i="43"/>
  <c r="M135" i="43"/>
  <c r="O135" i="43"/>
  <c r="Q135" i="43"/>
  <c r="S135" i="43"/>
  <c r="U135" i="43"/>
  <c r="W135" i="43"/>
  <c r="Y135" i="43"/>
  <c r="AA135" i="43"/>
  <c r="AC135" i="43"/>
  <c r="AE135" i="43"/>
  <c r="G148" i="43"/>
  <c r="I148" i="43"/>
  <c r="K148" i="43"/>
  <c r="M148" i="43"/>
  <c r="O148" i="43"/>
  <c r="Q148" i="43"/>
  <c r="S148" i="43"/>
  <c r="U148" i="43"/>
  <c r="W148" i="43"/>
  <c r="Y148" i="43"/>
  <c r="AA148" i="43"/>
  <c r="AC148" i="43"/>
  <c r="AE148" i="43"/>
  <c r="G152" i="43"/>
  <c r="I152" i="43"/>
  <c r="K152" i="43"/>
  <c r="M152" i="43"/>
  <c r="O152" i="43"/>
  <c r="Q152" i="43"/>
  <c r="S152" i="43"/>
  <c r="U152" i="43"/>
  <c r="W152" i="43"/>
  <c r="Y152" i="43"/>
  <c r="AA152" i="43"/>
  <c r="AC152" i="43"/>
  <c r="AE152" i="43"/>
  <c r="G161" i="43"/>
  <c r="I161" i="43"/>
  <c r="K161" i="43"/>
  <c r="M161" i="43"/>
  <c r="O161" i="43"/>
  <c r="Q161" i="43"/>
  <c r="S161" i="43"/>
  <c r="U161" i="43"/>
  <c r="W161" i="43"/>
  <c r="Y161" i="43"/>
  <c r="AA161" i="43"/>
  <c r="AC161" i="43"/>
  <c r="G165" i="43"/>
  <c r="I165" i="43"/>
  <c r="K165" i="43"/>
  <c r="M165" i="43"/>
  <c r="O165" i="43"/>
  <c r="Q165" i="43"/>
  <c r="S165" i="43"/>
  <c r="U165" i="43"/>
  <c r="W165" i="43"/>
  <c r="Y165" i="43"/>
  <c r="AA165" i="43"/>
  <c r="AC165" i="43"/>
  <c r="AE165" i="43"/>
  <c r="G174" i="43"/>
  <c r="I174" i="43"/>
  <c r="K174" i="43"/>
  <c r="M174" i="43"/>
  <c r="O174" i="43"/>
  <c r="Q174" i="43"/>
  <c r="S174" i="43"/>
  <c r="U174" i="43"/>
  <c r="W174" i="43"/>
  <c r="Y174" i="43"/>
  <c r="AA174" i="43"/>
  <c r="AC174" i="43"/>
  <c r="AE174" i="43"/>
  <c r="G214" i="43"/>
  <c r="I214" i="43"/>
  <c r="K214" i="43"/>
  <c r="M214" i="43"/>
  <c r="O214" i="43"/>
  <c r="Q214" i="43"/>
  <c r="S214" i="43"/>
  <c r="U214" i="43"/>
  <c r="W214" i="43"/>
  <c r="Y214" i="43"/>
  <c r="AA214" i="43"/>
  <c r="AC214" i="43"/>
  <c r="AE214" i="43"/>
  <c r="G218" i="43"/>
  <c r="I218" i="43"/>
  <c r="K218" i="43"/>
  <c r="M218" i="43"/>
  <c r="O218" i="43"/>
  <c r="Q218" i="43"/>
  <c r="S218" i="43"/>
  <c r="U218" i="43"/>
  <c r="W218" i="43"/>
  <c r="Y218" i="43"/>
  <c r="AA218" i="43"/>
  <c r="AC218" i="43"/>
  <c r="AE218" i="43"/>
  <c r="G232" i="43"/>
  <c r="I232" i="43"/>
  <c r="K232" i="43"/>
  <c r="L232" i="43"/>
  <c r="M232" i="43"/>
  <c r="O232" i="43"/>
  <c r="Q232" i="43"/>
  <c r="R232" i="43"/>
  <c r="S232" i="43"/>
  <c r="U232" i="43"/>
  <c r="W232" i="43"/>
  <c r="X232" i="43"/>
  <c r="Y232" i="43"/>
  <c r="AA232" i="43"/>
  <c r="AC232" i="43"/>
  <c r="AD232" i="43"/>
  <c r="G236" i="43"/>
  <c r="I236" i="43"/>
  <c r="K236" i="43"/>
  <c r="L236" i="43"/>
  <c r="M236" i="43"/>
  <c r="O236" i="43"/>
  <c r="Q236" i="43"/>
  <c r="R236" i="43"/>
  <c r="S236" i="43"/>
  <c r="U236" i="43"/>
  <c r="W236" i="43"/>
  <c r="X236" i="43"/>
  <c r="Y236" i="43"/>
  <c r="AA236" i="43"/>
  <c r="AC236" i="43"/>
  <c r="AD236" i="43"/>
  <c r="G240" i="43"/>
  <c r="I240" i="43"/>
  <c r="K240" i="43"/>
  <c r="L240" i="43"/>
  <c r="M240" i="43"/>
  <c r="O240" i="43"/>
  <c r="Q240" i="43"/>
  <c r="R240" i="43"/>
  <c r="S240" i="43"/>
  <c r="U240" i="43"/>
  <c r="W240" i="43"/>
  <c r="X240" i="43"/>
  <c r="Y240" i="43"/>
  <c r="AA240" i="43"/>
  <c r="AC240" i="43"/>
  <c r="AD240" i="43"/>
  <c r="L242" i="43"/>
  <c r="R242" i="43"/>
  <c r="X242" i="43"/>
  <c r="AD242" i="43"/>
  <c r="L244" i="43"/>
  <c r="R244" i="43"/>
  <c r="X244" i="43"/>
  <c r="AD244" i="43"/>
  <c r="G248" i="43"/>
  <c r="I248" i="43"/>
  <c r="K248" i="43"/>
  <c r="L248" i="43"/>
  <c r="M248" i="43"/>
  <c r="O248" i="43"/>
  <c r="Q248" i="43"/>
  <c r="R248" i="43"/>
  <c r="S248" i="43"/>
  <c r="U248" i="43"/>
  <c r="W248" i="43"/>
  <c r="X248" i="43"/>
  <c r="Y248" i="43"/>
  <c r="AA248" i="43"/>
  <c r="AC248" i="43"/>
  <c r="AD248" i="43"/>
  <c r="AE248" i="43"/>
  <c r="G252" i="43"/>
  <c r="I252" i="43"/>
  <c r="K252" i="43"/>
  <c r="L252" i="43"/>
  <c r="M252" i="43"/>
  <c r="O252" i="43"/>
  <c r="Q252" i="43"/>
  <c r="R252" i="43"/>
  <c r="S252" i="43"/>
  <c r="U252" i="43"/>
  <c r="W252" i="43"/>
  <c r="X252" i="43"/>
  <c r="Y252" i="43"/>
  <c r="AA252" i="43"/>
  <c r="AC252" i="43"/>
  <c r="AD252" i="43"/>
  <c r="AE252" i="43"/>
  <c r="G256" i="43"/>
  <c r="I256" i="43"/>
  <c r="K256" i="43"/>
  <c r="L256" i="43"/>
  <c r="M256" i="43"/>
  <c r="O256" i="43"/>
  <c r="Q256" i="43"/>
  <c r="R256" i="43"/>
  <c r="S256" i="43"/>
  <c r="U256" i="43"/>
  <c r="W256" i="43"/>
  <c r="X256" i="43"/>
  <c r="Y256" i="43"/>
  <c r="AA256" i="43"/>
  <c r="AC256" i="43"/>
  <c r="AD256" i="43"/>
  <c r="AE256" i="43"/>
  <c r="L258" i="43"/>
  <c r="R258" i="43"/>
  <c r="X258" i="43"/>
  <c r="AD258" i="43"/>
  <c r="G262" i="43"/>
  <c r="I262" i="43"/>
  <c r="K262" i="43"/>
  <c r="L262" i="43"/>
  <c r="M262" i="43"/>
  <c r="O262" i="43"/>
  <c r="Q262" i="43"/>
  <c r="R262" i="43"/>
  <c r="S262" i="43"/>
  <c r="U262" i="43"/>
  <c r="W262" i="43"/>
  <c r="X262" i="43"/>
  <c r="Y262" i="43"/>
  <c r="AA262" i="43"/>
  <c r="AC262" i="43"/>
  <c r="AD262" i="43"/>
  <c r="L264" i="43"/>
  <c r="R264" i="43"/>
  <c r="X264" i="43"/>
  <c r="AD264" i="43"/>
  <c r="G268" i="43"/>
  <c r="I268" i="43"/>
  <c r="K268" i="43"/>
  <c r="L268" i="43"/>
  <c r="M268" i="43"/>
  <c r="O268" i="43"/>
  <c r="Q268" i="43"/>
  <c r="R268" i="43"/>
  <c r="S268" i="43"/>
  <c r="U268" i="43"/>
  <c r="W268" i="43"/>
  <c r="X268" i="43"/>
  <c r="Y268" i="43"/>
  <c r="AA268" i="43"/>
  <c r="AC268" i="43"/>
  <c r="AD268" i="43"/>
  <c r="AE268" i="43"/>
  <c r="L270" i="43"/>
  <c r="R270" i="43"/>
  <c r="X270" i="43"/>
  <c r="AD270" i="43"/>
  <c r="G274" i="43"/>
  <c r="I274" i="43"/>
  <c r="K274" i="43"/>
  <c r="L274" i="43"/>
  <c r="M274" i="43"/>
  <c r="O274" i="43"/>
  <c r="Q274" i="43"/>
  <c r="R274" i="43"/>
  <c r="S274" i="43"/>
  <c r="U274" i="43"/>
  <c r="W274" i="43"/>
  <c r="X274" i="43"/>
  <c r="Y274" i="43"/>
  <c r="AA274" i="43"/>
  <c r="AC274" i="43"/>
  <c r="AD274" i="43"/>
  <c r="AE274" i="43"/>
  <c r="L276" i="43"/>
  <c r="R276" i="43"/>
  <c r="X276" i="43"/>
  <c r="AD276" i="43"/>
  <c r="G280" i="43"/>
  <c r="I280" i="43"/>
  <c r="K280" i="43"/>
  <c r="M280" i="43"/>
  <c r="O280" i="43"/>
  <c r="Q280" i="43"/>
  <c r="S280" i="43"/>
  <c r="U280" i="43"/>
  <c r="W280" i="43"/>
  <c r="Y280" i="43"/>
  <c r="AA280" i="43"/>
  <c r="AC280" i="43"/>
  <c r="AE280" i="43"/>
  <c r="T285" i="43"/>
  <c r="T286" i="43" s="1"/>
  <c r="AE236" i="43" l="1"/>
  <c r="S242" i="43"/>
  <c r="W242" i="43"/>
  <c r="I167" i="43"/>
  <c r="AC45" i="43"/>
  <c r="U45" i="43"/>
  <c r="AA167" i="43"/>
  <c r="S167" i="43"/>
  <c r="W167" i="43"/>
  <c r="O220" i="43"/>
  <c r="AA220" i="43"/>
  <c r="K220" i="43"/>
  <c r="AC242" i="43"/>
  <c r="Q242" i="43"/>
  <c r="G75" i="43"/>
  <c r="W75" i="43"/>
  <c r="AE240" i="43"/>
  <c r="Q167" i="43"/>
  <c r="AC75" i="43"/>
  <c r="AC77" i="43" s="1"/>
  <c r="M75" i="43"/>
  <c r="K242" i="43"/>
  <c r="Y167" i="43"/>
  <c r="K167" i="43"/>
  <c r="O167" i="43"/>
  <c r="M45" i="43"/>
  <c r="Q45" i="43"/>
  <c r="AE220" i="43"/>
  <c r="W220" i="43"/>
  <c r="Y220" i="43"/>
  <c r="Q220" i="43"/>
  <c r="I220" i="43"/>
  <c r="U75" i="43"/>
  <c r="U77" i="43" s="1"/>
  <c r="S45" i="43"/>
  <c r="AA45" i="43"/>
  <c r="K45" i="43"/>
  <c r="Y45" i="43"/>
  <c r="I45" i="43"/>
  <c r="Y242" i="43"/>
  <c r="M242" i="43"/>
  <c r="G242" i="43"/>
  <c r="AE75" i="43"/>
  <c r="O75" i="43"/>
  <c r="S220" i="43"/>
  <c r="AC167" i="43"/>
  <c r="U167" i="43"/>
  <c r="M167" i="43"/>
  <c r="AA75" i="43"/>
  <c r="S75" i="43"/>
  <c r="K75" i="43"/>
  <c r="W45" i="43"/>
  <c r="O45" i="43"/>
  <c r="G45" i="43"/>
  <c r="G77" i="43" s="1"/>
  <c r="AA242" i="43"/>
  <c r="U242" i="43"/>
  <c r="O242" i="43"/>
  <c r="I242" i="43"/>
  <c r="G220" i="43"/>
  <c r="G167" i="43"/>
  <c r="Y75" i="43"/>
  <c r="Q75" i="43"/>
  <c r="I75" i="43"/>
  <c r="I77" i="43" s="1"/>
  <c r="AE45" i="43"/>
  <c r="AF236" i="43" s="1"/>
  <c r="AC220" i="43"/>
  <c r="U220" i="43"/>
  <c r="M220" i="43"/>
  <c r="AE167" i="43"/>
  <c r="AF33" i="43"/>
  <c r="AF167" i="43"/>
  <c r="AF73" i="43"/>
  <c r="AF91" i="43"/>
  <c r="AF214" i="43"/>
  <c r="AE232" i="43"/>
  <c r="AC169" i="43" l="1"/>
  <c r="AC223" i="43" s="1"/>
  <c r="AF218" i="43"/>
  <c r="AF174" i="43"/>
  <c r="AF37" i="43"/>
  <c r="W77" i="43"/>
  <c r="W169" i="43" s="1"/>
  <c r="W223" i="43" s="1"/>
  <c r="AF152" i="43"/>
  <c r="AF69" i="43"/>
  <c r="G169" i="43"/>
  <c r="G223" i="43" s="1"/>
  <c r="AF135" i="43"/>
  <c r="AF28" i="43"/>
  <c r="AF43" i="43"/>
  <c r="I169" i="43"/>
  <c r="I223" i="43" s="1"/>
  <c r="K77" i="43"/>
  <c r="K169" i="43" s="1"/>
  <c r="K223" i="43" s="1"/>
  <c r="AF75" i="43"/>
  <c r="Q77" i="43"/>
  <c r="Q169" i="43" s="1"/>
  <c r="Q223" i="43" s="1"/>
  <c r="U169" i="43"/>
  <c r="U223" i="43" s="1"/>
  <c r="M77" i="43"/>
  <c r="M169" i="43" s="1"/>
  <c r="M223" i="43" s="1"/>
  <c r="O77" i="43"/>
  <c r="O169" i="43" s="1"/>
  <c r="O223" i="43" s="1"/>
  <c r="O225" i="43" s="1"/>
  <c r="AA77" i="43"/>
  <c r="AA169" i="43" s="1"/>
  <c r="AA223" i="43" s="1"/>
  <c r="AA244" i="43" s="1"/>
  <c r="AA258" i="43" s="1"/>
  <c r="AA264" i="43" s="1"/>
  <c r="AA270" i="43" s="1"/>
  <c r="AA276" i="43" s="1"/>
  <c r="AA285" i="43" s="1"/>
  <c r="AA286" i="43" s="1"/>
  <c r="AF256" i="43"/>
  <c r="AF268" i="43"/>
  <c r="AF165" i="43"/>
  <c r="AF56" i="43"/>
  <c r="AF63" i="43"/>
  <c r="AF262" i="43"/>
  <c r="AF119" i="43"/>
  <c r="AF22" i="43"/>
  <c r="AF148" i="43"/>
  <c r="AF18" i="43"/>
  <c r="AF252" i="43"/>
  <c r="AF161" i="43"/>
  <c r="AF95" i="43"/>
  <c r="AF45" i="43"/>
  <c r="AE77" i="43"/>
  <c r="AE169" i="43" s="1"/>
  <c r="AE223" i="43" s="1"/>
  <c r="AF125" i="43"/>
  <c r="AF52" i="43"/>
  <c r="Y77" i="43"/>
  <c r="Y169" i="43" s="1"/>
  <c r="Y223" i="43" s="1"/>
  <c r="Y225" i="43" s="1"/>
  <c r="S77" i="43"/>
  <c r="S169" i="43" s="1"/>
  <c r="S223" i="43" s="1"/>
  <c r="W225" i="43"/>
  <c r="W244" i="43"/>
  <c r="W258" i="43" s="1"/>
  <c r="W264" i="43" s="1"/>
  <c r="W270" i="43" s="1"/>
  <c r="W276" i="43" s="1"/>
  <c r="W285" i="43" s="1"/>
  <c r="W286" i="43" s="1"/>
  <c r="K225" i="43"/>
  <c r="K244" i="43"/>
  <c r="K258" i="43" s="1"/>
  <c r="K264" i="43" s="1"/>
  <c r="K270" i="43" s="1"/>
  <c r="K276" i="43" s="1"/>
  <c r="AF6" i="43"/>
  <c r="AF15" i="43"/>
  <c r="AF13" i="43"/>
  <c r="AF11" i="43"/>
  <c r="AF9" i="43"/>
  <c r="AF26" i="43"/>
  <c r="AF31" i="43"/>
  <c r="AF41" i="43"/>
  <c r="AF50" i="43"/>
  <c r="AF48" i="43"/>
  <c r="AF61" i="43"/>
  <c r="AF59" i="43"/>
  <c r="AF66" i="43"/>
  <c r="AF89" i="43"/>
  <c r="AF87" i="43"/>
  <c r="AF85" i="43"/>
  <c r="AF83" i="43"/>
  <c r="AF81" i="43"/>
  <c r="AF93" i="43"/>
  <c r="AF116" i="43"/>
  <c r="AF114" i="43"/>
  <c r="AF112" i="43"/>
  <c r="AF110" i="43"/>
  <c r="AF108" i="43"/>
  <c r="AF106" i="43"/>
  <c r="AF104" i="43"/>
  <c r="AF102" i="43"/>
  <c r="AF100" i="43"/>
  <c r="AF98" i="43"/>
  <c r="AF122" i="43"/>
  <c r="AF132" i="43"/>
  <c r="AF130" i="43"/>
  <c r="AF128" i="43"/>
  <c r="AF145" i="43"/>
  <c r="AF143" i="43"/>
  <c r="AF141" i="43"/>
  <c r="AF139" i="43"/>
  <c r="AF159" i="43"/>
  <c r="AF157" i="43"/>
  <c r="AF155" i="43"/>
  <c r="AF172" i="43"/>
  <c r="AF211" i="43"/>
  <c r="AF209" i="43"/>
  <c r="AF207" i="43"/>
  <c r="AF205" i="43"/>
  <c r="AF203" i="43"/>
  <c r="AF201" i="43"/>
  <c r="AF199" i="43"/>
  <c r="AF197" i="43"/>
  <c r="AF195" i="43"/>
  <c r="AF193" i="43"/>
  <c r="AF191" i="43"/>
  <c r="AF189" i="43"/>
  <c r="AF187" i="43"/>
  <c r="AF185" i="43"/>
  <c r="AF183" i="43"/>
  <c r="AF181" i="43"/>
  <c r="AF179" i="43"/>
  <c r="AF177" i="43"/>
  <c r="AF230" i="43"/>
  <c r="AF228" i="43"/>
  <c r="AF234" i="43"/>
  <c r="AF246" i="43"/>
  <c r="AF254" i="43"/>
  <c r="AF266" i="43"/>
  <c r="AF16" i="43"/>
  <c r="AF14" i="43"/>
  <c r="AF12" i="43"/>
  <c r="AF10" i="43"/>
  <c r="AF20" i="43"/>
  <c r="AF25" i="43"/>
  <c r="AF35" i="43"/>
  <c r="AF40" i="43"/>
  <c r="AF49" i="43"/>
  <c r="AF54" i="43"/>
  <c r="AF60" i="43"/>
  <c r="AF67" i="43"/>
  <c r="AF71" i="43"/>
  <c r="AF88" i="43"/>
  <c r="AF86" i="43"/>
  <c r="AF84" i="43"/>
  <c r="AF82" i="43"/>
  <c r="AF80" i="43"/>
  <c r="AF117" i="43"/>
  <c r="AF115" i="43"/>
  <c r="AF113" i="43"/>
  <c r="AF111" i="43"/>
  <c r="AF109" i="43"/>
  <c r="AF107" i="43"/>
  <c r="AF105" i="43"/>
  <c r="AF103" i="43"/>
  <c r="AF101" i="43"/>
  <c r="AF99" i="43"/>
  <c r="AF123" i="43"/>
  <c r="AF133" i="43"/>
  <c r="AF131" i="43"/>
  <c r="AF129" i="43"/>
  <c r="AF146" i="43"/>
  <c r="AF144" i="43"/>
  <c r="AF142" i="43"/>
  <c r="AF140" i="43"/>
  <c r="AF138" i="43"/>
  <c r="AF158" i="43"/>
  <c r="AF156" i="43"/>
  <c r="AF163" i="43"/>
  <c r="AF212" i="43"/>
  <c r="AF210" i="43"/>
  <c r="AF208" i="43"/>
  <c r="AF206" i="43"/>
  <c r="AF204" i="43"/>
  <c r="AF202" i="43"/>
  <c r="AF200" i="43"/>
  <c r="AF198" i="43"/>
  <c r="AF196" i="43"/>
  <c r="AF194" i="43"/>
  <c r="AF192" i="43"/>
  <c r="AF190" i="43"/>
  <c r="AF188" i="43"/>
  <c r="AF186" i="43"/>
  <c r="AF184" i="43"/>
  <c r="AF182" i="43"/>
  <c r="AF180" i="43"/>
  <c r="AF178" i="43"/>
  <c r="AF216" i="43"/>
  <c r="AF229" i="43"/>
  <c r="AF227" i="43"/>
  <c r="AF238" i="43"/>
  <c r="AF250" i="43"/>
  <c r="AF260" i="43"/>
  <c r="AF272" i="43"/>
  <c r="AF274" i="43"/>
  <c r="AF220" i="43"/>
  <c r="AF240" i="43"/>
  <c r="AF248" i="43"/>
  <c r="U225" i="43"/>
  <c r="U244" i="43"/>
  <c r="U258" i="43" s="1"/>
  <c r="U264" i="43" s="1"/>
  <c r="U270" i="43" s="1"/>
  <c r="U276" i="43" s="1"/>
  <c r="U285" i="43" s="1"/>
  <c r="U286" i="43" s="1"/>
  <c r="AC225" i="43"/>
  <c r="AC244" i="43"/>
  <c r="AC258" i="43" s="1"/>
  <c r="AC264" i="43" s="1"/>
  <c r="AC270" i="43" s="1"/>
  <c r="AC276" i="43" s="1"/>
  <c r="AC285" i="43" s="1"/>
  <c r="AC286" i="43" s="1"/>
  <c r="S244" i="43"/>
  <c r="S258" i="43" s="1"/>
  <c r="S264" i="43" s="1"/>
  <c r="S270" i="43" s="1"/>
  <c r="S276" i="43" s="1"/>
  <c r="S285" i="43" s="1"/>
  <c r="S286" i="43" s="1"/>
  <c r="S225" i="43"/>
  <c r="I225" i="43"/>
  <c r="I244" i="43"/>
  <c r="I258" i="43" s="1"/>
  <c r="I264" i="43" s="1"/>
  <c r="I270" i="43" s="1"/>
  <c r="I276" i="43" s="1"/>
  <c r="AF232" i="43"/>
  <c r="AE242" i="43"/>
  <c r="AF242" i="43" s="1"/>
  <c r="AF223" i="43"/>
  <c r="AE225" i="43"/>
  <c r="AF225" i="43" s="1"/>
  <c r="M225" i="43"/>
  <c r="M244" i="43"/>
  <c r="M258" i="43" s="1"/>
  <c r="M264" i="43" s="1"/>
  <c r="M270" i="43" s="1"/>
  <c r="M276" i="43" s="1"/>
  <c r="Q225" i="43"/>
  <c r="Q244" i="43"/>
  <c r="Q258" i="43" s="1"/>
  <c r="Q264" i="43" s="1"/>
  <c r="Q270" i="43" s="1"/>
  <c r="Q276" i="43" s="1"/>
  <c r="O244" i="43" l="1"/>
  <c r="O258" i="43" s="1"/>
  <c r="O264" i="43" s="1"/>
  <c r="O270" i="43" s="1"/>
  <c r="O276" i="43" s="1"/>
  <c r="Y244" i="43"/>
  <c r="Y258" i="43" s="1"/>
  <c r="Y264" i="43" s="1"/>
  <c r="Y270" i="43" s="1"/>
  <c r="Y276" i="43" s="1"/>
  <c r="Y285" i="43" s="1"/>
  <c r="Y286" i="43" s="1"/>
  <c r="AA225" i="43"/>
  <c r="AF77" i="43"/>
  <c r="G225" i="43"/>
  <c r="G244" i="43"/>
  <c r="G258" i="43" s="1"/>
  <c r="G264" i="43" s="1"/>
  <c r="G270" i="43" s="1"/>
  <c r="G276" i="43" s="1"/>
  <c r="AF169" i="43"/>
  <c r="AE244" i="43"/>
  <c r="AE258" i="43" l="1"/>
  <c r="AF244" i="43"/>
  <c r="C17" i="1"/>
  <c r="C13" i="1"/>
  <c r="C12" i="1"/>
  <c r="C11" i="1"/>
  <c r="C10" i="1"/>
  <c r="AH13" i="3"/>
  <c r="AH23" i="3"/>
  <c r="AH22" i="3"/>
  <c r="AH21" i="3"/>
  <c r="AH20" i="3"/>
  <c r="AH19" i="3"/>
  <c r="AH18" i="3"/>
  <c r="AH17" i="3"/>
  <c r="AH16" i="3"/>
  <c r="AH27" i="3"/>
  <c r="AH33" i="3"/>
  <c r="AH32" i="3"/>
  <c r="AH38" i="3"/>
  <c r="AH42" i="3"/>
  <c r="AH48" i="3"/>
  <c r="AH47" i="3"/>
  <c r="AH57" i="3"/>
  <c r="AH56" i="3"/>
  <c r="AH55" i="3"/>
  <c r="AH61" i="3"/>
  <c r="AH68" i="3"/>
  <c r="AH67" i="3"/>
  <c r="AH66" i="3"/>
  <c r="AH74" i="3"/>
  <c r="AH73" i="3"/>
  <c r="AH78" i="3"/>
  <c r="AH96" i="3"/>
  <c r="AH95" i="3"/>
  <c r="AH94" i="3"/>
  <c r="AH93" i="3"/>
  <c r="AH92" i="3"/>
  <c r="AH91" i="3"/>
  <c r="AH90" i="3"/>
  <c r="AH89" i="3"/>
  <c r="AH88" i="3"/>
  <c r="AH87" i="3"/>
  <c r="AH100" i="3"/>
  <c r="AH124" i="3"/>
  <c r="AH123" i="3"/>
  <c r="AH122" i="3"/>
  <c r="AH121" i="3"/>
  <c r="AH120" i="3"/>
  <c r="AH119" i="3"/>
  <c r="AH118" i="3"/>
  <c r="AH117" i="3"/>
  <c r="AH116" i="3"/>
  <c r="AH115" i="3"/>
  <c r="AH114" i="3"/>
  <c r="AH113" i="3"/>
  <c r="AH112" i="3"/>
  <c r="AH111" i="3"/>
  <c r="AH110" i="3"/>
  <c r="AH109" i="3"/>
  <c r="AH108" i="3"/>
  <c r="AH107" i="3"/>
  <c r="AH106" i="3"/>
  <c r="AH105" i="3"/>
  <c r="AH130" i="3"/>
  <c r="AH129" i="3"/>
  <c r="AH140" i="3"/>
  <c r="AH139" i="3"/>
  <c r="AH138" i="3"/>
  <c r="AH137" i="3"/>
  <c r="AH136" i="3"/>
  <c r="AH135" i="3"/>
  <c r="AH153" i="3"/>
  <c r="AH152" i="3"/>
  <c r="AH151" i="3"/>
  <c r="AH150" i="3"/>
  <c r="AH149" i="3"/>
  <c r="AH148" i="3"/>
  <c r="AH147" i="3"/>
  <c r="AH146" i="3"/>
  <c r="AH145" i="3"/>
  <c r="AH166" i="3"/>
  <c r="AH165" i="3"/>
  <c r="AH164" i="3"/>
  <c r="AH163" i="3"/>
  <c r="AH162" i="3"/>
  <c r="AH170" i="3"/>
  <c r="AH179"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223" i="3"/>
  <c r="AH237" i="3"/>
  <c r="AH236" i="3"/>
  <c r="AH235" i="3"/>
  <c r="AH234" i="3"/>
  <c r="AH241" i="3"/>
  <c r="AH245" i="3"/>
  <c r="AH253" i="3"/>
  <c r="AH257" i="3"/>
  <c r="AH261" i="3"/>
  <c r="AH267" i="3"/>
  <c r="AH273" i="3"/>
  <c r="AH275" i="3" s="1"/>
  <c r="AH279" i="3"/>
  <c r="AH281" i="3" s="1"/>
  <c r="AH2" i="3"/>
  <c r="J3" i="3"/>
  <c r="L3" i="3"/>
  <c r="N3" i="3"/>
  <c r="P3" i="3"/>
  <c r="R3" i="3"/>
  <c r="T3" i="3"/>
  <c r="V3" i="3"/>
  <c r="X3" i="3"/>
  <c r="Z3" i="3"/>
  <c r="AB3" i="3"/>
  <c r="AD3" i="3"/>
  <c r="AF3" i="3"/>
  <c r="J25" i="3"/>
  <c r="L25" i="3"/>
  <c r="N25" i="3"/>
  <c r="P25" i="3"/>
  <c r="R25" i="3"/>
  <c r="T25" i="3"/>
  <c r="V25" i="3"/>
  <c r="X25" i="3"/>
  <c r="Z25" i="3"/>
  <c r="AB25" i="3"/>
  <c r="AD25" i="3"/>
  <c r="AF25" i="3"/>
  <c r="AH25" i="3"/>
  <c r="J29" i="3"/>
  <c r="L29" i="3"/>
  <c r="N29" i="3"/>
  <c r="P29" i="3"/>
  <c r="R29" i="3"/>
  <c r="T29" i="3"/>
  <c r="V29" i="3"/>
  <c r="X29" i="3"/>
  <c r="Z29" i="3"/>
  <c r="AB29" i="3"/>
  <c r="AD29" i="3"/>
  <c r="AF29" i="3"/>
  <c r="AH29" i="3"/>
  <c r="AH35" i="3"/>
  <c r="J35" i="3"/>
  <c r="L35" i="3"/>
  <c r="N35" i="3"/>
  <c r="P35" i="3"/>
  <c r="R35" i="3"/>
  <c r="T35" i="3"/>
  <c r="V35" i="3"/>
  <c r="X35" i="3"/>
  <c r="Z35" i="3"/>
  <c r="AB35" i="3"/>
  <c r="AD35" i="3"/>
  <c r="AF35" i="3"/>
  <c r="AH40" i="3"/>
  <c r="J40" i="3"/>
  <c r="L40" i="3"/>
  <c r="N40" i="3"/>
  <c r="P40" i="3"/>
  <c r="R40" i="3"/>
  <c r="T40" i="3"/>
  <c r="V40" i="3"/>
  <c r="X40" i="3"/>
  <c r="Z40" i="3"/>
  <c r="AB40" i="3"/>
  <c r="AD40" i="3"/>
  <c r="AD52" i="3" s="1"/>
  <c r="AF40" i="3"/>
  <c r="AH44" i="3"/>
  <c r="J44" i="3"/>
  <c r="L44" i="3"/>
  <c r="N44" i="3"/>
  <c r="P44" i="3"/>
  <c r="R44" i="3"/>
  <c r="T44" i="3"/>
  <c r="V44" i="3"/>
  <c r="X44" i="3"/>
  <c r="Z44" i="3"/>
  <c r="AB44" i="3"/>
  <c r="AD44" i="3"/>
  <c r="AF44" i="3"/>
  <c r="J50" i="3"/>
  <c r="L50" i="3"/>
  <c r="N50" i="3"/>
  <c r="P50" i="3"/>
  <c r="R50" i="3"/>
  <c r="T50" i="3"/>
  <c r="V50" i="3"/>
  <c r="X50" i="3"/>
  <c r="Z50" i="3"/>
  <c r="AB50" i="3"/>
  <c r="AD50" i="3"/>
  <c r="AF50" i="3"/>
  <c r="AH50" i="3"/>
  <c r="N52" i="3"/>
  <c r="AH59" i="3"/>
  <c r="J59" i="3"/>
  <c r="L59" i="3"/>
  <c r="N59" i="3"/>
  <c r="P59" i="3"/>
  <c r="R59" i="3"/>
  <c r="T59" i="3"/>
  <c r="V59" i="3"/>
  <c r="X59" i="3"/>
  <c r="Z59" i="3"/>
  <c r="AB59" i="3"/>
  <c r="AD59" i="3"/>
  <c r="AF59" i="3"/>
  <c r="AH63" i="3"/>
  <c r="J63" i="3"/>
  <c r="L63" i="3"/>
  <c r="N63" i="3"/>
  <c r="P63" i="3"/>
  <c r="R63" i="3"/>
  <c r="T63" i="3"/>
  <c r="V63" i="3"/>
  <c r="X63" i="3"/>
  <c r="Z63" i="3"/>
  <c r="AB63" i="3"/>
  <c r="AD63" i="3"/>
  <c r="AF63" i="3"/>
  <c r="AH70" i="3"/>
  <c r="J70" i="3"/>
  <c r="L70" i="3"/>
  <c r="N70" i="3"/>
  <c r="P70" i="3"/>
  <c r="P82" i="3" s="1"/>
  <c r="R70" i="3"/>
  <c r="T70" i="3"/>
  <c r="V70" i="3"/>
  <c r="X70" i="3"/>
  <c r="Z70" i="3"/>
  <c r="AB70" i="3"/>
  <c r="AD70" i="3"/>
  <c r="AF70" i="3"/>
  <c r="J76" i="3"/>
  <c r="L76" i="3"/>
  <c r="N76" i="3"/>
  <c r="P76" i="3"/>
  <c r="R76" i="3"/>
  <c r="T76" i="3"/>
  <c r="V76" i="3"/>
  <c r="X76" i="3"/>
  <c r="Z76" i="3"/>
  <c r="AB76" i="3"/>
  <c r="AD76" i="3"/>
  <c r="AF76" i="3"/>
  <c r="AH76" i="3"/>
  <c r="J80" i="3"/>
  <c r="L80" i="3"/>
  <c r="N80" i="3"/>
  <c r="N82" i="3" s="1"/>
  <c r="P80" i="3"/>
  <c r="R80" i="3"/>
  <c r="T80" i="3"/>
  <c r="V80" i="3"/>
  <c r="V82" i="3" s="1"/>
  <c r="X80" i="3"/>
  <c r="Z80" i="3"/>
  <c r="AB80" i="3"/>
  <c r="AD80" i="3"/>
  <c r="AD82" i="3" s="1"/>
  <c r="AF80" i="3"/>
  <c r="AH80" i="3"/>
  <c r="AF82" i="3"/>
  <c r="J98" i="3"/>
  <c r="L98" i="3"/>
  <c r="N98" i="3"/>
  <c r="P98" i="3"/>
  <c r="R98" i="3"/>
  <c r="T98" i="3"/>
  <c r="V98" i="3"/>
  <c r="X98" i="3"/>
  <c r="Z98" i="3"/>
  <c r="AB98" i="3"/>
  <c r="AD98" i="3"/>
  <c r="AF98" i="3"/>
  <c r="AH102" i="3"/>
  <c r="J102" i="3"/>
  <c r="L102" i="3"/>
  <c r="N102" i="3"/>
  <c r="P102" i="3"/>
  <c r="R102" i="3"/>
  <c r="T102" i="3"/>
  <c r="V102" i="3"/>
  <c r="X102" i="3"/>
  <c r="Z102" i="3"/>
  <c r="AB102" i="3"/>
  <c r="AD102" i="3"/>
  <c r="AF102" i="3"/>
  <c r="J126" i="3"/>
  <c r="L126" i="3"/>
  <c r="N126" i="3"/>
  <c r="P126" i="3"/>
  <c r="R126" i="3"/>
  <c r="T126" i="3"/>
  <c r="V126" i="3"/>
  <c r="X126" i="3"/>
  <c r="Z126" i="3"/>
  <c r="AB126" i="3"/>
  <c r="AD126" i="3"/>
  <c r="AF126" i="3"/>
  <c r="AH126" i="3"/>
  <c r="AH132" i="3"/>
  <c r="J132" i="3"/>
  <c r="L132" i="3"/>
  <c r="N132" i="3"/>
  <c r="P132" i="3"/>
  <c r="R132" i="3"/>
  <c r="T132" i="3"/>
  <c r="V132" i="3"/>
  <c r="X132" i="3"/>
  <c r="Z132" i="3"/>
  <c r="AB132" i="3"/>
  <c r="AD132" i="3"/>
  <c r="AF132" i="3"/>
  <c r="J142" i="3"/>
  <c r="L142" i="3"/>
  <c r="N142" i="3"/>
  <c r="P142" i="3"/>
  <c r="R142" i="3"/>
  <c r="T142" i="3"/>
  <c r="V142" i="3"/>
  <c r="X142" i="3"/>
  <c r="Z142" i="3"/>
  <c r="AB142" i="3"/>
  <c r="AD142" i="3"/>
  <c r="AF142" i="3"/>
  <c r="AH142" i="3"/>
  <c r="AH155" i="3"/>
  <c r="J155" i="3"/>
  <c r="L155" i="3"/>
  <c r="N155" i="3"/>
  <c r="P155" i="3"/>
  <c r="R155" i="3"/>
  <c r="T155" i="3"/>
  <c r="V155" i="3"/>
  <c r="X155" i="3"/>
  <c r="Z155" i="3"/>
  <c r="AB155" i="3"/>
  <c r="AD155" i="3"/>
  <c r="AF155" i="3"/>
  <c r="J159" i="3"/>
  <c r="L159" i="3"/>
  <c r="N159" i="3"/>
  <c r="P159" i="3"/>
  <c r="R159" i="3"/>
  <c r="T159" i="3"/>
  <c r="V159" i="3"/>
  <c r="X159" i="3"/>
  <c r="Z159" i="3"/>
  <c r="AB159" i="3"/>
  <c r="AD159" i="3"/>
  <c r="AF159" i="3"/>
  <c r="AH159" i="3"/>
  <c r="J168" i="3"/>
  <c r="L168" i="3"/>
  <c r="N168" i="3"/>
  <c r="P168" i="3"/>
  <c r="R168" i="3"/>
  <c r="T168" i="3"/>
  <c r="V168" i="3"/>
  <c r="X168" i="3"/>
  <c r="Z168" i="3"/>
  <c r="AB168" i="3"/>
  <c r="AD168" i="3"/>
  <c r="AF168" i="3"/>
  <c r="J172" i="3"/>
  <c r="L172" i="3"/>
  <c r="N172" i="3"/>
  <c r="P172" i="3"/>
  <c r="R172" i="3"/>
  <c r="T172" i="3"/>
  <c r="V172" i="3"/>
  <c r="X172" i="3"/>
  <c r="Z172" i="3"/>
  <c r="AB172" i="3"/>
  <c r="AD172" i="3"/>
  <c r="AF172" i="3"/>
  <c r="AH172" i="3"/>
  <c r="X174" i="3"/>
  <c r="AH181" i="3"/>
  <c r="J181" i="3"/>
  <c r="L181" i="3"/>
  <c r="N181" i="3"/>
  <c r="P181" i="3"/>
  <c r="R181" i="3"/>
  <c r="T181" i="3"/>
  <c r="V181" i="3"/>
  <c r="X181" i="3"/>
  <c r="Z181" i="3"/>
  <c r="AB181" i="3"/>
  <c r="AD181" i="3"/>
  <c r="AF181" i="3"/>
  <c r="AH221" i="3"/>
  <c r="J221" i="3"/>
  <c r="L221" i="3"/>
  <c r="N221" i="3"/>
  <c r="P221" i="3"/>
  <c r="R221" i="3"/>
  <c r="T221" i="3"/>
  <c r="V221" i="3"/>
  <c r="X221" i="3"/>
  <c r="Z221" i="3"/>
  <c r="AB221" i="3"/>
  <c r="AD221" i="3"/>
  <c r="AF221" i="3"/>
  <c r="AH225" i="3"/>
  <c r="J225" i="3"/>
  <c r="L225" i="3"/>
  <c r="N225" i="3"/>
  <c r="P225" i="3"/>
  <c r="R225" i="3"/>
  <c r="T225" i="3"/>
  <c r="V225" i="3"/>
  <c r="X225" i="3"/>
  <c r="Z225" i="3"/>
  <c r="AB225" i="3"/>
  <c r="AD225" i="3"/>
  <c r="AF225" i="3"/>
  <c r="V227" i="3"/>
  <c r="J239" i="3"/>
  <c r="L239" i="3"/>
  <c r="N239" i="3"/>
  <c r="O239" i="3"/>
  <c r="P239" i="3"/>
  <c r="R239" i="3"/>
  <c r="T239" i="3"/>
  <c r="U239" i="3"/>
  <c r="V239" i="3"/>
  <c r="X239" i="3"/>
  <c r="Z239" i="3"/>
  <c r="AA239" i="3"/>
  <c r="AB239" i="3"/>
  <c r="AD239" i="3"/>
  <c r="AF239" i="3"/>
  <c r="AG239" i="3"/>
  <c r="J243" i="3"/>
  <c r="L243" i="3"/>
  <c r="N243" i="3"/>
  <c r="O243" i="3"/>
  <c r="P243" i="3"/>
  <c r="R243" i="3"/>
  <c r="T243" i="3"/>
  <c r="U243" i="3"/>
  <c r="V243" i="3"/>
  <c r="X243" i="3"/>
  <c r="Z243" i="3"/>
  <c r="AA243" i="3"/>
  <c r="AB243" i="3"/>
  <c r="AD243" i="3"/>
  <c r="AF243" i="3"/>
  <c r="AG243" i="3"/>
  <c r="J247" i="3"/>
  <c r="L247" i="3"/>
  <c r="N247" i="3"/>
  <c r="O247" i="3"/>
  <c r="P247" i="3"/>
  <c r="R247" i="3"/>
  <c r="T247" i="3"/>
  <c r="U247" i="3"/>
  <c r="V247" i="3"/>
  <c r="X247" i="3"/>
  <c r="Z247" i="3"/>
  <c r="AA247" i="3"/>
  <c r="AB247" i="3"/>
  <c r="AD247" i="3"/>
  <c r="AF247" i="3"/>
  <c r="AG247" i="3"/>
  <c r="J249" i="3"/>
  <c r="L249" i="3"/>
  <c r="O249" i="3"/>
  <c r="U249" i="3"/>
  <c r="AA249" i="3"/>
  <c r="AB249" i="3"/>
  <c r="AG249" i="3"/>
  <c r="O251" i="3"/>
  <c r="U251" i="3"/>
  <c r="AA251" i="3"/>
  <c r="AG251" i="3"/>
  <c r="AH255" i="3"/>
  <c r="J255" i="3"/>
  <c r="L255" i="3"/>
  <c r="N255" i="3"/>
  <c r="O255" i="3"/>
  <c r="P255" i="3"/>
  <c r="R255" i="3"/>
  <c r="T255" i="3"/>
  <c r="U255" i="3"/>
  <c r="V255" i="3"/>
  <c r="X255" i="3"/>
  <c r="Z255" i="3"/>
  <c r="AA255" i="3"/>
  <c r="AB255" i="3"/>
  <c r="AD255" i="3"/>
  <c r="AF255" i="3"/>
  <c r="AG255" i="3"/>
  <c r="AH259" i="3"/>
  <c r="J259" i="3"/>
  <c r="L259" i="3"/>
  <c r="N259" i="3"/>
  <c r="O259" i="3"/>
  <c r="P259" i="3"/>
  <c r="R259" i="3"/>
  <c r="T259" i="3"/>
  <c r="U259" i="3"/>
  <c r="V259" i="3"/>
  <c r="X259" i="3"/>
  <c r="Z259" i="3"/>
  <c r="AA259" i="3"/>
  <c r="AB259" i="3"/>
  <c r="AD259" i="3"/>
  <c r="AF259" i="3"/>
  <c r="AG259" i="3"/>
  <c r="AH263" i="3"/>
  <c r="J263" i="3"/>
  <c r="L263" i="3"/>
  <c r="N263" i="3"/>
  <c r="O263" i="3"/>
  <c r="P263" i="3"/>
  <c r="R263" i="3"/>
  <c r="T263" i="3"/>
  <c r="U263" i="3"/>
  <c r="V263" i="3"/>
  <c r="X263" i="3"/>
  <c r="Z263" i="3"/>
  <c r="AA263" i="3"/>
  <c r="AB263" i="3"/>
  <c r="AD263" i="3"/>
  <c r="AF263" i="3"/>
  <c r="AG263" i="3"/>
  <c r="O265" i="3"/>
  <c r="U265" i="3"/>
  <c r="AA265" i="3"/>
  <c r="AG265" i="3"/>
  <c r="J269" i="3"/>
  <c r="L269" i="3"/>
  <c r="N269" i="3"/>
  <c r="O269" i="3"/>
  <c r="P269" i="3"/>
  <c r="R269" i="3"/>
  <c r="T269" i="3"/>
  <c r="U269" i="3"/>
  <c r="V269" i="3"/>
  <c r="X269" i="3"/>
  <c r="Z269" i="3"/>
  <c r="AA269" i="3"/>
  <c r="AB269" i="3"/>
  <c r="AD269" i="3"/>
  <c r="AF269" i="3"/>
  <c r="AG269" i="3"/>
  <c r="AH269" i="3"/>
  <c r="O271" i="3"/>
  <c r="U271" i="3"/>
  <c r="AA271" i="3"/>
  <c r="AG271" i="3"/>
  <c r="J275" i="3"/>
  <c r="L275" i="3"/>
  <c r="N275" i="3"/>
  <c r="O275" i="3"/>
  <c r="P275" i="3"/>
  <c r="R275" i="3"/>
  <c r="T275" i="3"/>
  <c r="U275" i="3"/>
  <c r="V275" i="3"/>
  <c r="X275" i="3"/>
  <c r="Z275" i="3"/>
  <c r="AA275" i="3"/>
  <c r="AB275" i="3"/>
  <c r="AD275" i="3"/>
  <c r="AF275" i="3"/>
  <c r="AG275" i="3"/>
  <c r="O277" i="3"/>
  <c r="U277" i="3"/>
  <c r="AA277" i="3"/>
  <c r="AG277" i="3"/>
  <c r="J281" i="3"/>
  <c r="L281" i="3"/>
  <c r="N281" i="3"/>
  <c r="O281" i="3"/>
  <c r="P281" i="3"/>
  <c r="R281" i="3"/>
  <c r="T281" i="3"/>
  <c r="U281" i="3"/>
  <c r="V281" i="3"/>
  <c r="X281" i="3"/>
  <c r="Z281" i="3"/>
  <c r="AA281" i="3"/>
  <c r="AB281" i="3"/>
  <c r="AD281" i="3"/>
  <c r="AF281" i="3"/>
  <c r="AG281" i="3"/>
  <c r="O283" i="3"/>
  <c r="U283" i="3"/>
  <c r="AA283" i="3"/>
  <c r="AG283" i="3"/>
  <c r="J287" i="3"/>
  <c r="L287" i="3"/>
  <c r="N287" i="3"/>
  <c r="P287" i="3"/>
  <c r="R287" i="3"/>
  <c r="T287" i="3"/>
  <c r="V287" i="3"/>
  <c r="X287" i="3"/>
  <c r="Z287" i="3"/>
  <c r="AB287" i="3"/>
  <c r="AD287" i="3"/>
  <c r="AF287" i="3"/>
  <c r="AH287" i="3"/>
  <c r="W292" i="3"/>
  <c r="W293" i="3"/>
  <c r="B5" i="3"/>
  <c r="B4" i="3"/>
  <c r="AE264" i="43" l="1"/>
  <c r="AF258" i="43"/>
  <c r="V249" i="3"/>
  <c r="P249" i="3"/>
  <c r="V52" i="3"/>
  <c r="X82" i="3"/>
  <c r="AF52" i="3"/>
  <c r="AF84" i="3" s="1"/>
  <c r="AF176" i="3" s="1"/>
  <c r="X52" i="3"/>
  <c r="P52" i="3"/>
  <c r="P84" i="3" s="1"/>
  <c r="R227" i="3"/>
  <c r="AB227" i="3"/>
  <c r="T227" i="3"/>
  <c r="L227" i="3"/>
  <c r="AF174" i="3"/>
  <c r="P174" i="3"/>
  <c r="V174" i="3"/>
  <c r="AH243" i="3"/>
  <c r="AD249" i="3"/>
  <c r="X249" i="3"/>
  <c r="R249" i="3"/>
  <c r="AH239" i="3"/>
  <c r="Z227" i="3"/>
  <c r="J227" i="3"/>
  <c r="J174" i="3"/>
  <c r="AH247" i="3"/>
  <c r="AF249" i="3"/>
  <c r="Z249" i="3"/>
  <c r="T249" i="3"/>
  <c r="N249" i="3"/>
  <c r="AD227" i="3"/>
  <c r="N227" i="3"/>
  <c r="AB174" i="3"/>
  <c r="T174" i="3"/>
  <c r="L174" i="3"/>
  <c r="Z82" i="3"/>
  <c r="R82" i="3"/>
  <c r="J82" i="3"/>
  <c r="AD84" i="3"/>
  <c r="N84" i="3"/>
  <c r="AB52" i="3"/>
  <c r="T52" i="3"/>
  <c r="L52" i="3"/>
  <c r="Z174" i="3"/>
  <c r="R174" i="3"/>
  <c r="Z52" i="3"/>
  <c r="R52" i="3"/>
  <c r="J52" i="3"/>
  <c r="J84" i="3" s="1"/>
  <c r="AH227" i="3"/>
  <c r="AD174" i="3"/>
  <c r="N174" i="3"/>
  <c r="AB82" i="3"/>
  <c r="T82" i="3"/>
  <c r="T84" i="3" s="1"/>
  <c r="T176" i="3" s="1"/>
  <c r="T230" i="3" s="1"/>
  <c r="L82" i="3"/>
  <c r="AH249" i="3"/>
  <c r="AH168" i="3"/>
  <c r="AH52" i="3"/>
  <c r="AH82" i="3"/>
  <c r="V84" i="3"/>
  <c r="AF227" i="3"/>
  <c r="X227" i="3"/>
  <c r="P227" i="3"/>
  <c r="AH98" i="3"/>
  <c r="J176" i="3" l="1"/>
  <c r="J230" i="3" s="1"/>
  <c r="J251" i="3" s="1"/>
  <c r="J265" i="3" s="1"/>
  <c r="J271" i="3" s="1"/>
  <c r="J277" i="3" s="1"/>
  <c r="J283" i="3" s="1"/>
  <c r="V176" i="3"/>
  <c r="V230" i="3" s="1"/>
  <c r="R84" i="3"/>
  <c r="L84" i="3"/>
  <c r="Z176" i="3"/>
  <c r="Z230" i="3" s="1"/>
  <c r="Z84" i="3"/>
  <c r="AF230" i="3"/>
  <c r="X84" i="3"/>
  <c r="X176" i="3" s="1"/>
  <c r="L176" i="3"/>
  <c r="L230" i="3" s="1"/>
  <c r="P176" i="3"/>
  <c r="P230" i="3" s="1"/>
  <c r="AE270" i="43"/>
  <c r="AF264" i="43"/>
  <c r="AB84" i="3"/>
  <c r="AB176" i="3" s="1"/>
  <c r="AB230" i="3" s="1"/>
  <c r="J232" i="3"/>
  <c r="R176" i="3"/>
  <c r="R230" i="3" s="1"/>
  <c r="X230" i="3"/>
  <c r="N176" i="3"/>
  <c r="N230" i="3" s="1"/>
  <c r="N232" i="3" s="1"/>
  <c r="AH174" i="3"/>
  <c r="AD176" i="3"/>
  <c r="AD230" i="3" s="1"/>
  <c r="AI13" i="3"/>
  <c r="AI22" i="3"/>
  <c r="AI20" i="3"/>
  <c r="AI18" i="3"/>
  <c r="AI16" i="3"/>
  <c r="AI33" i="3"/>
  <c r="AI38" i="3"/>
  <c r="AI48" i="3"/>
  <c r="AI57" i="3"/>
  <c r="AI55" i="3"/>
  <c r="AI68" i="3"/>
  <c r="AI66" i="3"/>
  <c r="AI73" i="3"/>
  <c r="AI96" i="3"/>
  <c r="AI94" i="3"/>
  <c r="AI92" i="3"/>
  <c r="AI90" i="3"/>
  <c r="AI88" i="3"/>
  <c r="AI100" i="3"/>
  <c r="AI123" i="3"/>
  <c r="AI121" i="3"/>
  <c r="AI119" i="3"/>
  <c r="AI117" i="3"/>
  <c r="AI115" i="3"/>
  <c r="AI113" i="3"/>
  <c r="AI111" i="3"/>
  <c r="AI109" i="3"/>
  <c r="AI107" i="3"/>
  <c r="AI105" i="3"/>
  <c r="AI129" i="3"/>
  <c r="AI139" i="3"/>
  <c r="AI137" i="3"/>
  <c r="AI135" i="3"/>
  <c r="AI152" i="3"/>
  <c r="AI150" i="3"/>
  <c r="AI148" i="3"/>
  <c r="AI146" i="3"/>
  <c r="AI166" i="3"/>
  <c r="AI164" i="3"/>
  <c r="AI162" i="3"/>
  <c r="AI179" i="3"/>
  <c r="AI218" i="3"/>
  <c r="AI216" i="3"/>
  <c r="AI214" i="3"/>
  <c r="AI212" i="3"/>
  <c r="AI210" i="3"/>
  <c r="AI208" i="3"/>
  <c r="AI206" i="3"/>
  <c r="AI204" i="3"/>
  <c r="AI202" i="3"/>
  <c r="AI200" i="3"/>
  <c r="AI198" i="3"/>
  <c r="AI196" i="3"/>
  <c r="AI194" i="3"/>
  <c r="AI192" i="3"/>
  <c r="AI190" i="3"/>
  <c r="AI188" i="3"/>
  <c r="AI186" i="3"/>
  <c r="AI184" i="3"/>
  <c r="AI237" i="3"/>
  <c r="AI235" i="3"/>
  <c r="AI241" i="3"/>
  <c r="AI253" i="3"/>
  <c r="AI261" i="3"/>
  <c r="AI273" i="3"/>
  <c r="AI23" i="3"/>
  <c r="AI21" i="3"/>
  <c r="AI19" i="3"/>
  <c r="AI17" i="3"/>
  <c r="AI27" i="3"/>
  <c r="AI32" i="3"/>
  <c r="AI42" i="3"/>
  <c r="AI47" i="3"/>
  <c r="AI56" i="3"/>
  <c r="AI61" i="3"/>
  <c r="AI67" i="3"/>
  <c r="AI74" i="3"/>
  <c r="AI78" i="3"/>
  <c r="AI95" i="3"/>
  <c r="AI93" i="3"/>
  <c r="AI91" i="3"/>
  <c r="AI89" i="3"/>
  <c r="AI87" i="3"/>
  <c r="AI124" i="3"/>
  <c r="AI122" i="3"/>
  <c r="AI118" i="3"/>
  <c r="AI110" i="3"/>
  <c r="AI140" i="3"/>
  <c r="AI151" i="3"/>
  <c r="AI165" i="3"/>
  <c r="AI217" i="3"/>
  <c r="AI209" i="3"/>
  <c r="AI201" i="3"/>
  <c r="AI193" i="3"/>
  <c r="AI185" i="3"/>
  <c r="AI245" i="3"/>
  <c r="AI203" i="3"/>
  <c r="AI195" i="3"/>
  <c r="AI234" i="3"/>
  <c r="AI279" i="3"/>
  <c r="AI120" i="3"/>
  <c r="AI112" i="3"/>
  <c r="AI130" i="3"/>
  <c r="AI153" i="3"/>
  <c r="AI145" i="3"/>
  <c r="AI219" i="3"/>
  <c r="AI211" i="3"/>
  <c r="AI187" i="3"/>
  <c r="AI114" i="3"/>
  <c r="AI106" i="3"/>
  <c r="AI136" i="3"/>
  <c r="AI147" i="3"/>
  <c r="AI170" i="3"/>
  <c r="AI213" i="3"/>
  <c r="AI205" i="3"/>
  <c r="AI197" i="3"/>
  <c r="AI189" i="3"/>
  <c r="AI236" i="3"/>
  <c r="AI267" i="3"/>
  <c r="AI116" i="3"/>
  <c r="AI108" i="3"/>
  <c r="AI138" i="3"/>
  <c r="AI149" i="3"/>
  <c r="AI163" i="3"/>
  <c r="AI215" i="3"/>
  <c r="AI207" i="3"/>
  <c r="AI199" i="3"/>
  <c r="AI191" i="3"/>
  <c r="AI223" i="3"/>
  <c r="AI257" i="3"/>
  <c r="T251" i="3"/>
  <c r="T265" i="3" s="1"/>
  <c r="T271" i="3" s="1"/>
  <c r="T277" i="3" s="1"/>
  <c r="T283" i="3" s="1"/>
  <c r="T232" i="3"/>
  <c r="X232" i="3"/>
  <c r="X251" i="3"/>
  <c r="X265" i="3" s="1"/>
  <c r="X271" i="3" s="1"/>
  <c r="X277" i="3" s="1"/>
  <c r="X283" i="3" s="1"/>
  <c r="X292" i="3" s="1"/>
  <c r="X293" i="3" s="1"/>
  <c r="AI2" i="3"/>
  <c r="AI35" i="3"/>
  <c r="AI40" i="3"/>
  <c r="AI44" i="3"/>
  <c r="AI52" i="3"/>
  <c r="AI59" i="3"/>
  <c r="AI63" i="3"/>
  <c r="AI70" i="3"/>
  <c r="AI82" i="3"/>
  <c r="AI98" i="3"/>
  <c r="AI102" i="3"/>
  <c r="AI132" i="3"/>
  <c r="AI159" i="3"/>
  <c r="AI168" i="3"/>
  <c r="AI172" i="3"/>
  <c r="AI181" i="3"/>
  <c r="AI25" i="3"/>
  <c r="AI29" i="3"/>
  <c r="AI50" i="3"/>
  <c r="AI76" i="3"/>
  <c r="AI80" i="3"/>
  <c r="AI126" i="3"/>
  <c r="AI142" i="3"/>
  <c r="AI155" i="3"/>
  <c r="AI174" i="3"/>
  <c r="AI221" i="3"/>
  <c r="AI225" i="3"/>
  <c r="AI239" i="3"/>
  <c r="AI243" i="3"/>
  <c r="AI247" i="3"/>
  <c r="AI255" i="3"/>
  <c r="AI259" i="3"/>
  <c r="AI263" i="3"/>
  <c r="AI275" i="3"/>
  <c r="AH84" i="3"/>
  <c r="AI227" i="3"/>
  <c r="AI249" i="3"/>
  <c r="AI269" i="3"/>
  <c r="AI281" i="3"/>
  <c r="V232" i="3"/>
  <c r="V251" i="3"/>
  <c r="V265" i="3" s="1"/>
  <c r="V271" i="3" s="1"/>
  <c r="V277" i="3" s="1"/>
  <c r="V283" i="3" s="1"/>
  <c r="V292" i="3" s="1"/>
  <c r="V293" i="3" s="1"/>
  <c r="R251" i="3"/>
  <c r="R265" i="3" s="1"/>
  <c r="R271" i="3" s="1"/>
  <c r="R277" i="3" s="1"/>
  <c r="R283" i="3" s="1"/>
  <c r="R232" i="3"/>
  <c r="L251" i="3"/>
  <c r="L265" i="3" s="1"/>
  <c r="L271" i="3" s="1"/>
  <c r="L277" i="3" s="1"/>
  <c r="L283" i="3" s="1"/>
  <c r="L232" i="3"/>
  <c r="AB251" i="3"/>
  <c r="AB265" i="3" s="1"/>
  <c r="AB271" i="3" s="1"/>
  <c r="AB277" i="3" s="1"/>
  <c r="AB283" i="3" s="1"/>
  <c r="AB292" i="3" s="1"/>
  <c r="AB293" i="3" s="1"/>
  <c r="AB232" i="3"/>
  <c r="AF232" i="3"/>
  <c r="AF251" i="3"/>
  <c r="AF265" i="3" s="1"/>
  <c r="AF271" i="3" s="1"/>
  <c r="AF277" i="3" s="1"/>
  <c r="AF283" i="3" s="1"/>
  <c r="AF292" i="3" s="1"/>
  <c r="AF293" i="3" s="1"/>
  <c r="N251" i="3"/>
  <c r="N265" i="3" s="1"/>
  <c r="N271" i="3" s="1"/>
  <c r="N277" i="3" s="1"/>
  <c r="N283" i="3" s="1"/>
  <c r="AH176" i="3" l="1"/>
  <c r="AH230" i="3" s="1"/>
  <c r="AI230" i="3" s="1"/>
  <c r="Z232" i="3"/>
  <c r="Z251" i="3"/>
  <c r="Z265" i="3" s="1"/>
  <c r="Z271" i="3" s="1"/>
  <c r="Z277" i="3" s="1"/>
  <c r="Z283" i="3" s="1"/>
  <c r="Z292" i="3" s="1"/>
  <c r="Z293" i="3" s="1"/>
  <c r="P251" i="3"/>
  <c r="P265" i="3" s="1"/>
  <c r="P271" i="3" s="1"/>
  <c r="P277" i="3" s="1"/>
  <c r="P283" i="3" s="1"/>
  <c r="P232" i="3"/>
  <c r="AE276" i="43"/>
  <c r="AF270" i="43"/>
  <c r="AI176" i="3"/>
  <c r="AD251" i="3"/>
  <c r="AD265" i="3" s="1"/>
  <c r="AD271" i="3" s="1"/>
  <c r="AD277" i="3" s="1"/>
  <c r="AD283" i="3" s="1"/>
  <c r="AD292" i="3" s="1"/>
  <c r="AD293" i="3" s="1"/>
  <c r="AD232" i="3"/>
  <c r="AH251" i="3"/>
  <c r="AH232" i="3"/>
  <c r="AI232" i="3" s="1"/>
  <c r="AI84" i="3"/>
  <c r="AE285" i="43" l="1"/>
  <c r="AE286" i="43" s="1"/>
  <c r="AF276" i="43"/>
  <c r="AE283" i="43"/>
  <c r="AH265" i="3"/>
  <c r="AI251" i="3"/>
  <c r="AH271" i="3" l="1"/>
  <c r="AI265" i="3"/>
  <c r="AH277" i="3" l="1"/>
  <c r="AI271" i="3"/>
  <c r="AH283" i="3" l="1"/>
  <c r="AI277" i="3"/>
  <c r="AH292" i="3" l="1"/>
  <c r="AH293" i="3" s="1"/>
  <c r="AI283" i="3"/>
  <c r="AH290" i="3"/>
  <c r="D62" i="21" l="1"/>
  <c r="D205" i="1" s="1"/>
  <c r="E71" i="17"/>
  <c r="E70" i="17"/>
  <c r="E69" i="17"/>
  <c r="D60" i="21"/>
  <c r="D63" i="21" s="1"/>
  <c r="E97" i="16"/>
  <c r="D198" i="1" l="1"/>
  <c r="B114" i="21"/>
  <c r="B113" i="21"/>
  <c r="B110" i="21"/>
  <c r="B109" i="21"/>
  <c r="P16" i="39"/>
  <c r="P17" i="39"/>
  <c r="P18" i="39"/>
  <c r="T18" i="39" s="1"/>
  <c r="V18" i="39" s="1"/>
  <c r="P19" i="39"/>
  <c r="T19" i="39" s="1"/>
  <c r="V19" i="39" s="1"/>
  <c r="P20" i="39"/>
  <c r="P21" i="39"/>
  <c r="P22" i="39"/>
  <c r="T22" i="39" s="1"/>
  <c r="V22" i="39" s="1"/>
  <c r="P23" i="39"/>
  <c r="T23" i="39" s="1"/>
  <c r="V23" i="39" s="1"/>
  <c r="P24" i="39"/>
  <c r="P25" i="39"/>
  <c r="P26" i="39"/>
  <c r="T26" i="39" s="1"/>
  <c r="V26" i="39" s="1"/>
  <c r="T25" i="39"/>
  <c r="V25" i="39" s="1"/>
  <c r="T24" i="39"/>
  <c r="V24" i="39" s="1"/>
  <c r="T21" i="39"/>
  <c r="V21" i="39" s="1"/>
  <c r="T20" i="39"/>
  <c r="V20" i="39" s="1"/>
  <c r="T17" i="39"/>
  <c r="V17" i="39" s="1"/>
  <c r="T16" i="39"/>
  <c r="V16" i="39" s="1"/>
  <c r="P29" i="39"/>
  <c r="P30" i="39"/>
  <c r="P31" i="39"/>
  <c r="T31" i="39" s="1"/>
  <c r="V31" i="39" s="1"/>
  <c r="P32" i="39"/>
  <c r="T32" i="39" s="1"/>
  <c r="V32" i="39" s="1"/>
  <c r="P33" i="39"/>
  <c r="P34" i="39"/>
  <c r="P35" i="39"/>
  <c r="T35" i="39" s="1"/>
  <c r="V35" i="39" s="1"/>
  <c r="P36" i="39"/>
  <c r="T36" i="39" s="1"/>
  <c r="V36" i="39" s="1"/>
  <c r="T34" i="39"/>
  <c r="V34" i="39" s="1"/>
  <c r="T33" i="39"/>
  <c r="V33" i="39" s="1"/>
  <c r="T30" i="39"/>
  <c r="V30" i="39" s="1"/>
  <c r="T29" i="39"/>
  <c r="V29" i="39" s="1"/>
  <c r="P39" i="39"/>
  <c r="P40" i="39"/>
  <c r="T40" i="39" s="1"/>
  <c r="V40" i="39" s="1"/>
  <c r="P41" i="39"/>
  <c r="T41" i="39" s="1"/>
  <c r="V41" i="39" s="1"/>
  <c r="V39" i="39"/>
  <c r="T39" i="39"/>
  <c r="P44" i="39"/>
  <c r="T44" i="39" s="1"/>
  <c r="V44" i="39" s="1"/>
  <c r="P45" i="39"/>
  <c r="P46" i="39"/>
  <c r="T46" i="39" s="1"/>
  <c r="V46" i="39" s="1"/>
  <c r="P47" i="39"/>
  <c r="P48" i="39"/>
  <c r="T48" i="39" s="1"/>
  <c r="V48" i="39" s="1"/>
  <c r="T47" i="39"/>
  <c r="V47" i="39" s="1"/>
  <c r="T45" i="39"/>
  <c r="V45" i="39" s="1"/>
  <c r="P51" i="39"/>
  <c r="T51" i="39" s="1"/>
  <c r="V51" i="39" s="1"/>
  <c r="P58" i="39"/>
  <c r="T58" i="39" s="1"/>
  <c r="V58" i="39" s="1"/>
  <c r="P59" i="39"/>
  <c r="P60" i="39"/>
  <c r="P61" i="39"/>
  <c r="P62" i="39"/>
  <c r="T62" i="39" s="1"/>
  <c r="V62" i="39" s="1"/>
  <c r="P63" i="39"/>
  <c r="P64" i="39"/>
  <c r="T64" i="39" s="1"/>
  <c r="V64" i="39" s="1"/>
  <c r="P65" i="39"/>
  <c r="P66" i="39"/>
  <c r="T66" i="39" s="1"/>
  <c r="V66" i="39" s="1"/>
  <c r="P67" i="39"/>
  <c r="P68" i="39"/>
  <c r="P69" i="39"/>
  <c r="P70" i="39"/>
  <c r="T70" i="39" s="1"/>
  <c r="V70" i="39" s="1"/>
  <c r="P71" i="39"/>
  <c r="P72" i="39"/>
  <c r="T72" i="39" s="1"/>
  <c r="V72" i="39" s="1"/>
  <c r="P73" i="39"/>
  <c r="P74" i="39"/>
  <c r="T74" i="39" s="1"/>
  <c r="V74" i="39" s="1"/>
  <c r="P75" i="39"/>
  <c r="P76" i="39"/>
  <c r="P77" i="39"/>
  <c r="T77" i="39" s="1"/>
  <c r="V77" i="39" s="1"/>
  <c r="P78" i="39"/>
  <c r="P79" i="39"/>
  <c r="P80" i="39"/>
  <c r="T80" i="39" s="1"/>
  <c r="V80" i="39" s="1"/>
  <c r="P81" i="39"/>
  <c r="T81" i="39" s="1"/>
  <c r="V81" i="39" s="1"/>
  <c r="P82" i="39"/>
  <c r="T82" i="39" s="1"/>
  <c r="V82" i="39" s="1"/>
  <c r="P83" i="39"/>
  <c r="P84" i="39"/>
  <c r="T84" i="39" s="1"/>
  <c r="V84" i="39" s="1"/>
  <c r="P85" i="39"/>
  <c r="T85" i="39" s="1"/>
  <c r="V85" i="39" s="1"/>
  <c r="P86" i="39"/>
  <c r="P87" i="39"/>
  <c r="P88" i="39"/>
  <c r="T88" i="39" s="1"/>
  <c r="V88" i="39" s="1"/>
  <c r="P89" i="39"/>
  <c r="T89" i="39" s="1"/>
  <c r="V89" i="39" s="1"/>
  <c r="T87" i="39"/>
  <c r="V87" i="39" s="1"/>
  <c r="T86" i="39"/>
  <c r="V86" i="39" s="1"/>
  <c r="T83" i="39"/>
  <c r="V83" i="39" s="1"/>
  <c r="T79" i="39"/>
  <c r="V79" i="39" s="1"/>
  <c r="T78" i="39"/>
  <c r="V78" i="39" s="1"/>
  <c r="T76" i="39"/>
  <c r="V76" i="39" s="1"/>
  <c r="T75" i="39"/>
  <c r="V75" i="39" s="1"/>
  <c r="T73" i="39"/>
  <c r="V73" i="39" s="1"/>
  <c r="T71" i="39"/>
  <c r="V71" i="39" s="1"/>
  <c r="T69" i="39"/>
  <c r="V69" i="39" s="1"/>
  <c r="T68" i="39"/>
  <c r="V68" i="39" s="1"/>
  <c r="T67" i="39"/>
  <c r="V67" i="39" s="1"/>
  <c r="T65" i="39"/>
  <c r="V65" i="39" s="1"/>
  <c r="T63" i="39"/>
  <c r="V63" i="39" s="1"/>
  <c r="T61" i="39"/>
  <c r="V61" i="39" s="1"/>
  <c r="T60" i="39"/>
  <c r="V60" i="39" s="1"/>
  <c r="T59" i="39"/>
  <c r="V59" i="39" s="1"/>
  <c r="P92" i="39"/>
  <c r="T92" i="39" s="1"/>
  <c r="V92" i="39" s="1"/>
  <c r="P95" i="39"/>
  <c r="T95" i="39" s="1"/>
  <c r="V95" i="39" s="1"/>
  <c r="P96" i="39"/>
  <c r="T96" i="39" s="1"/>
  <c r="V96" i="39" s="1"/>
  <c r="P99" i="39"/>
  <c r="T99" i="39" s="1"/>
  <c r="V99" i="39" s="1"/>
  <c r="P100" i="39"/>
  <c r="T100" i="39" s="1"/>
  <c r="V100" i="39" s="1"/>
  <c r="P101" i="39"/>
  <c r="T101" i="39" s="1"/>
  <c r="V101" i="39" s="1"/>
  <c r="P102" i="39"/>
  <c r="P103" i="39"/>
  <c r="T103" i="39" s="1"/>
  <c r="V103" i="39" s="1"/>
  <c r="T102" i="39"/>
  <c r="V102" i="39" s="1"/>
  <c r="P106" i="39"/>
  <c r="T106" i="39" s="1"/>
  <c r="V106" i="39" s="1"/>
  <c r="P109" i="39"/>
  <c r="T109" i="39" s="1"/>
  <c r="V109" i="39" s="1"/>
  <c r="P112" i="39"/>
  <c r="T112" i="39" s="1"/>
  <c r="V112" i="39" s="1"/>
  <c r="P115" i="39"/>
  <c r="T115" i="39" s="1"/>
  <c r="V115" i="39" s="1"/>
  <c r="P118" i="39"/>
  <c r="T118" i="39" s="1"/>
  <c r="V118" i="39" s="1"/>
  <c r="P119" i="39"/>
  <c r="T119" i="39" s="1"/>
  <c r="V119" i="39" s="1"/>
  <c r="P125" i="39"/>
  <c r="T125" i="39" s="1"/>
  <c r="V125" i="39" s="1"/>
  <c r="P129" i="39"/>
  <c r="T129" i="39" s="1"/>
  <c r="V129" i="39" s="1"/>
  <c r="P132" i="39"/>
  <c r="P133" i="39"/>
  <c r="P134" i="39"/>
  <c r="T134" i="39" s="1"/>
  <c r="V134" i="39" s="1"/>
  <c r="P135" i="39"/>
  <c r="T135" i="39" s="1"/>
  <c r="V135" i="39" s="1"/>
  <c r="P136" i="39"/>
  <c r="T136" i="39" s="1"/>
  <c r="V136" i="39" s="1"/>
  <c r="P137" i="39"/>
  <c r="P138" i="39"/>
  <c r="T138" i="39" s="1"/>
  <c r="V138" i="39" s="1"/>
  <c r="T137" i="39"/>
  <c r="V137" i="39" s="1"/>
  <c r="T133" i="39"/>
  <c r="V133" i="39" s="1"/>
  <c r="T132" i="39"/>
  <c r="V132" i="39" s="1"/>
  <c r="P141" i="39"/>
  <c r="T141" i="39"/>
  <c r="V141" i="39" s="1"/>
  <c r="P144" i="39"/>
  <c r="P145" i="39"/>
  <c r="P146" i="39"/>
  <c r="T146" i="39" s="1"/>
  <c r="V146" i="39" s="1"/>
  <c r="P147" i="39"/>
  <c r="T147" i="39" s="1"/>
  <c r="V147" i="39" s="1"/>
  <c r="P148" i="39"/>
  <c r="T148" i="39" s="1"/>
  <c r="V148" i="39" s="1"/>
  <c r="P149" i="39"/>
  <c r="T149" i="39" s="1"/>
  <c r="V149" i="39" s="1"/>
  <c r="T145" i="39"/>
  <c r="V145" i="39" s="1"/>
  <c r="T144" i="39"/>
  <c r="V144" i="39" s="1"/>
  <c r="P156" i="39"/>
  <c r="T156" i="39" s="1"/>
  <c r="V156" i="39" s="1"/>
  <c r="P159" i="39"/>
  <c r="T159" i="39" s="1"/>
  <c r="V159" i="39" s="1"/>
  <c r="P162" i="39"/>
  <c r="T162" i="39" s="1"/>
  <c r="V162" i="39" s="1"/>
  <c r="P165" i="39"/>
  <c r="T165" i="39" s="1"/>
  <c r="V165" i="39" s="1"/>
  <c r="T168" i="39"/>
  <c r="V168" i="39" s="1"/>
  <c r="P168" i="39"/>
  <c r="P171" i="39"/>
  <c r="T171" i="39" s="1"/>
  <c r="V171" i="39" s="1"/>
  <c r="P174" i="39"/>
  <c r="T174" i="39" s="1"/>
  <c r="V174" i="39" s="1"/>
  <c r="P180" i="39"/>
  <c r="T180" i="39" s="1"/>
  <c r="V180" i="39" s="1"/>
  <c r="P183" i="39"/>
  <c r="T183" i="39" s="1"/>
  <c r="V183" i="39" s="1"/>
  <c r="P186" i="39"/>
  <c r="T186" i="39" s="1"/>
  <c r="V186" i="39" s="1"/>
  <c r="P189" i="39"/>
  <c r="T189" i="39" s="1"/>
  <c r="V189" i="39" s="1"/>
  <c r="P192" i="39"/>
  <c r="T192" i="39" s="1"/>
  <c r="V192" i="39" s="1"/>
  <c r="P195" i="39"/>
  <c r="T195" i="39" s="1"/>
  <c r="V195" i="39" s="1"/>
  <c r="P198" i="39"/>
  <c r="T198" i="39" s="1"/>
  <c r="V198" i="39" s="1"/>
  <c r="P202" i="39"/>
  <c r="T202" i="39" s="1"/>
  <c r="V202" i="39" s="1"/>
  <c r="P2" i="39"/>
  <c r="T2" i="39" s="1"/>
  <c r="V2" i="39" s="1"/>
  <c r="J3" i="39"/>
  <c r="L3" i="39"/>
  <c r="N3" i="39"/>
  <c r="P3" i="39"/>
  <c r="T3" i="39"/>
  <c r="B7" i="39"/>
  <c r="A8" i="39"/>
  <c r="A6" i="39"/>
  <c r="A4" i="39"/>
  <c r="A5" i="39"/>
  <c r="B5" i="39"/>
  <c r="B4" i="39"/>
  <c r="A7" i="39"/>
  <c r="B6" i="39"/>
  <c r="S3" i="39" l="1"/>
  <c r="R3" i="39"/>
  <c r="J8" i="39"/>
  <c r="T13" i="39"/>
  <c r="S13" i="39" s="1"/>
  <c r="R13" i="39" s="1"/>
  <c r="J28" i="39"/>
  <c r="L28" i="39"/>
  <c r="P28" i="39" s="1"/>
  <c r="N28" i="39"/>
  <c r="R28" i="39"/>
  <c r="S28" i="39"/>
  <c r="J38" i="39"/>
  <c r="L38" i="39"/>
  <c r="N38" i="39"/>
  <c r="R38" i="39"/>
  <c r="S38" i="39"/>
  <c r="J43" i="39"/>
  <c r="L43" i="39"/>
  <c r="N43" i="39"/>
  <c r="P43" i="39" s="1"/>
  <c r="R43" i="39"/>
  <c r="S43" i="39"/>
  <c r="T43" i="39"/>
  <c r="V43" i="39"/>
  <c r="J50" i="39"/>
  <c r="L50" i="39"/>
  <c r="N50" i="39"/>
  <c r="R50" i="39"/>
  <c r="S50" i="39"/>
  <c r="J53" i="39"/>
  <c r="L53" i="39"/>
  <c r="N53" i="39"/>
  <c r="R53" i="39"/>
  <c r="S53" i="39"/>
  <c r="T53" i="39"/>
  <c r="V53" i="39"/>
  <c r="J91" i="39"/>
  <c r="L91" i="39"/>
  <c r="N91" i="39"/>
  <c r="R91" i="39"/>
  <c r="S91" i="39"/>
  <c r="V94" i="39"/>
  <c r="J94" i="39"/>
  <c r="L94" i="39"/>
  <c r="N94" i="39"/>
  <c r="R94" i="39"/>
  <c r="S94" i="39"/>
  <c r="T94" i="39"/>
  <c r="J98" i="39"/>
  <c r="P98" i="39" s="1"/>
  <c r="L98" i="39"/>
  <c r="N98" i="39"/>
  <c r="R98" i="39"/>
  <c r="S98" i="39"/>
  <c r="T98" i="39"/>
  <c r="V98" i="39"/>
  <c r="J105" i="39"/>
  <c r="L105" i="39"/>
  <c r="N105" i="39"/>
  <c r="R105" i="39"/>
  <c r="S105" i="39"/>
  <c r="J108" i="39"/>
  <c r="L108" i="39"/>
  <c r="N108" i="39"/>
  <c r="R108" i="39"/>
  <c r="S108" i="39"/>
  <c r="V111" i="39"/>
  <c r="J111" i="39"/>
  <c r="L111" i="39"/>
  <c r="N111" i="39"/>
  <c r="R111" i="39"/>
  <c r="S111" i="39"/>
  <c r="T111" i="39"/>
  <c r="J114" i="39"/>
  <c r="L114" i="39"/>
  <c r="N114" i="39"/>
  <c r="R114" i="39"/>
  <c r="S114" i="39"/>
  <c r="T114" i="39"/>
  <c r="V114" i="39"/>
  <c r="J117" i="39"/>
  <c r="L117" i="39"/>
  <c r="N117" i="39"/>
  <c r="R117" i="39"/>
  <c r="S117" i="39"/>
  <c r="J121" i="39"/>
  <c r="L121" i="39"/>
  <c r="N121" i="39"/>
  <c r="R121" i="39"/>
  <c r="S121" i="39"/>
  <c r="J127" i="39"/>
  <c r="L127" i="39"/>
  <c r="N127" i="39"/>
  <c r="R127" i="39"/>
  <c r="S127" i="39"/>
  <c r="T127" i="39"/>
  <c r="V127" i="39"/>
  <c r="J131" i="39"/>
  <c r="L131" i="39"/>
  <c r="N131" i="39"/>
  <c r="R131" i="39"/>
  <c r="S131" i="39"/>
  <c r="J140" i="39"/>
  <c r="L140" i="39"/>
  <c r="N140" i="39"/>
  <c r="R140" i="39"/>
  <c r="S140" i="39"/>
  <c r="J143" i="39"/>
  <c r="L143" i="39"/>
  <c r="N143" i="39"/>
  <c r="P143" i="39"/>
  <c r="R143" i="39"/>
  <c r="S143" i="39"/>
  <c r="T143" i="39"/>
  <c r="V143" i="39"/>
  <c r="J151" i="39"/>
  <c r="L151" i="39"/>
  <c r="N151" i="39"/>
  <c r="R151" i="39"/>
  <c r="R153" i="39" s="1"/>
  <c r="S151" i="39"/>
  <c r="J158" i="39"/>
  <c r="L158" i="39"/>
  <c r="N158" i="39"/>
  <c r="R158" i="39"/>
  <c r="S158" i="39"/>
  <c r="V161" i="39"/>
  <c r="J161" i="39"/>
  <c r="L161" i="39"/>
  <c r="N161" i="39"/>
  <c r="R161" i="39"/>
  <c r="S161" i="39"/>
  <c r="T161" i="39"/>
  <c r="J164" i="39"/>
  <c r="L164" i="39"/>
  <c r="N164" i="39"/>
  <c r="R164" i="39"/>
  <c r="S164" i="39"/>
  <c r="T164" i="39"/>
  <c r="V164" i="39"/>
  <c r="J167" i="39"/>
  <c r="L167" i="39"/>
  <c r="N167" i="39"/>
  <c r="R167" i="39"/>
  <c r="S167" i="39"/>
  <c r="J170" i="39"/>
  <c r="L170" i="39"/>
  <c r="N170" i="39"/>
  <c r="R170" i="39"/>
  <c r="S170" i="39"/>
  <c r="T173" i="39"/>
  <c r="J173" i="39"/>
  <c r="L173" i="39"/>
  <c r="N173" i="39"/>
  <c r="R173" i="39"/>
  <c r="S173" i="39"/>
  <c r="J176" i="39"/>
  <c r="L176" i="39"/>
  <c r="N176" i="39"/>
  <c r="R176" i="39"/>
  <c r="S176" i="39"/>
  <c r="T176" i="39"/>
  <c r="V176" i="39"/>
  <c r="J182" i="39"/>
  <c r="L182" i="39"/>
  <c r="N182" i="39"/>
  <c r="R182" i="39"/>
  <c r="S182" i="39"/>
  <c r="J185" i="39"/>
  <c r="L185" i="39"/>
  <c r="N185" i="39"/>
  <c r="R185" i="39"/>
  <c r="S185" i="39"/>
  <c r="V188" i="39"/>
  <c r="J188" i="39"/>
  <c r="L188" i="39"/>
  <c r="N188" i="39"/>
  <c r="R188" i="39"/>
  <c r="S188" i="39"/>
  <c r="T188" i="39"/>
  <c r="J191" i="39"/>
  <c r="L191" i="39"/>
  <c r="N191" i="39"/>
  <c r="R191" i="39"/>
  <c r="S191" i="39"/>
  <c r="T191" i="39"/>
  <c r="V191" i="39"/>
  <c r="J194" i="39"/>
  <c r="L194" i="39"/>
  <c r="N194" i="39"/>
  <c r="R194" i="39"/>
  <c r="S194" i="39"/>
  <c r="J197" i="39"/>
  <c r="L197" i="39"/>
  <c r="N197" i="39"/>
  <c r="R197" i="39"/>
  <c r="S197" i="39"/>
  <c r="T200" i="39"/>
  <c r="J200" i="39"/>
  <c r="L200" i="39"/>
  <c r="N200" i="39"/>
  <c r="R200" i="39"/>
  <c r="S200" i="39"/>
  <c r="J204" i="39"/>
  <c r="L204" i="39"/>
  <c r="N204" i="39"/>
  <c r="P204" i="39"/>
  <c r="R204" i="39"/>
  <c r="S204" i="39"/>
  <c r="T204" i="39"/>
  <c r="V204" i="39"/>
  <c r="J214" i="39"/>
  <c r="L214" i="39"/>
  <c r="N214" i="39"/>
  <c r="P214" i="39"/>
  <c r="R214" i="39"/>
  <c r="S214" i="39"/>
  <c r="T214" i="39"/>
  <c r="V214" i="39"/>
  <c r="P16" i="38"/>
  <c r="P17" i="38"/>
  <c r="T17" i="38" s="1"/>
  <c r="V17" i="38" s="1"/>
  <c r="P18" i="38"/>
  <c r="T18" i="38" s="1"/>
  <c r="V18" i="38" s="1"/>
  <c r="P19" i="38"/>
  <c r="P20" i="38"/>
  <c r="T20" i="38" s="1"/>
  <c r="V20" i="38" s="1"/>
  <c r="P21" i="38"/>
  <c r="P22" i="38"/>
  <c r="T22" i="38" s="1"/>
  <c r="V22" i="38" s="1"/>
  <c r="P23" i="38"/>
  <c r="T23" i="38" s="1"/>
  <c r="V23" i="38" s="1"/>
  <c r="P24" i="38"/>
  <c r="P25" i="38"/>
  <c r="T25" i="38"/>
  <c r="V25" i="38" s="1"/>
  <c r="T24" i="38"/>
  <c r="V24" i="38" s="1"/>
  <c r="T21" i="38"/>
  <c r="V21" i="38" s="1"/>
  <c r="T19" i="38"/>
  <c r="V19" i="38" s="1"/>
  <c r="T16" i="38"/>
  <c r="V16" i="38" s="1"/>
  <c r="P28" i="38"/>
  <c r="T28" i="38" s="1"/>
  <c r="V28" i="38" s="1"/>
  <c r="P29" i="38"/>
  <c r="P30" i="38"/>
  <c r="T30" i="38" s="1"/>
  <c r="V30" i="38" s="1"/>
  <c r="P31" i="38"/>
  <c r="P32" i="38"/>
  <c r="T32" i="38" s="1"/>
  <c r="V32" i="38" s="1"/>
  <c r="P33" i="38"/>
  <c r="T33" i="38" s="1"/>
  <c r="V33" i="38" s="1"/>
  <c r="P34" i="38"/>
  <c r="P35" i="38"/>
  <c r="T35" i="38"/>
  <c r="V35" i="38" s="1"/>
  <c r="T34" i="38"/>
  <c r="V34" i="38" s="1"/>
  <c r="T31" i="38"/>
  <c r="V31" i="38" s="1"/>
  <c r="T29" i="38"/>
  <c r="V29" i="38" s="1"/>
  <c r="P38" i="38"/>
  <c r="P39" i="38"/>
  <c r="T39" i="38" s="1"/>
  <c r="V39" i="38" s="1"/>
  <c r="P40" i="38"/>
  <c r="T40" i="38"/>
  <c r="V40" i="38" s="1"/>
  <c r="T38" i="38"/>
  <c r="V38" i="38" s="1"/>
  <c r="P43" i="38"/>
  <c r="P44" i="38"/>
  <c r="T44" i="38" s="1"/>
  <c r="V44" i="38" s="1"/>
  <c r="P45" i="38"/>
  <c r="T45" i="38" s="1"/>
  <c r="V45" i="38" s="1"/>
  <c r="T43" i="38"/>
  <c r="V43" i="38" s="1"/>
  <c r="P48" i="38"/>
  <c r="T48" i="38" s="1"/>
  <c r="V48" i="38" s="1"/>
  <c r="P55" i="38"/>
  <c r="T55" i="38" s="1"/>
  <c r="V55" i="38" s="1"/>
  <c r="P56" i="38"/>
  <c r="P57" i="38"/>
  <c r="T57" i="38" s="1"/>
  <c r="V57" i="38" s="1"/>
  <c r="P58" i="38"/>
  <c r="T58" i="38" s="1"/>
  <c r="V58" i="38" s="1"/>
  <c r="P59" i="38"/>
  <c r="T59" i="38" s="1"/>
  <c r="V59" i="38" s="1"/>
  <c r="P60" i="38"/>
  <c r="P61" i="38"/>
  <c r="T61" i="38" s="1"/>
  <c r="V61" i="38" s="1"/>
  <c r="P62" i="38"/>
  <c r="P63" i="38"/>
  <c r="T63" i="38" s="1"/>
  <c r="V63" i="38" s="1"/>
  <c r="P64" i="38"/>
  <c r="P65" i="38"/>
  <c r="T65" i="38" s="1"/>
  <c r="V65" i="38" s="1"/>
  <c r="P66" i="38"/>
  <c r="T66" i="38" s="1"/>
  <c r="V66" i="38" s="1"/>
  <c r="P67" i="38"/>
  <c r="T67" i="38" s="1"/>
  <c r="V67" i="38" s="1"/>
  <c r="P68" i="38"/>
  <c r="P69" i="38"/>
  <c r="T69" i="38" s="1"/>
  <c r="V69" i="38" s="1"/>
  <c r="P70" i="38"/>
  <c r="P71" i="38"/>
  <c r="T71" i="38" s="1"/>
  <c r="V71" i="38" s="1"/>
  <c r="P72" i="38"/>
  <c r="P73" i="38"/>
  <c r="T73" i="38" s="1"/>
  <c r="V73" i="38" s="1"/>
  <c r="P74" i="38"/>
  <c r="T74" i="38" s="1"/>
  <c r="V74" i="38" s="1"/>
  <c r="P75" i="38"/>
  <c r="T75" i="38" s="1"/>
  <c r="V75" i="38" s="1"/>
  <c r="P76" i="38"/>
  <c r="P77" i="38"/>
  <c r="T77" i="38" s="1"/>
  <c r="V77" i="38" s="1"/>
  <c r="P78" i="38"/>
  <c r="P79" i="38"/>
  <c r="T79" i="38" s="1"/>
  <c r="V79" i="38" s="1"/>
  <c r="P80" i="38"/>
  <c r="P81" i="38"/>
  <c r="T81" i="38" s="1"/>
  <c r="V81" i="38" s="1"/>
  <c r="P82" i="38"/>
  <c r="T82" i="38" s="1"/>
  <c r="V82" i="38" s="1"/>
  <c r="P83" i="38"/>
  <c r="T83" i="38" s="1"/>
  <c r="V83" i="38" s="1"/>
  <c r="P84" i="38"/>
  <c r="P85" i="38"/>
  <c r="T85" i="38" s="1"/>
  <c r="V85" i="38" s="1"/>
  <c r="P86" i="38"/>
  <c r="P87" i="38"/>
  <c r="T87" i="38" s="1"/>
  <c r="V87" i="38" s="1"/>
  <c r="P88" i="38"/>
  <c r="T88" i="38"/>
  <c r="V88" i="38" s="1"/>
  <c r="T86" i="38"/>
  <c r="V86" i="38" s="1"/>
  <c r="T84" i="38"/>
  <c r="V84" i="38" s="1"/>
  <c r="T80" i="38"/>
  <c r="V80" i="38" s="1"/>
  <c r="T78" i="38"/>
  <c r="V78" i="38" s="1"/>
  <c r="T76" i="38"/>
  <c r="V76" i="38" s="1"/>
  <c r="T72" i="38"/>
  <c r="V72" i="38" s="1"/>
  <c r="T70" i="38"/>
  <c r="V70" i="38" s="1"/>
  <c r="T68" i="38"/>
  <c r="V68" i="38" s="1"/>
  <c r="T64" i="38"/>
  <c r="V64" i="38" s="1"/>
  <c r="T62" i="38"/>
  <c r="V62" i="38" s="1"/>
  <c r="T60" i="38"/>
  <c r="V60" i="38" s="1"/>
  <c r="T56" i="38"/>
  <c r="V56" i="38" s="1"/>
  <c r="P91" i="38"/>
  <c r="T91" i="38" s="1"/>
  <c r="V91" i="38" s="1"/>
  <c r="P94" i="38"/>
  <c r="P95" i="38"/>
  <c r="T95" i="38"/>
  <c r="V95" i="38" s="1"/>
  <c r="T94" i="38"/>
  <c r="V94" i="38" s="1"/>
  <c r="P98" i="38"/>
  <c r="P99" i="38"/>
  <c r="T99" i="38" s="1"/>
  <c r="V99" i="38" s="1"/>
  <c r="P100" i="38"/>
  <c r="T100" i="38" s="1"/>
  <c r="V100" i="38" s="1"/>
  <c r="P101" i="38"/>
  <c r="T101" i="38" s="1"/>
  <c r="V101" i="38" s="1"/>
  <c r="P102" i="38"/>
  <c r="P103" i="38"/>
  <c r="T103" i="38" s="1"/>
  <c r="V103" i="38" s="1"/>
  <c r="P104" i="38"/>
  <c r="T104" i="38" s="1"/>
  <c r="V104" i="38" s="1"/>
  <c r="T102" i="38"/>
  <c r="V102" i="38" s="1"/>
  <c r="T98" i="38"/>
  <c r="V98" i="38" s="1"/>
  <c r="P107" i="38"/>
  <c r="T107" i="38" s="1"/>
  <c r="V107" i="38" s="1"/>
  <c r="P110" i="38"/>
  <c r="T110" i="38" s="1"/>
  <c r="V110" i="38" s="1"/>
  <c r="P113" i="38"/>
  <c r="T113" i="38" s="1"/>
  <c r="V113" i="38" s="1"/>
  <c r="P116" i="38"/>
  <c r="T116" i="38" s="1"/>
  <c r="V116" i="38" s="1"/>
  <c r="P119" i="38"/>
  <c r="T119" i="38" s="1"/>
  <c r="V119" i="38" s="1"/>
  <c r="P120" i="38"/>
  <c r="T120" i="38"/>
  <c r="V120" i="38" s="1"/>
  <c r="P126" i="38"/>
  <c r="T126" i="38" s="1"/>
  <c r="V126" i="38" s="1"/>
  <c r="P133" i="38"/>
  <c r="T133" i="38" s="1"/>
  <c r="V133" i="38" s="1"/>
  <c r="P134" i="38"/>
  <c r="P135" i="38"/>
  <c r="T135" i="38" s="1"/>
  <c r="V135" i="38" s="1"/>
  <c r="P136" i="38"/>
  <c r="T136" i="38" s="1"/>
  <c r="V136" i="38" s="1"/>
  <c r="P137" i="38"/>
  <c r="T137" i="38" s="1"/>
  <c r="V137" i="38" s="1"/>
  <c r="P138" i="38"/>
  <c r="T138" i="38" s="1"/>
  <c r="V138" i="38" s="1"/>
  <c r="P139" i="38"/>
  <c r="T139" i="38" s="1"/>
  <c r="V139" i="38" s="1"/>
  <c r="P140" i="38"/>
  <c r="T140" i="38" s="1"/>
  <c r="V140" i="38" s="1"/>
  <c r="T134" i="38"/>
  <c r="V134" i="38" s="1"/>
  <c r="P143" i="38"/>
  <c r="T143" i="38" s="1"/>
  <c r="V143" i="38" s="1"/>
  <c r="P146" i="38"/>
  <c r="T146" i="38" s="1"/>
  <c r="V146" i="38" s="1"/>
  <c r="P147" i="38"/>
  <c r="T147" i="38" s="1"/>
  <c r="V147" i="38" s="1"/>
  <c r="P148" i="38"/>
  <c r="P149" i="38"/>
  <c r="T149" i="38" s="1"/>
  <c r="V149" i="38" s="1"/>
  <c r="P150" i="38"/>
  <c r="T150" i="38" s="1"/>
  <c r="V150" i="38" s="1"/>
  <c r="T148" i="38"/>
  <c r="V148" i="38" s="1"/>
  <c r="P157" i="38"/>
  <c r="T157" i="38" s="1"/>
  <c r="V157" i="38" s="1"/>
  <c r="P160" i="38"/>
  <c r="T160" i="38" s="1"/>
  <c r="V160" i="38" s="1"/>
  <c r="P163" i="38"/>
  <c r="T163" i="38" s="1"/>
  <c r="V163" i="38" s="1"/>
  <c r="P166" i="38"/>
  <c r="T166" i="38" s="1"/>
  <c r="V166" i="38" s="1"/>
  <c r="P169" i="38"/>
  <c r="T169" i="38" s="1"/>
  <c r="V169" i="38" s="1"/>
  <c r="P172" i="38"/>
  <c r="T172" i="38" s="1"/>
  <c r="V172" i="38" s="1"/>
  <c r="P175" i="38"/>
  <c r="T175" i="38" s="1"/>
  <c r="V175" i="38" s="1"/>
  <c r="P181" i="38"/>
  <c r="T181" i="38" s="1"/>
  <c r="V181" i="38" s="1"/>
  <c r="P184" i="38"/>
  <c r="T184" i="38" s="1"/>
  <c r="V184" i="38" s="1"/>
  <c r="P187" i="38"/>
  <c r="T187" i="38" s="1"/>
  <c r="V187" i="38" s="1"/>
  <c r="P190" i="38"/>
  <c r="T190" i="38" s="1"/>
  <c r="V190" i="38" s="1"/>
  <c r="P193" i="38"/>
  <c r="T193" i="38" s="1"/>
  <c r="V193" i="38" s="1"/>
  <c r="P196" i="38"/>
  <c r="T196" i="38" s="1"/>
  <c r="V196" i="38" s="1"/>
  <c r="P199" i="38"/>
  <c r="T199" i="38" s="1"/>
  <c r="V199" i="38" s="1"/>
  <c r="P203" i="38"/>
  <c r="T203" i="38" s="1"/>
  <c r="V203" i="38" s="1"/>
  <c r="P2" i="38"/>
  <c r="T2" i="38" s="1"/>
  <c r="V2" i="38" s="1"/>
  <c r="J3" i="38"/>
  <c r="L3" i="38"/>
  <c r="N3" i="38"/>
  <c r="P3" i="38"/>
  <c r="T3" i="38"/>
  <c r="A4" i="38"/>
  <c r="A5" i="38"/>
  <c r="A6" i="38"/>
  <c r="B6" i="38"/>
  <c r="A7" i="38"/>
  <c r="B5" i="38"/>
  <c r="B4" i="38"/>
  <c r="R55" i="39" l="1"/>
  <c r="P127" i="39"/>
  <c r="P191" i="39"/>
  <c r="P182" i="39"/>
  <c r="P164" i="39"/>
  <c r="P158" i="39"/>
  <c r="P105" i="39"/>
  <c r="P91" i="39"/>
  <c r="P53" i="39"/>
  <c r="P176" i="39"/>
  <c r="P173" i="39"/>
  <c r="P167" i="39"/>
  <c r="P114" i="39"/>
  <c r="P94" i="39"/>
  <c r="S206" i="39"/>
  <c r="R178" i="39"/>
  <c r="P131" i="39"/>
  <c r="J55" i="39"/>
  <c r="P200" i="39"/>
  <c r="P197" i="39"/>
  <c r="J153" i="39"/>
  <c r="J178" i="39" s="1"/>
  <c r="N153" i="39"/>
  <c r="P50" i="39"/>
  <c r="N55" i="39"/>
  <c r="N123" i="39" s="1"/>
  <c r="P161" i="39"/>
  <c r="P194" i="39"/>
  <c r="P188" i="39"/>
  <c r="P185" i="39"/>
  <c r="L206" i="39"/>
  <c r="P170" i="39"/>
  <c r="P151" i="39"/>
  <c r="P140" i="39"/>
  <c r="P117" i="39"/>
  <c r="P108" i="39"/>
  <c r="P38" i="39"/>
  <c r="S153" i="39"/>
  <c r="S178" i="39" s="1"/>
  <c r="P111" i="39"/>
  <c r="R206" i="39"/>
  <c r="P121" i="39"/>
  <c r="R123" i="39"/>
  <c r="S55" i="39"/>
  <c r="S123" i="39" s="1"/>
  <c r="T197" i="39"/>
  <c r="V197" i="39"/>
  <c r="V117" i="39"/>
  <c r="T117" i="39"/>
  <c r="V91" i="39"/>
  <c r="T91" i="39"/>
  <c r="V182" i="39"/>
  <c r="T182" i="39"/>
  <c r="T170" i="39"/>
  <c r="V170" i="39"/>
  <c r="V140" i="39"/>
  <c r="T140" i="39"/>
  <c r="T108" i="39"/>
  <c r="V108" i="39"/>
  <c r="T38" i="39"/>
  <c r="T158" i="39"/>
  <c r="V158" i="39"/>
  <c r="T121" i="39"/>
  <c r="V121" i="39"/>
  <c r="V50" i="39"/>
  <c r="T50" i="39"/>
  <c r="V38" i="39"/>
  <c r="T194" i="39"/>
  <c r="V194" i="39"/>
  <c r="T185" i="39"/>
  <c r="V185" i="39"/>
  <c r="N178" i="39"/>
  <c r="V167" i="39"/>
  <c r="T167" i="39"/>
  <c r="V151" i="39"/>
  <c r="T151" i="39"/>
  <c r="V131" i="39"/>
  <c r="T131" i="39"/>
  <c r="V105" i="39"/>
  <c r="T105" i="39"/>
  <c r="V28" i="39"/>
  <c r="T28" i="39"/>
  <c r="N206" i="39"/>
  <c r="J123" i="39"/>
  <c r="L55" i="39"/>
  <c r="L123" i="39" s="1"/>
  <c r="J206" i="39"/>
  <c r="V200" i="39"/>
  <c r="V173" i="39"/>
  <c r="L153" i="39"/>
  <c r="L178" i="39" s="1"/>
  <c r="B7" i="38"/>
  <c r="A8" i="38"/>
  <c r="P55" i="39" l="1"/>
  <c r="P123" i="39"/>
  <c r="P206" i="39"/>
  <c r="S208" i="39"/>
  <c r="S210" i="39" s="1"/>
  <c r="L208" i="39"/>
  <c r="L210" i="39" s="1"/>
  <c r="N208" i="39"/>
  <c r="N210" i="39" s="1"/>
  <c r="P153" i="39"/>
  <c r="P178" i="39" s="1"/>
  <c r="T153" i="39"/>
  <c r="R208" i="39"/>
  <c r="R210" i="39" s="1"/>
  <c r="V55" i="39"/>
  <c r="V123" i="39" s="1"/>
  <c r="J208" i="39"/>
  <c r="J210" i="39" s="1"/>
  <c r="T178" i="39"/>
  <c r="V153" i="39"/>
  <c r="V178" i="39" s="1"/>
  <c r="T206" i="39"/>
  <c r="T55" i="39"/>
  <c r="T123" i="39" s="1"/>
  <c r="V206" i="39"/>
  <c r="S3" i="38"/>
  <c r="R3" i="38"/>
  <c r="J8" i="38"/>
  <c r="T13" i="38"/>
  <c r="S13" i="38" s="1"/>
  <c r="R13" i="38" s="1"/>
  <c r="J27" i="38"/>
  <c r="L27" i="38"/>
  <c r="N27" i="38"/>
  <c r="R27" i="38"/>
  <c r="S27" i="38"/>
  <c r="J37" i="38"/>
  <c r="P37" i="38" s="1"/>
  <c r="L37" i="38"/>
  <c r="N37" i="38"/>
  <c r="N52" i="38" s="1"/>
  <c r="R37" i="38"/>
  <c r="S37" i="38"/>
  <c r="J42" i="38"/>
  <c r="L42" i="38"/>
  <c r="N42" i="38"/>
  <c r="R42" i="38"/>
  <c r="S42" i="38"/>
  <c r="J47" i="38"/>
  <c r="P47" i="38" s="1"/>
  <c r="L47" i="38"/>
  <c r="N47" i="38"/>
  <c r="R47" i="38"/>
  <c r="S47" i="38"/>
  <c r="J50" i="38"/>
  <c r="L50" i="38"/>
  <c r="N50" i="38"/>
  <c r="R50" i="38"/>
  <c r="S50" i="38"/>
  <c r="J90" i="38"/>
  <c r="L90" i="38"/>
  <c r="N90" i="38"/>
  <c r="R90" i="38"/>
  <c r="S90" i="38"/>
  <c r="J93" i="38"/>
  <c r="L93" i="38"/>
  <c r="N93" i="38"/>
  <c r="R93" i="38"/>
  <c r="S93" i="38"/>
  <c r="V97" i="38"/>
  <c r="J97" i="38"/>
  <c r="L97" i="38"/>
  <c r="N97" i="38"/>
  <c r="R97" i="38"/>
  <c r="S97" i="38"/>
  <c r="T97" i="38"/>
  <c r="J106" i="38"/>
  <c r="P106" i="38" s="1"/>
  <c r="L106" i="38"/>
  <c r="N106" i="38"/>
  <c r="R106" i="38"/>
  <c r="S106" i="38"/>
  <c r="T106" i="38"/>
  <c r="V106" i="38"/>
  <c r="J109" i="38"/>
  <c r="L109" i="38"/>
  <c r="N109" i="38"/>
  <c r="R109" i="38"/>
  <c r="S109" i="38"/>
  <c r="J112" i="38"/>
  <c r="L112" i="38"/>
  <c r="N112" i="38"/>
  <c r="R112" i="38"/>
  <c r="S112" i="38"/>
  <c r="V115" i="38"/>
  <c r="J115" i="38"/>
  <c r="L115" i="38"/>
  <c r="N115" i="38"/>
  <c r="R115" i="38"/>
  <c r="S115" i="38"/>
  <c r="T115" i="38"/>
  <c r="J118" i="38"/>
  <c r="L118" i="38"/>
  <c r="N118" i="38"/>
  <c r="R118" i="38"/>
  <c r="S118" i="38"/>
  <c r="T118" i="38"/>
  <c r="V118" i="38"/>
  <c r="J122" i="38"/>
  <c r="L122" i="38"/>
  <c r="N122" i="38"/>
  <c r="R122" i="38"/>
  <c r="S122" i="38"/>
  <c r="V128" i="38"/>
  <c r="J128" i="38"/>
  <c r="L128" i="38"/>
  <c r="N128" i="38"/>
  <c r="R128" i="38"/>
  <c r="S128" i="38"/>
  <c r="T128" i="38"/>
  <c r="J132" i="38"/>
  <c r="P132" i="38" s="1"/>
  <c r="L132" i="38"/>
  <c r="N132" i="38"/>
  <c r="R132" i="38"/>
  <c r="R154" i="38" s="1"/>
  <c r="S132" i="38"/>
  <c r="T132" i="38"/>
  <c r="V132" i="38"/>
  <c r="J142" i="38"/>
  <c r="L142" i="38"/>
  <c r="N142" i="38"/>
  <c r="R142" i="38"/>
  <c r="S142" i="38"/>
  <c r="J145" i="38"/>
  <c r="P145" i="38" s="1"/>
  <c r="L145" i="38"/>
  <c r="N145" i="38"/>
  <c r="R145" i="38"/>
  <c r="S145" i="38"/>
  <c r="T145" i="38"/>
  <c r="V145" i="38"/>
  <c r="J152" i="38"/>
  <c r="L152" i="38"/>
  <c r="N152" i="38"/>
  <c r="R152" i="38"/>
  <c r="S152" i="38"/>
  <c r="J159" i="38"/>
  <c r="L159" i="38"/>
  <c r="N159" i="38"/>
  <c r="R159" i="38"/>
  <c r="S159" i="38"/>
  <c r="V162" i="38"/>
  <c r="J162" i="38"/>
  <c r="L162" i="38"/>
  <c r="N162" i="38"/>
  <c r="R162" i="38"/>
  <c r="S162" i="38"/>
  <c r="T162" i="38"/>
  <c r="J165" i="38"/>
  <c r="P165" i="38" s="1"/>
  <c r="L165" i="38"/>
  <c r="N165" i="38"/>
  <c r="R165" i="38"/>
  <c r="S165" i="38"/>
  <c r="T165" i="38"/>
  <c r="V165" i="38"/>
  <c r="J168" i="38"/>
  <c r="L168" i="38"/>
  <c r="N168" i="38"/>
  <c r="R168" i="38"/>
  <c r="S168" i="38"/>
  <c r="J171" i="38"/>
  <c r="L171" i="38"/>
  <c r="N171" i="38"/>
  <c r="R171" i="38"/>
  <c r="S171" i="38"/>
  <c r="V174" i="38"/>
  <c r="J174" i="38"/>
  <c r="L174" i="38"/>
  <c r="N174" i="38"/>
  <c r="R174" i="38"/>
  <c r="S174" i="38"/>
  <c r="T174" i="38"/>
  <c r="J177" i="38"/>
  <c r="P177" i="38" s="1"/>
  <c r="L177" i="38"/>
  <c r="N177" i="38"/>
  <c r="R177" i="38"/>
  <c r="S177" i="38"/>
  <c r="T177" i="38"/>
  <c r="V177" i="38"/>
  <c r="J183" i="38"/>
  <c r="L183" i="38"/>
  <c r="N183" i="38"/>
  <c r="R183" i="38"/>
  <c r="S183" i="38"/>
  <c r="J186" i="38"/>
  <c r="P186" i="38" s="1"/>
  <c r="L186" i="38"/>
  <c r="N186" i="38"/>
  <c r="R186" i="38"/>
  <c r="S186" i="38"/>
  <c r="J189" i="38"/>
  <c r="L189" i="38"/>
  <c r="N189" i="38"/>
  <c r="R189" i="38"/>
  <c r="S189" i="38"/>
  <c r="V192" i="38"/>
  <c r="J192" i="38"/>
  <c r="L192" i="38"/>
  <c r="N192" i="38"/>
  <c r="R192" i="38"/>
  <c r="S192" i="38"/>
  <c r="T192" i="38"/>
  <c r="T195" i="38"/>
  <c r="J195" i="38"/>
  <c r="L195" i="38"/>
  <c r="N195" i="38"/>
  <c r="R195" i="38"/>
  <c r="S195" i="38"/>
  <c r="J198" i="38"/>
  <c r="L198" i="38"/>
  <c r="N198" i="38"/>
  <c r="R198" i="38"/>
  <c r="S198" i="38"/>
  <c r="J201" i="38"/>
  <c r="L201" i="38"/>
  <c r="N201" i="38"/>
  <c r="R201" i="38"/>
  <c r="S201" i="38"/>
  <c r="V205" i="38"/>
  <c r="J205" i="38"/>
  <c r="L205" i="38"/>
  <c r="N205" i="38"/>
  <c r="R205" i="38"/>
  <c r="S205" i="38"/>
  <c r="T205" i="38"/>
  <c r="J215" i="38"/>
  <c r="L215" i="38"/>
  <c r="N215" i="38"/>
  <c r="P215" i="38"/>
  <c r="R215" i="38"/>
  <c r="S215" i="38"/>
  <c r="T215" i="38"/>
  <c r="V215" i="38"/>
  <c r="P27" i="38" l="1"/>
  <c r="L52" i="38"/>
  <c r="L124" i="38" s="1"/>
  <c r="S52" i="38"/>
  <c r="S124" i="38" s="1"/>
  <c r="P118" i="38"/>
  <c r="J154" i="38"/>
  <c r="P208" i="39"/>
  <c r="P210" i="39" s="1"/>
  <c r="V208" i="39"/>
  <c r="V210" i="39" s="1"/>
  <c r="T208" i="39"/>
  <c r="T210" i="39" s="1"/>
  <c r="P198" i="38"/>
  <c r="P183" i="38"/>
  <c r="P128" i="38"/>
  <c r="P195" i="38"/>
  <c r="P162" i="38"/>
  <c r="P201" i="38"/>
  <c r="P171" i="38"/>
  <c r="P152" i="38"/>
  <c r="P142" i="38"/>
  <c r="P115" i="38"/>
  <c r="P109" i="38"/>
  <c r="N124" i="38"/>
  <c r="P93" i="38"/>
  <c r="P50" i="38"/>
  <c r="P52" i="38" s="1"/>
  <c r="P124" i="38" s="1"/>
  <c r="P205" i="38"/>
  <c r="P192" i="38"/>
  <c r="P174" i="38"/>
  <c r="P168" i="38"/>
  <c r="J179" i="38"/>
  <c r="S154" i="38"/>
  <c r="S179" i="38" s="1"/>
  <c r="P97" i="38"/>
  <c r="P90" i="38"/>
  <c r="R179" i="38"/>
  <c r="R209" i="38" s="1"/>
  <c r="N154" i="38"/>
  <c r="N179" i="38" s="1"/>
  <c r="P122" i="38"/>
  <c r="P112" i="38"/>
  <c r="P42" i="38"/>
  <c r="R52" i="38"/>
  <c r="R124" i="38" s="1"/>
  <c r="P189" i="38"/>
  <c r="L207" i="38"/>
  <c r="T186" i="38"/>
  <c r="V186" i="38"/>
  <c r="T171" i="38"/>
  <c r="V171" i="38"/>
  <c r="V109" i="38"/>
  <c r="T109" i="38"/>
  <c r="V90" i="38"/>
  <c r="V47" i="38"/>
  <c r="T47" i="38"/>
  <c r="T201" i="38"/>
  <c r="V201" i="38"/>
  <c r="S207" i="38"/>
  <c r="V142" i="38"/>
  <c r="T142" i="38"/>
  <c r="V122" i="38"/>
  <c r="T122" i="38"/>
  <c r="T93" i="38"/>
  <c r="V93" i="38"/>
  <c r="V37" i="38"/>
  <c r="T37" i="38"/>
  <c r="T189" i="38"/>
  <c r="V189" i="38"/>
  <c r="R207" i="38"/>
  <c r="J207" i="38"/>
  <c r="V168" i="38"/>
  <c r="T168" i="38"/>
  <c r="V152" i="38"/>
  <c r="T152" i="38"/>
  <c r="T154" i="38" s="1"/>
  <c r="T112" i="38"/>
  <c r="V112" i="38"/>
  <c r="T50" i="38"/>
  <c r="V50" i="38"/>
  <c r="T42" i="38"/>
  <c r="V42" i="38"/>
  <c r="V27" i="38"/>
  <c r="T27" i="38"/>
  <c r="N207" i="38"/>
  <c r="N209" i="38" s="1"/>
  <c r="T198" i="38"/>
  <c r="V198" i="38"/>
  <c r="V195" i="38"/>
  <c r="V183" i="38"/>
  <c r="T183" i="38"/>
  <c r="T159" i="38"/>
  <c r="V159" i="38"/>
  <c r="P159" i="38"/>
  <c r="T90" i="38"/>
  <c r="J52" i="38"/>
  <c r="J124" i="38" s="1"/>
  <c r="L154" i="38"/>
  <c r="L179" i="38" s="1"/>
  <c r="L209" i="38" s="1"/>
  <c r="N211" i="38" l="1"/>
  <c r="L211" i="38"/>
  <c r="P154" i="38"/>
  <c r="J209" i="38"/>
  <c r="S209" i="38"/>
  <c r="S211" i="38" s="1"/>
  <c r="P179" i="38"/>
  <c r="P209" i="38" s="1"/>
  <c r="P211" i="38" s="1"/>
  <c r="T179" i="38"/>
  <c r="T52" i="38"/>
  <c r="T124" i="38" s="1"/>
  <c r="R211" i="38"/>
  <c r="V52" i="38"/>
  <c r="V124" i="38" s="1"/>
  <c r="P207" i="38"/>
  <c r="J211" i="38"/>
  <c r="T207" i="38"/>
  <c r="V207" i="38"/>
  <c r="V154" i="38"/>
  <c r="V179" i="38" s="1"/>
  <c r="V209" i="38" l="1"/>
  <c r="V211" i="38" s="1"/>
  <c r="T209" i="38"/>
  <c r="T211" i="38" s="1"/>
  <c r="E31" i="12" l="1"/>
  <c r="N26" i="8" l="1"/>
  <c r="I24" i="8"/>
  <c r="J24" i="8"/>
  <c r="K24" i="8"/>
  <c r="L24" i="8"/>
  <c r="M24" i="8"/>
  <c r="I25" i="8"/>
  <c r="J25" i="8"/>
  <c r="K25" i="8"/>
  <c r="L25" i="8"/>
  <c r="M25" i="8"/>
  <c r="H26" i="8"/>
  <c r="I26" i="8"/>
  <c r="J26" i="8"/>
  <c r="K26" i="8"/>
  <c r="L26" i="8"/>
  <c r="M26" i="8"/>
  <c r="H27" i="8"/>
  <c r="I27" i="8"/>
  <c r="J27" i="8"/>
  <c r="K27" i="8"/>
  <c r="L27" i="8"/>
  <c r="M27" i="8"/>
  <c r="H28" i="8"/>
  <c r="I28" i="8"/>
  <c r="J28" i="8"/>
  <c r="K28" i="8"/>
  <c r="L28" i="8"/>
  <c r="M28" i="8"/>
  <c r="H29" i="8"/>
  <c r="I29" i="8"/>
  <c r="J29" i="8"/>
  <c r="K29" i="8"/>
  <c r="L29" i="8"/>
  <c r="M29" i="8"/>
  <c r="G25" i="8"/>
  <c r="G26" i="8"/>
  <c r="G27" i="8"/>
  <c r="G28" i="8"/>
  <c r="G29" i="8"/>
  <c r="G24" i="8"/>
  <c r="F14" i="8"/>
  <c r="K30" i="8" l="1"/>
  <c r="L30" i="8"/>
  <c r="J30" i="8"/>
  <c r="H30" i="8"/>
  <c r="M30" i="8"/>
  <c r="I30" i="8"/>
  <c r="G30" i="8"/>
  <c r="O105" i="1" l="1"/>
  <c r="O107" i="1"/>
  <c r="O109" i="1"/>
  <c r="O110" i="1"/>
  <c r="Q111" i="1"/>
  <c r="G111" i="1"/>
  <c r="B24" i="21"/>
  <c r="D110" i="1" s="1"/>
  <c r="B25" i="21"/>
  <c r="D105" i="1" s="1"/>
  <c r="E105" i="1" s="1"/>
  <c r="B29" i="21"/>
  <c r="Z56" i="37"/>
  <c r="Z55" i="37"/>
  <c r="Z54" i="37"/>
  <c r="Z53" i="37"/>
  <c r="Z50" i="37"/>
  <c r="Z49" i="37"/>
  <c r="Z48" i="37"/>
  <c r="Z47" i="37"/>
  <c r="Z44" i="37"/>
  <c r="Z43" i="37"/>
  <c r="Z42" i="37"/>
  <c r="Z41" i="37"/>
  <c r="Z38" i="37"/>
  <c r="Z37" i="37"/>
  <c r="Z36" i="37"/>
  <c r="Z35" i="37"/>
  <c r="Z32" i="37"/>
  <c r="Z31" i="37"/>
  <c r="Z30" i="37"/>
  <c r="Z29" i="37"/>
  <c r="Z26" i="37"/>
  <c r="Z25" i="37"/>
  <c r="Z24" i="37"/>
  <c r="Z23" i="37"/>
  <c r="Z20" i="37"/>
  <c r="Z19" i="37"/>
  <c r="H19" i="37"/>
  <c r="E19" i="37"/>
  <c r="Z18" i="37"/>
  <c r="E18" i="37"/>
  <c r="Z17" i="37"/>
  <c r="E17" i="37"/>
  <c r="Z14" i="37"/>
  <c r="Z13" i="37"/>
  <c r="Z12" i="37"/>
  <c r="Z11" i="37"/>
  <c r="Z8" i="37"/>
  <c r="Z7" i="37"/>
  <c r="Z6" i="37"/>
  <c r="Z5" i="37"/>
  <c r="H19" i="26"/>
  <c r="H19" i="25"/>
  <c r="E18" i="26"/>
  <c r="E19" i="26"/>
  <c r="E17" i="26"/>
  <c r="E18" i="25"/>
  <c r="E19" i="25"/>
  <c r="E17" i="25"/>
  <c r="E19" i="24"/>
  <c r="E18" i="24"/>
  <c r="E17" i="24"/>
  <c r="B67" i="36"/>
  <c r="B64" i="36"/>
  <c r="B65" i="36"/>
  <c r="C59" i="36"/>
  <c r="C58" i="36"/>
  <c r="B60" i="36"/>
  <c r="B59" i="36"/>
  <c r="B58" i="36"/>
  <c r="D26" i="35"/>
  <c r="D33" i="35" s="1"/>
  <c r="D37" i="35" s="1"/>
  <c r="D41" i="35" s="1"/>
  <c r="H110" i="1" l="1"/>
  <c r="L110" i="1"/>
  <c r="L111" i="1" s="1"/>
  <c r="E110" i="1"/>
  <c r="H105" i="1"/>
  <c r="K105" i="1" s="1"/>
  <c r="T105" i="1" s="1"/>
  <c r="B71" i="8"/>
  <c r="B72" i="8"/>
  <c r="B77" i="8"/>
  <c r="B78" i="8"/>
  <c r="T110" i="1" l="1"/>
  <c r="N110" i="1"/>
  <c r="N105" i="1"/>
  <c r="B73" i="8"/>
  <c r="C71" i="8" s="1"/>
  <c r="B79" i="8"/>
  <c r="C78" i="8" s="1"/>
  <c r="C72" i="8" l="1"/>
  <c r="C77" i="8"/>
  <c r="E13" i="21"/>
  <c r="E12" i="21"/>
  <c r="E10" i="21"/>
  <c r="E11" i="21"/>
  <c r="E9" i="21"/>
  <c r="Q231" i="1"/>
  <c r="P231" i="1"/>
  <c r="P116" i="1"/>
  <c r="D83" i="34" l="1"/>
  <c r="H32" i="34"/>
  <c r="G32" i="34"/>
  <c r="Q69" i="34"/>
  <c r="N69" i="34"/>
  <c r="K68" i="34"/>
  <c r="D69" i="34"/>
  <c r="G69" i="34"/>
  <c r="M78" i="34"/>
  <c r="L78" i="34"/>
  <c r="J78" i="34"/>
  <c r="I78" i="34"/>
  <c r="F78" i="34"/>
  <c r="E78" i="34"/>
  <c r="C78" i="34"/>
  <c r="B30" i="21" s="1"/>
  <c r="D109" i="1" s="1"/>
  <c r="D108" i="1" s="1"/>
  <c r="B78" i="34"/>
  <c r="Q76" i="34"/>
  <c r="P76" i="34"/>
  <c r="N76" i="34"/>
  <c r="K76" i="34"/>
  <c r="G76" i="34"/>
  <c r="D76" i="34"/>
  <c r="Q75" i="34"/>
  <c r="P75" i="34"/>
  <c r="N75" i="34"/>
  <c r="K75" i="34"/>
  <c r="G75" i="34"/>
  <c r="D75" i="34"/>
  <c r="Q74" i="34"/>
  <c r="P74" i="34"/>
  <c r="N74" i="34"/>
  <c r="K74" i="34"/>
  <c r="G74" i="34"/>
  <c r="D74" i="34"/>
  <c r="Q73" i="34"/>
  <c r="P73" i="34"/>
  <c r="N73" i="34"/>
  <c r="K73" i="34"/>
  <c r="G73" i="34"/>
  <c r="D73" i="34"/>
  <c r="Q72" i="34"/>
  <c r="P72" i="34"/>
  <c r="N72" i="34"/>
  <c r="K72" i="34"/>
  <c r="G72" i="34"/>
  <c r="D72" i="34"/>
  <c r="Q71" i="34"/>
  <c r="P71" i="34"/>
  <c r="N71" i="34"/>
  <c r="K71" i="34"/>
  <c r="G71" i="34"/>
  <c r="D71" i="34"/>
  <c r="Q70" i="34"/>
  <c r="P70" i="34"/>
  <c r="N70" i="34"/>
  <c r="K70" i="34"/>
  <c r="G70" i="34"/>
  <c r="D70" i="34"/>
  <c r="P69" i="34"/>
  <c r="K69" i="34"/>
  <c r="Q68" i="34"/>
  <c r="P68" i="34"/>
  <c r="N68" i="34"/>
  <c r="G68" i="34"/>
  <c r="D68" i="34"/>
  <c r="Q67" i="34"/>
  <c r="P67" i="34"/>
  <c r="N67" i="34"/>
  <c r="K67" i="34"/>
  <c r="G67" i="34"/>
  <c r="D67" i="34"/>
  <c r="Q66" i="34"/>
  <c r="P66" i="34"/>
  <c r="N66" i="34"/>
  <c r="K66" i="34"/>
  <c r="G66" i="34"/>
  <c r="D66" i="34"/>
  <c r="Q65" i="34"/>
  <c r="P65" i="34"/>
  <c r="N65" i="34"/>
  <c r="K65" i="34"/>
  <c r="G65" i="34"/>
  <c r="D65" i="34"/>
  <c r="Q64" i="34"/>
  <c r="P64" i="34"/>
  <c r="N64" i="34"/>
  <c r="K64" i="34"/>
  <c r="G64" i="34"/>
  <c r="D64" i="34"/>
  <c r="Q63" i="34"/>
  <c r="P63" i="34"/>
  <c r="N63" i="34"/>
  <c r="K63" i="34"/>
  <c r="G63" i="34"/>
  <c r="D63" i="34"/>
  <c r="Q62" i="34"/>
  <c r="P62" i="34"/>
  <c r="N62" i="34"/>
  <c r="K62" i="34"/>
  <c r="G62" i="34"/>
  <c r="D62" i="34"/>
  <c r="Q61" i="34"/>
  <c r="P61" i="34"/>
  <c r="N61" i="34"/>
  <c r="K61" i="34"/>
  <c r="G61" i="34"/>
  <c r="D61" i="34"/>
  <c r="Q60" i="34"/>
  <c r="P60" i="34"/>
  <c r="N60" i="34"/>
  <c r="K60" i="34"/>
  <c r="G60" i="34"/>
  <c r="D60" i="34"/>
  <c r="Q59" i="34"/>
  <c r="P59" i="34"/>
  <c r="N59" i="34"/>
  <c r="K59" i="34"/>
  <c r="G59" i="34"/>
  <c r="D59" i="34"/>
  <c r="Q58" i="34"/>
  <c r="P58" i="34"/>
  <c r="N58" i="34"/>
  <c r="K58" i="34"/>
  <c r="G58" i="34"/>
  <c r="D58" i="34"/>
  <c r="Q57" i="34"/>
  <c r="P57" i="34"/>
  <c r="N57" i="34"/>
  <c r="K57" i="34"/>
  <c r="G57" i="34"/>
  <c r="D57" i="34"/>
  <c r="Q56" i="34"/>
  <c r="P56" i="34"/>
  <c r="N56" i="34"/>
  <c r="K56" i="34"/>
  <c r="G56" i="34"/>
  <c r="D56" i="34"/>
  <c r="Q55" i="34"/>
  <c r="P55" i="34"/>
  <c r="N55" i="34"/>
  <c r="K55" i="34"/>
  <c r="G55" i="34"/>
  <c r="D55" i="34"/>
  <c r="Q54" i="34"/>
  <c r="P54" i="34"/>
  <c r="N54" i="34"/>
  <c r="K54" i="34"/>
  <c r="G54" i="34"/>
  <c r="D54" i="34"/>
  <c r="Q53" i="34"/>
  <c r="P53" i="34"/>
  <c r="N53" i="34"/>
  <c r="K53" i="34"/>
  <c r="G53" i="34"/>
  <c r="D53" i="34"/>
  <c r="Q52" i="34"/>
  <c r="P52" i="34"/>
  <c r="N52" i="34"/>
  <c r="K52" i="34"/>
  <c r="G52" i="34"/>
  <c r="D52" i="34"/>
  <c r="Q51" i="34"/>
  <c r="P51" i="34"/>
  <c r="N51" i="34"/>
  <c r="K51" i="34"/>
  <c r="G51" i="34"/>
  <c r="D51" i="34"/>
  <c r="Q50" i="34"/>
  <c r="P50" i="34"/>
  <c r="N50" i="34"/>
  <c r="K50" i="34"/>
  <c r="G50" i="34"/>
  <c r="D50" i="34"/>
  <c r="E40" i="34"/>
  <c r="D40" i="34"/>
  <c r="C40" i="34"/>
  <c r="B40" i="34"/>
  <c r="H38" i="34"/>
  <c r="G38" i="34"/>
  <c r="H37" i="34"/>
  <c r="G37" i="34"/>
  <c r="H36" i="34"/>
  <c r="G36" i="34"/>
  <c r="H35" i="34"/>
  <c r="G35" i="34"/>
  <c r="H34" i="34"/>
  <c r="G34" i="34"/>
  <c r="H33" i="34"/>
  <c r="G33" i="34"/>
  <c r="H31" i="34"/>
  <c r="G31" i="34"/>
  <c r="H30" i="34"/>
  <c r="G30" i="34"/>
  <c r="H29" i="34"/>
  <c r="G29" i="34"/>
  <c r="H28" i="34"/>
  <c r="G28" i="34"/>
  <c r="A28" i="34"/>
  <c r="A29" i="34" s="1"/>
  <c r="A30" i="34" s="1"/>
  <c r="A31" i="34" s="1"/>
  <c r="A32" i="34" s="1"/>
  <c r="A33" i="34" s="1"/>
  <c r="A34" i="34" s="1"/>
  <c r="A35" i="34" s="1"/>
  <c r="A36" i="34" s="1"/>
  <c r="A37" i="34" s="1"/>
  <c r="A38" i="34" s="1"/>
  <c r="H27" i="34"/>
  <c r="G27" i="34"/>
  <c r="H26" i="34"/>
  <c r="G26" i="34"/>
  <c r="H25" i="34"/>
  <c r="G25" i="34"/>
  <c r="H24" i="34"/>
  <c r="G24" i="34"/>
  <c r="H23" i="34"/>
  <c r="G23" i="34"/>
  <c r="H22" i="34"/>
  <c r="G22" i="34"/>
  <c r="H21" i="34"/>
  <c r="G21" i="34"/>
  <c r="H20" i="34"/>
  <c r="G20" i="34"/>
  <c r="H19" i="34"/>
  <c r="G19" i="34"/>
  <c r="H18" i="34"/>
  <c r="G18" i="34"/>
  <c r="H17" i="34"/>
  <c r="G17" i="34"/>
  <c r="C16" i="34"/>
  <c r="B16" i="34" s="1"/>
  <c r="G16" i="34" s="1"/>
  <c r="H15" i="34"/>
  <c r="G15" i="34"/>
  <c r="H14" i="34"/>
  <c r="G14" i="34"/>
  <c r="C13" i="34"/>
  <c r="H13" i="34" s="1"/>
  <c r="B13" i="34"/>
  <c r="C12" i="34"/>
  <c r="H12" i="34" s="1"/>
  <c r="B12" i="34"/>
  <c r="G12" i="34" s="1"/>
  <c r="N78" i="34" l="1"/>
  <c r="H16" i="34"/>
  <c r="G13" i="34"/>
  <c r="G78" i="34"/>
  <c r="D107" i="1"/>
  <c r="T107" i="1" s="1"/>
  <c r="Q78" i="34"/>
  <c r="G40" i="34"/>
  <c r="P78" i="34"/>
  <c r="K78" i="34"/>
  <c r="D78" i="34"/>
  <c r="H40" i="34"/>
  <c r="D106" i="1" l="1"/>
  <c r="E107" i="1"/>
  <c r="H107" i="1"/>
  <c r="N107" i="1" s="1"/>
  <c r="AS41" i="33"/>
  <c r="AQ41" i="33"/>
  <c r="AS40" i="33"/>
  <c r="AQ40" i="33"/>
  <c r="AS39" i="33"/>
  <c r="AQ39" i="33"/>
  <c r="AS38" i="33"/>
  <c r="AQ38" i="33"/>
  <c r="AS37" i="33"/>
  <c r="AQ37" i="33"/>
  <c r="AS36" i="33"/>
  <c r="AQ36" i="33"/>
  <c r="AS35" i="33"/>
  <c r="AQ35" i="33"/>
  <c r="AS34" i="33"/>
  <c r="AQ34" i="33"/>
  <c r="AS33" i="33"/>
  <c r="AQ33" i="33"/>
  <c r="AS32" i="33"/>
  <c r="AQ32" i="33"/>
  <c r="AS31" i="33"/>
  <c r="AQ31" i="33"/>
  <c r="AS30" i="33"/>
  <c r="AQ30" i="33"/>
  <c r="AS29" i="33"/>
  <c r="AQ29" i="33"/>
  <c r="AS28" i="33"/>
  <c r="AQ28" i="33"/>
  <c r="AS27" i="33"/>
  <c r="AQ27" i="33"/>
  <c r="AS26" i="33"/>
  <c r="AQ26" i="33"/>
  <c r="AS25" i="33"/>
  <c r="AQ25" i="33"/>
  <c r="AS24" i="33"/>
  <c r="AQ24" i="33"/>
  <c r="AS23" i="33"/>
  <c r="AQ23" i="33"/>
  <c r="AS22" i="33"/>
  <c r="AQ22" i="33"/>
  <c r="AS21" i="33"/>
  <c r="AQ21" i="33"/>
  <c r="AS20" i="33"/>
  <c r="AQ20" i="33"/>
  <c r="G17" i="33"/>
  <c r="E17" i="33"/>
  <c r="D17" i="33"/>
  <c r="E16" i="33"/>
  <c r="D16" i="33"/>
  <c r="J8" i="33"/>
  <c r="G8" i="33"/>
  <c r="C8" i="33"/>
  <c r="C145" i="32"/>
  <c r="C146" i="32" s="1"/>
  <c r="AS123" i="32"/>
  <c r="AQ123" i="32"/>
  <c r="AS122" i="32"/>
  <c r="AQ122" i="32"/>
  <c r="AS121" i="32"/>
  <c r="AQ121" i="32"/>
  <c r="AS120" i="32"/>
  <c r="AQ120" i="32"/>
  <c r="AS119" i="32"/>
  <c r="AQ119" i="32"/>
  <c r="AS118" i="32"/>
  <c r="AQ118" i="32"/>
  <c r="AS117" i="32"/>
  <c r="AQ117" i="32"/>
  <c r="AS116" i="32"/>
  <c r="AQ116" i="32"/>
  <c r="AS115" i="32"/>
  <c r="AQ115" i="32"/>
  <c r="AS114" i="32"/>
  <c r="AQ114" i="32"/>
  <c r="AS113" i="32"/>
  <c r="AQ113" i="32"/>
  <c r="AS112" i="32"/>
  <c r="AQ112" i="32"/>
  <c r="AS111" i="32"/>
  <c r="AQ111" i="32"/>
  <c r="AS110" i="32"/>
  <c r="AQ110" i="32"/>
  <c r="AS109" i="32"/>
  <c r="AQ109" i="32"/>
  <c r="AS108" i="32"/>
  <c r="AQ108" i="32"/>
  <c r="AS107" i="32"/>
  <c r="AQ107" i="32"/>
  <c r="AS106" i="32"/>
  <c r="AQ106" i="32"/>
  <c r="AS105" i="32"/>
  <c r="AQ105" i="32"/>
  <c r="AS104" i="32"/>
  <c r="AQ104" i="32"/>
  <c r="AS103" i="32"/>
  <c r="AQ103" i="32"/>
  <c r="AS102" i="32"/>
  <c r="AQ102" i="32"/>
  <c r="AS101" i="32"/>
  <c r="AQ101" i="32"/>
  <c r="AS100" i="32"/>
  <c r="AQ100" i="32"/>
  <c r="AS99" i="32"/>
  <c r="AQ99" i="32"/>
  <c r="AS98" i="32"/>
  <c r="AQ98" i="32"/>
  <c r="AS97" i="32"/>
  <c r="AQ97" i="32"/>
  <c r="AS96" i="32"/>
  <c r="AQ96" i="32"/>
  <c r="AS95" i="32"/>
  <c r="AQ95" i="32"/>
  <c r="AS94" i="32"/>
  <c r="AQ94" i="32"/>
  <c r="AS93" i="32"/>
  <c r="AQ93" i="32"/>
  <c r="AS92" i="32"/>
  <c r="AQ92" i="32"/>
  <c r="AS91" i="32"/>
  <c r="AQ91" i="32"/>
  <c r="AS90" i="32"/>
  <c r="AQ90" i="32"/>
  <c r="AS89" i="32"/>
  <c r="AQ89" i="32"/>
  <c r="AS88" i="32"/>
  <c r="AQ88" i="32"/>
  <c r="AS87" i="32"/>
  <c r="AQ87" i="32"/>
  <c r="AS86" i="32"/>
  <c r="AQ86" i="32"/>
  <c r="AS85" i="32"/>
  <c r="AQ85" i="32"/>
  <c r="AS84" i="32"/>
  <c r="AQ84" i="32"/>
  <c r="AS83" i="32"/>
  <c r="AQ83" i="32"/>
  <c r="AS82" i="32"/>
  <c r="AQ82" i="32"/>
  <c r="AS81" i="32"/>
  <c r="AQ81" i="32"/>
  <c r="AS80" i="32"/>
  <c r="AQ80" i="32"/>
  <c r="AS79" i="32"/>
  <c r="AQ79" i="32"/>
  <c r="AS78" i="32"/>
  <c r="AQ78" i="32"/>
  <c r="AS77" i="32"/>
  <c r="AQ77" i="32"/>
  <c r="AS76" i="32"/>
  <c r="AQ76" i="32"/>
  <c r="AS75" i="32"/>
  <c r="AQ75" i="32"/>
  <c r="AS74" i="32"/>
  <c r="AQ74" i="32"/>
  <c r="AS73" i="32"/>
  <c r="AQ73" i="32"/>
  <c r="AS72" i="32"/>
  <c r="AQ72" i="32"/>
  <c r="AS71" i="32"/>
  <c r="AQ71" i="32"/>
  <c r="AS70" i="32"/>
  <c r="AQ70" i="32"/>
  <c r="AS69" i="32"/>
  <c r="AQ69" i="32"/>
  <c r="AS68" i="32"/>
  <c r="AQ68" i="32"/>
  <c r="AS67" i="32"/>
  <c r="AQ67" i="32"/>
  <c r="AS66" i="32"/>
  <c r="AQ66" i="32"/>
  <c r="AS65" i="32"/>
  <c r="AQ65" i="32"/>
  <c r="AS64" i="32"/>
  <c r="AQ64" i="32"/>
  <c r="AS63" i="32"/>
  <c r="AQ63" i="32"/>
  <c r="AS62" i="32"/>
  <c r="AQ62" i="32"/>
  <c r="AS61" i="32"/>
  <c r="AQ61" i="32"/>
  <c r="AS60" i="32"/>
  <c r="AQ60" i="32"/>
  <c r="AS59" i="32"/>
  <c r="AQ59" i="32"/>
  <c r="AS58" i="32"/>
  <c r="AQ58" i="32"/>
  <c r="AS57" i="32"/>
  <c r="AQ57" i="32"/>
  <c r="AS56" i="32"/>
  <c r="AQ56" i="32"/>
  <c r="AS55" i="32"/>
  <c r="AQ55" i="32"/>
  <c r="AS54" i="32"/>
  <c r="AQ54" i="32"/>
  <c r="AS53" i="32"/>
  <c r="AQ53" i="32"/>
  <c r="AS52" i="32"/>
  <c r="AQ52" i="32"/>
  <c r="AS51" i="32"/>
  <c r="AQ51" i="32"/>
  <c r="AS50" i="32"/>
  <c r="AQ50" i="32"/>
  <c r="AS49" i="32"/>
  <c r="AQ49" i="32"/>
  <c r="AS48" i="32"/>
  <c r="AQ48" i="32"/>
  <c r="AS47" i="32"/>
  <c r="AQ47" i="32"/>
  <c r="AS46" i="32"/>
  <c r="AQ46" i="32"/>
  <c r="AS45" i="32"/>
  <c r="AQ45" i="32"/>
  <c r="AS44" i="32"/>
  <c r="AQ44" i="32"/>
  <c r="AS43" i="32"/>
  <c r="AQ43" i="32"/>
  <c r="AS42" i="32"/>
  <c r="AQ42" i="32"/>
  <c r="AS41" i="32"/>
  <c r="AQ41" i="32"/>
  <c r="AS40" i="32"/>
  <c r="AQ40" i="32"/>
  <c r="AS39" i="32"/>
  <c r="AQ39" i="32"/>
  <c r="AS38" i="32"/>
  <c r="AQ38" i="32"/>
  <c r="AS37" i="32"/>
  <c r="AQ37" i="32"/>
  <c r="AS36" i="32"/>
  <c r="AQ36" i="32"/>
  <c r="AS35" i="32"/>
  <c r="AQ35" i="32"/>
  <c r="AS34" i="32"/>
  <c r="AQ34" i="32"/>
  <c r="AS33" i="32"/>
  <c r="AQ33" i="32"/>
  <c r="AS32" i="32"/>
  <c r="AQ32" i="32"/>
  <c r="AS31" i="32"/>
  <c r="AQ31" i="32"/>
  <c r="AS30" i="32"/>
  <c r="AQ30" i="32"/>
  <c r="AS29" i="32"/>
  <c r="AQ29" i="32"/>
  <c r="AS28" i="32"/>
  <c r="AQ28" i="32"/>
  <c r="AS27" i="32"/>
  <c r="AQ27" i="32"/>
  <c r="AS26" i="32"/>
  <c r="AQ26" i="32"/>
  <c r="AS25" i="32"/>
  <c r="AQ25" i="32"/>
  <c r="AS24" i="32"/>
  <c r="AQ24" i="32"/>
  <c r="AS23" i="32"/>
  <c r="AQ23" i="32"/>
  <c r="AS22" i="32"/>
  <c r="AQ22" i="32"/>
  <c r="AS21" i="32"/>
  <c r="AQ21" i="32"/>
  <c r="AS20" i="32"/>
  <c r="AQ20" i="32"/>
  <c r="G17" i="32"/>
  <c r="E17" i="32"/>
  <c r="D17" i="32"/>
  <c r="E16" i="32"/>
  <c r="D16" i="32"/>
  <c r="J8" i="32"/>
  <c r="G8" i="32"/>
  <c r="C8" i="32"/>
  <c r="AS61" i="31"/>
  <c r="AQ61" i="31"/>
  <c r="AS60" i="31"/>
  <c r="AQ60" i="31"/>
  <c r="AS59" i="31"/>
  <c r="AQ59" i="31"/>
  <c r="AS58" i="31"/>
  <c r="AQ58" i="31"/>
  <c r="AS57" i="31"/>
  <c r="AQ57" i="31"/>
  <c r="AS56" i="31"/>
  <c r="AQ56" i="31"/>
  <c r="AS55" i="31"/>
  <c r="AQ55" i="31"/>
  <c r="AS54" i="31"/>
  <c r="AQ54" i="31"/>
  <c r="AS53" i="31"/>
  <c r="AQ53" i="31"/>
  <c r="AS52" i="31"/>
  <c r="AQ52" i="31"/>
  <c r="AS51" i="31"/>
  <c r="AQ51" i="31"/>
  <c r="AS50" i="31"/>
  <c r="AQ50" i="31"/>
  <c r="AS49" i="31"/>
  <c r="AQ49" i="31"/>
  <c r="AS48" i="31"/>
  <c r="AQ48" i="31"/>
  <c r="AS47" i="31"/>
  <c r="AQ47" i="31"/>
  <c r="AS46" i="31"/>
  <c r="AQ46" i="31"/>
  <c r="AS45" i="31"/>
  <c r="AQ45" i="31"/>
  <c r="AS44" i="31"/>
  <c r="AQ44" i="31"/>
  <c r="AS43" i="31"/>
  <c r="AQ43" i="31"/>
  <c r="AS42" i="31"/>
  <c r="AQ42" i="31"/>
  <c r="AS41" i="31"/>
  <c r="AQ41" i="31"/>
  <c r="AS40" i="31"/>
  <c r="AQ40" i="31"/>
  <c r="AS39" i="31"/>
  <c r="AQ39" i="31"/>
  <c r="AS38" i="31"/>
  <c r="AQ38" i="31"/>
  <c r="AS37" i="31"/>
  <c r="AQ37" i="31"/>
  <c r="AS36" i="31"/>
  <c r="AQ36" i="31"/>
  <c r="AS35" i="31"/>
  <c r="AQ35" i="31"/>
  <c r="AS34" i="31"/>
  <c r="AQ34" i="31"/>
  <c r="AS33" i="31"/>
  <c r="AQ33" i="31"/>
  <c r="AS32" i="31"/>
  <c r="AQ32" i="31"/>
  <c r="AS31" i="31"/>
  <c r="AQ31" i="31"/>
  <c r="AS30" i="31"/>
  <c r="AQ30" i="31"/>
  <c r="AS29" i="31"/>
  <c r="AQ29" i="31"/>
  <c r="AS28" i="31"/>
  <c r="AQ28" i="31"/>
  <c r="AS27" i="31"/>
  <c r="AQ27" i="31"/>
  <c r="AS26" i="31"/>
  <c r="AQ26" i="31"/>
  <c r="AS25" i="31"/>
  <c r="AQ25" i="31"/>
  <c r="AS24" i="31"/>
  <c r="AQ24" i="31"/>
  <c r="AS23" i="31"/>
  <c r="AQ23" i="31"/>
  <c r="AS22" i="31"/>
  <c r="AQ22" i="31"/>
  <c r="AS21" i="31"/>
  <c r="AQ21" i="31"/>
  <c r="AS20" i="31"/>
  <c r="AQ20" i="31"/>
  <c r="G17" i="31"/>
  <c r="E17" i="31"/>
  <c r="D17" i="31"/>
  <c r="E16" i="31"/>
  <c r="D16" i="31"/>
  <c r="J8" i="31"/>
  <c r="G8" i="31"/>
  <c r="C8" i="31"/>
  <c r="Q5" i="33"/>
  <c r="Q5" i="32"/>
  <c r="Y4" i="32"/>
  <c r="U4" i="32"/>
  <c r="Q4" i="32"/>
  <c r="Q5" i="31"/>
  <c r="U4" i="33"/>
  <c r="Q4" i="31"/>
  <c r="U4" i="31"/>
  <c r="B5" i="31"/>
  <c r="Y4" i="31"/>
  <c r="Q4" i="33"/>
  <c r="B5" i="33"/>
  <c r="Y4" i="33"/>
  <c r="B5" i="32"/>
  <c r="AC5" i="30" l="1"/>
  <c r="AD5" i="30"/>
  <c r="D11" i="30"/>
  <c r="E11" i="30"/>
  <c r="F11" i="30"/>
  <c r="G11" i="30"/>
  <c r="H11" i="30"/>
  <c r="I11" i="30"/>
  <c r="J11" i="30"/>
  <c r="K11" i="30"/>
  <c r="L11" i="30"/>
  <c r="M11" i="30"/>
  <c r="N11" i="30"/>
  <c r="O11" i="30"/>
  <c r="W11" i="30"/>
  <c r="X11" i="30"/>
  <c r="AB11" i="30"/>
  <c r="AC11" i="30"/>
  <c r="D12" i="30"/>
  <c r="E12" i="30"/>
  <c r="F12" i="30"/>
  <c r="G12" i="30"/>
  <c r="H12" i="30"/>
  <c r="I12" i="30"/>
  <c r="J12" i="30"/>
  <c r="K12" i="30"/>
  <c r="L12" i="30"/>
  <c r="M12" i="30"/>
  <c r="N12" i="30"/>
  <c r="O12" i="30"/>
  <c r="X12" i="30"/>
  <c r="AB12" i="30"/>
  <c r="AC12" i="30"/>
  <c r="D13" i="30"/>
  <c r="E13" i="30"/>
  <c r="F13" i="30"/>
  <c r="G13" i="30"/>
  <c r="H13" i="30"/>
  <c r="I13" i="30"/>
  <c r="J13" i="30"/>
  <c r="K13" i="30"/>
  <c r="L13" i="30"/>
  <c r="M13" i="30"/>
  <c r="N13" i="30"/>
  <c r="O13" i="30"/>
  <c r="X13" i="30"/>
  <c r="Y13" i="30" s="1"/>
  <c r="AC13" i="30"/>
  <c r="D14" i="30"/>
  <c r="E14" i="30"/>
  <c r="F14" i="30"/>
  <c r="G14" i="30"/>
  <c r="H14" i="30"/>
  <c r="I14" i="30"/>
  <c r="J14" i="30"/>
  <c r="K14" i="30"/>
  <c r="L14" i="30"/>
  <c r="M14" i="30"/>
  <c r="N14" i="30"/>
  <c r="O14" i="30"/>
  <c r="X14" i="30"/>
  <c r="Y14" i="30" s="1"/>
  <c r="AC14" i="30"/>
  <c r="D15" i="30"/>
  <c r="E15" i="30"/>
  <c r="F15" i="30"/>
  <c r="G15" i="30"/>
  <c r="H15" i="30"/>
  <c r="I15" i="30"/>
  <c r="J15" i="30"/>
  <c r="K15" i="30"/>
  <c r="L15" i="30"/>
  <c r="M15" i="30"/>
  <c r="N15" i="30"/>
  <c r="O15" i="30"/>
  <c r="W15" i="30"/>
  <c r="X15" i="30"/>
  <c r="AB15" i="30"/>
  <c r="AC15" i="30"/>
  <c r="D16" i="30"/>
  <c r="E16" i="30"/>
  <c r="F16" i="30"/>
  <c r="G16" i="30"/>
  <c r="H16" i="30"/>
  <c r="I16" i="30"/>
  <c r="J16" i="30"/>
  <c r="K16" i="30"/>
  <c r="L16" i="30"/>
  <c r="M16" i="30"/>
  <c r="N16" i="30"/>
  <c r="O16" i="30"/>
  <c r="W16" i="30"/>
  <c r="X16" i="30"/>
  <c r="AB16" i="30"/>
  <c r="AC16" i="30"/>
  <c r="D17" i="30"/>
  <c r="E17" i="30"/>
  <c r="F17" i="30"/>
  <c r="G17" i="30"/>
  <c r="H17" i="30"/>
  <c r="I17" i="30"/>
  <c r="J17" i="30"/>
  <c r="K17" i="30"/>
  <c r="L17" i="30"/>
  <c r="M17" i="30"/>
  <c r="N17" i="30"/>
  <c r="O17" i="30"/>
  <c r="W17" i="30"/>
  <c r="X17" i="30"/>
  <c r="AB17" i="30"/>
  <c r="AC17" i="30"/>
  <c r="D18" i="30"/>
  <c r="E18" i="30"/>
  <c r="F18" i="30"/>
  <c r="G18" i="30"/>
  <c r="H18" i="30"/>
  <c r="I18" i="30"/>
  <c r="J18" i="30"/>
  <c r="K18" i="30"/>
  <c r="L18" i="30"/>
  <c r="M18" i="30"/>
  <c r="N18" i="30"/>
  <c r="O18" i="30"/>
  <c r="W18" i="30"/>
  <c r="X18" i="30"/>
  <c r="AB18" i="30"/>
  <c r="AC18" i="30"/>
  <c r="D19" i="30"/>
  <c r="E19" i="30"/>
  <c r="F19" i="30"/>
  <c r="G19" i="30"/>
  <c r="H19" i="30"/>
  <c r="I19" i="30"/>
  <c r="J19" i="30"/>
  <c r="K19" i="30"/>
  <c r="L19" i="30"/>
  <c r="M19" i="30"/>
  <c r="N19" i="30"/>
  <c r="O19" i="30"/>
  <c r="W19" i="30"/>
  <c r="X19" i="30"/>
  <c r="AB19" i="30"/>
  <c r="AC19" i="30"/>
  <c r="D20" i="30"/>
  <c r="E20" i="30"/>
  <c r="F20" i="30"/>
  <c r="G20" i="30"/>
  <c r="H20" i="30"/>
  <c r="I20" i="30"/>
  <c r="J20" i="30"/>
  <c r="K20" i="30"/>
  <c r="L20" i="30"/>
  <c r="M20" i="30"/>
  <c r="N20" i="30"/>
  <c r="O20" i="30"/>
  <c r="W20" i="30"/>
  <c r="X20" i="30"/>
  <c r="AB20" i="30"/>
  <c r="AC20" i="30"/>
  <c r="D24" i="30"/>
  <c r="E24" i="30"/>
  <c r="F24" i="30"/>
  <c r="G24" i="30"/>
  <c r="H24" i="30"/>
  <c r="I24" i="30"/>
  <c r="J24" i="30"/>
  <c r="K24" i="30"/>
  <c r="L24" i="30"/>
  <c r="M24" i="30"/>
  <c r="N24" i="30"/>
  <c r="O24" i="30"/>
  <c r="W24" i="30"/>
  <c r="X24" i="30"/>
  <c r="AB24" i="30"/>
  <c r="AC24" i="30"/>
  <c r="D25" i="30"/>
  <c r="E25" i="30"/>
  <c r="E27" i="30" s="1"/>
  <c r="F25" i="30"/>
  <c r="F27" i="30" s="1"/>
  <c r="G25" i="30"/>
  <c r="H25" i="30"/>
  <c r="I25" i="30"/>
  <c r="J25" i="30"/>
  <c r="K25" i="30"/>
  <c r="K27" i="30" s="1"/>
  <c r="L25" i="30"/>
  <c r="M25" i="30"/>
  <c r="M27" i="30" s="1"/>
  <c r="N25" i="30"/>
  <c r="O25" i="30"/>
  <c r="O27" i="30" s="1"/>
  <c r="W25" i="30"/>
  <c r="X25" i="30"/>
  <c r="AB25" i="30"/>
  <c r="AC25" i="30"/>
  <c r="N27" i="30"/>
  <c r="P28" i="30"/>
  <c r="D34" i="30"/>
  <c r="E34" i="30"/>
  <c r="F34" i="30"/>
  <c r="G34" i="30"/>
  <c r="H34" i="30"/>
  <c r="I34" i="30"/>
  <c r="J34" i="30"/>
  <c r="K34" i="30"/>
  <c r="L34" i="30"/>
  <c r="M34" i="30"/>
  <c r="N34" i="30"/>
  <c r="O34" i="30"/>
  <c r="W34" i="30"/>
  <c r="X34" i="30"/>
  <c r="AB34" i="30"/>
  <c r="AC34" i="30"/>
  <c r="D35" i="30"/>
  <c r="E35" i="30"/>
  <c r="F35" i="30"/>
  <c r="F37" i="30" s="1"/>
  <c r="G35" i="30"/>
  <c r="H35" i="30"/>
  <c r="I35" i="30"/>
  <c r="J35" i="30"/>
  <c r="K35" i="30"/>
  <c r="L35" i="30"/>
  <c r="L37" i="30" s="1"/>
  <c r="M35" i="30"/>
  <c r="N35" i="30"/>
  <c r="N37" i="30" s="1"/>
  <c r="O35" i="30"/>
  <c r="O37" i="30" s="1"/>
  <c r="X35" i="30"/>
  <c r="AB35" i="30"/>
  <c r="AC35" i="30"/>
  <c r="Y39" i="30"/>
  <c r="Y45" i="30" s="1"/>
  <c r="AD39" i="30"/>
  <c r="AD45" i="30" s="1"/>
  <c r="Y40" i="30"/>
  <c r="AD40" i="30"/>
  <c r="Y41" i="30"/>
  <c r="AD41" i="30"/>
  <c r="Y42" i="30"/>
  <c r="AD42" i="30"/>
  <c r="Y43" i="30"/>
  <c r="AD43" i="30"/>
  <c r="D49" i="30"/>
  <c r="E49" i="30"/>
  <c r="F49" i="30"/>
  <c r="G49" i="30"/>
  <c r="H49" i="30"/>
  <c r="I49" i="30"/>
  <c r="J49" i="30"/>
  <c r="K49" i="30"/>
  <c r="L49" i="30"/>
  <c r="M49" i="30"/>
  <c r="N49" i="30"/>
  <c r="O49" i="30"/>
  <c r="W49" i="30"/>
  <c r="X49" i="30"/>
  <c r="AB49" i="30"/>
  <c r="AC49" i="30"/>
  <c r="D50" i="30"/>
  <c r="E50" i="30"/>
  <c r="F50" i="30"/>
  <c r="G50" i="30"/>
  <c r="H50" i="30"/>
  <c r="I50" i="30"/>
  <c r="J50" i="30"/>
  <c r="K50" i="30"/>
  <c r="L50" i="30"/>
  <c r="M50" i="30"/>
  <c r="N50" i="30"/>
  <c r="O50" i="30"/>
  <c r="W50" i="30"/>
  <c r="X50" i="30"/>
  <c r="AB50" i="30"/>
  <c r="AC50" i="30"/>
  <c r="D51" i="30"/>
  <c r="E51" i="30"/>
  <c r="F51" i="30"/>
  <c r="G51" i="30"/>
  <c r="H51" i="30"/>
  <c r="I51" i="30"/>
  <c r="J51" i="30"/>
  <c r="K51" i="30"/>
  <c r="L51" i="30"/>
  <c r="M51" i="30"/>
  <c r="N51" i="30"/>
  <c r="O51" i="30"/>
  <c r="X51" i="30"/>
  <c r="Y51" i="30" s="1"/>
  <c r="AC51" i="30"/>
  <c r="P52" i="30"/>
  <c r="R52" i="30"/>
  <c r="T52" i="30" s="1"/>
  <c r="S52" i="30"/>
  <c r="Y57" i="30"/>
  <c r="AD57" i="30"/>
  <c r="D58" i="30"/>
  <c r="E58" i="30"/>
  <c r="E60" i="30" s="1"/>
  <c r="F58" i="30"/>
  <c r="G58" i="30"/>
  <c r="H58" i="30"/>
  <c r="I58" i="30"/>
  <c r="I60" i="30" s="1"/>
  <c r="J58" i="30"/>
  <c r="K58" i="30"/>
  <c r="K60" i="30" s="1"/>
  <c r="L58" i="30"/>
  <c r="L60" i="30" s="1"/>
  <c r="M58" i="30"/>
  <c r="M60" i="30" s="1"/>
  <c r="N58" i="30"/>
  <c r="N60" i="30" s="1"/>
  <c r="O58" i="30"/>
  <c r="O60" i="30" s="1"/>
  <c r="W58" i="30"/>
  <c r="X58" i="30"/>
  <c r="AB58" i="30"/>
  <c r="AC58" i="30"/>
  <c r="P59" i="30"/>
  <c r="R59" i="30"/>
  <c r="T59" i="30" s="1"/>
  <c r="S59" i="30"/>
  <c r="G60" i="30"/>
  <c r="H60" i="30"/>
  <c r="P70" i="30"/>
  <c r="P129" i="30"/>
  <c r="P152" i="30"/>
  <c r="N53" i="30" l="1"/>
  <c r="G37" i="30"/>
  <c r="I27" i="30"/>
  <c r="R35" i="30"/>
  <c r="R11" i="30"/>
  <c r="J22" i="30"/>
  <c r="AA13" i="30"/>
  <c r="AD13" i="30" s="1"/>
  <c r="S14" i="30"/>
  <c r="V11" i="30"/>
  <c r="Y11" i="30" s="1"/>
  <c r="S35" i="30"/>
  <c r="R25" i="30"/>
  <c r="V15" i="30"/>
  <c r="Y15" i="30" s="1"/>
  <c r="AA15" i="30" s="1"/>
  <c r="AD15" i="30" s="1"/>
  <c r="P18" i="30"/>
  <c r="Q18" i="30" s="1"/>
  <c r="S20" i="30"/>
  <c r="AA51" i="30"/>
  <c r="AD51" i="30" s="1"/>
  <c r="P50" i="30"/>
  <c r="Q50" i="30" s="1"/>
  <c r="F53" i="30"/>
  <c r="V49" i="30"/>
  <c r="Y49" i="30" s="1"/>
  <c r="S34" i="30"/>
  <c r="O22" i="30"/>
  <c r="O29" i="30" s="1"/>
  <c r="K22" i="30"/>
  <c r="G22" i="30"/>
  <c r="V18" i="30"/>
  <c r="Y18" i="30" s="1"/>
  <c r="AA18" i="30" s="1"/>
  <c r="AD18" i="30" s="1"/>
  <c r="R18" i="30"/>
  <c r="H22" i="30"/>
  <c r="M22" i="30"/>
  <c r="M29" i="30" s="1"/>
  <c r="I22" i="30"/>
  <c r="I29" i="30" s="1"/>
  <c r="P24" i="30"/>
  <c r="Q24" i="30" s="1"/>
  <c r="S16" i="30"/>
  <c r="K37" i="30"/>
  <c r="K29" i="30"/>
  <c r="R20" i="30"/>
  <c r="T20" i="30" s="1"/>
  <c r="R19" i="30"/>
  <c r="N22" i="30"/>
  <c r="N29" i="30" s="1"/>
  <c r="N63" i="30" s="1"/>
  <c r="N64" i="30" s="1"/>
  <c r="P12" i="30"/>
  <c r="Q12" i="30" s="1"/>
  <c r="F22" i="30"/>
  <c r="F29" i="30" s="1"/>
  <c r="S51" i="30"/>
  <c r="J27" i="30"/>
  <c r="J29" i="30" s="1"/>
  <c r="E22" i="30"/>
  <c r="E29" i="30" s="1"/>
  <c r="P17" i="30"/>
  <c r="Q17" i="30" s="1"/>
  <c r="S17" i="30"/>
  <c r="R16" i="30"/>
  <c r="T16" i="30" s="1"/>
  <c r="S13" i="30"/>
  <c r="R17" i="30"/>
  <c r="T17" i="30" s="1"/>
  <c r="S15" i="30"/>
  <c r="J53" i="30"/>
  <c r="O53" i="30"/>
  <c r="K53" i="30"/>
  <c r="K63" i="30" s="1"/>
  <c r="K64" i="30" s="1"/>
  <c r="L53" i="30"/>
  <c r="R58" i="30"/>
  <c r="R60" i="30" s="1"/>
  <c r="M37" i="30"/>
  <c r="I37" i="30"/>
  <c r="E37" i="30"/>
  <c r="P34" i="30"/>
  <c r="Q34" i="30" s="1"/>
  <c r="L22" i="30"/>
  <c r="S58" i="30"/>
  <c r="S60" i="30" s="1"/>
  <c r="G27" i="30"/>
  <c r="R24" i="30"/>
  <c r="P19" i="30"/>
  <c r="Q19" i="30" s="1"/>
  <c r="V17" i="30"/>
  <c r="Y17" i="30" s="1"/>
  <c r="AA17" i="30" s="1"/>
  <c r="AD17" i="30" s="1"/>
  <c r="P16" i="30"/>
  <c r="Q16" i="30" s="1"/>
  <c r="P15" i="30"/>
  <c r="Q15" i="30" s="1"/>
  <c r="R15" i="30"/>
  <c r="R14" i="30"/>
  <c r="T14" i="30" s="1"/>
  <c r="P11" i="30"/>
  <c r="Q11" i="30" s="1"/>
  <c r="S11" i="30"/>
  <c r="T11" i="30" s="1"/>
  <c r="P14" i="30"/>
  <c r="Q14" i="30" s="1"/>
  <c r="G53" i="30"/>
  <c r="I53" i="30"/>
  <c r="R34" i="30"/>
  <c r="S19" i="30"/>
  <c r="T19" i="30" s="1"/>
  <c r="AA14" i="30"/>
  <c r="AD14" i="30" s="1"/>
  <c r="P13" i="30"/>
  <c r="Q13" i="30" s="1"/>
  <c r="R13" i="30"/>
  <c r="Y12" i="30"/>
  <c r="AA12" i="30" s="1"/>
  <c r="AD12" i="30" s="1"/>
  <c r="R12" i="30"/>
  <c r="P25" i="30"/>
  <c r="Q25" i="30" s="1"/>
  <c r="R50" i="30"/>
  <c r="H53" i="30"/>
  <c r="S50" i="30"/>
  <c r="P51" i="30"/>
  <c r="Q51" i="30" s="1"/>
  <c r="V50" i="30"/>
  <c r="Y50" i="30" s="1"/>
  <c r="AA50" i="30" s="1"/>
  <c r="AD50" i="30" s="1"/>
  <c r="P49" i="30"/>
  <c r="Q49" i="30" s="1"/>
  <c r="M53" i="30"/>
  <c r="R49" i="30"/>
  <c r="E53" i="30"/>
  <c r="S37" i="30"/>
  <c r="P58" i="30"/>
  <c r="Q58" i="30" s="1"/>
  <c r="Y58" i="30"/>
  <c r="AA58" i="30" s="1"/>
  <c r="AD58" i="30" s="1"/>
  <c r="AD60" i="30" s="1"/>
  <c r="J60" i="30"/>
  <c r="F60" i="30"/>
  <c r="R51" i="30"/>
  <c r="T51" i="30" s="1"/>
  <c r="AA49" i="30"/>
  <c r="AD49" i="30" s="1"/>
  <c r="S49" i="30"/>
  <c r="P35" i="30"/>
  <c r="Q35" i="30" s="1"/>
  <c r="V35" i="30"/>
  <c r="Y35" i="30" s="1"/>
  <c r="AA35" i="30" s="1"/>
  <c r="AD35" i="30" s="1"/>
  <c r="J37" i="30"/>
  <c r="P37" i="30" s="1"/>
  <c r="P86" i="30" s="1"/>
  <c r="T34" i="30"/>
  <c r="S25" i="30"/>
  <c r="T25" i="30" s="1"/>
  <c r="V24" i="30"/>
  <c r="Y24" i="30" s="1"/>
  <c r="L27" i="30"/>
  <c r="H27" i="30"/>
  <c r="H29" i="30" s="1"/>
  <c r="S24" i="30"/>
  <c r="P20" i="30"/>
  <c r="Q20" i="30" s="1"/>
  <c r="V20" i="30"/>
  <c r="Y20" i="30" s="1"/>
  <c r="AA20" i="30" s="1"/>
  <c r="AD20" i="30" s="1"/>
  <c r="AA11" i="30"/>
  <c r="AD11" i="30" s="1"/>
  <c r="R27" i="30"/>
  <c r="S18" i="30"/>
  <c r="V16" i="30"/>
  <c r="Y16" i="30" s="1"/>
  <c r="AA16" i="30" s="1"/>
  <c r="AD16" i="30" s="1"/>
  <c r="S12" i="30"/>
  <c r="T12" i="30" s="1"/>
  <c r="V34" i="30"/>
  <c r="Y34" i="30" s="1"/>
  <c r="V25" i="30"/>
  <c r="Y25" i="30" s="1"/>
  <c r="AA25" i="30" s="1"/>
  <c r="AD25" i="30" s="1"/>
  <c r="V19" i="30"/>
  <c r="Y19" i="30" s="1"/>
  <c r="AA19" i="30" s="1"/>
  <c r="AD19" i="30" s="1"/>
  <c r="H37" i="30"/>
  <c r="S27" i="30" l="1"/>
  <c r="O63" i="30"/>
  <c r="O64" i="30" s="1"/>
  <c r="T18" i="30"/>
  <c r="T35" i="30"/>
  <c r="T37" i="30" s="1"/>
  <c r="R37" i="30"/>
  <c r="G29" i="30"/>
  <c r="T15" i="30"/>
  <c r="T13" i="30"/>
  <c r="L29" i="30"/>
  <c r="L63" i="30" s="1"/>
  <c r="L64" i="30" s="1"/>
  <c r="P53" i="30"/>
  <c r="P142" i="30" s="1"/>
  <c r="M63" i="30"/>
  <c r="M64" i="30" s="1"/>
  <c r="P22" i="30"/>
  <c r="F63" i="30"/>
  <c r="F64" i="30" s="1"/>
  <c r="T58" i="30"/>
  <c r="T60" i="30" s="1"/>
  <c r="G63" i="30"/>
  <c r="G64" i="30" s="1"/>
  <c r="E63" i="30"/>
  <c r="E64" i="30" s="1"/>
  <c r="B10" i="11"/>
  <c r="Y53" i="30"/>
  <c r="B74" i="21" s="1"/>
  <c r="R22" i="30"/>
  <c r="R29" i="30" s="1"/>
  <c r="AD53" i="30"/>
  <c r="B11" i="11" s="1"/>
  <c r="AD22" i="30"/>
  <c r="H63" i="30"/>
  <c r="H64" i="30" s="1"/>
  <c r="T22" i="30"/>
  <c r="S53" i="30"/>
  <c r="T50" i="30"/>
  <c r="I63" i="30"/>
  <c r="I64" i="30" s="1"/>
  <c r="AA24" i="30"/>
  <c r="AD24" i="30" s="1"/>
  <c r="AD27" i="30" s="1"/>
  <c r="Y27" i="30"/>
  <c r="T49" i="30"/>
  <c r="R53" i="30"/>
  <c r="R63" i="30" s="1"/>
  <c r="Y37" i="30"/>
  <c r="B72" i="21" s="1"/>
  <c r="B80" i="21" s="1"/>
  <c r="D248" i="1" s="1"/>
  <c r="AA34" i="30"/>
  <c r="AD34" i="30" s="1"/>
  <c r="AD37" i="30" s="1"/>
  <c r="B9" i="11" s="1"/>
  <c r="Y22" i="30"/>
  <c r="S22" i="30"/>
  <c r="S29" i="30" s="1"/>
  <c r="J63" i="30"/>
  <c r="J64" i="30" s="1"/>
  <c r="P60" i="30"/>
  <c r="P27" i="30"/>
  <c r="P29" i="30" s="1"/>
  <c r="P68" i="30" s="1"/>
  <c r="Y60" i="30"/>
  <c r="B73" i="21" s="1"/>
  <c r="T24" i="30"/>
  <c r="T27" i="30" s="1"/>
  <c r="Y29" i="30" l="1"/>
  <c r="B71" i="21" s="1"/>
  <c r="B17" i="11"/>
  <c r="G248" i="1" s="1"/>
  <c r="G29" i="1"/>
  <c r="B18" i="11"/>
  <c r="G249" i="1" s="1"/>
  <c r="G71" i="1"/>
  <c r="AD29" i="30"/>
  <c r="B8" i="11" s="1"/>
  <c r="B19" i="11"/>
  <c r="G250" i="1" s="1"/>
  <c r="G144" i="1"/>
  <c r="B79" i="21"/>
  <c r="B75" i="21"/>
  <c r="T29" i="30"/>
  <c r="T53" i="30"/>
  <c r="Y63" i="30"/>
  <c r="P63" i="30"/>
  <c r="P127" i="30"/>
  <c r="AD63" i="30" l="1"/>
  <c r="B16" i="11"/>
  <c r="G247" i="1" s="1"/>
  <c r="G76" i="1"/>
  <c r="T63" i="30"/>
  <c r="D247" i="1"/>
  <c r="D15" i="1" l="1"/>
  <c r="B127" i="21"/>
  <c r="C26" i="22"/>
  <c r="B128" i="21" s="1"/>
  <c r="C25" i="22"/>
  <c r="J42" i="28" l="1"/>
  <c r="AA15" i="28" l="1"/>
  <c r="AD15" i="28" s="1"/>
  <c r="V15" i="28"/>
  <c r="Y15" i="28" s="1"/>
  <c r="K28" i="28"/>
  <c r="L221" i="1" s="1"/>
  <c r="C44" i="28" l="1"/>
  <c r="G44" i="28"/>
  <c r="F44" i="28"/>
  <c r="D44" i="28"/>
  <c r="B44" i="28"/>
  <c r="Q28" i="28"/>
  <c r="K15" i="28"/>
  <c r="K17" i="28" s="1"/>
  <c r="L220" i="1" s="1"/>
  <c r="N14" i="28"/>
  <c r="N12" i="28"/>
  <c r="N10" i="28"/>
  <c r="N8" i="28"/>
  <c r="H5" i="28"/>
  <c r="F45" i="8"/>
  <c r="C28" i="28" l="1"/>
  <c r="D100" i="21"/>
  <c r="E17" i="28"/>
  <c r="D97" i="21" s="1"/>
  <c r="F28" i="28"/>
  <c r="D99" i="21"/>
  <c r="D101" i="21"/>
  <c r="G28" i="28"/>
  <c r="F36" i="28"/>
  <c r="D28" i="28"/>
  <c r="B28" i="28"/>
  <c r="B36" i="28"/>
  <c r="G36" i="28"/>
  <c r="F17" i="28"/>
  <c r="B17" i="28"/>
  <c r="G17" i="28"/>
  <c r="D36" i="28"/>
  <c r="D17" i="28"/>
  <c r="C7" i="28"/>
  <c r="Q15" i="28"/>
  <c r="Q17" i="28" s="1"/>
  <c r="H17" i="28"/>
  <c r="H28" i="28"/>
  <c r="H36" i="28"/>
  <c r="H44" i="28"/>
  <c r="E28" i="28"/>
  <c r="E36" i="28"/>
  <c r="E44" i="28"/>
  <c r="D102" i="21" s="1"/>
  <c r="D46" i="28" l="1"/>
  <c r="G46" i="28"/>
  <c r="F46" i="28"/>
  <c r="B46" i="28"/>
  <c r="D98" i="21"/>
  <c r="H46" i="28"/>
  <c r="E46" i="28"/>
  <c r="T15" i="28"/>
  <c r="C17" i="28"/>
  <c r="C36" i="28"/>
  <c r="N15" i="28"/>
  <c r="C46" i="28" l="1"/>
  <c r="E14" i="21" l="1"/>
  <c r="D17" i="1"/>
  <c r="G116" i="1"/>
  <c r="AH49" i="27"/>
  <c r="AC45" i="27"/>
  <c r="AA45" i="27"/>
  <c r="Y45" i="27"/>
  <c r="W45" i="27"/>
  <c r="U45" i="27"/>
  <c r="S45" i="27"/>
  <c r="Q45" i="27"/>
  <c r="O45" i="27"/>
  <c r="M45" i="27"/>
  <c r="K45" i="27"/>
  <c r="I45" i="27"/>
  <c r="G45" i="27"/>
  <c r="AC44" i="27"/>
  <c r="AA44" i="27"/>
  <c r="Y44" i="27"/>
  <c r="W44" i="27"/>
  <c r="U44" i="27"/>
  <c r="S44" i="27"/>
  <c r="Q44" i="27"/>
  <c r="O44" i="27"/>
  <c r="M44" i="27"/>
  <c r="K44" i="27"/>
  <c r="I44" i="27"/>
  <c r="G44" i="27"/>
  <c r="AC43" i="27"/>
  <c r="AA43" i="27"/>
  <c r="Y43" i="27"/>
  <c r="W43" i="27"/>
  <c r="U43" i="27"/>
  <c r="S43" i="27"/>
  <c r="Q43" i="27"/>
  <c r="O43" i="27"/>
  <c r="M43" i="27"/>
  <c r="K43" i="27"/>
  <c r="I43" i="27"/>
  <c r="G43" i="27"/>
  <c r="AC42" i="27"/>
  <c r="AA42" i="27"/>
  <c r="Y42" i="27"/>
  <c r="W42" i="27"/>
  <c r="U42" i="27"/>
  <c r="S42" i="27"/>
  <c r="Q42" i="27"/>
  <c r="O42" i="27"/>
  <c r="M42" i="27"/>
  <c r="K42" i="27"/>
  <c r="I42" i="27"/>
  <c r="G42" i="27"/>
  <c r="AC41" i="27"/>
  <c r="AA41" i="27"/>
  <c r="Y41" i="27"/>
  <c r="W41" i="27"/>
  <c r="U41" i="27"/>
  <c r="S41" i="27"/>
  <c r="Q41" i="27"/>
  <c r="O41" i="27"/>
  <c r="M41" i="27"/>
  <c r="K41" i="27"/>
  <c r="I41" i="27"/>
  <c r="G41" i="27"/>
  <c r="AC40" i="27"/>
  <c r="AA40" i="27"/>
  <c r="Y40" i="27"/>
  <c r="W40" i="27"/>
  <c r="U40" i="27"/>
  <c r="S40" i="27"/>
  <c r="Q40" i="27"/>
  <c r="O40" i="27"/>
  <c r="M40" i="27"/>
  <c r="K40" i="27"/>
  <c r="I40" i="27"/>
  <c r="G40" i="27"/>
  <c r="AC39" i="27"/>
  <c r="AA39" i="27"/>
  <c r="Y39" i="27"/>
  <c r="W39" i="27"/>
  <c r="U39" i="27"/>
  <c r="S39" i="27"/>
  <c r="Q39" i="27"/>
  <c r="O39" i="27"/>
  <c r="M39" i="27"/>
  <c r="K39" i="27"/>
  <c r="I39" i="27"/>
  <c r="G39" i="27"/>
  <c r="AC38" i="27"/>
  <c r="AA38" i="27"/>
  <c r="Y38" i="27"/>
  <c r="W38" i="27"/>
  <c r="U38" i="27"/>
  <c r="S38" i="27"/>
  <c r="Q38" i="27"/>
  <c r="O38" i="27"/>
  <c r="M38" i="27"/>
  <c r="K38" i="27"/>
  <c r="I38" i="27"/>
  <c r="G38" i="27"/>
  <c r="AC37" i="27"/>
  <c r="AA37" i="27"/>
  <c r="Y37" i="27"/>
  <c r="W37" i="27"/>
  <c r="U37" i="27"/>
  <c r="S37" i="27"/>
  <c r="Q37" i="27"/>
  <c r="O37" i="27"/>
  <c r="M37" i="27"/>
  <c r="K37" i="27"/>
  <c r="I37" i="27"/>
  <c r="G37" i="27"/>
  <c r="AC36" i="27"/>
  <c r="AA36" i="27"/>
  <c r="Y36" i="27"/>
  <c r="W36" i="27"/>
  <c r="U36" i="27"/>
  <c r="S36" i="27"/>
  <c r="Q36" i="27"/>
  <c r="O36" i="27"/>
  <c r="M36" i="27"/>
  <c r="K36" i="27"/>
  <c r="I36" i="27"/>
  <c r="G36" i="27"/>
  <c r="AC35" i="27"/>
  <c r="AA35" i="27"/>
  <c r="Y35" i="27"/>
  <c r="W35" i="27"/>
  <c r="U35" i="27"/>
  <c r="S35" i="27"/>
  <c r="Q35" i="27"/>
  <c r="O35" i="27"/>
  <c r="M35" i="27"/>
  <c r="K35" i="27"/>
  <c r="I35" i="27"/>
  <c r="G35" i="27"/>
  <c r="AC34" i="27"/>
  <c r="AA34" i="27"/>
  <c r="Y34" i="27"/>
  <c r="W34" i="27"/>
  <c r="U34" i="27"/>
  <c r="S34" i="27"/>
  <c r="Q34" i="27"/>
  <c r="O34" i="27"/>
  <c r="M34" i="27"/>
  <c r="K34" i="27"/>
  <c r="I34" i="27"/>
  <c r="G34" i="27"/>
  <c r="AC33" i="27"/>
  <c r="AA33" i="27"/>
  <c r="Y33" i="27"/>
  <c r="W33" i="27"/>
  <c r="U33" i="27"/>
  <c r="S33" i="27"/>
  <c r="Q33" i="27"/>
  <c r="O33" i="27"/>
  <c r="M33" i="27"/>
  <c r="K33" i="27"/>
  <c r="I33" i="27"/>
  <c r="G33" i="27"/>
  <c r="AC32" i="27"/>
  <c r="AA32" i="27"/>
  <c r="Y32" i="27"/>
  <c r="W32" i="27"/>
  <c r="U32" i="27"/>
  <c r="S32" i="27"/>
  <c r="Q32" i="27"/>
  <c r="O32" i="27"/>
  <c r="M32" i="27"/>
  <c r="K32" i="27"/>
  <c r="I32" i="27"/>
  <c r="G32" i="27"/>
  <c r="AC31" i="27"/>
  <c r="AA31" i="27"/>
  <c r="Y31" i="27"/>
  <c r="W31" i="27"/>
  <c r="U31" i="27"/>
  <c r="S31" i="27"/>
  <c r="Q31" i="27"/>
  <c r="O31" i="27"/>
  <c r="M31" i="27"/>
  <c r="K31" i="27"/>
  <c r="I31" i="27"/>
  <c r="G31" i="27"/>
  <c r="AC30" i="27"/>
  <c r="AA30" i="27"/>
  <c r="Y30" i="27"/>
  <c r="W30" i="27"/>
  <c r="U30" i="27"/>
  <c r="S30" i="27"/>
  <c r="Q30" i="27"/>
  <c r="O30" i="27"/>
  <c r="M30" i="27"/>
  <c r="K30" i="27"/>
  <c r="I30" i="27"/>
  <c r="G30" i="27"/>
  <c r="AC29" i="27"/>
  <c r="AA29" i="27"/>
  <c r="Y29" i="27"/>
  <c r="W29" i="27"/>
  <c r="U29" i="27"/>
  <c r="S29" i="27"/>
  <c r="Q29" i="27"/>
  <c r="O29" i="27"/>
  <c r="M29" i="27"/>
  <c r="K29" i="27"/>
  <c r="I29" i="27"/>
  <c r="G29" i="27"/>
  <c r="AC28" i="27"/>
  <c r="AA28" i="27"/>
  <c r="Y28" i="27"/>
  <c r="W28" i="27"/>
  <c r="U28" i="27"/>
  <c r="S28" i="27"/>
  <c r="Q28" i="27"/>
  <c r="O28" i="27"/>
  <c r="M28" i="27"/>
  <c r="K28" i="27"/>
  <c r="I28" i="27"/>
  <c r="G28" i="27"/>
  <c r="AC27" i="27"/>
  <c r="AA27" i="27"/>
  <c r="Y27" i="27"/>
  <c r="W27" i="27"/>
  <c r="U27" i="27"/>
  <c r="S27" i="27"/>
  <c r="Q27" i="27"/>
  <c r="O27" i="27"/>
  <c r="M27" i="27"/>
  <c r="K27" i="27"/>
  <c r="I27" i="27"/>
  <c r="G27" i="27"/>
  <c r="AC26" i="27"/>
  <c r="AA26" i="27"/>
  <c r="Y26" i="27"/>
  <c r="W26" i="27"/>
  <c r="U26" i="27"/>
  <c r="S26" i="27"/>
  <c r="Q26" i="27"/>
  <c r="O26" i="27"/>
  <c r="M26" i="27"/>
  <c r="K26" i="27"/>
  <c r="I26" i="27"/>
  <c r="G26" i="27"/>
  <c r="AC25" i="27"/>
  <c r="AA25" i="27"/>
  <c r="Y25" i="27"/>
  <c r="W25" i="27"/>
  <c r="U25" i="27"/>
  <c r="S25" i="27"/>
  <c r="Q25" i="27"/>
  <c r="O25" i="27"/>
  <c r="M25" i="27"/>
  <c r="K25" i="27"/>
  <c r="I25" i="27"/>
  <c r="G25" i="27"/>
  <c r="AC24" i="27"/>
  <c r="AA24" i="27"/>
  <c r="Y24" i="27"/>
  <c r="W24" i="27"/>
  <c r="U24" i="27"/>
  <c r="S24" i="27"/>
  <c r="Q24" i="27"/>
  <c r="O24" i="27"/>
  <c r="M24" i="27"/>
  <c r="K24" i="27"/>
  <c r="I24" i="27"/>
  <c r="G24" i="27"/>
  <c r="AC23" i="27"/>
  <c r="AA23" i="27"/>
  <c r="Y23" i="27"/>
  <c r="W23" i="27"/>
  <c r="U23" i="27"/>
  <c r="S23" i="27"/>
  <c r="Q23" i="27"/>
  <c r="O23" i="27"/>
  <c r="M23" i="27"/>
  <c r="K23" i="27"/>
  <c r="I23" i="27"/>
  <c r="G23" i="27"/>
  <c r="AC22" i="27"/>
  <c r="AA22" i="27"/>
  <c r="Y22" i="27"/>
  <c r="W22" i="27"/>
  <c r="U22" i="27"/>
  <c r="S22" i="27"/>
  <c r="Q22" i="27"/>
  <c r="O22" i="27"/>
  <c r="M22" i="27"/>
  <c r="K22" i="27"/>
  <c r="I22" i="27"/>
  <c r="G22" i="27"/>
  <c r="AC21" i="27"/>
  <c r="AA21" i="27"/>
  <c r="Y21" i="27"/>
  <c r="W21" i="27"/>
  <c r="U21" i="27"/>
  <c r="S21" i="27"/>
  <c r="Q21" i="27"/>
  <c r="O21" i="27"/>
  <c r="M21" i="27"/>
  <c r="K21" i="27"/>
  <c r="I21" i="27"/>
  <c r="G21" i="27"/>
  <c r="AC20" i="27"/>
  <c r="AA20" i="27"/>
  <c r="Y20" i="27"/>
  <c r="W20" i="27"/>
  <c r="U20" i="27"/>
  <c r="S20" i="27"/>
  <c r="Q20" i="27"/>
  <c r="O20" i="27"/>
  <c r="M20" i="27"/>
  <c r="K20" i="27"/>
  <c r="I20" i="27"/>
  <c r="G20" i="27"/>
  <c r="AC19" i="27"/>
  <c r="AA19" i="27"/>
  <c r="Y19" i="27"/>
  <c r="W19" i="27"/>
  <c r="U19" i="27"/>
  <c r="S19" i="27"/>
  <c r="Q19" i="27"/>
  <c r="O19" i="27"/>
  <c r="M19" i="27"/>
  <c r="K19" i="27"/>
  <c r="I19" i="27"/>
  <c r="G19" i="27"/>
  <c r="AC18" i="27"/>
  <c r="AA18" i="27"/>
  <c r="Y18" i="27"/>
  <c r="W18" i="27"/>
  <c r="U18" i="27"/>
  <c r="S18" i="27"/>
  <c r="Q18" i="27"/>
  <c r="O18" i="27"/>
  <c r="M18" i="27"/>
  <c r="K18" i="27"/>
  <c r="I18" i="27"/>
  <c r="G18" i="27"/>
  <c r="AC17" i="27"/>
  <c r="AA17" i="27"/>
  <c r="Y17" i="27"/>
  <c r="W17" i="27"/>
  <c r="U17" i="27"/>
  <c r="S17" i="27"/>
  <c r="Q17" i="27"/>
  <c r="O17" i="27"/>
  <c r="M17" i="27"/>
  <c r="K17" i="27"/>
  <c r="I17" i="27"/>
  <c r="G17" i="27"/>
  <c r="AC16" i="27"/>
  <c r="AA16" i="27"/>
  <c r="Y16" i="27"/>
  <c r="W16" i="27"/>
  <c r="U16" i="27"/>
  <c r="S16" i="27"/>
  <c r="Q16" i="27"/>
  <c r="O16" i="27"/>
  <c r="M16" i="27"/>
  <c r="K16" i="27"/>
  <c r="I16" i="27"/>
  <c r="G16" i="27"/>
  <c r="AC15" i="27"/>
  <c r="AA15" i="27"/>
  <c r="Y15" i="27"/>
  <c r="W15" i="27"/>
  <c r="U15" i="27"/>
  <c r="S15" i="27"/>
  <c r="Q15" i="27"/>
  <c r="O15" i="27"/>
  <c r="M15" i="27"/>
  <c r="K15" i="27"/>
  <c r="I15" i="27"/>
  <c r="G15" i="27"/>
  <c r="AC14" i="27"/>
  <c r="AA14" i="27"/>
  <c r="Y14" i="27"/>
  <c r="W14" i="27"/>
  <c r="U14" i="27"/>
  <c r="S14" i="27"/>
  <c r="Q14" i="27"/>
  <c r="O14" i="27"/>
  <c r="M14" i="27"/>
  <c r="K14" i="27"/>
  <c r="I14" i="27"/>
  <c r="G14" i="27"/>
  <c r="AC13" i="27"/>
  <c r="AA13" i="27"/>
  <c r="Y13" i="27"/>
  <c r="W13" i="27"/>
  <c r="U13" i="27"/>
  <c r="S13" i="27"/>
  <c r="Q13" i="27"/>
  <c r="O13" i="27"/>
  <c r="M13" i="27"/>
  <c r="K13" i="27"/>
  <c r="I13" i="27"/>
  <c r="G13" i="27"/>
  <c r="AC12" i="27"/>
  <c r="AA12" i="27"/>
  <c r="Y12" i="27"/>
  <c r="W12" i="27"/>
  <c r="U12" i="27"/>
  <c r="S12" i="27"/>
  <c r="Q12" i="27"/>
  <c r="O12" i="27"/>
  <c r="M12" i="27"/>
  <c r="K12" i="27"/>
  <c r="I12" i="27"/>
  <c r="G12" i="27"/>
  <c r="AC11" i="27"/>
  <c r="AA11" i="27"/>
  <c r="Y11" i="27"/>
  <c r="W11" i="27"/>
  <c r="U11" i="27"/>
  <c r="S11" i="27"/>
  <c r="Q11" i="27"/>
  <c r="O11" i="27"/>
  <c r="M11" i="27"/>
  <c r="K11" i="27"/>
  <c r="I11" i="27"/>
  <c r="G11" i="27"/>
  <c r="AC10" i="27"/>
  <c r="AA10" i="27"/>
  <c r="Y10" i="27"/>
  <c r="W10" i="27"/>
  <c r="U10" i="27"/>
  <c r="S10" i="27"/>
  <c r="Q10" i="27"/>
  <c r="O10" i="27"/>
  <c r="M10" i="27"/>
  <c r="K10" i="27"/>
  <c r="I10" i="27"/>
  <c r="G10" i="27"/>
  <c r="AC9" i="27"/>
  <c r="AA9" i="27"/>
  <c r="Y9" i="27"/>
  <c r="W9" i="27"/>
  <c r="U9" i="27"/>
  <c r="S9" i="27"/>
  <c r="Q9" i="27"/>
  <c r="O9" i="27"/>
  <c r="M9" i="27"/>
  <c r="K9" i="27"/>
  <c r="I9" i="27"/>
  <c r="G9" i="27"/>
  <c r="AC8" i="27"/>
  <c r="AC47" i="27" s="1"/>
  <c r="AA8" i="27"/>
  <c r="AA47" i="27" s="1"/>
  <c r="Y8" i="27"/>
  <c r="Y47" i="27" s="1"/>
  <c r="W8" i="27"/>
  <c r="W47" i="27" s="1"/>
  <c r="U8" i="27"/>
  <c r="U47" i="27" s="1"/>
  <c r="S8" i="27"/>
  <c r="S47" i="27" s="1"/>
  <c r="Q8" i="27"/>
  <c r="Q47" i="27" s="1"/>
  <c r="O8" i="27"/>
  <c r="O47" i="27" s="1"/>
  <c r="M8" i="27"/>
  <c r="K8" i="27"/>
  <c r="I8" i="27"/>
  <c r="G8" i="27"/>
  <c r="I6" i="27"/>
  <c r="K6" i="27" s="1"/>
  <c r="M6" i="27" s="1"/>
  <c r="O6" i="27" s="1"/>
  <c r="Q6" i="27" s="1"/>
  <c r="S6" i="27" s="1"/>
  <c r="U6" i="27" s="1"/>
  <c r="W6" i="27" s="1"/>
  <c r="Y6" i="27" s="1"/>
  <c r="AA6" i="27" s="1"/>
  <c r="AC6" i="27" s="1"/>
  <c r="AH3" i="27"/>
  <c r="AH44" i="27" s="1"/>
  <c r="AJ44" i="27" s="1"/>
  <c r="AH14" i="27" l="1"/>
  <c r="AH15" i="27"/>
  <c r="AJ15" i="27" s="1"/>
  <c r="AH17" i="27"/>
  <c r="AJ17" i="27" s="1"/>
  <c r="AH19" i="27"/>
  <c r="M47" i="27"/>
  <c r="K47" i="27"/>
  <c r="AE9" i="27"/>
  <c r="AE10" i="27"/>
  <c r="AE13" i="27"/>
  <c r="AE14" i="27"/>
  <c r="AE15" i="27"/>
  <c r="AE17" i="27"/>
  <c r="AE19" i="27"/>
  <c r="AE20" i="27"/>
  <c r="AE22" i="27"/>
  <c r="AE24" i="27"/>
  <c r="AE27" i="27"/>
  <c r="AE29" i="27"/>
  <c r="AE31" i="27"/>
  <c r="AE33" i="27"/>
  <c r="AE35" i="27"/>
  <c r="AE36" i="27"/>
  <c r="AE38" i="27"/>
  <c r="AE40" i="27"/>
  <c r="AE41" i="27"/>
  <c r="AE42" i="27"/>
  <c r="AE44" i="27"/>
  <c r="AE45" i="27"/>
  <c r="AE18" i="27"/>
  <c r="AE21" i="27"/>
  <c r="AE25" i="27"/>
  <c r="AE26" i="27"/>
  <c r="AE30" i="27"/>
  <c r="AE34" i="27"/>
  <c r="AE39" i="27"/>
  <c r="G47" i="27"/>
  <c r="AE11" i="27"/>
  <c r="AE12" i="27"/>
  <c r="I47" i="27"/>
  <c r="AH10" i="27"/>
  <c r="AJ10" i="27" s="1"/>
  <c r="AH13" i="27"/>
  <c r="AI13" i="27" s="1"/>
  <c r="AJ13" i="27" s="1"/>
  <c r="AE16" i="27"/>
  <c r="AE23" i="27"/>
  <c r="AE28" i="27"/>
  <c r="AE32" i="27"/>
  <c r="AE37" i="27"/>
  <c r="AE43" i="27"/>
  <c r="AI14" i="27"/>
  <c r="AJ14" i="27" s="1"/>
  <c r="AH8" i="27"/>
  <c r="AH11" i="27"/>
  <c r="AH12" i="27"/>
  <c r="AJ12" i="27" s="1"/>
  <c r="AH18" i="27"/>
  <c r="AJ18" i="27" s="1"/>
  <c r="AH21" i="27"/>
  <c r="AJ21" i="27" s="1"/>
  <c r="AH25" i="27"/>
  <c r="AH26" i="27"/>
  <c r="AJ26" i="27" s="1"/>
  <c r="AH30" i="27"/>
  <c r="AJ30" i="27" s="1"/>
  <c r="AH34" i="27"/>
  <c r="AJ34" i="27" s="1"/>
  <c r="AH39" i="27"/>
  <c r="AJ39" i="27" s="1"/>
  <c r="AH43" i="27"/>
  <c r="AJ43" i="27" s="1"/>
  <c r="AH20" i="27"/>
  <c r="AJ20" i="27" s="1"/>
  <c r="AH24" i="27"/>
  <c r="AJ24" i="27" s="1"/>
  <c r="AH29" i="27"/>
  <c r="AJ29" i="27" s="1"/>
  <c r="AH33" i="27"/>
  <c r="AJ33" i="27" s="1"/>
  <c r="AH38" i="27"/>
  <c r="AJ38" i="27" s="1"/>
  <c r="AH42" i="27"/>
  <c r="AJ42" i="27" s="1"/>
  <c r="AE8" i="27"/>
  <c r="AH9" i="27"/>
  <c r="AJ9" i="27" s="1"/>
  <c r="AH16" i="27"/>
  <c r="AJ16" i="27" s="1"/>
  <c r="AH23" i="27"/>
  <c r="AJ23" i="27" s="1"/>
  <c r="AH28" i="27"/>
  <c r="AJ28" i="27" s="1"/>
  <c r="AH32" i="27"/>
  <c r="AJ32" i="27" s="1"/>
  <c r="AH37" i="27"/>
  <c r="AJ37" i="27" s="1"/>
  <c r="AH41" i="27"/>
  <c r="AJ41" i="27" s="1"/>
  <c r="AH45" i="27"/>
  <c r="AJ45" i="27" s="1"/>
  <c r="AH22" i="27"/>
  <c r="AJ22" i="27" s="1"/>
  <c r="AH27" i="27"/>
  <c r="AJ27" i="27" s="1"/>
  <c r="AH31" i="27"/>
  <c r="AJ31" i="27" s="1"/>
  <c r="AH35" i="27"/>
  <c r="AH36" i="27"/>
  <c r="AJ36" i="27" s="1"/>
  <c r="AH40" i="27"/>
  <c r="AJ40" i="27" s="1"/>
  <c r="AE47" i="27" l="1"/>
  <c r="AI11" i="27"/>
  <c r="AJ11" i="27" s="1"/>
  <c r="AI35" i="27"/>
  <c r="AJ35" i="27" s="1"/>
  <c r="AH47" i="27"/>
  <c r="AJ8" i="27"/>
  <c r="AI25" i="27"/>
  <c r="AJ25" i="27" s="1"/>
  <c r="AH50" i="27" l="1"/>
  <c r="B54" i="21"/>
  <c r="AJ47" i="27"/>
  <c r="AI47" i="27"/>
  <c r="AJ49" i="27" s="1"/>
  <c r="AJ50" i="27" l="1"/>
  <c r="Z56" i="26" l="1"/>
  <c r="Z55" i="26"/>
  <c r="Z54" i="26"/>
  <c r="Z53" i="26"/>
  <c r="Z50" i="26"/>
  <c r="Z49" i="26"/>
  <c r="Z48" i="26"/>
  <c r="Z47" i="26"/>
  <c r="Z44" i="26"/>
  <c r="Z43" i="26"/>
  <c r="Z42" i="26"/>
  <c r="Z41" i="26"/>
  <c r="Z38" i="26"/>
  <c r="Z37" i="26"/>
  <c r="Z36" i="26"/>
  <c r="Z35" i="26"/>
  <c r="Z32" i="26"/>
  <c r="Z31" i="26"/>
  <c r="Z30" i="26"/>
  <c r="Z29" i="26"/>
  <c r="Z26" i="26"/>
  <c r="Z25" i="26"/>
  <c r="Z24" i="26"/>
  <c r="Z23" i="26"/>
  <c r="Z20" i="26"/>
  <c r="Z19" i="26"/>
  <c r="Z18" i="26"/>
  <c r="Z17" i="26"/>
  <c r="Z14" i="26"/>
  <c r="Z13" i="26"/>
  <c r="Z12" i="26"/>
  <c r="Z11" i="26"/>
  <c r="Z8" i="26"/>
  <c r="Z7" i="26"/>
  <c r="Z6" i="26"/>
  <c r="Z5" i="26"/>
  <c r="Z56" i="25"/>
  <c r="Z55" i="25"/>
  <c r="Z54" i="25"/>
  <c r="Z53" i="25"/>
  <c r="Z50" i="25"/>
  <c r="Z49" i="25"/>
  <c r="Z48" i="25"/>
  <c r="Z47" i="25"/>
  <c r="Z44" i="25"/>
  <c r="Z43" i="25"/>
  <c r="Z42" i="25"/>
  <c r="Z41" i="25"/>
  <c r="Z38" i="25"/>
  <c r="Z37" i="25"/>
  <c r="Z36" i="25"/>
  <c r="Z35" i="25"/>
  <c r="Z32" i="25"/>
  <c r="Z31" i="25"/>
  <c r="Z30" i="25"/>
  <c r="Z29" i="25"/>
  <c r="Z26" i="25"/>
  <c r="Z25" i="25"/>
  <c r="Z24" i="25"/>
  <c r="Z23" i="25"/>
  <c r="Z20" i="25"/>
  <c r="Z19" i="25"/>
  <c r="Z18" i="25"/>
  <c r="Z17" i="25"/>
  <c r="Z14" i="25"/>
  <c r="Z13" i="25"/>
  <c r="Z12" i="25"/>
  <c r="Z11" i="25"/>
  <c r="Z8" i="25"/>
  <c r="Z7" i="25"/>
  <c r="Z6" i="25"/>
  <c r="Z5" i="25"/>
  <c r="Z56" i="24"/>
  <c r="Z55" i="24"/>
  <c r="Z54" i="24"/>
  <c r="Z53" i="24"/>
  <c r="Z50" i="24"/>
  <c r="Z49" i="24"/>
  <c r="Z48" i="24"/>
  <c r="Z47" i="24"/>
  <c r="Z44" i="24"/>
  <c r="Z43" i="24"/>
  <c r="Z42" i="24"/>
  <c r="Z41" i="24"/>
  <c r="Z38" i="24"/>
  <c r="Z37" i="24"/>
  <c r="Z36" i="24"/>
  <c r="Z35" i="24"/>
  <c r="Z32" i="24"/>
  <c r="Z31" i="24"/>
  <c r="Z30" i="24"/>
  <c r="Z29" i="24"/>
  <c r="Z26" i="24"/>
  <c r="Z25" i="24"/>
  <c r="Z24" i="24"/>
  <c r="Z23" i="24"/>
  <c r="Z20" i="24"/>
  <c r="Z19" i="24"/>
  <c r="Z18" i="24"/>
  <c r="Z17" i="24"/>
  <c r="Z14" i="24"/>
  <c r="Z13" i="24"/>
  <c r="Z12" i="24"/>
  <c r="Z11" i="24"/>
  <c r="Z8" i="24"/>
  <c r="Z7" i="24"/>
  <c r="Z6" i="24"/>
  <c r="Z5" i="24"/>
  <c r="C95" i="12" l="1"/>
  <c r="C93" i="12"/>
  <c r="C90" i="12"/>
  <c r="C87" i="12"/>
  <c r="E87" i="12"/>
  <c r="E90" i="12" s="1"/>
  <c r="B45" i="21" s="1"/>
  <c r="E89" i="12"/>
  <c r="D87" i="12"/>
  <c r="E57" i="8"/>
  <c r="E55" i="8"/>
  <c r="E56" i="8"/>
  <c r="E54" i="8"/>
  <c r="C58" i="8"/>
  <c r="C57" i="8"/>
  <c r="C56" i="8"/>
  <c r="C55" i="8"/>
  <c r="C54" i="8"/>
  <c r="B54" i="8"/>
  <c r="B56" i="8"/>
  <c r="F56" i="8" s="1"/>
  <c r="F54" i="8" l="1"/>
  <c r="J54" i="8" s="1"/>
  <c r="F57" i="8"/>
  <c r="H57" i="8" s="1"/>
  <c r="F55" i="8"/>
  <c r="J55" i="8" s="1"/>
  <c r="J56" i="8"/>
  <c r="B58" i="8"/>
  <c r="E58" i="8"/>
  <c r="F58" i="8" l="1"/>
  <c r="H58" i="8" s="1"/>
  <c r="H55" i="8"/>
  <c r="H56" i="8"/>
  <c r="H54" i="8"/>
  <c r="J26" i="28" l="1"/>
  <c r="L26" i="28" s="1"/>
  <c r="N26" i="28" s="1"/>
  <c r="P26" i="28"/>
  <c r="R26" i="28" s="1"/>
  <c r="T26" i="28" s="1"/>
  <c r="J20" i="28"/>
  <c r="P20" i="28"/>
  <c r="P22" i="28"/>
  <c r="J22" i="28"/>
  <c r="L22" i="28" s="1"/>
  <c r="D13" i="21"/>
  <c r="C17" i="21"/>
  <c r="C16" i="21"/>
  <c r="C14" i="21"/>
  <c r="C11" i="21"/>
  <c r="C10" i="21"/>
  <c r="B17" i="21"/>
  <c r="B16" i="21"/>
  <c r="B15" i="21"/>
  <c r="B14" i="21"/>
  <c r="B11" i="21"/>
  <c r="B9" i="21"/>
  <c r="E17" i="21"/>
  <c r="E16" i="21"/>
  <c r="E15" i="21"/>
  <c r="E18" i="21" l="1"/>
  <c r="V26" i="28"/>
  <c r="Y26" i="28" s="1"/>
  <c r="L11" i="1"/>
  <c r="D18" i="21"/>
  <c r="J16" i="1"/>
  <c r="AA26" i="28"/>
  <c r="AD26" i="28" s="1"/>
  <c r="R22" i="28"/>
  <c r="T22" i="28" s="1"/>
  <c r="R20" i="28"/>
  <c r="L20" i="28"/>
  <c r="N20" i="28" s="1"/>
  <c r="V22" i="28"/>
  <c r="Y22" i="28" s="1"/>
  <c r="N22" i="28"/>
  <c r="J11" i="1"/>
  <c r="AA22" i="28"/>
  <c r="AD22" i="28" s="1"/>
  <c r="J12" i="1"/>
  <c r="AA20" i="28"/>
  <c r="AD20" i="28" s="1"/>
  <c r="V20" i="28"/>
  <c r="Y20" i="28" s="1"/>
  <c r="J13" i="1"/>
  <c r="J104" i="1" s="1"/>
  <c r="B21" i="22"/>
  <c r="P104" i="1" l="1"/>
  <c r="O104" i="1"/>
  <c r="W104" i="1" s="1"/>
  <c r="P12" i="1"/>
  <c r="O12" i="1"/>
  <c r="O13" i="1"/>
  <c r="P13" i="1"/>
  <c r="P11" i="1"/>
  <c r="O11" i="1"/>
  <c r="T20" i="28"/>
  <c r="V58" i="21"/>
  <c r="V39" i="21"/>
  <c r="D144" i="1" s="1"/>
  <c r="B102" i="21"/>
  <c r="A102" i="21"/>
  <c r="C102" i="21" s="1"/>
  <c r="B101" i="21"/>
  <c r="A101" i="21"/>
  <c r="B100" i="21"/>
  <c r="A100" i="21"/>
  <c r="B99" i="21"/>
  <c r="A99" i="21"/>
  <c r="C99" i="21" s="1"/>
  <c r="B98" i="21"/>
  <c r="A98" i="21"/>
  <c r="B97" i="21"/>
  <c r="A97" i="21"/>
  <c r="B82" i="21"/>
  <c r="D250" i="1" s="1"/>
  <c r="B81" i="21"/>
  <c r="E66" i="21"/>
  <c r="B66" i="21"/>
  <c r="A66" i="21"/>
  <c r="B62" i="21"/>
  <c r="A62" i="21"/>
  <c r="W62" i="21"/>
  <c r="N62" i="21"/>
  <c r="X61" i="21"/>
  <c r="B60" i="21"/>
  <c r="A60" i="21"/>
  <c r="X60" i="21"/>
  <c r="X59" i="21"/>
  <c r="X57" i="21"/>
  <c r="X56" i="21"/>
  <c r="X54" i="21"/>
  <c r="X53" i="21"/>
  <c r="X44" i="21"/>
  <c r="X43" i="21"/>
  <c r="X42" i="21"/>
  <c r="X41" i="21"/>
  <c r="X37" i="21"/>
  <c r="X34" i="21"/>
  <c r="X33" i="21"/>
  <c r="X32" i="21"/>
  <c r="X31" i="21"/>
  <c r="X30" i="21"/>
  <c r="X28" i="21"/>
  <c r="X27" i="21"/>
  <c r="R26" i="21"/>
  <c r="X24" i="21"/>
  <c r="X23" i="21"/>
  <c r="X22" i="21"/>
  <c r="X21" i="21"/>
  <c r="X20" i="21"/>
  <c r="R19" i="21"/>
  <c r="M19" i="21"/>
  <c r="L19" i="21"/>
  <c r="X16" i="21"/>
  <c r="F15" i="21"/>
  <c r="H15" i="21" s="1"/>
  <c r="X26" i="21" l="1"/>
  <c r="D76" i="1"/>
  <c r="X19" i="21"/>
  <c r="D29" i="1"/>
  <c r="D249" i="1"/>
  <c r="D251" i="1" s="1"/>
  <c r="B83" i="21"/>
  <c r="D83" i="21" s="1"/>
  <c r="R25" i="21"/>
  <c r="B115" i="21"/>
  <c r="B111" i="21"/>
  <c r="V62" i="21"/>
  <c r="E99" i="21"/>
  <c r="T49" i="21" s="1"/>
  <c r="E102" i="21"/>
  <c r="T52" i="21" s="1"/>
  <c r="R39" i="21"/>
  <c r="D103" i="21"/>
  <c r="R58" i="21" l="1"/>
  <c r="X58" i="21" s="1"/>
  <c r="X25" i="21"/>
  <c r="D71" i="1"/>
  <c r="X39" i="21"/>
  <c r="D145" i="1"/>
  <c r="B117" i="21"/>
  <c r="X52" i="21"/>
  <c r="D225" i="1"/>
  <c r="X49" i="21"/>
  <c r="D222" i="1"/>
  <c r="R62" i="21" l="1"/>
  <c r="X55" i="21"/>
  <c r="D54" i="12"/>
  <c r="X29" i="21" l="1"/>
  <c r="O62" i="21"/>
  <c r="D47" i="8"/>
  <c r="J57" i="8"/>
  <c r="C46" i="8"/>
  <c r="J34" i="8"/>
  <c r="O25" i="8" l="1"/>
  <c r="F11" i="8" s="1"/>
  <c r="O24" i="8"/>
  <c r="F9" i="8" s="1"/>
  <c r="Q58" i="14" l="1"/>
  <c r="Q57" i="14"/>
  <c r="Q56" i="14"/>
  <c r="Q55" i="14"/>
  <c r="Q54" i="14"/>
  <c r="Q92" i="14"/>
  <c r="Q91" i="14"/>
  <c r="Q90" i="14"/>
  <c r="Q89" i="14"/>
  <c r="Q88" i="14"/>
  <c r="Q87" i="14"/>
  <c r="Q85" i="14"/>
  <c r="Q78" i="14"/>
  <c r="Q77" i="14"/>
  <c r="Q75" i="14"/>
  <c r="Q73" i="14"/>
  <c r="Q71" i="14"/>
  <c r="Q69" i="14"/>
  <c r="Q67" i="14"/>
  <c r="Q65" i="14"/>
  <c r="Q62" i="14"/>
  <c r="Q61" i="14"/>
  <c r="Q60" i="14"/>
  <c r="Q59" i="14"/>
  <c r="Q51" i="14"/>
  <c r="Q52" i="14"/>
  <c r="Q53" i="14"/>
  <c r="Q50" i="14"/>
  <c r="Q49" i="14"/>
  <c r="Q48" i="14"/>
  <c r="Q47" i="14"/>
  <c r="Q46" i="14"/>
  <c r="Q45" i="14"/>
  <c r="Q44" i="14"/>
  <c r="Q43" i="14"/>
  <c r="Q42" i="14"/>
  <c r="Q41" i="14"/>
  <c r="Q40" i="14"/>
  <c r="Q39" i="14"/>
  <c r="Q38" i="14"/>
  <c r="Q28" i="14"/>
  <c r="Q31" i="14"/>
  <c r="Q30" i="14"/>
  <c r="Q29" i="14"/>
  <c r="Q27" i="14"/>
  <c r="Q26" i="14"/>
  <c r="Q25" i="14"/>
  <c r="Q23" i="14"/>
  <c r="Q22" i="14"/>
  <c r="Q21" i="14"/>
  <c r="Q20" i="14"/>
  <c r="Q19" i="14"/>
  <c r="Q18" i="14"/>
  <c r="Q17" i="14"/>
  <c r="Q16" i="14"/>
  <c r="Q15" i="14"/>
  <c r="Q14" i="14"/>
  <c r="Q13" i="14"/>
  <c r="Q12" i="14"/>
  <c r="AS46" i="17" l="1"/>
  <c r="AQ46" i="17"/>
  <c r="AS45" i="17"/>
  <c r="AQ45" i="17"/>
  <c r="AS44" i="17"/>
  <c r="AQ44" i="17"/>
  <c r="AS43" i="17"/>
  <c r="AQ43" i="17"/>
  <c r="AS42" i="17"/>
  <c r="AQ42" i="17"/>
  <c r="AS41" i="17"/>
  <c r="AQ41" i="17"/>
  <c r="AS40" i="17"/>
  <c r="AQ40" i="17"/>
  <c r="AS39" i="17"/>
  <c r="AQ39" i="17"/>
  <c r="AS38" i="17"/>
  <c r="AQ38" i="17"/>
  <c r="AS37" i="17"/>
  <c r="AQ37" i="17"/>
  <c r="AS36" i="17"/>
  <c r="AQ36" i="17"/>
  <c r="AS35" i="17"/>
  <c r="AQ35" i="17"/>
  <c r="AS34" i="17"/>
  <c r="AQ34" i="17"/>
  <c r="AS33" i="17"/>
  <c r="AQ33" i="17"/>
  <c r="AS32" i="17"/>
  <c r="AQ32" i="17"/>
  <c r="AS31" i="17"/>
  <c r="AQ31" i="17"/>
  <c r="AS30" i="17"/>
  <c r="AQ30" i="17"/>
  <c r="AS29" i="17"/>
  <c r="AQ29" i="17"/>
  <c r="AS28" i="17"/>
  <c r="AQ28" i="17"/>
  <c r="AS27" i="17"/>
  <c r="AQ27" i="17"/>
  <c r="AS26" i="17"/>
  <c r="AQ26" i="17"/>
  <c r="AS25" i="17"/>
  <c r="AQ25" i="17"/>
  <c r="AS24" i="17"/>
  <c r="AQ24" i="17"/>
  <c r="AS23" i="17"/>
  <c r="AQ23" i="17"/>
  <c r="AS22" i="17"/>
  <c r="AQ22" i="17"/>
  <c r="AS21" i="17"/>
  <c r="AQ21" i="17"/>
  <c r="AS20" i="17"/>
  <c r="AQ20" i="17"/>
  <c r="G17" i="17"/>
  <c r="E17" i="17"/>
  <c r="D17" i="17"/>
  <c r="E16" i="17"/>
  <c r="D16" i="17"/>
  <c r="J8" i="17"/>
  <c r="G8" i="17"/>
  <c r="C8" i="17"/>
  <c r="C8" i="16"/>
  <c r="G8" i="16"/>
  <c r="J8" i="16"/>
  <c r="D16" i="16"/>
  <c r="E16" i="16"/>
  <c r="D17" i="16"/>
  <c r="E17" i="16"/>
  <c r="G17" i="16"/>
  <c r="AQ20" i="16"/>
  <c r="AS20" i="16"/>
  <c r="AQ21" i="16"/>
  <c r="AS21" i="16"/>
  <c r="AQ22" i="16"/>
  <c r="AS22" i="16"/>
  <c r="AQ23" i="16"/>
  <c r="AS23" i="16"/>
  <c r="AQ24" i="16"/>
  <c r="AS24" i="16"/>
  <c r="AQ25" i="16"/>
  <c r="AS25" i="16"/>
  <c r="AQ26" i="16"/>
  <c r="AS26" i="16"/>
  <c r="AQ27" i="16"/>
  <c r="AS27" i="16"/>
  <c r="AQ28" i="16"/>
  <c r="AS28" i="16"/>
  <c r="AQ29" i="16"/>
  <c r="AS29" i="16"/>
  <c r="AQ30" i="16"/>
  <c r="AS30" i="16"/>
  <c r="AQ31" i="16"/>
  <c r="AS31" i="16"/>
  <c r="AQ32" i="16"/>
  <c r="AS32" i="16"/>
  <c r="AQ33" i="16"/>
  <c r="AS33" i="16"/>
  <c r="AQ34" i="16"/>
  <c r="AS34" i="16"/>
  <c r="AQ35" i="16"/>
  <c r="AS35" i="16"/>
  <c r="AQ36" i="16"/>
  <c r="AS36" i="16"/>
  <c r="AQ37" i="16"/>
  <c r="AS37" i="16"/>
  <c r="AQ38" i="16"/>
  <c r="AS38" i="16"/>
  <c r="AQ39" i="16"/>
  <c r="AS39" i="16"/>
  <c r="AQ40" i="16"/>
  <c r="AS40" i="16"/>
  <c r="AQ41" i="16"/>
  <c r="AS41" i="16"/>
  <c r="AQ42" i="16"/>
  <c r="AS42" i="16"/>
  <c r="AQ43" i="16"/>
  <c r="AS43" i="16"/>
  <c r="AQ44" i="16"/>
  <c r="AS44" i="16"/>
  <c r="AQ45" i="16"/>
  <c r="AS45" i="16"/>
  <c r="AQ46" i="16"/>
  <c r="AS46" i="16"/>
  <c r="AQ47" i="16"/>
  <c r="AS47" i="16"/>
  <c r="AQ48" i="16"/>
  <c r="AS48" i="16"/>
  <c r="AQ49" i="16"/>
  <c r="AS49" i="16"/>
  <c r="AQ50" i="16"/>
  <c r="AS50" i="16"/>
  <c r="AQ51" i="16"/>
  <c r="AS51" i="16"/>
  <c r="AQ52" i="16"/>
  <c r="AS52" i="16"/>
  <c r="AQ53" i="16"/>
  <c r="AS53" i="16"/>
  <c r="AQ54" i="16"/>
  <c r="AS54" i="16"/>
  <c r="AQ55" i="16"/>
  <c r="AS55" i="16"/>
  <c r="AQ56" i="16"/>
  <c r="AS56" i="16"/>
  <c r="AQ57" i="16"/>
  <c r="AS57" i="16"/>
  <c r="AQ58" i="16"/>
  <c r="AS58" i="16"/>
  <c r="AQ59" i="16"/>
  <c r="AS59" i="16"/>
  <c r="AQ60" i="16"/>
  <c r="AS60" i="16"/>
  <c r="AQ61" i="16"/>
  <c r="AS61" i="16"/>
  <c r="AQ62" i="16"/>
  <c r="AS62" i="16"/>
  <c r="AQ63" i="16"/>
  <c r="AS63" i="16"/>
  <c r="AQ64" i="16"/>
  <c r="AS64" i="16"/>
  <c r="AQ65" i="16"/>
  <c r="AS65" i="16"/>
  <c r="AQ66" i="16"/>
  <c r="AS66" i="16"/>
  <c r="B5" i="17"/>
  <c r="Y4" i="16"/>
  <c r="U4" i="17"/>
  <c r="Q4" i="16"/>
  <c r="Q5" i="16"/>
  <c r="Q5" i="17"/>
  <c r="B5" i="16"/>
  <c r="U4" i="16"/>
  <c r="Y4" i="17"/>
  <c r="Q4" i="17"/>
  <c r="D76" i="12" l="1"/>
  <c r="D81" i="12"/>
  <c r="D86" i="12"/>
  <c r="D72" i="12"/>
  <c r="D69" i="12"/>
  <c r="D57" i="12"/>
  <c r="D55" i="12"/>
  <c r="E55" i="12" s="1"/>
  <c r="D53" i="12"/>
  <c r="D46" i="12"/>
  <c r="D43" i="12"/>
  <c r="D40" i="12"/>
  <c r="D41" i="12"/>
  <c r="D38" i="12"/>
  <c r="D39" i="12"/>
  <c r="D37" i="12"/>
  <c r="E37" i="12" s="1"/>
  <c r="F31" i="12"/>
  <c r="D28" i="12"/>
  <c r="E28" i="12" s="1"/>
  <c r="D29" i="12"/>
  <c r="D27" i="12"/>
  <c r="D31" i="12" s="1"/>
  <c r="E14" i="12"/>
  <c r="E15" i="12"/>
  <c r="E16" i="12"/>
  <c r="E17" i="12"/>
  <c r="E18" i="12"/>
  <c r="E19" i="12"/>
  <c r="E20" i="12"/>
  <c r="E21" i="12"/>
  <c r="E22" i="12"/>
  <c r="E23" i="12"/>
  <c r="E24" i="12"/>
  <c r="E25" i="12"/>
  <c r="E26" i="12"/>
  <c r="E27" i="12"/>
  <c r="E29" i="12"/>
  <c r="E30" i="12"/>
  <c r="E32" i="12"/>
  <c r="E33" i="12"/>
  <c r="E34" i="12"/>
  <c r="E35" i="12"/>
  <c r="E36" i="12"/>
  <c r="E38" i="12"/>
  <c r="E39" i="12"/>
  <c r="E40" i="12"/>
  <c r="E41" i="12"/>
  <c r="E42" i="12"/>
  <c r="E43" i="12"/>
  <c r="E44" i="12"/>
  <c r="E45" i="12"/>
  <c r="E46" i="12"/>
  <c r="E47" i="12"/>
  <c r="E48" i="12"/>
  <c r="E49" i="12"/>
  <c r="E50" i="12"/>
  <c r="E51" i="12"/>
  <c r="E52" i="12"/>
  <c r="E53" i="12"/>
  <c r="E54"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13" i="12"/>
  <c r="F13" i="14" l="1"/>
  <c r="A3" i="15" l="1"/>
  <c r="C12" i="15"/>
  <c r="D12" i="15"/>
  <c r="C13" i="15"/>
  <c r="D13" i="15"/>
  <c r="C14" i="15"/>
  <c r="D14" i="15"/>
  <c r="C15" i="15"/>
  <c r="D15" i="15"/>
  <c r="C16" i="15"/>
  <c r="D16" i="15"/>
  <c r="C17" i="15"/>
  <c r="D17" i="15"/>
  <c r="C18" i="15"/>
  <c r="D18" i="15"/>
  <c r="C19" i="15"/>
  <c r="D19" i="15"/>
  <c r="C20" i="15"/>
  <c r="D20" i="15"/>
  <c r="C21" i="15"/>
  <c r="D21" i="15"/>
  <c r="C22" i="15"/>
  <c r="D22" i="15"/>
  <c r="C23" i="15"/>
  <c r="D23" i="15"/>
  <c r="C24" i="15"/>
  <c r="D24" i="15"/>
  <c r="C25" i="15"/>
  <c r="D25" i="15"/>
  <c r="C26" i="15"/>
  <c r="D26" i="15"/>
  <c r="C27" i="15"/>
  <c r="D27" i="15"/>
  <c r="C28" i="15"/>
  <c r="D28" i="15"/>
  <c r="C29" i="15"/>
  <c r="D29" i="15"/>
  <c r="C30" i="15"/>
  <c r="D30" i="15"/>
  <c r="C31" i="15"/>
  <c r="D31" i="15"/>
  <c r="C32" i="15"/>
  <c r="D32" i="15"/>
  <c r="C33" i="15"/>
  <c r="D33" i="15"/>
  <c r="C34" i="15"/>
  <c r="D34" i="15"/>
  <c r="C35" i="15"/>
  <c r="D35" i="15"/>
  <c r="C36" i="15"/>
  <c r="D36" i="15"/>
  <c r="C41" i="15"/>
  <c r="D41" i="15"/>
  <c r="C49" i="15"/>
  <c r="D49" i="15"/>
  <c r="C50" i="15"/>
  <c r="D50" i="15"/>
  <c r="C51" i="15"/>
  <c r="D51" i="15"/>
  <c r="C52" i="15"/>
  <c r="D52" i="15"/>
  <c r="C53" i="15"/>
  <c r="D53" i="15"/>
  <c r="C54" i="15"/>
  <c r="D54" i="15"/>
  <c r="C55" i="15"/>
  <c r="D55" i="15"/>
  <c r="C56" i="15"/>
  <c r="D56" i="15"/>
  <c r="C57" i="15"/>
  <c r="D57" i="15"/>
  <c r="C58" i="15"/>
  <c r="D58" i="15"/>
  <c r="C59" i="15"/>
  <c r="D59" i="15"/>
  <c r="C60" i="15"/>
  <c r="D60" i="15"/>
  <c r="C61" i="15"/>
  <c r="D61" i="15"/>
  <c r="C62" i="15"/>
  <c r="D62" i="15"/>
  <c r="C63" i="15"/>
  <c r="D63" i="15"/>
  <c r="C64" i="15"/>
  <c r="D64" i="15"/>
  <c r="C65" i="15"/>
  <c r="D65" i="15"/>
  <c r="C66" i="15"/>
  <c r="D66" i="15"/>
  <c r="C67" i="15"/>
  <c r="D67" i="15"/>
  <c r="C68" i="15"/>
  <c r="D68" i="15"/>
  <c r="C69" i="15"/>
  <c r="D69" i="15"/>
  <c r="C70" i="15"/>
  <c r="D70" i="15"/>
  <c r="C71" i="15"/>
  <c r="D71" i="15"/>
  <c r="C72" i="15"/>
  <c r="D72" i="15"/>
  <c r="C73" i="15"/>
  <c r="D73" i="15"/>
  <c r="C74" i="15"/>
  <c r="D74" i="15"/>
  <c r="C75" i="15"/>
  <c r="D75" i="15"/>
  <c r="C76" i="15"/>
  <c r="D76" i="15"/>
  <c r="C77" i="15"/>
  <c r="D77" i="15"/>
  <c r="C78" i="15"/>
  <c r="D78" i="15"/>
  <c r="C79" i="15"/>
  <c r="D79" i="15"/>
  <c r="C80" i="15"/>
  <c r="D80" i="15"/>
  <c r="C81" i="15"/>
  <c r="D81" i="15"/>
  <c r="C82" i="15"/>
  <c r="D82" i="15"/>
  <c r="C83" i="15"/>
  <c r="D83" i="15"/>
  <c r="C84" i="15"/>
  <c r="D84" i="15"/>
  <c r="C85" i="15"/>
  <c r="D85" i="15"/>
  <c r="C86" i="15"/>
  <c r="D86" i="15"/>
  <c r="C87" i="15"/>
  <c r="D87" i="15"/>
  <c r="C88" i="15"/>
  <c r="D88" i="15"/>
  <c r="C89" i="15"/>
  <c r="D89" i="15"/>
  <c r="C90" i="15"/>
  <c r="D90" i="15"/>
  <c r="C91" i="15"/>
  <c r="D91" i="15"/>
  <c r="C92" i="15"/>
  <c r="D92" i="15"/>
  <c r="C93" i="15"/>
  <c r="D93" i="15"/>
  <c r="C94" i="15"/>
  <c r="D94" i="15"/>
  <c r="C95" i="15"/>
  <c r="D95" i="15"/>
  <c r="C96" i="15"/>
  <c r="D96" i="15"/>
  <c r="C97" i="15"/>
  <c r="D97" i="15"/>
  <c r="C98" i="15"/>
  <c r="D98" i="15"/>
  <c r="C99" i="15"/>
  <c r="D99" i="15"/>
  <c r="C100" i="15"/>
  <c r="D100" i="15"/>
  <c r="C101" i="15"/>
  <c r="D101" i="15"/>
  <c r="C102" i="15"/>
  <c r="D102" i="15"/>
  <c r="C103" i="15"/>
  <c r="D103" i="15"/>
  <c r="C104" i="15"/>
  <c r="D104" i="15"/>
  <c r="C105" i="15"/>
  <c r="D105" i="15"/>
  <c r="D106" i="15"/>
  <c r="C107" i="15"/>
  <c r="D107" i="15"/>
  <c r="D108" i="15"/>
  <c r="C109" i="15"/>
  <c r="D109" i="15"/>
  <c r="C110" i="15"/>
  <c r="D110" i="15"/>
  <c r="C111" i="15"/>
  <c r="D111" i="15"/>
  <c r="C112" i="15"/>
  <c r="D112" i="15"/>
  <c r="C113" i="15"/>
  <c r="D113" i="15"/>
  <c r="C114" i="15"/>
  <c r="D114" i="15"/>
  <c r="C115" i="15"/>
  <c r="D115" i="15"/>
  <c r="C116" i="15"/>
  <c r="D116" i="15"/>
  <c r="C117" i="15"/>
  <c r="D117" i="15"/>
  <c r="C118" i="15"/>
  <c r="D118" i="15"/>
  <c r="C119" i="15"/>
  <c r="D119" i="15"/>
  <c r="C120" i="15"/>
  <c r="D120" i="15"/>
  <c r="D121" i="15"/>
  <c r="C122" i="15"/>
  <c r="D122" i="15"/>
  <c r="C123" i="15"/>
  <c r="D123" i="15"/>
  <c r="C124" i="15"/>
  <c r="D124" i="15"/>
  <c r="C125" i="15"/>
  <c r="D125" i="15"/>
  <c r="C126" i="15"/>
  <c r="D126" i="15"/>
  <c r="C127" i="15"/>
  <c r="D127" i="15"/>
  <c r="C128" i="15"/>
  <c r="D128" i="15"/>
  <c r="C129" i="15"/>
  <c r="D129" i="15"/>
  <c r="C134" i="15"/>
  <c r="D134" i="15"/>
  <c r="D139" i="15"/>
  <c r="D140" i="15"/>
  <c r="D141" i="15"/>
  <c r="C148" i="15"/>
  <c r="D148" i="15"/>
  <c r="C149" i="15"/>
  <c r="D149" i="15"/>
  <c r="C150" i="15"/>
  <c r="D150" i="15"/>
  <c r="C151" i="15"/>
  <c r="D151" i="15"/>
  <c r="C152" i="15"/>
  <c r="D152" i="15"/>
  <c r="C153" i="15"/>
  <c r="D153" i="15"/>
  <c r="C154" i="15"/>
  <c r="D154" i="15"/>
  <c r="C155" i="15"/>
  <c r="D155" i="15"/>
  <c r="C161" i="15"/>
  <c r="D161" i="15"/>
  <c r="D166" i="15"/>
  <c r="C167" i="15"/>
  <c r="D167" i="15"/>
  <c r="C168" i="15"/>
  <c r="D168" i="15"/>
  <c r="C12" i="14"/>
  <c r="D12" i="14"/>
  <c r="E12" i="14"/>
  <c r="F12" i="14"/>
  <c r="C13" i="14"/>
  <c r="D13" i="14"/>
  <c r="E13" i="14"/>
  <c r="C14" i="14"/>
  <c r="D14" i="14"/>
  <c r="E14" i="14"/>
  <c r="F14" i="14"/>
  <c r="C15" i="14"/>
  <c r="D15" i="14"/>
  <c r="E15" i="14"/>
  <c r="F15" i="14"/>
  <c r="C16" i="14"/>
  <c r="D16" i="14"/>
  <c r="E16" i="14"/>
  <c r="F16" i="14"/>
  <c r="C17" i="14"/>
  <c r="D17" i="14"/>
  <c r="E17" i="14"/>
  <c r="F17" i="14"/>
  <c r="C18" i="14"/>
  <c r="D18" i="14"/>
  <c r="E18" i="14"/>
  <c r="F18" i="14"/>
  <c r="C19" i="14"/>
  <c r="D19" i="14"/>
  <c r="E19" i="14"/>
  <c r="F19" i="14"/>
  <c r="C20" i="14"/>
  <c r="D20" i="14"/>
  <c r="E20" i="14"/>
  <c r="F20" i="14"/>
  <c r="C21" i="14"/>
  <c r="D21" i="14"/>
  <c r="E21" i="14"/>
  <c r="F21" i="14"/>
  <c r="C22" i="14"/>
  <c r="D22" i="14"/>
  <c r="E22" i="14"/>
  <c r="F22" i="14"/>
  <c r="C23" i="14"/>
  <c r="D23" i="14"/>
  <c r="E23" i="14"/>
  <c r="F23" i="14"/>
  <c r="C24" i="14"/>
  <c r="D24" i="14"/>
  <c r="E24" i="14"/>
  <c r="F24" i="14"/>
  <c r="C25" i="14"/>
  <c r="D25" i="14"/>
  <c r="E25" i="14"/>
  <c r="F25" i="14"/>
  <c r="C26" i="14"/>
  <c r="D26" i="14"/>
  <c r="E26" i="14"/>
  <c r="F26" i="14"/>
  <c r="C27" i="14"/>
  <c r="D27" i="14"/>
  <c r="E27" i="14"/>
  <c r="F27" i="14"/>
  <c r="D28" i="14"/>
  <c r="E28" i="14"/>
  <c r="F28" i="14"/>
  <c r="D29" i="14"/>
  <c r="E29" i="14"/>
  <c r="F29" i="14"/>
  <c r="D30" i="14"/>
  <c r="E30" i="14"/>
  <c r="F30" i="14"/>
  <c r="D31" i="14"/>
  <c r="E31" i="14"/>
  <c r="F31" i="14"/>
  <c r="C38" i="14"/>
  <c r="D38" i="14"/>
  <c r="E38" i="14"/>
  <c r="F38" i="14"/>
  <c r="C39" i="14"/>
  <c r="D39" i="14"/>
  <c r="E39" i="14"/>
  <c r="F39" i="14"/>
  <c r="C40" i="14"/>
  <c r="D40" i="14"/>
  <c r="E40" i="14"/>
  <c r="F40" i="14"/>
  <c r="C41" i="14"/>
  <c r="D41" i="14"/>
  <c r="E41" i="14"/>
  <c r="F41" i="14"/>
  <c r="C42" i="14"/>
  <c r="D42" i="14"/>
  <c r="E42" i="14"/>
  <c r="F42" i="14"/>
  <c r="C43" i="14"/>
  <c r="D43" i="14"/>
  <c r="E43" i="14"/>
  <c r="F43" i="14"/>
  <c r="C44" i="14"/>
  <c r="D44" i="14"/>
  <c r="E44" i="14"/>
  <c r="F44" i="14"/>
  <c r="C45" i="14"/>
  <c r="D45" i="14"/>
  <c r="E45" i="14"/>
  <c r="F45" i="14"/>
  <c r="C46" i="14"/>
  <c r="D46" i="14"/>
  <c r="E46" i="14"/>
  <c r="F46" i="14"/>
  <c r="C47" i="14"/>
  <c r="D47" i="14"/>
  <c r="E47" i="14"/>
  <c r="F47" i="14"/>
  <c r="C48" i="14"/>
  <c r="D48" i="14"/>
  <c r="E48" i="14"/>
  <c r="F48" i="14"/>
  <c r="C49" i="14"/>
  <c r="D49" i="14"/>
  <c r="E49" i="14"/>
  <c r="F49" i="14"/>
  <c r="C50" i="14"/>
  <c r="D50" i="14"/>
  <c r="E50" i="14"/>
  <c r="F50" i="14"/>
  <c r="C51" i="14"/>
  <c r="D51" i="14"/>
  <c r="E51" i="14"/>
  <c r="F51" i="14"/>
  <c r="C52" i="14"/>
  <c r="D52" i="14"/>
  <c r="E52" i="14"/>
  <c r="F52" i="14"/>
  <c r="C53" i="14"/>
  <c r="D53" i="14"/>
  <c r="E53" i="14"/>
  <c r="F53" i="14"/>
  <c r="C54" i="14"/>
  <c r="D54" i="14"/>
  <c r="E54" i="14"/>
  <c r="F54" i="14"/>
  <c r="C55" i="14"/>
  <c r="D55" i="14"/>
  <c r="E55" i="14"/>
  <c r="F55" i="14"/>
  <c r="C56" i="14"/>
  <c r="D56" i="14"/>
  <c r="E56" i="14"/>
  <c r="F56" i="14"/>
  <c r="C57" i="14"/>
  <c r="D57" i="14"/>
  <c r="E57" i="14"/>
  <c r="F57" i="14"/>
  <c r="C58" i="14"/>
  <c r="D58" i="14"/>
  <c r="E58" i="14"/>
  <c r="F58" i="14"/>
  <c r="C59" i="14"/>
  <c r="D59" i="14"/>
  <c r="E59" i="14"/>
  <c r="F59" i="14"/>
  <c r="C60" i="14"/>
  <c r="D60" i="14"/>
  <c r="E60" i="14"/>
  <c r="F60" i="14"/>
  <c r="C61" i="14"/>
  <c r="D61" i="14"/>
  <c r="E61" i="14"/>
  <c r="F61" i="14"/>
  <c r="C62" i="14"/>
  <c r="D62" i="14"/>
  <c r="E62" i="14"/>
  <c r="F62" i="14"/>
  <c r="C63" i="14"/>
  <c r="D63" i="14"/>
  <c r="E63" i="14"/>
  <c r="F63" i="14"/>
  <c r="D64" i="14"/>
  <c r="E64" i="14"/>
  <c r="I64" i="14" s="1"/>
  <c r="F64" i="14"/>
  <c r="D65" i="14"/>
  <c r="E65" i="14"/>
  <c r="I65" i="14" s="1"/>
  <c r="F65" i="14"/>
  <c r="D66" i="14"/>
  <c r="E66" i="14"/>
  <c r="I66" i="14" s="1"/>
  <c r="F66" i="14"/>
  <c r="D67" i="14"/>
  <c r="E67" i="14"/>
  <c r="F67" i="14"/>
  <c r="D68" i="14"/>
  <c r="E68" i="14"/>
  <c r="I68" i="14" s="1"/>
  <c r="F68" i="14"/>
  <c r="D69" i="14"/>
  <c r="E69" i="14"/>
  <c r="I69" i="14" s="1"/>
  <c r="F69" i="14"/>
  <c r="D70" i="14"/>
  <c r="E70" i="14"/>
  <c r="I70" i="14" s="1"/>
  <c r="F70" i="14"/>
  <c r="D71" i="14"/>
  <c r="E71" i="14"/>
  <c r="F71" i="14"/>
  <c r="D72" i="14"/>
  <c r="E72" i="14"/>
  <c r="I72" i="14" s="1"/>
  <c r="F72" i="14"/>
  <c r="D73" i="14"/>
  <c r="E73" i="14"/>
  <c r="I73" i="14" s="1"/>
  <c r="F73" i="14"/>
  <c r="D74" i="14"/>
  <c r="E74" i="14"/>
  <c r="I74" i="14" s="1"/>
  <c r="F74" i="14"/>
  <c r="D75" i="14"/>
  <c r="E75" i="14"/>
  <c r="F75" i="14"/>
  <c r="D76" i="14"/>
  <c r="E76" i="14"/>
  <c r="I76" i="14" s="1"/>
  <c r="F76" i="14"/>
  <c r="D77" i="14"/>
  <c r="E77" i="14"/>
  <c r="I77" i="14" s="1"/>
  <c r="F77" i="14"/>
  <c r="D78" i="14"/>
  <c r="E78" i="14"/>
  <c r="I78" i="14" s="1"/>
  <c r="F78" i="14"/>
  <c r="D85" i="14"/>
  <c r="E85" i="14"/>
  <c r="F85" i="14"/>
  <c r="E86" i="14"/>
  <c r="I86" i="14" s="1"/>
  <c r="F86" i="14"/>
  <c r="D87" i="14"/>
  <c r="E87" i="14"/>
  <c r="I87" i="14" s="1"/>
  <c r="F87" i="14"/>
  <c r="D88" i="14"/>
  <c r="E88" i="14"/>
  <c r="I88" i="14" s="1"/>
  <c r="F88" i="14"/>
  <c r="D89" i="14"/>
  <c r="E89" i="14"/>
  <c r="I89" i="14" s="1"/>
  <c r="F89" i="14"/>
  <c r="D90" i="14"/>
  <c r="E90" i="14"/>
  <c r="I90" i="14" s="1"/>
  <c r="F90" i="14"/>
  <c r="D91" i="14"/>
  <c r="E91" i="14"/>
  <c r="I91" i="14" s="1"/>
  <c r="F91" i="14"/>
  <c r="D92" i="14"/>
  <c r="E92" i="14"/>
  <c r="I92" i="14" s="1"/>
  <c r="F92" i="14"/>
  <c r="C97" i="14"/>
  <c r="D97" i="14"/>
  <c r="E97" i="14"/>
  <c r="E99" i="14" s="1"/>
  <c r="F97" i="14"/>
  <c r="C102" i="14"/>
  <c r="D102" i="14"/>
  <c r="E102" i="14"/>
  <c r="F102" i="14"/>
  <c r="F104" i="14" s="1"/>
  <c r="C107" i="14"/>
  <c r="D107" i="14"/>
  <c r="E107" i="14"/>
  <c r="F107" i="14"/>
  <c r="C108" i="14"/>
  <c r="D108" i="14"/>
  <c r="E108" i="14"/>
  <c r="F108" i="14"/>
  <c r="D43" i="15" l="1"/>
  <c r="F10" i="21"/>
  <c r="I85" i="14"/>
  <c r="E94" i="14"/>
  <c r="E110" i="14"/>
  <c r="J91" i="14"/>
  <c r="J87" i="14"/>
  <c r="J77" i="14"/>
  <c r="J73" i="14"/>
  <c r="J69" i="14"/>
  <c r="J65" i="14"/>
  <c r="D163" i="15"/>
  <c r="F139" i="15"/>
  <c r="G139" i="15" s="1"/>
  <c r="F108" i="15"/>
  <c r="G108" i="15" s="1"/>
  <c r="D136" i="15"/>
  <c r="C12" i="21" s="1"/>
  <c r="F141" i="15"/>
  <c r="G141" i="15" s="1"/>
  <c r="F78" i="15"/>
  <c r="G78" i="15" s="1"/>
  <c r="F74" i="15"/>
  <c r="G74" i="15" s="1"/>
  <c r="F70" i="15"/>
  <c r="G70" i="15" s="1"/>
  <c r="F62" i="15"/>
  <c r="G62" i="15" s="1"/>
  <c r="F50" i="15"/>
  <c r="G50" i="15" s="1"/>
  <c r="J85" i="14"/>
  <c r="F140" i="15"/>
  <c r="G140" i="15" s="1"/>
  <c r="F121" i="15"/>
  <c r="G121" i="15" s="1"/>
  <c r="F106" i="15"/>
  <c r="G106" i="15" s="1"/>
  <c r="G31" i="14"/>
  <c r="J29" i="14"/>
  <c r="F120" i="15"/>
  <c r="G120" i="15" s="1"/>
  <c r="F118" i="15"/>
  <c r="G118" i="15" s="1"/>
  <c r="F116" i="15"/>
  <c r="G116" i="15" s="1"/>
  <c r="F114" i="15"/>
  <c r="G114" i="15" s="1"/>
  <c r="F112" i="15"/>
  <c r="G112" i="15" s="1"/>
  <c r="F110" i="15"/>
  <c r="G110" i="15" s="1"/>
  <c r="F105" i="15"/>
  <c r="G105" i="15" s="1"/>
  <c r="F103" i="15"/>
  <c r="G103" i="15" s="1"/>
  <c r="F101" i="15"/>
  <c r="G101" i="15" s="1"/>
  <c r="F99" i="15"/>
  <c r="G99" i="15" s="1"/>
  <c r="F97" i="15"/>
  <c r="G97" i="15" s="1"/>
  <c r="F95" i="15"/>
  <c r="G95" i="15" s="1"/>
  <c r="F93" i="15"/>
  <c r="G93" i="15" s="1"/>
  <c r="F91" i="15"/>
  <c r="G91" i="15" s="1"/>
  <c r="F89" i="15"/>
  <c r="G89" i="15" s="1"/>
  <c r="F87" i="15"/>
  <c r="G87" i="15" s="1"/>
  <c r="F85" i="15"/>
  <c r="G85" i="15" s="1"/>
  <c r="F81" i="15"/>
  <c r="G81" i="15" s="1"/>
  <c r="F61" i="15"/>
  <c r="G61" i="15" s="1"/>
  <c r="F134" i="15"/>
  <c r="F154" i="15"/>
  <c r="G154" i="15" s="1"/>
  <c r="F152" i="15"/>
  <c r="G152" i="15" s="1"/>
  <c r="F150" i="15"/>
  <c r="G150" i="15" s="1"/>
  <c r="F148" i="15"/>
  <c r="G148" i="15" s="1"/>
  <c r="F65" i="15"/>
  <c r="G65" i="15" s="1"/>
  <c r="F36" i="15"/>
  <c r="G36" i="15" s="1"/>
  <c r="F34" i="15"/>
  <c r="G34" i="15" s="1"/>
  <c r="F32" i="15"/>
  <c r="G32" i="15" s="1"/>
  <c r="F30" i="15"/>
  <c r="G30" i="15" s="1"/>
  <c r="F28" i="15"/>
  <c r="G28" i="15" s="1"/>
  <c r="F26" i="15"/>
  <c r="G26" i="15" s="1"/>
  <c r="F24" i="15"/>
  <c r="G24" i="15" s="1"/>
  <c r="F129" i="15"/>
  <c r="G129" i="15" s="1"/>
  <c r="F127" i="15"/>
  <c r="G127" i="15" s="1"/>
  <c r="F125" i="15"/>
  <c r="G125" i="15" s="1"/>
  <c r="F123" i="15"/>
  <c r="G123" i="15" s="1"/>
  <c r="F94" i="15"/>
  <c r="G94" i="15" s="1"/>
  <c r="J92" i="14"/>
  <c r="K92" i="14" s="1"/>
  <c r="J88" i="14"/>
  <c r="K88" i="14" s="1"/>
  <c r="J78" i="14"/>
  <c r="K78" i="14" s="1"/>
  <c r="J74" i="14"/>
  <c r="K74" i="14" s="1"/>
  <c r="J70" i="14"/>
  <c r="K70" i="14" s="1"/>
  <c r="J66" i="14"/>
  <c r="K66" i="14" s="1"/>
  <c r="J30" i="14"/>
  <c r="C28" i="14"/>
  <c r="I28" i="14" s="1"/>
  <c r="J12" i="14"/>
  <c r="C29" i="14"/>
  <c r="I29" i="14" s="1"/>
  <c r="C30" i="14"/>
  <c r="I30" i="14" s="1"/>
  <c r="J13" i="14"/>
  <c r="C31" i="14"/>
  <c r="I31" i="14" s="1"/>
  <c r="K91" i="14"/>
  <c r="K87" i="14"/>
  <c r="K77" i="14"/>
  <c r="K73" i="14"/>
  <c r="K69" i="14"/>
  <c r="K65" i="14"/>
  <c r="J75" i="14"/>
  <c r="J71" i="14"/>
  <c r="J60" i="14"/>
  <c r="J58" i="14"/>
  <c r="J55" i="14"/>
  <c r="J52" i="14"/>
  <c r="J50" i="14"/>
  <c r="J47" i="14"/>
  <c r="J45" i="14"/>
  <c r="J42" i="14"/>
  <c r="J40" i="14"/>
  <c r="J39" i="14"/>
  <c r="J38" i="14"/>
  <c r="J31" i="14"/>
  <c r="J27" i="14"/>
  <c r="J26" i="14"/>
  <c r="J25" i="14"/>
  <c r="J24" i="14"/>
  <c r="J23" i="14"/>
  <c r="J22" i="14"/>
  <c r="J21" i="14"/>
  <c r="J20" i="14"/>
  <c r="J19" i="14"/>
  <c r="J18" i="14"/>
  <c r="J17" i="14"/>
  <c r="J16" i="14"/>
  <c r="J15" i="14"/>
  <c r="J14" i="14"/>
  <c r="G13" i="14"/>
  <c r="I13" i="14"/>
  <c r="I12" i="14"/>
  <c r="F66" i="15"/>
  <c r="G66" i="15" s="1"/>
  <c r="J89" i="14"/>
  <c r="K89" i="14" s="1"/>
  <c r="J67" i="14"/>
  <c r="J63" i="14"/>
  <c r="J62" i="14"/>
  <c r="J61" i="14"/>
  <c r="J59" i="14"/>
  <c r="J57" i="14"/>
  <c r="G56" i="14"/>
  <c r="J56" i="14"/>
  <c r="J54" i="14"/>
  <c r="J53" i="14"/>
  <c r="J51" i="14"/>
  <c r="J49" i="14"/>
  <c r="G48" i="14"/>
  <c r="J48" i="14"/>
  <c r="J46" i="14"/>
  <c r="J44" i="14"/>
  <c r="J43" i="14"/>
  <c r="J41" i="14"/>
  <c r="J90" i="14"/>
  <c r="K90" i="14" s="1"/>
  <c r="J86" i="14"/>
  <c r="K86" i="14" s="1"/>
  <c r="J76" i="14"/>
  <c r="K76" i="14" s="1"/>
  <c r="G75" i="14"/>
  <c r="I75" i="14"/>
  <c r="J72" i="14"/>
  <c r="K72" i="14" s="1"/>
  <c r="G71" i="14"/>
  <c r="I71" i="14"/>
  <c r="J68" i="14"/>
  <c r="K68" i="14" s="1"/>
  <c r="G67" i="14"/>
  <c r="I67" i="14"/>
  <c r="J64" i="14"/>
  <c r="K64" i="14" s="1"/>
  <c r="G63" i="14"/>
  <c r="I63" i="14"/>
  <c r="G62" i="14"/>
  <c r="I62" i="14"/>
  <c r="I61" i="14"/>
  <c r="I60" i="14"/>
  <c r="I59" i="14"/>
  <c r="I58" i="14"/>
  <c r="I57" i="14"/>
  <c r="I56" i="14"/>
  <c r="K56" i="14" s="1"/>
  <c r="I55" i="14"/>
  <c r="I54" i="14"/>
  <c r="I53" i="14"/>
  <c r="I52" i="14"/>
  <c r="I51" i="14"/>
  <c r="I50" i="14"/>
  <c r="I49" i="14"/>
  <c r="I48" i="14"/>
  <c r="I47" i="14"/>
  <c r="I46" i="14"/>
  <c r="I45" i="14"/>
  <c r="G44" i="14"/>
  <c r="I44" i="14"/>
  <c r="G43" i="14"/>
  <c r="I43" i="14"/>
  <c r="I42" i="14"/>
  <c r="I41" i="14"/>
  <c r="I40" i="14"/>
  <c r="I39" i="14"/>
  <c r="I38" i="14"/>
  <c r="J28" i="14"/>
  <c r="I27" i="14"/>
  <c r="I26" i="14"/>
  <c r="I25" i="14"/>
  <c r="I24" i="14"/>
  <c r="I23" i="14"/>
  <c r="I22" i="14"/>
  <c r="I21" i="14"/>
  <c r="I20" i="14"/>
  <c r="I19" i="14"/>
  <c r="I18" i="14"/>
  <c r="I17" i="14"/>
  <c r="I16" i="14"/>
  <c r="I15" i="14"/>
  <c r="I14" i="14"/>
  <c r="D143" i="15"/>
  <c r="F128" i="15"/>
  <c r="G128" i="15" s="1"/>
  <c r="F126" i="15"/>
  <c r="G126" i="15" s="1"/>
  <c r="F124" i="15"/>
  <c r="G124" i="15" s="1"/>
  <c r="F122" i="15"/>
  <c r="G122" i="15" s="1"/>
  <c r="F107" i="15"/>
  <c r="G107" i="15" s="1"/>
  <c r="F77" i="15"/>
  <c r="G77" i="15" s="1"/>
  <c r="F75" i="15"/>
  <c r="G75" i="15" s="1"/>
  <c r="F73" i="15"/>
  <c r="G73" i="15" s="1"/>
  <c r="F71" i="15"/>
  <c r="G71" i="15" s="1"/>
  <c r="F69" i="15"/>
  <c r="G69" i="15" s="1"/>
  <c r="F60" i="15"/>
  <c r="G60" i="15" s="1"/>
  <c r="F56" i="15"/>
  <c r="G56" i="15" s="1"/>
  <c r="F35" i="15"/>
  <c r="G35" i="15" s="1"/>
  <c r="F33" i="15"/>
  <c r="G33" i="15" s="1"/>
  <c r="F31" i="15"/>
  <c r="G31" i="15" s="1"/>
  <c r="F29" i="15"/>
  <c r="G29" i="15" s="1"/>
  <c r="F27" i="15"/>
  <c r="G27" i="15" s="1"/>
  <c r="F25" i="15"/>
  <c r="G25" i="15" s="1"/>
  <c r="F23" i="15"/>
  <c r="G23" i="15" s="1"/>
  <c r="F155" i="15"/>
  <c r="G155" i="15" s="1"/>
  <c r="F153" i="15"/>
  <c r="G153" i="15" s="1"/>
  <c r="F151" i="15"/>
  <c r="G151" i="15" s="1"/>
  <c r="F149" i="15"/>
  <c r="G149" i="15" s="1"/>
  <c r="F119" i="15"/>
  <c r="G119" i="15" s="1"/>
  <c r="F117" i="15"/>
  <c r="G117" i="15" s="1"/>
  <c r="F115" i="15"/>
  <c r="G115" i="15" s="1"/>
  <c r="F113" i="15"/>
  <c r="G113" i="15" s="1"/>
  <c r="F111" i="15"/>
  <c r="G111" i="15" s="1"/>
  <c r="F109" i="15"/>
  <c r="G109" i="15" s="1"/>
  <c r="F104" i="15"/>
  <c r="G104" i="15" s="1"/>
  <c r="F102" i="15"/>
  <c r="G102" i="15" s="1"/>
  <c r="F100" i="15"/>
  <c r="G100" i="15" s="1"/>
  <c r="F98" i="15"/>
  <c r="G98" i="15" s="1"/>
  <c r="F96" i="15"/>
  <c r="G96" i="15" s="1"/>
  <c r="F90" i="15"/>
  <c r="G90" i="15" s="1"/>
  <c r="F86" i="15"/>
  <c r="G86" i="15" s="1"/>
  <c r="F82" i="15"/>
  <c r="G82" i="15" s="1"/>
  <c r="F49" i="15"/>
  <c r="G49" i="15" s="1"/>
  <c r="G40" i="14"/>
  <c r="F33" i="14"/>
  <c r="G15" i="14"/>
  <c r="G92" i="14"/>
  <c r="G23" i="14"/>
  <c r="G88" i="14"/>
  <c r="G52" i="14"/>
  <c r="F92" i="15"/>
  <c r="G92" i="15" s="1"/>
  <c r="F88" i="15"/>
  <c r="G88" i="15" s="1"/>
  <c r="F76" i="15"/>
  <c r="G76" i="15" s="1"/>
  <c r="F72" i="15"/>
  <c r="G72" i="15" s="1"/>
  <c r="F58" i="15"/>
  <c r="G58" i="15" s="1"/>
  <c r="F54" i="15"/>
  <c r="G54" i="15" s="1"/>
  <c r="F21" i="15"/>
  <c r="G21" i="15" s="1"/>
  <c r="F19" i="15"/>
  <c r="G19" i="15" s="1"/>
  <c r="F17" i="15"/>
  <c r="G17" i="15" s="1"/>
  <c r="F15" i="15"/>
  <c r="G15" i="15" s="1"/>
  <c r="F13" i="15"/>
  <c r="G13" i="15" s="1"/>
  <c r="D158" i="15"/>
  <c r="D170" i="15"/>
  <c r="F59" i="15"/>
  <c r="G59" i="15" s="1"/>
  <c r="F57" i="15"/>
  <c r="G57" i="15" s="1"/>
  <c r="F55" i="15"/>
  <c r="G55" i="15" s="1"/>
  <c r="F53" i="15"/>
  <c r="G53" i="15" s="1"/>
  <c r="D38" i="15"/>
  <c r="F22" i="15"/>
  <c r="G22" i="15" s="1"/>
  <c r="F20" i="15"/>
  <c r="G20" i="15" s="1"/>
  <c r="G51" i="14"/>
  <c r="G77" i="14"/>
  <c r="G73" i="14"/>
  <c r="G69" i="14"/>
  <c r="G65" i="14"/>
  <c r="G20" i="14"/>
  <c r="G18" i="14"/>
  <c r="G60" i="14"/>
  <c r="G27" i="14"/>
  <c r="G26" i="14"/>
  <c r="G17" i="14"/>
  <c r="G134" i="15"/>
  <c r="M134" i="15" s="1"/>
  <c r="F110" i="14"/>
  <c r="G107" i="14"/>
  <c r="G102" i="14"/>
  <c r="G104" i="14" s="1"/>
  <c r="F99" i="14"/>
  <c r="F80" i="14"/>
  <c r="G76" i="14"/>
  <c r="G72" i="14"/>
  <c r="G68" i="14"/>
  <c r="G64" i="14"/>
  <c r="G59" i="14"/>
  <c r="G55" i="14"/>
  <c r="G45" i="14"/>
  <c r="G30" i="14"/>
  <c r="G29" i="14"/>
  <c r="G28" i="14"/>
  <c r="G25" i="14"/>
  <c r="G22" i="14"/>
  <c r="G16" i="14"/>
  <c r="G12" i="14"/>
  <c r="F161" i="15"/>
  <c r="G161" i="15" s="1"/>
  <c r="F80" i="15"/>
  <c r="G80" i="15" s="1"/>
  <c r="F64" i="15"/>
  <c r="G64" i="15" s="1"/>
  <c r="D131" i="15"/>
  <c r="F84" i="15"/>
  <c r="G84" i="15" s="1"/>
  <c r="F79" i="15"/>
  <c r="G79" i="15" s="1"/>
  <c r="F68" i="15"/>
  <c r="G68" i="15" s="1"/>
  <c r="F63" i="15"/>
  <c r="G63" i="15" s="1"/>
  <c r="F52" i="15"/>
  <c r="G52" i="15" s="1"/>
  <c r="F41" i="15"/>
  <c r="F18" i="15"/>
  <c r="G18" i="15" s="1"/>
  <c r="F16" i="15"/>
  <c r="G16" i="15" s="1"/>
  <c r="F14" i="15"/>
  <c r="G14" i="15" s="1"/>
  <c r="F12" i="15"/>
  <c r="G97" i="14"/>
  <c r="G99" i="14" s="1"/>
  <c r="G90" i="14"/>
  <c r="G89" i="14"/>
  <c r="G86" i="14"/>
  <c r="G85" i="14"/>
  <c r="G78" i="14"/>
  <c r="G74" i="14"/>
  <c r="G70" i="14"/>
  <c r="G66" i="14"/>
  <c r="G61" i="14"/>
  <c r="G46" i="14"/>
  <c r="G21" i="14"/>
  <c r="G14" i="14"/>
  <c r="F83" i="15"/>
  <c r="G83" i="15" s="1"/>
  <c r="F67" i="15"/>
  <c r="G67" i="15" s="1"/>
  <c r="F51" i="15"/>
  <c r="G42" i="14"/>
  <c r="G19" i="14"/>
  <c r="F94" i="14"/>
  <c r="G91" i="14"/>
  <c r="G87" i="14"/>
  <c r="G58" i="14"/>
  <c r="G54" i="14"/>
  <c r="G50" i="14"/>
  <c r="G38" i="14"/>
  <c r="G24" i="14"/>
  <c r="G57" i="14"/>
  <c r="G53" i="14"/>
  <c r="G49" i="14"/>
  <c r="G39" i="14"/>
  <c r="G108" i="14"/>
  <c r="E80" i="14"/>
  <c r="E104" i="14"/>
  <c r="G47" i="14"/>
  <c r="G41" i="14"/>
  <c r="E33" i="14"/>
  <c r="B106" i="9"/>
  <c r="K13" i="14" l="1"/>
  <c r="B14" i="8"/>
  <c r="K85" i="14"/>
  <c r="K94" i="14" s="1"/>
  <c r="C14" i="8"/>
  <c r="H10" i="21"/>
  <c r="Q10" i="1"/>
  <c r="O14" i="1"/>
  <c r="Q14" i="1"/>
  <c r="K60" i="14"/>
  <c r="F12" i="21"/>
  <c r="H12" i="21" s="1"/>
  <c r="N13" i="21" s="1"/>
  <c r="D14" i="1" s="1"/>
  <c r="K52" i="14"/>
  <c r="X14" i="21"/>
  <c r="G158" i="15"/>
  <c r="K44" i="14"/>
  <c r="K29" i="14"/>
  <c r="G143" i="15"/>
  <c r="E112" i="14"/>
  <c r="F112" i="14"/>
  <c r="K48" i="14"/>
  <c r="K43" i="14"/>
  <c r="G136" i="15"/>
  <c r="G51" i="15"/>
  <c r="G131" i="15" s="1"/>
  <c r="K28" i="14"/>
  <c r="K40" i="14"/>
  <c r="K53" i="14"/>
  <c r="K57" i="14"/>
  <c r="K12" i="14"/>
  <c r="K30" i="14"/>
  <c r="D172" i="15"/>
  <c r="K49" i="14"/>
  <c r="K61" i="14"/>
  <c r="K16" i="14"/>
  <c r="K20" i="14"/>
  <c r="K24" i="14"/>
  <c r="K31" i="14"/>
  <c r="K42" i="14"/>
  <c r="K71" i="14"/>
  <c r="G41" i="15"/>
  <c r="G110" i="14"/>
  <c r="G12" i="15"/>
  <c r="G38" i="15" s="1"/>
  <c r="K46" i="14"/>
  <c r="K51" i="14"/>
  <c r="K62" i="14"/>
  <c r="K17" i="14"/>
  <c r="K21" i="14"/>
  <c r="K25" i="14"/>
  <c r="K38" i="14"/>
  <c r="K45" i="14"/>
  <c r="K55" i="14"/>
  <c r="K75" i="14"/>
  <c r="K41" i="14"/>
  <c r="K63" i="14"/>
  <c r="K14" i="14"/>
  <c r="K18" i="14"/>
  <c r="K22" i="14"/>
  <c r="K26" i="14"/>
  <c r="K39" i="14"/>
  <c r="K47" i="14"/>
  <c r="K58" i="14"/>
  <c r="K54" i="14"/>
  <c r="K59" i="14"/>
  <c r="K67" i="14"/>
  <c r="K15" i="14"/>
  <c r="K19" i="14"/>
  <c r="K23" i="14"/>
  <c r="K27" i="14"/>
  <c r="K50" i="14"/>
  <c r="G94" i="14"/>
  <c r="G80" i="14"/>
  <c r="G33" i="14"/>
  <c r="B518" i="9"/>
  <c r="B519" i="9"/>
  <c r="B520" i="9"/>
  <c r="B521" i="9"/>
  <c r="B522" i="9"/>
  <c r="B517" i="9"/>
  <c r="B26" i="8" l="1"/>
  <c r="F12" i="8"/>
  <c r="N29" i="8"/>
  <c r="N30" i="8" s="1"/>
  <c r="H14" i="1"/>
  <c r="K14" i="1" s="1"/>
  <c r="E14" i="1"/>
  <c r="C26" i="8"/>
  <c r="K80" i="14"/>
  <c r="B11" i="8" s="1"/>
  <c r="B25" i="8" s="1"/>
  <c r="K33" i="14"/>
  <c r="F11" i="21"/>
  <c r="F13" i="21"/>
  <c r="H13" i="21" s="1"/>
  <c r="F14" i="21"/>
  <c r="F16" i="21"/>
  <c r="F17" i="21"/>
  <c r="C10" i="8"/>
  <c r="C27" i="8" s="1"/>
  <c r="G43" i="15"/>
  <c r="G112" i="14"/>
  <c r="B18" i="21" l="1"/>
  <c r="C11" i="8"/>
  <c r="C25" i="8" s="1"/>
  <c r="C9" i="8"/>
  <c r="C24" i="8" s="1"/>
  <c r="B9" i="8"/>
  <c r="B24" i="8" l="1"/>
  <c r="E9" i="8"/>
  <c r="G9" i="8" s="1"/>
  <c r="E13" i="13"/>
  <c r="B13" i="13"/>
  <c r="H13" i="13" s="1"/>
  <c r="H12" i="13"/>
  <c r="D12" i="13"/>
  <c r="B12" i="13"/>
  <c r="G12" i="13" s="1"/>
  <c r="H11" i="13"/>
  <c r="G11" i="13"/>
  <c r="E11" i="13"/>
  <c r="D11" i="13"/>
  <c r="C11" i="13"/>
  <c r="B11" i="13"/>
  <c r="F11" i="13" s="1"/>
  <c r="F10" i="13"/>
  <c r="B10" i="13"/>
  <c r="E10" i="13" s="1"/>
  <c r="E9" i="13"/>
  <c r="B9" i="13"/>
  <c r="H9" i="13" s="1"/>
  <c r="H8" i="13"/>
  <c r="E8" i="13"/>
  <c r="D8" i="13"/>
  <c r="B8" i="13"/>
  <c r="G8" i="13" s="1"/>
  <c r="H7" i="13"/>
  <c r="G7" i="13"/>
  <c r="E7" i="13"/>
  <c r="D7" i="13"/>
  <c r="C7" i="13"/>
  <c r="B7" i="13"/>
  <c r="F7" i="13" s="1"/>
  <c r="G13" i="13" l="1"/>
  <c r="F9" i="13"/>
  <c r="C10" i="13"/>
  <c r="G10" i="13"/>
  <c r="E12" i="13"/>
  <c r="F13" i="13"/>
  <c r="F8" i="13"/>
  <c r="C9" i="13"/>
  <c r="G9" i="13"/>
  <c r="D10" i="13"/>
  <c r="H10" i="13"/>
  <c r="F12" i="13"/>
  <c r="C13" i="13"/>
  <c r="C8" i="13"/>
  <c r="D9" i="13"/>
  <c r="C12" i="13"/>
  <c r="D13" i="13"/>
  <c r="B21" i="11" l="1"/>
  <c r="B13" i="11"/>
  <c r="B24" i="11" l="1"/>
  <c r="E46" i="8"/>
  <c r="F46" i="8" s="1"/>
  <c r="E44" i="8"/>
  <c r="E43" i="8"/>
  <c r="B43" i="8"/>
  <c r="C44" i="8"/>
  <c r="C43" i="8"/>
  <c r="F44" i="8" l="1"/>
  <c r="F43" i="8"/>
  <c r="J48" i="8" s="1"/>
  <c r="B62" i="9"/>
  <c r="H48" i="8" l="1"/>
  <c r="K48" i="8" s="1"/>
  <c r="J49" i="8"/>
  <c r="H49" i="8"/>
  <c r="B327" i="9"/>
  <c r="B259" i="9"/>
  <c r="B258" i="9"/>
  <c r="Q74" i="14" s="1"/>
  <c r="B257" i="9"/>
  <c r="Q72" i="14" s="1"/>
  <c r="B256" i="9"/>
  <c r="Q70" i="14" s="1"/>
  <c r="B255" i="9"/>
  <c r="Q68" i="14" s="1"/>
  <c r="B254" i="9"/>
  <c r="Q64" i="14" s="1"/>
  <c r="B253" i="9"/>
  <c r="Q66" i="14" s="1"/>
  <c r="B131" i="9"/>
  <c r="B125" i="9"/>
  <c r="B126" i="9" s="1"/>
  <c r="B119" i="9"/>
  <c r="B113" i="9"/>
  <c r="B100" i="9"/>
  <c r="B67" i="9"/>
  <c r="B66" i="9"/>
  <c r="B65" i="9"/>
  <c r="B63" i="9"/>
  <c r="B57" i="9"/>
  <c r="B56" i="9"/>
  <c r="B50" i="9"/>
  <c r="B49" i="9"/>
  <c r="Q76" i="14" s="1"/>
  <c r="B34" i="9"/>
  <c r="B33" i="9"/>
  <c r="Q63" i="14" l="1"/>
  <c r="Q24" i="14"/>
  <c r="J11" i="28"/>
  <c r="L11" i="28" s="1"/>
  <c r="N11" i="28" s="1"/>
  <c r="P11" i="28"/>
  <c r="R11" i="28" s="1"/>
  <c r="T11" i="28" s="1"/>
  <c r="P13" i="28"/>
  <c r="AA13" i="28" s="1"/>
  <c r="K49" i="8"/>
  <c r="J13" i="28"/>
  <c r="V13" i="28" s="1"/>
  <c r="B127" i="9"/>
  <c r="B114" i="9"/>
  <c r="O258" i="1"/>
  <c r="O230" i="1"/>
  <c r="O231" i="1" s="1"/>
  <c r="O167" i="1"/>
  <c r="O114" i="1"/>
  <c r="O16" i="1"/>
  <c r="B59" i="8"/>
  <c r="K57" i="8"/>
  <c r="H61" i="8"/>
  <c r="J24" i="28" s="1"/>
  <c r="E47" i="8"/>
  <c r="B47" i="8"/>
  <c r="C47" i="8"/>
  <c r="I45" i="8"/>
  <c r="H44" i="8"/>
  <c r="H43" i="8"/>
  <c r="O29" i="8"/>
  <c r="E29" i="8"/>
  <c r="O28" i="8"/>
  <c r="D28" i="8"/>
  <c r="D30" i="8" s="1"/>
  <c r="O27" i="8"/>
  <c r="E27" i="8"/>
  <c r="B31" i="11" s="1"/>
  <c r="O26" i="8"/>
  <c r="E26" i="8"/>
  <c r="B32" i="11" s="1"/>
  <c r="F16" i="8"/>
  <c r="D16" i="8"/>
  <c r="E15" i="8"/>
  <c r="G15" i="8" s="1"/>
  <c r="E14" i="8"/>
  <c r="G14" i="8" s="1"/>
  <c r="E13" i="8"/>
  <c r="G13" i="8" s="1"/>
  <c r="E12" i="8"/>
  <c r="G12" i="8" s="1"/>
  <c r="E10" i="8"/>
  <c r="G10" i="8" s="1"/>
  <c r="O30" i="8" l="1"/>
  <c r="J33" i="8" s="1"/>
  <c r="J35" i="8" s="1"/>
  <c r="F47" i="8"/>
  <c r="R13" i="28"/>
  <c r="T13" i="28" s="1"/>
  <c r="N44" i="8"/>
  <c r="N43" i="8"/>
  <c r="L13" i="28"/>
  <c r="N13" i="28" s="1"/>
  <c r="L24" i="28"/>
  <c r="J28" i="28"/>
  <c r="J221" i="1" s="1"/>
  <c r="J7" i="28"/>
  <c r="P7" i="28"/>
  <c r="P24" i="28"/>
  <c r="J46" i="8"/>
  <c r="H46" i="8"/>
  <c r="K45" i="8"/>
  <c r="E28" i="8"/>
  <c r="E59" i="8"/>
  <c r="C59" i="8"/>
  <c r="J58" i="8"/>
  <c r="K55" i="8"/>
  <c r="J61" i="8"/>
  <c r="K61" i="8" s="1"/>
  <c r="B16" i="8"/>
  <c r="E25" i="8"/>
  <c r="E48" i="8"/>
  <c r="J44" i="8"/>
  <c r="B30" i="8"/>
  <c r="B115" i="9"/>
  <c r="B128" i="9"/>
  <c r="E11" i="8"/>
  <c r="G11" i="8" s="1"/>
  <c r="E24" i="8"/>
  <c r="J43" i="8"/>
  <c r="K43" i="8" s="1"/>
  <c r="C16" i="8"/>
  <c r="C30" i="8"/>
  <c r="K54" i="8"/>
  <c r="K44" i="8" l="1"/>
  <c r="B30" i="11"/>
  <c r="B33" i="11" s="1"/>
  <c r="B35" i="11" s="1"/>
  <c r="B36" i="11" s="1"/>
  <c r="G162" i="1" s="1"/>
  <c r="F59" i="8"/>
  <c r="C60" i="8" s="1"/>
  <c r="V40" i="28"/>
  <c r="V11" i="28"/>
  <c r="AA11" i="28"/>
  <c r="C87" i="8"/>
  <c r="R40" i="28"/>
  <c r="R32" i="28"/>
  <c r="L30" i="28"/>
  <c r="K222" i="1" s="1"/>
  <c r="R38" i="28"/>
  <c r="R30" i="28"/>
  <c r="L32" i="28"/>
  <c r="K223" i="1" s="1"/>
  <c r="L38" i="28"/>
  <c r="W11" i="28"/>
  <c r="W17" i="28" s="1"/>
  <c r="Q220" i="1" s="1"/>
  <c r="AB11" i="28"/>
  <c r="AD13" i="28"/>
  <c r="J9" i="28"/>
  <c r="P9" i="28"/>
  <c r="P17" i="28" s="1"/>
  <c r="Y13" i="28"/>
  <c r="R24" i="28"/>
  <c r="R28" i="28" s="1"/>
  <c r="R7" i="28"/>
  <c r="L7" i="28"/>
  <c r="AA7" i="28"/>
  <c r="V7" i="28"/>
  <c r="P28" i="28"/>
  <c r="L28" i="28"/>
  <c r="N55" i="8"/>
  <c r="K46" i="8"/>
  <c r="K56" i="8"/>
  <c r="C48" i="8"/>
  <c r="J36" i="8"/>
  <c r="J37" i="8" s="1"/>
  <c r="O31" i="8" s="1"/>
  <c r="K58" i="8"/>
  <c r="N54" i="8"/>
  <c r="V42" i="28" s="1"/>
  <c r="E30" i="8"/>
  <c r="D48" i="8"/>
  <c r="J10" i="8"/>
  <c r="G16" i="8"/>
  <c r="J9" i="8"/>
  <c r="B129" i="9"/>
  <c r="B116" i="9"/>
  <c r="E16" i="8"/>
  <c r="E60" i="8" l="1"/>
  <c r="R42" i="28" s="1"/>
  <c r="AB17" i="28"/>
  <c r="L44" i="28"/>
  <c r="L225" i="1"/>
  <c r="Q16" i="1"/>
  <c r="P16" i="1"/>
  <c r="N28" i="28"/>
  <c r="K221" i="1"/>
  <c r="T24" i="28"/>
  <c r="AD11" i="28"/>
  <c r="L9" i="28"/>
  <c r="L17" i="28" s="1"/>
  <c r="K220" i="1" s="1"/>
  <c r="V9" i="28"/>
  <c r="V17" i="28" s="1"/>
  <c r="D87" i="8"/>
  <c r="Q40" i="28"/>
  <c r="Q38" i="28"/>
  <c r="K38" i="28"/>
  <c r="K30" i="28"/>
  <c r="L222" i="1" s="1"/>
  <c r="K32" i="28"/>
  <c r="L223" i="1" s="1"/>
  <c r="Q32" i="28"/>
  <c r="Q30" i="28"/>
  <c r="W40" i="28"/>
  <c r="Y40" i="28" s="1"/>
  <c r="B87" i="8"/>
  <c r="P40" i="28"/>
  <c r="J32" i="28"/>
  <c r="J223" i="1" s="1"/>
  <c r="J30" i="28"/>
  <c r="J222" i="1" s="1"/>
  <c r="P38" i="28"/>
  <c r="J38" i="28"/>
  <c r="J225" i="1" s="1"/>
  <c r="P30" i="28"/>
  <c r="P32" i="28"/>
  <c r="J17" i="28"/>
  <c r="AA9" i="28"/>
  <c r="AA17" i="28" s="1"/>
  <c r="R9" i="28"/>
  <c r="T9" i="28" s="1"/>
  <c r="Y11" i="28"/>
  <c r="AD7" i="28"/>
  <c r="Y7" i="28"/>
  <c r="T7" i="28"/>
  <c r="N7" i="28"/>
  <c r="W42" i="28"/>
  <c r="Y42" i="28" s="1"/>
  <c r="N24" i="28"/>
  <c r="T28" i="28"/>
  <c r="V24" i="28"/>
  <c r="W24" i="28" s="1"/>
  <c r="AA24" i="28"/>
  <c r="P31" i="8"/>
  <c r="O32" i="8" s="1"/>
  <c r="D17" i="8"/>
  <c r="C17" i="8"/>
  <c r="E87" i="8"/>
  <c r="F17" i="8"/>
  <c r="B117" i="9"/>
  <c r="AD17" i="28" l="1"/>
  <c r="Q44" i="28"/>
  <c r="K44" i="28"/>
  <c r="K225" i="1"/>
  <c r="Y17" i="28"/>
  <c r="P220" i="1"/>
  <c r="N17" i="28"/>
  <c r="J220" i="1"/>
  <c r="Y9" i="28"/>
  <c r="T38" i="28"/>
  <c r="AA38" i="28"/>
  <c r="AB38" i="28" s="1"/>
  <c r="T32" i="28"/>
  <c r="AA32" i="28"/>
  <c r="AB32" i="28" s="1"/>
  <c r="AD32" i="28" s="1"/>
  <c r="V30" i="28"/>
  <c r="N30" i="28"/>
  <c r="R17" i="28"/>
  <c r="T17" i="28" s="1"/>
  <c r="T30" i="28"/>
  <c r="AA30" i="28"/>
  <c r="AB30" i="28" s="1"/>
  <c r="AD30" i="28" s="1"/>
  <c r="N32" i="28"/>
  <c r="V32" i="28"/>
  <c r="R34" i="28"/>
  <c r="R36" i="28" s="1"/>
  <c r="L34" i="28"/>
  <c r="K224" i="1" s="1"/>
  <c r="AD9" i="28"/>
  <c r="N38" i="28"/>
  <c r="J44" i="28"/>
  <c r="V38" i="28"/>
  <c r="AA40" i="28"/>
  <c r="AB40" i="28" s="1"/>
  <c r="T40" i="28"/>
  <c r="N9" i="28"/>
  <c r="B90" i="8"/>
  <c r="P42" i="28"/>
  <c r="B88" i="8"/>
  <c r="P34" i="28"/>
  <c r="J34" i="28"/>
  <c r="J224" i="1" s="1"/>
  <c r="C90" i="8"/>
  <c r="R44" i="28"/>
  <c r="D88" i="8"/>
  <c r="Q34" i="28"/>
  <c r="Q36" i="28" s="1"/>
  <c r="Q46" i="28" s="1"/>
  <c r="L267" i="1" s="1"/>
  <c r="E9" i="37" s="1"/>
  <c r="K34" i="28"/>
  <c r="AA28" i="28"/>
  <c r="AB24" i="28"/>
  <c r="AB28" i="28" s="1"/>
  <c r="C88" i="8"/>
  <c r="V28" i="28"/>
  <c r="P221" i="1" s="1"/>
  <c r="W28" i="28"/>
  <c r="Q221" i="1" s="1"/>
  <c r="Y24" i="28"/>
  <c r="D31" i="8"/>
  <c r="D89" i="8" s="1"/>
  <c r="C31" i="8"/>
  <c r="B89" i="8" s="1"/>
  <c r="C89" i="8"/>
  <c r="W32" i="28" l="1"/>
  <c r="Q223" i="1" s="1"/>
  <c r="P223" i="1"/>
  <c r="AD38" i="28"/>
  <c r="V44" i="28"/>
  <c r="P225" i="1"/>
  <c r="W30" i="28"/>
  <c r="Q222" i="1" s="1"/>
  <c r="P222" i="1"/>
  <c r="L36" i="28"/>
  <c r="L46" i="28" s="1"/>
  <c r="K36" i="28"/>
  <c r="K46" i="28" s="1"/>
  <c r="L224" i="1"/>
  <c r="W38" i="28"/>
  <c r="Y38" i="28" s="1"/>
  <c r="E88" i="8"/>
  <c r="T42" i="28"/>
  <c r="Y30" i="28"/>
  <c r="AD40" i="28"/>
  <c r="R46" i="28"/>
  <c r="K267" i="1" s="1"/>
  <c r="AD28" i="28"/>
  <c r="N34" i="28"/>
  <c r="J36" i="28"/>
  <c r="AA34" i="28"/>
  <c r="AB34" i="28" s="1"/>
  <c r="AB36" i="28" s="1"/>
  <c r="AD24" i="28"/>
  <c r="E90" i="8"/>
  <c r="P36" i="28"/>
  <c r="T34" i="28"/>
  <c r="AA42" i="28"/>
  <c r="AA44" i="28" s="1"/>
  <c r="P44" i="28"/>
  <c r="Y28" i="28"/>
  <c r="V34" i="28"/>
  <c r="E89" i="8"/>
  <c r="C119" i="1"/>
  <c r="E267" i="1"/>
  <c r="O223" i="1"/>
  <c r="W223" i="1" s="1"/>
  <c r="O222" i="1"/>
  <c r="W222" i="1" s="1"/>
  <c r="O220" i="1"/>
  <c r="W220" i="1" s="1"/>
  <c r="O221" i="1"/>
  <c r="W221" i="1" s="1"/>
  <c r="Y32" i="28" l="1"/>
  <c r="W44" i="28"/>
  <c r="Q225" i="1"/>
  <c r="N36" i="28"/>
  <c r="V36" i="28"/>
  <c r="V46" i="28" s="1"/>
  <c r="P224" i="1"/>
  <c r="AD34" i="28"/>
  <c r="P46" i="28"/>
  <c r="W34" i="28"/>
  <c r="Q224" i="1" s="1"/>
  <c r="AA36" i="28"/>
  <c r="AA46" i="28" s="1"/>
  <c r="P267" i="1" s="1"/>
  <c r="E9" i="25" s="1"/>
  <c r="J46" i="28"/>
  <c r="AB42" i="28"/>
  <c r="T36" i="28"/>
  <c r="L259" i="1"/>
  <c r="L231" i="1"/>
  <c r="L123" i="1"/>
  <c r="L116" i="1"/>
  <c r="J267" i="1" l="1"/>
  <c r="O267" i="1"/>
  <c r="E9" i="24" s="1"/>
  <c r="AD36" i="28"/>
  <c r="AB44" i="28"/>
  <c r="AB46" i="28" s="1"/>
  <c r="AD42" i="28"/>
  <c r="T46" i="28"/>
  <c r="N46" i="28"/>
  <c r="W36" i="28"/>
  <c r="Y34" i="28"/>
  <c r="AD46" i="28" l="1"/>
  <c r="Q267" i="1"/>
  <c r="E9" i="26" s="1"/>
  <c r="AD44" i="28"/>
  <c r="W46" i="28"/>
  <c r="Y46" i="28" s="1"/>
  <c r="Y36" i="28"/>
  <c r="D116" i="1"/>
  <c r="C95" i="1"/>
  <c r="C114" i="1"/>
  <c r="H114" i="1" s="1"/>
  <c r="C115" i="1"/>
  <c r="H115" i="1" s="1"/>
  <c r="J115" i="1" s="1"/>
  <c r="C108" i="1"/>
  <c r="H108" i="1" s="1"/>
  <c r="C106" i="1"/>
  <c r="H106" i="1" s="1"/>
  <c r="K106" i="1" l="1"/>
  <c r="J106" i="1"/>
  <c r="K108" i="1"/>
  <c r="J108" i="1"/>
  <c r="D82" i="34"/>
  <c r="D84" i="34" s="1"/>
  <c r="D85" i="34" s="1"/>
  <c r="E106" i="1"/>
  <c r="E114" i="1"/>
  <c r="E95" i="1"/>
  <c r="N115" i="1"/>
  <c r="S114" i="1"/>
  <c r="H95" i="1"/>
  <c r="K114" i="1"/>
  <c r="E115" i="1"/>
  <c r="E108" i="1"/>
  <c r="K95" i="1" l="1"/>
  <c r="J95" i="1"/>
  <c r="L95" i="1"/>
  <c r="O115" i="1"/>
  <c r="W115" i="1" s="1"/>
  <c r="J116" i="1"/>
  <c r="T115" i="1"/>
  <c r="T114" i="1"/>
  <c r="T108" i="1" l="1"/>
  <c r="T106" i="1"/>
  <c r="N108" i="1"/>
  <c r="O108" i="1"/>
  <c r="W108" i="1" s="1"/>
  <c r="P108" i="1"/>
  <c r="N106" i="1"/>
  <c r="P106" i="1"/>
  <c r="O106" i="1"/>
  <c r="W106" i="1" s="1"/>
  <c r="Q115" i="1"/>
  <c r="O116" i="1"/>
  <c r="O95" i="1"/>
  <c r="W95" i="1" s="1"/>
  <c r="P95" i="1"/>
  <c r="O224" i="1"/>
  <c r="W224" i="1" s="1"/>
  <c r="T95" i="1"/>
  <c r="N95" i="1"/>
  <c r="K116" i="1"/>
  <c r="N114" i="1"/>
  <c r="S106" i="1" l="1"/>
  <c r="S108" i="1"/>
  <c r="S115" i="1"/>
  <c r="Q116" i="1"/>
  <c r="Q95" i="1"/>
  <c r="S95" i="1" l="1"/>
  <c r="H17" i="1" l="1"/>
  <c r="C16" i="1"/>
  <c r="G17" i="21" s="1"/>
  <c r="H17" i="21" s="1"/>
  <c r="N15" i="21" s="1"/>
  <c r="D16" i="1" s="1"/>
  <c r="C15" i="1"/>
  <c r="G16" i="21"/>
  <c r="H16" i="21" s="1"/>
  <c r="N12" i="21" s="1"/>
  <c r="D13" i="1" s="1"/>
  <c r="G14" i="21"/>
  <c r="H14" i="21" s="1"/>
  <c r="N11" i="21" s="1"/>
  <c r="D12" i="1" s="1"/>
  <c r="G11" i="21"/>
  <c r="H11" i="21" s="1"/>
  <c r="N10" i="21" s="1"/>
  <c r="D11" i="1" s="1"/>
  <c r="E11" i="1" s="1"/>
  <c r="G9" i="21"/>
  <c r="C258" i="1"/>
  <c r="C254" i="1"/>
  <c r="C250" i="1"/>
  <c r="C249" i="1"/>
  <c r="C248" i="1"/>
  <c r="C247" i="1"/>
  <c r="C243" i="1"/>
  <c r="C239" i="1"/>
  <c r="C238" i="1"/>
  <c r="C234" i="1"/>
  <c r="C230" i="1"/>
  <c r="C226" i="1"/>
  <c r="C225" i="1"/>
  <c r="C224" i="1"/>
  <c r="C101" i="21" s="1"/>
  <c r="E101" i="21" s="1"/>
  <c r="T51" i="21" s="1"/>
  <c r="C223" i="1"/>
  <c r="C100" i="21" s="1"/>
  <c r="E100" i="21" s="1"/>
  <c r="T50" i="21" s="1"/>
  <c r="C222" i="1"/>
  <c r="C221" i="1"/>
  <c r="C98" i="21" s="1"/>
  <c r="E98" i="21" s="1"/>
  <c r="T48" i="21" s="1"/>
  <c r="C220" i="1"/>
  <c r="C216" i="1"/>
  <c r="C215" i="1"/>
  <c r="C214" i="1"/>
  <c r="C213" i="1"/>
  <c r="C212" i="1"/>
  <c r="D212" i="1" s="1"/>
  <c r="C211" i="1"/>
  <c r="C210" i="1"/>
  <c r="C209" i="1"/>
  <c r="C208" i="1"/>
  <c r="C207" i="1"/>
  <c r="C206" i="1"/>
  <c r="C205" i="1"/>
  <c r="C62" i="21" s="1"/>
  <c r="C204" i="1"/>
  <c r="C203" i="1"/>
  <c r="C202" i="1"/>
  <c r="C201" i="1"/>
  <c r="C200" i="1"/>
  <c r="Q46" i="21" s="1"/>
  <c r="C199" i="1"/>
  <c r="C198" i="1"/>
  <c r="C60" i="21" s="1"/>
  <c r="C197" i="1"/>
  <c r="C193" i="1"/>
  <c r="B119" i="21" s="1"/>
  <c r="B121" i="21" s="1"/>
  <c r="U45" i="21" s="1"/>
  <c r="D193" i="1" s="1"/>
  <c r="C189" i="1"/>
  <c r="C188" i="1"/>
  <c r="C187" i="1"/>
  <c r="C186" i="1"/>
  <c r="C182" i="1"/>
  <c r="C181" i="1"/>
  <c r="C180" i="1"/>
  <c r="C179" i="1"/>
  <c r="C175" i="1"/>
  <c r="C171" i="1"/>
  <c r="C167" i="1"/>
  <c r="C163" i="1"/>
  <c r="C162" i="1"/>
  <c r="H162" i="1" s="1"/>
  <c r="J162" i="1" s="1"/>
  <c r="C161" i="1"/>
  <c r="C160" i="1"/>
  <c r="C159" i="1"/>
  <c r="H159" i="1" s="1"/>
  <c r="C158" i="1"/>
  <c r="C157" i="1"/>
  <c r="H157" i="1" s="1"/>
  <c r="C153" i="1"/>
  <c r="C149" i="1"/>
  <c r="P155" i="30" s="1"/>
  <c r="C148" i="1"/>
  <c r="P154" i="30" s="1"/>
  <c r="C147" i="1"/>
  <c r="P153" i="30" s="1"/>
  <c r="C146" i="1"/>
  <c r="P151" i="30" s="1"/>
  <c r="C145" i="1"/>
  <c r="P150" i="30" s="1"/>
  <c r="C144" i="1"/>
  <c r="P149" i="30" s="1"/>
  <c r="C140" i="1"/>
  <c r="C139" i="1"/>
  <c r="C138" i="1"/>
  <c r="C66" i="21" s="1"/>
  <c r="D66" i="21" s="1"/>
  <c r="Q36" i="21" s="1"/>
  <c r="C137" i="1"/>
  <c r="C133" i="1"/>
  <c r="C132" i="1"/>
  <c r="H132" i="1" s="1"/>
  <c r="C131" i="1"/>
  <c r="C130" i="1"/>
  <c r="H130" i="1" s="1"/>
  <c r="C126" i="1"/>
  <c r="H126" i="1" s="1"/>
  <c r="C122" i="1"/>
  <c r="C109" i="1"/>
  <c r="C103" i="1"/>
  <c r="C99" i="1"/>
  <c r="D99" i="1" s="1"/>
  <c r="C98" i="1"/>
  <c r="H98" i="1" s="1"/>
  <c r="C97" i="1"/>
  <c r="C96" i="1"/>
  <c r="H96" i="1" s="1"/>
  <c r="J96" i="1" s="1"/>
  <c r="C94" i="1"/>
  <c r="H94" i="1" s="1"/>
  <c r="C90" i="1"/>
  <c r="H90" i="1" s="1"/>
  <c r="C89" i="1"/>
  <c r="C85" i="1"/>
  <c r="C84" i="1"/>
  <c r="C80" i="1"/>
  <c r="P80" i="30" s="1"/>
  <c r="C79" i="1"/>
  <c r="C78" i="1"/>
  <c r="P77" i="30" s="1"/>
  <c r="C77" i="1"/>
  <c r="C76" i="1"/>
  <c r="P75" i="30" s="1"/>
  <c r="C72" i="1"/>
  <c r="P135" i="30" s="1"/>
  <c r="C71" i="1"/>
  <c r="C67" i="1"/>
  <c r="C66" i="1"/>
  <c r="C65" i="1"/>
  <c r="H65" i="1" s="1"/>
  <c r="C61" i="1"/>
  <c r="H61" i="1" s="1"/>
  <c r="C57" i="1"/>
  <c r="C56" i="1"/>
  <c r="C52" i="1"/>
  <c r="C48" i="1"/>
  <c r="H48" i="1" s="1"/>
  <c r="C47" i="1"/>
  <c r="C46" i="1"/>
  <c r="C45" i="1"/>
  <c r="H45" i="1" s="1"/>
  <c r="C41" i="1"/>
  <c r="C40" i="1"/>
  <c r="C39" i="1"/>
  <c r="C38" i="1"/>
  <c r="C37" i="1"/>
  <c r="C36" i="1"/>
  <c r="C32" i="1"/>
  <c r="P97" i="30" s="1"/>
  <c r="C31" i="1"/>
  <c r="P96" i="30" s="1"/>
  <c r="C30" i="1"/>
  <c r="P94" i="30" s="1"/>
  <c r="C29" i="1"/>
  <c r="P93" i="30" s="1"/>
  <c r="C28" i="1"/>
  <c r="P92" i="30" s="1"/>
  <c r="C24" i="1"/>
  <c r="H24" i="1" s="1"/>
  <c r="H71" i="1" l="1"/>
  <c r="P133" i="30"/>
  <c r="P138" i="30" s="1"/>
  <c r="P140" i="30" s="1"/>
  <c r="Q140" i="30" s="1"/>
  <c r="P156" i="30"/>
  <c r="P159" i="30" s="1"/>
  <c r="Q159" i="30" s="1"/>
  <c r="H77" i="1"/>
  <c r="P76" i="30"/>
  <c r="H79" i="1"/>
  <c r="P79" i="30"/>
  <c r="B43" i="11"/>
  <c r="B45" i="11" s="1"/>
  <c r="G89" i="1" s="1"/>
  <c r="H89" i="1" s="1"/>
  <c r="P98" i="30"/>
  <c r="P100" i="30" s="1"/>
  <c r="C111" i="1"/>
  <c r="C217" i="1"/>
  <c r="H109" i="1"/>
  <c r="N109" i="1" s="1"/>
  <c r="T109" i="1"/>
  <c r="D138" i="1"/>
  <c r="X36" i="21"/>
  <c r="G18" i="21"/>
  <c r="K17" i="1"/>
  <c r="L17" i="1"/>
  <c r="L18" i="1" s="1"/>
  <c r="E7" i="37" s="1"/>
  <c r="J17" i="1"/>
  <c r="C190" i="1"/>
  <c r="C97" i="21"/>
  <c r="C103" i="21" s="1"/>
  <c r="E103" i="21" s="1"/>
  <c r="C227" i="1"/>
  <c r="X48" i="21"/>
  <c r="D221" i="1"/>
  <c r="T221" i="1" s="1"/>
  <c r="X50" i="21"/>
  <c r="D223" i="1"/>
  <c r="T223" i="1" s="1"/>
  <c r="X51" i="21"/>
  <c r="D224" i="1"/>
  <c r="T224" i="1" s="1"/>
  <c r="B91" i="21"/>
  <c r="X35" i="21"/>
  <c r="Q62" i="21"/>
  <c r="X45" i="21"/>
  <c r="U62" i="21"/>
  <c r="B47" i="21"/>
  <c r="B53" i="21"/>
  <c r="B55" i="21" s="1"/>
  <c r="C116" i="1"/>
  <c r="D200" i="1"/>
  <c r="T222" i="1"/>
  <c r="P81" i="30" l="1"/>
  <c r="P83" i="30" s="1"/>
  <c r="Q83" i="30" s="1"/>
  <c r="Q100" i="30"/>
  <c r="P46" i="21"/>
  <c r="X46" i="21" s="1"/>
  <c r="D201" i="1"/>
  <c r="D217" i="1" s="1"/>
  <c r="P17" i="1"/>
  <c r="O17" i="1"/>
  <c r="E97" i="21"/>
  <c r="T47" i="21" s="1"/>
  <c r="D220" i="1" s="1"/>
  <c r="D227" i="1" s="1"/>
  <c r="X12" i="21"/>
  <c r="H13" i="1"/>
  <c r="D89" i="34" s="1"/>
  <c r="D90" i="34" s="1"/>
  <c r="B28" i="21" s="1"/>
  <c r="X11" i="21"/>
  <c r="X15" i="21"/>
  <c r="X10" i="21"/>
  <c r="H267" i="1"/>
  <c r="J259" i="1"/>
  <c r="G259" i="1"/>
  <c r="D259" i="1"/>
  <c r="C259" i="1"/>
  <c r="G255" i="1"/>
  <c r="D255" i="1"/>
  <c r="H254" i="1"/>
  <c r="H250" i="1"/>
  <c r="H249" i="1"/>
  <c r="H248" i="1"/>
  <c r="G251" i="1"/>
  <c r="E247" i="1"/>
  <c r="G244" i="1"/>
  <c r="D244" i="1"/>
  <c r="H243" i="1"/>
  <c r="H244" i="1" s="1"/>
  <c r="G240" i="1"/>
  <c r="D240" i="1"/>
  <c r="H238" i="1"/>
  <c r="C240" i="1"/>
  <c r="G235" i="1"/>
  <c r="D235" i="1"/>
  <c r="E234" i="1"/>
  <c r="E235" i="1" s="1"/>
  <c r="H234" i="1"/>
  <c r="T233" i="1"/>
  <c r="S233" i="1"/>
  <c r="G231" i="1"/>
  <c r="D231" i="1"/>
  <c r="S230" i="1"/>
  <c r="E230" i="1"/>
  <c r="H230" i="1"/>
  <c r="K230" i="1" s="1"/>
  <c r="G227" i="1"/>
  <c r="H226" i="1"/>
  <c r="E226" i="1"/>
  <c r="H225" i="1"/>
  <c r="E224" i="1"/>
  <c r="E223" i="1"/>
  <c r="E222" i="1"/>
  <c r="H221" i="1"/>
  <c r="N221" i="1" s="1"/>
  <c r="G217" i="1"/>
  <c r="E216" i="1"/>
  <c r="E215" i="1"/>
  <c r="H214" i="1"/>
  <c r="E214" i="1"/>
  <c r="H213" i="1"/>
  <c r="E213" i="1"/>
  <c r="H212" i="1"/>
  <c r="H211" i="1"/>
  <c r="E211" i="1"/>
  <c r="E210" i="1"/>
  <c r="E208" i="1"/>
  <c r="E207" i="1"/>
  <c r="H206" i="1"/>
  <c r="E206" i="1"/>
  <c r="H205" i="1"/>
  <c r="E204" i="1"/>
  <c r="E203" i="1"/>
  <c r="H202" i="1"/>
  <c r="E202" i="1"/>
  <c r="E201" i="1"/>
  <c r="E199" i="1"/>
  <c r="G194" i="1"/>
  <c r="D194" i="1"/>
  <c r="G190" i="1"/>
  <c r="F190" i="1"/>
  <c r="D190" i="1"/>
  <c r="H189" i="1"/>
  <c r="E189" i="1"/>
  <c r="H188" i="1"/>
  <c r="E188" i="1"/>
  <c r="E187" i="1"/>
  <c r="H186" i="1"/>
  <c r="E186" i="1"/>
  <c r="G183" i="1"/>
  <c r="D183" i="1"/>
  <c r="H182" i="1"/>
  <c r="H181" i="1"/>
  <c r="E181" i="1"/>
  <c r="H180" i="1"/>
  <c r="C183" i="1"/>
  <c r="G176" i="1"/>
  <c r="D176" i="1"/>
  <c r="E175" i="1"/>
  <c r="E176" i="1" s="1"/>
  <c r="H175" i="1"/>
  <c r="G172" i="1"/>
  <c r="D172" i="1"/>
  <c r="E171" i="1"/>
  <c r="G168" i="1"/>
  <c r="D168" i="1"/>
  <c r="H167" i="1"/>
  <c r="K168" i="1" s="1"/>
  <c r="D164" i="1"/>
  <c r="H163" i="1"/>
  <c r="G164" i="1"/>
  <c r="E161" i="1"/>
  <c r="H160" i="1"/>
  <c r="E160" i="1"/>
  <c r="E158" i="1"/>
  <c r="E157" i="1"/>
  <c r="C164" i="1"/>
  <c r="G154" i="1"/>
  <c r="C154" i="1"/>
  <c r="H149" i="1"/>
  <c r="E149" i="1"/>
  <c r="H148" i="1"/>
  <c r="E148" i="1"/>
  <c r="H146" i="1"/>
  <c r="E146" i="1"/>
  <c r="E145" i="1"/>
  <c r="H145" i="1"/>
  <c r="G150" i="1"/>
  <c r="D150" i="1"/>
  <c r="G141" i="1"/>
  <c r="H140" i="1"/>
  <c r="E140" i="1"/>
  <c r="H139" i="1"/>
  <c r="E139" i="1"/>
  <c r="D141" i="1"/>
  <c r="C141" i="1"/>
  <c r="H137" i="1"/>
  <c r="E137" i="1"/>
  <c r="G134" i="1"/>
  <c r="D134" i="1"/>
  <c r="E132" i="1"/>
  <c r="H131" i="1"/>
  <c r="E131" i="1"/>
  <c r="E130" i="1"/>
  <c r="C134" i="1"/>
  <c r="G127" i="1"/>
  <c r="D127" i="1"/>
  <c r="E126" i="1"/>
  <c r="C127" i="1"/>
  <c r="K123" i="1"/>
  <c r="G123" i="1"/>
  <c r="C123" i="1"/>
  <c r="S119" i="1"/>
  <c r="T116" i="1"/>
  <c r="E116" i="1"/>
  <c r="M111" i="1"/>
  <c r="G100" i="1"/>
  <c r="D100" i="1"/>
  <c r="H99" i="1"/>
  <c r="E99" i="1"/>
  <c r="E98" i="1"/>
  <c r="E96" i="1"/>
  <c r="E94" i="1"/>
  <c r="D91" i="1"/>
  <c r="E90" i="1"/>
  <c r="E89" i="1"/>
  <c r="G86" i="1"/>
  <c r="D86" i="1"/>
  <c r="E85" i="1"/>
  <c r="H85" i="1"/>
  <c r="C86" i="1"/>
  <c r="H80" i="1"/>
  <c r="H78" i="1"/>
  <c r="E78" i="1"/>
  <c r="G81" i="1"/>
  <c r="C81" i="1"/>
  <c r="H72" i="1"/>
  <c r="E72" i="1"/>
  <c r="G73" i="1"/>
  <c r="D73" i="1"/>
  <c r="G68" i="1"/>
  <c r="D68" i="1"/>
  <c r="H67" i="1"/>
  <c r="H66" i="1"/>
  <c r="E66" i="1"/>
  <c r="E65" i="1"/>
  <c r="C68" i="1"/>
  <c r="G62" i="1"/>
  <c r="D62" i="1"/>
  <c r="C62" i="1"/>
  <c r="E61" i="1"/>
  <c r="E62" i="1" s="1"/>
  <c r="G58" i="1"/>
  <c r="D58" i="1"/>
  <c r="H57" i="1"/>
  <c r="H56" i="1"/>
  <c r="E56" i="1"/>
  <c r="G53" i="1"/>
  <c r="D53" i="1"/>
  <c r="H52" i="1"/>
  <c r="H53" i="1" s="1"/>
  <c r="G49" i="1"/>
  <c r="H47" i="1"/>
  <c r="H46" i="1"/>
  <c r="E46" i="1"/>
  <c r="G42" i="1"/>
  <c r="D42" i="1"/>
  <c r="H40" i="1"/>
  <c r="H39" i="1"/>
  <c r="E39" i="1"/>
  <c r="H38" i="1"/>
  <c r="E38" i="1"/>
  <c r="E37" i="1"/>
  <c r="E32" i="1"/>
  <c r="H31" i="1"/>
  <c r="K31" i="1" s="1"/>
  <c r="E30" i="1"/>
  <c r="G33" i="1"/>
  <c r="D33" i="1"/>
  <c r="C33" i="1"/>
  <c r="D25" i="1"/>
  <c r="G25" i="1"/>
  <c r="G18" i="1"/>
  <c r="D49" i="1"/>
  <c r="E17" i="1"/>
  <c r="H16" i="1"/>
  <c r="K16" i="1" s="1"/>
  <c r="E15" i="1"/>
  <c r="S13" i="1"/>
  <c r="E13" i="1"/>
  <c r="H12" i="1"/>
  <c r="P164" i="30" l="1"/>
  <c r="Q164" i="30" s="1"/>
  <c r="H49" i="1"/>
  <c r="T220" i="1"/>
  <c r="Q17" i="1"/>
  <c r="E190" i="1"/>
  <c r="T62" i="21"/>
  <c r="H220" i="1"/>
  <c r="N220" i="1" s="1"/>
  <c r="X47" i="21"/>
  <c r="K13" i="1"/>
  <c r="K104" i="1" s="1"/>
  <c r="L89" i="1"/>
  <c r="K89" i="1"/>
  <c r="J89" i="1"/>
  <c r="J130" i="1"/>
  <c r="L130" i="1"/>
  <c r="K130" i="1"/>
  <c r="J175" i="1"/>
  <c r="L175" i="1"/>
  <c r="L176" i="1" s="1"/>
  <c r="K175" i="1"/>
  <c r="K176" i="1" s="1"/>
  <c r="J186" i="1"/>
  <c r="L186" i="1"/>
  <c r="K186" i="1"/>
  <c r="L188" i="1"/>
  <c r="K188" i="1"/>
  <c r="J188" i="1"/>
  <c r="J206" i="1"/>
  <c r="P206" i="1" s="1"/>
  <c r="L206" i="1"/>
  <c r="K206" i="1"/>
  <c r="K213" i="1"/>
  <c r="J213" i="1"/>
  <c r="L213" i="1"/>
  <c r="J249" i="1"/>
  <c r="L249" i="1"/>
  <c r="K249" i="1"/>
  <c r="J65" i="1"/>
  <c r="L65" i="1"/>
  <c r="K65" i="1"/>
  <c r="L77" i="1"/>
  <c r="K77" i="1"/>
  <c r="J77" i="1"/>
  <c r="K80" i="1"/>
  <c r="J80" i="1"/>
  <c r="L80" i="1"/>
  <c r="K99" i="1"/>
  <c r="J99" i="1"/>
  <c r="L99" i="1"/>
  <c r="L140" i="1"/>
  <c r="K140" i="1"/>
  <c r="J140" i="1"/>
  <c r="L145" i="1"/>
  <c r="J145" i="1"/>
  <c r="K145" i="1"/>
  <c r="L157" i="1"/>
  <c r="J157" i="1"/>
  <c r="K157" i="1"/>
  <c r="K160" i="1"/>
  <c r="J160" i="1"/>
  <c r="L160" i="1"/>
  <c r="L180" i="1"/>
  <c r="K180" i="1"/>
  <c r="J180" i="1"/>
  <c r="K211" i="1"/>
  <c r="J211" i="1"/>
  <c r="L211" i="1"/>
  <c r="L226" i="1"/>
  <c r="L227" i="1" s="1"/>
  <c r="K226" i="1"/>
  <c r="K227" i="1" s="1"/>
  <c r="J226" i="1"/>
  <c r="K250" i="1"/>
  <c r="J250" i="1"/>
  <c r="L250" i="1"/>
  <c r="K48" i="1"/>
  <c r="J48" i="1"/>
  <c r="L48" i="1"/>
  <c r="L67" i="1"/>
  <c r="K67" i="1"/>
  <c r="J67" i="1"/>
  <c r="J79" i="1"/>
  <c r="L79" i="1"/>
  <c r="K79" i="1"/>
  <c r="L96" i="1"/>
  <c r="K96" i="1"/>
  <c r="L149" i="1"/>
  <c r="J149" i="1"/>
  <c r="K149" i="1"/>
  <c r="L46" i="1"/>
  <c r="K46" i="1"/>
  <c r="J46" i="1"/>
  <c r="L52" i="1"/>
  <c r="L53" i="1" s="1"/>
  <c r="K52" i="1"/>
  <c r="K53" i="1" s="1"/>
  <c r="J52" i="1"/>
  <c r="J72" i="1"/>
  <c r="L72" i="1"/>
  <c r="K72" i="1"/>
  <c r="K131" i="1"/>
  <c r="J131" i="1"/>
  <c r="L131" i="1"/>
  <c r="J148" i="1"/>
  <c r="L148" i="1"/>
  <c r="K148" i="1"/>
  <c r="J189" i="1"/>
  <c r="L189" i="1"/>
  <c r="K189" i="1"/>
  <c r="L205" i="1"/>
  <c r="K205" i="1"/>
  <c r="J205" i="1"/>
  <c r="L212" i="1"/>
  <c r="K212" i="1"/>
  <c r="J212" i="1"/>
  <c r="O212" i="1" s="1"/>
  <c r="W212" i="1" s="1"/>
  <c r="L214" i="1"/>
  <c r="K214" i="1"/>
  <c r="J214" i="1"/>
  <c r="K243" i="1"/>
  <c r="J243" i="1"/>
  <c r="L243" i="1"/>
  <c r="L244" i="1" s="1"/>
  <c r="L254" i="1"/>
  <c r="L255" i="1" s="1"/>
  <c r="K254" i="1"/>
  <c r="K255" i="1" s="1"/>
  <c r="J254" i="1"/>
  <c r="L146" i="1"/>
  <c r="J146" i="1"/>
  <c r="K146" i="1"/>
  <c r="K163" i="1"/>
  <c r="J163" i="1"/>
  <c r="L163" i="1"/>
  <c r="L182" i="1"/>
  <c r="J182" i="1"/>
  <c r="K182" i="1"/>
  <c r="J31" i="1"/>
  <c r="P31" i="1" s="1"/>
  <c r="L31" i="1"/>
  <c r="J47" i="1"/>
  <c r="L47" i="1"/>
  <c r="K47" i="1"/>
  <c r="L61" i="1"/>
  <c r="L62" i="1" s="1"/>
  <c r="K61" i="1"/>
  <c r="K62" i="1" s="1"/>
  <c r="J61" i="1"/>
  <c r="K66" i="1"/>
  <c r="J66" i="1"/>
  <c r="L66" i="1"/>
  <c r="L78" i="1"/>
  <c r="K78" i="1"/>
  <c r="J78" i="1"/>
  <c r="J98" i="1"/>
  <c r="P98" i="1" s="1"/>
  <c r="L98" i="1"/>
  <c r="K98" i="1"/>
  <c r="J137" i="1"/>
  <c r="L137" i="1"/>
  <c r="K137" i="1"/>
  <c r="L139" i="1"/>
  <c r="K139" i="1"/>
  <c r="J139" i="1"/>
  <c r="J159" i="1"/>
  <c r="L159" i="1"/>
  <c r="K159" i="1"/>
  <c r="L181" i="1"/>
  <c r="K181" i="1"/>
  <c r="J181" i="1"/>
  <c r="J202" i="1"/>
  <c r="L202" i="1"/>
  <c r="K202" i="1"/>
  <c r="L238" i="1"/>
  <c r="K238" i="1"/>
  <c r="J238" i="1"/>
  <c r="L248" i="1"/>
  <c r="K248" i="1"/>
  <c r="J248" i="1"/>
  <c r="E119" i="1"/>
  <c r="T119" i="1"/>
  <c r="H116" i="1"/>
  <c r="O39" i="1"/>
  <c r="O57" i="1"/>
  <c r="O85" i="1"/>
  <c r="O40" i="1"/>
  <c r="O56" i="1"/>
  <c r="O38" i="1"/>
  <c r="K12" i="1"/>
  <c r="N12" i="1" s="1"/>
  <c r="N16" i="1"/>
  <c r="N17" i="1"/>
  <c r="S116" i="1"/>
  <c r="E127" i="1"/>
  <c r="E172" i="1"/>
  <c r="H224" i="1"/>
  <c r="N224" i="1" s="1"/>
  <c r="E220" i="1"/>
  <c r="S11" i="1"/>
  <c r="E205" i="1"/>
  <c r="S224" i="1"/>
  <c r="H231" i="1"/>
  <c r="S222" i="1"/>
  <c r="E231" i="1"/>
  <c r="S220" i="1"/>
  <c r="G91" i="1"/>
  <c r="G261" i="1" s="1"/>
  <c r="G265" i="1" s="1"/>
  <c r="E12" i="1"/>
  <c r="H15" i="1"/>
  <c r="E144" i="1"/>
  <c r="H201" i="1"/>
  <c r="E212" i="1"/>
  <c r="S221" i="1"/>
  <c r="S16" i="1"/>
  <c r="E221" i="1"/>
  <c r="H144" i="1"/>
  <c r="S223" i="1"/>
  <c r="T167" i="1"/>
  <c r="C18" i="1"/>
  <c r="S12" i="1"/>
  <c r="E16" i="1"/>
  <c r="C25" i="1"/>
  <c r="H28" i="1"/>
  <c r="K28" i="1" s="1"/>
  <c r="C42" i="1"/>
  <c r="H36" i="1"/>
  <c r="H11" i="1"/>
  <c r="K24" i="1"/>
  <c r="E29" i="1"/>
  <c r="H30" i="1"/>
  <c r="K30" i="1" s="1"/>
  <c r="H32" i="1"/>
  <c r="K32" i="1" s="1"/>
  <c r="E36" i="1"/>
  <c r="E40" i="1"/>
  <c r="E24" i="1"/>
  <c r="E25" i="1" s="1"/>
  <c r="E28" i="1"/>
  <c r="H29" i="1"/>
  <c r="K29" i="1" s="1"/>
  <c r="E31" i="1"/>
  <c r="H37" i="1"/>
  <c r="H41" i="1"/>
  <c r="E41" i="1"/>
  <c r="H62" i="1"/>
  <c r="C73" i="1"/>
  <c r="E47" i="1"/>
  <c r="E52" i="1"/>
  <c r="E53" i="1" s="1"/>
  <c r="C53" i="1"/>
  <c r="E57" i="1"/>
  <c r="E58" i="1" s="1"/>
  <c r="C58" i="1"/>
  <c r="H58" i="1"/>
  <c r="E79" i="1"/>
  <c r="E84" i="1"/>
  <c r="E86" i="1" s="1"/>
  <c r="C100" i="1"/>
  <c r="E45" i="1"/>
  <c r="E48" i="1"/>
  <c r="C49" i="1"/>
  <c r="E67" i="1"/>
  <c r="H68" i="1"/>
  <c r="E71" i="1"/>
  <c r="E73" i="1" s="1"/>
  <c r="H76" i="1"/>
  <c r="E77" i="1"/>
  <c r="E80" i="1"/>
  <c r="H84" i="1"/>
  <c r="C91" i="1"/>
  <c r="H97" i="1"/>
  <c r="E97" i="1"/>
  <c r="E91" i="1"/>
  <c r="E133" i="1"/>
  <c r="E134" i="1" s="1"/>
  <c r="E147" i="1"/>
  <c r="C150" i="1"/>
  <c r="H133" i="1"/>
  <c r="E138" i="1"/>
  <c r="E141" i="1" s="1"/>
  <c r="H147" i="1"/>
  <c r="E109" i="1"/>
  <c r="H138" i="1"/>
  <c r="J138" i="1" s="1"/>
  <c r="H158" i="1"/>
  <c r="E159" i="1"/>
  <c r="H161" i="1"/>
  <c r="E162" i="1"/>
  <c r="E163" i="1"/>
  <c r="C168" i="1"/>
  <c r="E167" i="1"/>
  <c r="E168" i="1" s="1"/>
  <c r="C172" i="1"/>
  <c r="H171" i="1"/>
  <c r="C176" i="1"/>
  <c r="H176" i="1"/>
  <c r="E179" i="1"/>
  <c r="E182" i="1"/>
  <c r="H187" i="1"/>
  <c r="H190" i="1" s="1"/>
  <c r="E198" i="1"/>
  <c r="H198" i="1"/>
  <c r="H168" i="1"/>
  <c r="H179" i="1"/>
  <c r="H193" i="1"/>
  <c r="C194" i="1"/>
  <c r="E193" i="1"/>
  <c r="E194" i="1" s="1"/>
  <c r="E197" i="1"/>
  <c r="H197" i="1"/>
  <c r="E180" i="1"/>
  <c r="E200" i="1"/>
  <c r="H203" i="1"/>
  <c r="H207" i="1"/>
  <c r="H199" i="1"/>
  <c r="H200" i="1"/>
  <c r="H204" i="1"/>
  <c r="H208" i="1"/>
  <c r="E209" i="1"/>
  <c r="H210" i="1"/>
  <c r="H209" i="1"/>
  <c r="H215" i="1"/>
  <c r="E225" i="1"/>
  <c r="H216" i="1"/>
  <c r="H223" i="1"/>
  <c r="N223" i="1" s="1"/>
  <c r="C231" i="1"/>
  <c r="C235" i="1"/>
  <c r="H235" i="1"/>
  <c r="E238" i="1"/>
  <c r="E243" i="1"/>
  <c r="H255" i="1"/>
  <c r="H239" i="1"/>
  <c r="E239" i="1"/>
  <c r="C244" i="1"/>
  <c r="E249" i="1"/>
  <c r="E250" i="1"/>
  <c r="H222" i="1"/>
  <c r="N222" i="1" s="1"/>
  <c r="C251" i="1"/>
  <c r="E248" i="1"/>
  <c r="E258" i="1"/>
  <c r="E259" i="1" s="1"/>
  <c r="H247" i="1"/>
  <c r="E254" i="1"/>
  <c r="E255" i="1" s="1"/>
  <c r="C255" i="1"/>
  <c r="H258" i="1"/>
  <c r="H217" i="1" l="1"/>
  <c r="E217" i="1"/>
  <c r="P214" i="1"/>
  <c r="O214" i="1"/>
  <c r="W214" i="1" s="1"/>
  <c r="K15" i="1"/>
  <c r="J15" i="1"/>
  <c r="S17" i="1"/>
  <c r="E49" i="1"/>
  <c r="E251" i="1"/>
  <c r="E227" i="1"/>
  <c r="O181" i="1"/>
  <c r="W181" i="1" s="1"/>
  <c r="P181" i="1"/>
  <c r="O146" i="1"/>
  <c r="W146" i="1" s="1"/>
  <c r="P146" i="1"/>
  <c r="O131" i="1"/>
  <c r="W131" i="1" s="1"/>
  <c r="P131" i="1"/>
  <c r="O72" i="1"/>
  <c r="W72" i="1" s="1"/>
  <c r="P72" i="1"/>
  <c r="O46" i="1"/>
  <c r="W46" i="1" s="1"/>
  <c r="P46" i="1"/>
  <c r="O149" i="1"/>
  <c r="W149" i="1" s="1"/>
  <c r="P149" i="1"/>
  <c r="O67" i="1"/>
  <c r="W67" i="1" s="1"/>
  <c r="P67" i="1"/>
  <c r="O48" i="1"/>
  <c r="W48" i="1" s="1"/>
  <c r="P48" i="1"/>
  <c r="O77" i="1"/>
  <c r="W77" i="1" s="1"/>
  <c r="P77" i="1"/>
  <c r="O249" i="1"/>
  <c r="W249" i="1" s="1"/>
  <c r="P249" i="1"/>
  <c r="O186" i="1"/>
  <c r="W186" i="1" s="1"/>
  <c r="P186" i="1"/>
  <c r="O159" i="1"/>
  <c r="W159" i="1" s="1"/>
  <c r="P159" i="1"/>
  <c r="O61" i="1"/>
  <c r="W61" i="1" s="1"/>
  <c r="P61" i="1"/>
  <c r="P62" i="1" s="1"/>
  <c r="O163" i="1"/>
  <c r="W163" i="1" s="1"/>
  <c r="P163" i="1"/>
  <c r="O52" i="1"/>
  <c r="W52" i="1" s="1"/>
  <c r="P52" i="1"/>
  <c r="P53" i="1" s="1"/>
  <c r="P226" i="1"/>
  <c r="P227" i="1" s="1"/>
  <c r="O211" i="1"/>
  <c r="W211" i="1" s="1"/>
  <c r="P211" i="1"/>
  <c r="O145" i="1"/>
  <c r="W145" i="1" s="1"/>
  <c r="P145" i="1"/>
  <c r="O65" i="1"/>
  <c r="W65" i="1" s="1"/>
  <c r="P65" i="1"/>
  <c r="O238" i="1"/>
  <c r="W238" i="1" s="1"/>
  <c r="P238" i="1"/>
  <c r="O139" i="1"/>
  <c r="W139" i="1" s="1"/>
  <c r="P139" i="1"/>
  <c r="O47" i="1"/>
  <c r="W47" i="1" s="1"/>
  <c r="P47" i="1"/>
  <c r="O182" i="1"/>
  <c r="W182" i="1" s="1"/>
  <c r="P182" i="1"/>
  <c r="O254" i="1"/>
  <c r="W254" i="1" s="1"/>
  <c r="P254" i="1"/>
  <c r="O243" i="1"/>
  <c r="W243" i="1" s="1"/>
  <c r="P243" i="1"/>
  <c r="P244" i="1" s="1"/>
  <c r="O205" i="1"/>
  <c r="W205" i="1" s="1"/>
  <c r="P205" i="1"/>
  <c r="O148" i="1"/>
  <c r="W148" i="1" s="1"/>
  <c r="P148" i="1"/>
  <c r="O96" i="1"/>
  <c r="W96" i="1" s="1"/>
  <c r="P96" i="1"/>
  <c r="O157" i="1"/>
  <c r="W157" i="1" s="1"/>
  <c r="P157" i="1"/>
  <c r="O80" i="1"/>
  <c r="W80" i="1" s="1"/>
  <c r="P80" i="1"/>
  <c r="O213" i="1"/>
  <c r="W213" i="1" s="1"/>
  <c r="P213" i="1"/>
  <c r="O130" i="1"/>
  <c r="W130" i="1" s="1"/>
  <c r="P130" i="1"/>
  <c r="O248" i="1"/>
  <c r="W248" i="1" s="1"/>
  <c r="P248" i="1"/>
  <c r="O202" i="1"/>
  <c r="W202" i="1" s="1"/>
  <c r="P202" i="1"/>
  <c r="O137" i="1"/>
  <c r="W137" i="1" s="1"/>
  <c r="P137" i="1"/>
  <c r="O78" i="1"/>
  <c r="W78" i="1" s="1"/>
  <c r="P78" i="1"/>
  <c r="O66" i="1"/>
  <c r="W66" i="1" s="1"/>
  <c r="P66" i="1"/>
  <c r="O189" i="1"/>
  <c r="W189" i="1" s="1"/>
  <c r="P189" i="1"/>
  <c r="O79" i="1"/>
  <c r="W79" i="1" s="1"/>
  <c r="P79" i="1"/>
  <c r="O250" i="1"/>
  <c r="W250" i="1" s="1"/>
  <c r="P250" i="1"/>
  <c r="O180" i="1"/>
  <c r="W180" i="1" s="1"/>
  <c r="P180" i="1"/>
  <c r="O160" i="1"/>
  <c r="W160" i="1" s="1"/>
  <c r="P160" i="1"/>
  <c r="O140" i="1"/>
  <c r="W140" i="1" s="1"/>
  <c r="P140" i="1"/>
  <c r="O99" i="1"/>
  <c r="W99" i="1" s="1"/>
  <c r="P99" i="1"/>
  <c r="O188" i="1"/>
  <c r="W188" i="1" s="1"/>
  <c r="P188" i="1"/>
  <c r="O175" i="1"/>
  <c r="W175" i="1" s="1"/>
  <c r="P175" i="1"/>
  <c r="P176" i="1" s="1"/>
  <c r="O89" i="1"/>
  <c r="W89" i="1" s="1"/>
  <c r="AA17" i="1" s="1"/>
  <c r="P89" i="1"/>
  <c r="O226" i="1"/>
  <c r="W226" i="1" s="1"/>
  <c r="J227" i="1"/>
  <c r="B31" i="21"/>
  <c r="D104" i="1"/>
  <c r="T104" i="1" s="1"/>
  <c r="N225" i="1"/>
  <c r="K199" i="1"/>
  <c r="J199" i="1"/>
  <c r="L199" i="1"/>
  <c r="J193" i="1"/>
  <c r="J194" i="1" s="1"/>
  <c r="L193" i="1"/>
  <c r="L194" i="1" s="1"/>
  <c r="K193" i="1"/>
  <c r="K141" i="1"/>
  <c r="J94" i="1"/>
  <c r="L94" i="1"/>
  <c r="K94" i="1"/>
  <c r="L71" i="1"/>
  <c r="L73" i="1" s="1"/>
  <c r="K71" i="1"/>
  <c r="K73" i="1" s="1"/>
  <c r="J71" i="1"/>
  <c r="J24" i="1"/>
  <c r="P24" i="1" s="1"/>
  <c r="P25" i="1" s="1"/>
  <c r="L24" i="1"/>
  <c r="L25" i="1" s="1"/>
  <c r="K25" i="1"/>
  <c r="L247" i="1"/>
  <c r="L251" i="1" s="1"/>
  <c r="K247" i="1"/>
  <c r="J247" i="1"/>
  <c r="J215" i="1"/>
  <c r="L215" i="1"/>
  <c r="K215" i="1"/>
  <c r="L161" i="1"/>
  <c r="K161" i="1"/>
  <c r="J161" i="1"/>
  <c r="P161" i="1" s="1"/>
  <c r="L126" i="1"/>
  <c r="L127" i="1" s="1"/>
  <c r="J126" i="1"/>
  <c r="K126" i="1"/>
  <c r="K127" i="1" s="1"/>
  <c r="L133" i="1"/>
  <c r="K133" i="1"/>
  <c r="J133" i="1"/>
  <c r="L132" i="1"/>
  <c r="K132" i="1"/>
  <c r="J132" i="1"/>
  <c r="J32" i="1"/>
  <c r="L32" i="1"/>
  <c r="J28" i="1"/>
  <c r="L28" i="1"/>
  <c r="L201" i="1"/>
  <c r="K201" i="1"/>
  <c r="J201" i="1"/>
  <c r="K207" i="1"/>
  <c r="J207" i="1"/>
  <c r="L207" i="1"/>
  <c r="L204" i="1"/>
  <c r="K204" i="1"/>
  <c r="J204" i="1"/>
  <c r="K187" i="1"/>
  <c r="K190" i="1" s="1"/>
  <c r="J187" i="1"/>
  <c r="J190" i="1" s="1"/>
  <c r="L187" i="1"/>
  <c r="L190" i="1" s="1"/>
  <c r="L97" i="1"/>
  <c r="K97" i="1"/>
  <c r="J97" i="1"/>
  <c r="L45" i="1"/>
  <c r="L49" i="1" s="1"/>
  <c r="K45" i="1"/>
  <c r="K49" i="1" s="1"/>
  <c r="J45" i="1"/>
  <c r="L30" i="1"/>
  <c r="J30" i="1"/>
  <c r="J198" i="1"/>
  <c r="L198" i="1"/>
  <c r="K198" i="1"/>
  <c r="L208" i="1"/>
  <c r="K208" i="1"/>
  <c r="J208" i="1"/>
  <c r="P208" i="1" s="1"/>
  <c r="J239" i="1"/>
  <c r="L239" i="1"/>
  <c r="L240" i="1" s="1"/>
  <c r="K239" i="1"/>
  <c r="K240" i="1" s="1"/>
  <c r="L209" i="1"/>
  <c r="K209" i="1"/>
  <c r="J209" i="1"/>
  <c r="K203" i="1"/>
  <c r="J203" i="1"/>
  <c r="L203" i="1"/>
  <c r="K179" i="1"/>
  <c r="J179" i="1"/>
  <c r="L179" i="1"/>
  <c r="J216" i="1"/>
  <c r="L216" i="1"/>
  <c r="K216" i="1"/>
  <c r="J210" i="1"/>
  <c r="L210" i="1"/>
  <c r="K210" i="1"/>
  <c r="L200" i="1"/>
  <c r="K200" i="1"/>
  <c r="J200" i="1"/>
  <c r="L197" i="1"/>
  <c r="K197" i="1"/>
  <c r="J197" i="1"/>
  <c r="L171" i="1"/>
  <c r="L172" i="1" s="1"/>
  <c r="K171" i="1"/>
  <c r="K172" i="1" s="1"/>
  <c r="J171" i="1"/>
  <c r="P171" i="1" s="1"/>
  <c r="P172" i="1" s="1"/>
  <c r="J158" i="1"/>
  <c r="P158" i="1" s="1"/>
  <c r="L158" i="1"/>
  <c r="K158" i="1"/>
  <c r="L147" i="1"/>
  <c r="J147" i="1"/>
  <c r="K147" i="1"/>
  <c r="L90" i="1"/>
  <c r="K90" i="1"/>
  <c r="J90" i="1"/>
  <c r="P90" i="1" s="1"/>
  <c r="K76" i="1"/>
  <c r="K81" i="1" s="1"/>
  <c r="J76" i="1"/>
  <c r="L76" i="1"/>
  <c r="L81" i="1" s="1"/>
  <c r="L29" i="1"/>
  <c r="J29" i="1"/>
  <c r="P29" i="1" s="1"/>
  <c r="J144" i="1"/>
  <c r="L144" i="1"/>
  <c r="K144" i="1"/>
  <c r="O225" i="1"/>
  <c r="T225" i="1"/>
  <c r="N249" i="1"/>
  <c r="N250" i="1"/>
  <c r="N137" i="1"/>
  <c r="N85" i="1"/>
  <c r="T214" i="1"/>
  <c r="T98" i="1"/>
  <c r="O98" i="1"/>
  <c r="T31" i="1"/>
  <c r="O31" i="1"/>
  <c r="T206" i="1"/>
  <c r="O206" i="1"/>
  <c r="T57" i="1"/>
  <c r="T226" i="1"/>
  <c r="N238" i="1"/>
  <c r="T254" i="1"/>
  <c r="T180" i="1"/>
  <c r="T139" i="1"/>
  <c r="T211" i="1"/>
  <c r="T130" i="1"/>
  <c r="T48" i="1"/>
  <c r="T96" i="1"/>
  <c r="T52" i="1"/>
  <c r="T250" i="1"/>
  <c r="T67" i="1"/>
  <c r="T249" i="1"/>
  <c r="T131" i="1"/>
  <c r="T159" i="1"/>
  <c r="T38" i="1"/>
  <c r="T78" i="1"/>
  <c r="T46" i="1"/>
  <c r="T99" i="1"/>
  <c r="T182" i="1"/>
  <c r="N226" i="1"/>
  <c r="N89" i="1"/>
  <c r="K244" i="1"/>
  <c r="J255" i="1"/>
  <c r="T255" i="1" s="1"/>
  <c r="T212" i="1"/>
  <c r="T66" i="1"/>
  <c r="T149" i="1"/>
  <c r="T146" i="1"/>
  <c r="T77" i="1"/>
  <c r="T79" i="1"/>
  <c r="T248" i="1"/>
  <c r="T238" i="1"/>
  <c r="T243" i="1"/>
  <c r="N188" i="1"/>
  <c r="T188" i="1"/>
  <c r="T61" i="1"/>
  <c r="T56" i="1"/>
  <c r="T163" i="1"/>
  <c r="T80" i="1"/>
  <c r="T175" i="1"/>
  <c r="T157" i="1"/>
  <c r="T137" i="1"/>
  <c r="T85" i="1"/>
  <c r="E150" i="1"/>
  <c r="N230" i="1"/>
  <c r="T230" i="1"/>
  <c r="T148" i="1"/>
  <c r="T160" i="1"/>
  <c r="T145" i="1"/>
  <c r="T140" i="1"/>
  <c r="T213" i="1"/>
  <c r="T47" i="1"/>
  <c r="T202" i="1"/>
  <c r="T189" i="1"/>
  <c r="T186" i="1"/>
  <c r="T40" i="1"/>
  <c r="T205" i="1"/>
  <c r="T181" i="1"/>
  <c r="N96" i="1"/>
  <c r="T89" i="1"/>
  <c r="T72" i="1"/>
  <c r="T65" i="1"/>
  <c r="T39" i="1"/>
  <c r="N98" i="1"/>
  <c r="N66" i="1"/>
  <c r="N31" i="1"/>
  <c r="N139" i="1"/>
  <c r="N140" i="1"/>
  <c r="N38" i="1"/>
  <c r="N77" i="1"/>
  <c r="N47" i="1"/>
  <c r="N180" i="1"/>
  <c r="N79" i="1"/>
  <c r="N163" i="1"/>
  <c r="N56" i="1"/>
  <c r="N65" i="1"/>
  <c r="N67" i="1"/>
  <c r="N72" i="1"/>
  <c r="N131" i="1"/>
  <c r="N46" i="1"/>
  <c r="N99" i="1"/>
  <c r="N61" i="1"/>
  <c r="N211" i="1"/>
  <c r="N80" i="1"/>
  <c r="N175" i="1"/>
  <c r="N160" i="1"/>
  <c r="N130" i="1"/>
  <c r="N48" i="1"/>
  <c r="N157" i="1"/>
  <c r="N39" i="1"/>
  <c r="N212" i="1"/>
  <c r="N149" i="1"/>
  <c r="N213" i="1"/>
  <c r="N182" i="1"/>
  <c r="N57" i="1"/>
  <c r="J231" i="1"/>
  <c r="H91" i="1"/>
  <c r="N186" i="1"/>
  <c r="N248" i="1"/>
  <c r="N243" i="1"/>
  <c r="N254" i="1"/>
  <c r="N214" i="1"/>
  <c r="O41" i="1"/>
  <c r="J168" i="1"/>
  <c r="T168" i="1" s="1"/>
  <c r="N167" i="1"/>
  <c r="K231" i="1"/>
  <c r="N40" i="1"/>
  <c r="N52" i="1"/>
  <c r="J244" i="1"/>
  <c r="H240" i="1"/>
  <c r="E100" i="1"/>
  <c r="O84" i="1"/>
  <c r="K86" i="1"/>
  <c r="N148" i="1"/>
  <c r="N159" i="1"/>
  <c r="N78" i="1"/>
  <c r="N202" i="1"/>
  <c r="N206" i="1"/>
  <c r="N181" i="1"/>
  <c r="N146" i="1"/>
  <c r="H150" i="1"/>
  <c r="O37" i="1"/>
  <c r="O36" i="1"/>
  <c r="N145" i="1"/>
  <c r="L68" i="1"/>
  <c r="L58" i="1"/>
  <c r="N189" i="1"/>
  <c r="N205" i="1"/>
  <c r="N13" i="1"/>
  <c r="K11" i="1"/>
  <c r="N11" i="1" s="1"/>
  <c r="N15" i="1"/>
  <c r="E183" i="1"/>
  <c r="K58" i="1"/>
  <c r="D81" i="1"/>
  <c r="E76" i="1"/>
  <c r="E81" i="1" s="1"/>
  <c r="E240" i="1"/>
  <c r="H164" i="1"/>
  <c r="E164" i="1"/>
  <c r="E68" i="1"/>
  <c r="E42" i="1"/>
  <c r="S40" i="1"/>
  <c r="E33" i="1"/>
  <c r="H172" i="1"/>
  <c r="H86" i="1"/>
  <c r="J62" i="1"/>
  <c r="T62" i="1" s="1"/>
  <c r="J68" i="1"/>
  <c r="H134" i="1"/>
  <c r="C261" i="1"/>
  <c r="S255" i="1"/>
  <c r="H183" i="1"/>
  <c r="J58" i="1"/>
  <c r="S109" i="1"/>
  <c r="H251" i="1"/>
  <c r="K258" i="1"/>
  <c r="K259" i="1" s="1"/>
  <c r="H259" i="1"/>
  <c r="H227" i="1"/>
  <c r="E244" i="1"/>
  <c r="H194" i="1"/>
  <c r="J176" i="1"/>
  <c r="T176" i="1" s="1"/>
  <c r="H141" i="1"/>
  <c r="H100" i="1"/>
  <c r="H81" i="1"/>
  <c r="H73" i="1"/>
  <c r="J53" i="1"/>
  <c r="T53" i="1" s="1"/>
  <c r="H25" i="1"/>
  <c r="H127" i="1"/>
  <c r="K68" i="1"/>
  <c r="H42" i="1"/>
  <c r="H33" i="1"/>
  <c r="Q206" i="1" l="1"/>
  <c r="W206" i="1"/>
  <c r="Q98" i="1"/>
  <c r="W98" i="1"/>
  <c r="S225" i="1"/>
  <c r="W225" i="1"/>
  <c r="W227" i="1" s="1"/>
  <c r="AA18" i="1" s="1"/>
  <c r="Q31" i="1"/>
  <c r="W31" i="1"/>
  <c r="L134" i="1"/>
  <c r="Q214" i="1"/>
  <c r="P197" i="1"/>
  <c r="O197" i="1"/>
  <c r="W197" i="1" s="1"/>
  <c r="P204" i="1"/>
  <c r="O204" i="1"/>
  <c r="W204" i="1" s="1"/>
  <c r="D103" i="1"/>
  <c r="D111" i="1" s="1"/>
  <c r="H104" i="1"/>
  <c r="N104" i="1" s="1"/>
  <c r="E104" i="1"/>
  <c r="Q15" i="1"/>
  <c r="Q18" i="1" s="1"/>
  <c r="E7" i="26" s="1"/>
  <c r="O15" i="1"/>
  <c r="S15" i="1" s="1"/>
  <c r="K217" i="1"/>
  <c r="L217" i="1"/>
  <c r="C263" i="1"/>
  <c r="C265" i="1"/>
  <c r="C270" i="1" s="1"/>
  <c r="J217" i="1"/>
  <c r="O227" i="1"/>
  <c r="Q163" i="1"/>
  <c r="Q99" i="1"/>
  <c r="S99" i="1" s="1"/>
  <c r="Q160" i="1"/>
  <c r="S160" i="1" s="1"/>
  <c r="Q250" i="1"/>
  <c r="S250" i="1" s="1"/>
  <c r="Q189" i="1"/>
  <c r="Q78" i="1"/>
  <c r="Q202" i="1"/>
  <c r="S202" i="1" s="1"/>
  <c r="Q80" i="1"/>
  <c r="S80" i="1" s="1"/>
  <c r="Q96" i="1"/>
  <c r="S96" i="1" s="1"/>
  <c r="Q205" i="1"/>
  <c r="S205" i="1" s="1"/>
  <c r="Q47" i="1"/>
  <c r="S47" i="1" s="1"/>
  <c r="Q145" i="1"/>
  <c r="S145" i="1" s="1"/>
  <c r="O147" i="1"/>
  <c r="W147" i="1" s="1"/>
  <c r="P147" i="1"/>
  <c r="O210" i="1"/>
  <c r="W210" i="1" s="1"/>
  <c r="P210" i="1"/>
  <c r="O198" i="1"/>
  <c r="W198" i="1" s="1"/>
  <c r="P198" i="1"/>
  <c r="O207" i="1"/>
  <c r="W207" i="1" s="1"/>
  <c r="P207" i="1"/>
  <c r="O32" i="1"/>
  <c r="W32" i="1" s="1"/>
  <c r="P32" i="1"/>
  <c r="O133" i="1"/>
  <c r="W133" i="1" s="1"/>
  <c r="P133" i="1"/>
  <c r="O126" i="1"/>
  <c r="W126" i="1" s="1"/>
  <c r="P126" i="1"/>
  <c r="P127" i="1" s="1"/>
  <c r="O247" i="1"/>
  <c r="W247" i="1" s="1"/>
  <c r="P247" i="1"/>
  <c r="P251" i="1" s="1"/>
  <c r="Q254" i="1"/>
  <c r="S254" i="1" s="1"/>
  <c r="Q226" i="1"/>
  <c r="Q227" i="1" s="1"/>
  <c r="O179" i="1"/>
  <c r="W179" i="1" s="1"/>
  <c r="P179" i="1"/>
  <c r="P183" i="1" s="1"/>
  <c r="O209" i="1"/>
  <c r="W209" i="1" s="1"/>
  <c r="P209" i="1"/>
  <c r="O30" i="1"/>
  <c r="W30" i="1" s="1"/>
  <c r="P30" i="1"/>
  <c r="O132" i="1"/>
  <c r="W132" i="1" s="1"/>
  <c r="P132" i="1"/>
  <c r="O138" i="1"/>
  <c r="P138" i="1"/>
  <c r="P141" i="1" s="1"/>
  <c r="O193" i="1"/>
  <c r="W193" i="1" s="1"/>
  <c r="P193" i="1"/>
  <c r="P194" i="1" s="1"/>
  <c r="O176" i="1"/>
  <c r="W176" i="1" s="1"/>
  <c r="Q175" i="1"/>
  <c r="Q176" i="1" s="1"/>
  <c r="Q130" i="1"/>
  <c r="Q238" i="1"/>
  <c r="Q159" i="1"/>
  <c r="S159" i="1" s="1"/>
  <c r="Q249" i="1"/>
  <c r="S249" i="1" s="1"/>
  <c r="Q48" i="1"/>
  <c r="Q149" i="1"/>
  <c r="S149" i="1" s="1"/>
  <c r="Q72" i="1"/>
  <c r="Q146" i="1"/>
  <c r="S146" i="1" s="1"/>
  <c r="O144" i="1"/>
  <c r="W144" i="1" s="1"/>
  <c r="P144" i="1"/>
  <c r="P150" i="1" s="1"/>
  <c r="O76" i="1"/>
  <c r="W76" i="1" s="1"/>
  <c r="P76" i="1"/>
  <c r="P81" i="1" s="1"/>
  <c r="O239" i="1"/>
  <c r="P239" i="1"/>
  <c r="P240" i="1" s="1"/>
  <c r="O97" i="1"/>
  <c r="W97" i="1" s="1"/>
  <c r="P97" i="1"/>
  <c r="O187" i="1"/>
  <c r="W187" i="1" s="1"/>
  <c r="P187" i="1"/>
  <c r="P190" i="1" s="1"/>
  <c r="O201" i="1"/>
  <c r="W201" i="1" s="1"/>
  <c r="P201" i="1"/>
  <c r="O28" i="1"/>
  <c r="W28" i="1" s="1"/>
  <c r="P28" i="1"/>
  <c r="O71" i="1"/>
  <c r="W71" i="1" s="1"/>
  <c r="P71" i="1"/>
  <c r="P73" i="1" s="1"/>
  <c r="P91" i="1"/>
  <c r="P68" i="1"/>
  <c r="O200" i="1"/>
  <c r="W200" i="1" s="1"/>
  <c r="P200" i="1"/>
  <c r="O216" i="1"/>
  <c r="W216" i="1" s="1"/>
  <c r="P216" i="1"/>
  <c r="O162" i="1"/>
  <c r="W162" i="1" s="1"/>
  <c r="P162" i="1"/>
  <c r="O203" i="1"/>
  <c r="W203" i="1" s="1"/>
  <c r="P203" i="1"/>
  <c r="O45" i="1"/>
  <c r="W45" i="1" s="1"/>
  <c r="P45" i="1"/>
  <c r="P49" i="1" s="1"/>
  <c r="O215" i="1"/>
  <c r="W215" i="1" s="1"/>
  <c r="P215" i="1"/>
  <c r="O94" i="1"/>
  <c r="P94" i="1"/>
  <c r="O199" i="1"/>
  <c r="W199" i="1" s="1"/>
  <c r="P199" i="1"/>
  <c r="Q89" i="1"/>
  <c r="S89" i="1" s="1"/>
  <c r="Q188" i="1"/>
  <c r="Q140" i="1"/>
  <c r="Q180" i="1"/>
  <c r="S180" i="1" s="1"/>
  <c r="Q79" i="1"/>
  <c r="S79" i="1" s="1"/>
  <c r="Q66" i="1"/>
  <c r="S66" i="1" s="1"/>
  <c r="Q137" i="1"/>
  <c r="S137" i="1" s="1"/>
  <c r="Q248" i="1"/>
  <c r="S248" i="1" s="1"/>
  <c r="Q213" i="1"/>
  <c r="Q157" i="1"/>
  <c r="S157" i="1" s="1"/>
  <c r="Q148" i="1"/>
  <c r="S148" i="1" s="1"/>
  <c r="O244" i="1"/>
  <c r="W244" i="1" s="1"/>
  <c r="Q243" i="1"/>
  <c r="Q182" i="1"/>
  <c r="S182" i="1" s="1"/>
  <c r="Q139" i="1"/>
  <c r="S139" i="1" s="1"/>
  <c r="O68" i="1"/>
  <c r="Q65" i="1"/>
  <c r="Q211" i="1"/>
  <c r="Q52" i="1"/>
  <c r="Q53" i="1" s="1"/>
  <c r="O53" i="1"/>
  <c r="Q61" i="1"/>
  <c r="Q62" i="1" s="1"/>
  <c r="O62" i="1"/>
  <c r="O190" i="1"/>
  <c r="W190" i="1" s="1"/>
  <c r="Q186" i="1"/>
  <c r="S186" i="1" s="1"/>
  <c r="Q77" i="1"/>
  <c r="S77" i="1" s="1"/>
  <c r="Q67" i="1"/>
  <c r="S67" i="1" s="1"/>
  <c r="Q46" i="1"/>
  <c r="S46" i="1" s="1"/>
  <c r="Q131" i="1"/>
  <c r="S131" i="1" s="1"/>
  <c r="Q181" i="1"/>
  <c r="S181" i="1" s="1"/>
  <c r="T200" i="1"/>
  <c r="J240" i="1"/>
  <c r="T240" i="1" s="1"/>
  <c r="L150" i="1"/>
  <c r="T244" i="1"/>
  <c r="N239" i="1"/>
  <c r="T90" i="1"/>
  <c r="O90" i="1"/>
  <c r="T171" i="1"/>
  <c r="O171" i="1"/>
  <c r="W171" i="1" s="1"/>
  <c r="T158" i="1"/>
  <c r="O158" i="1"/>
  <c r="T161" i="1"/>
  <c r="O161" i="1"/>
  <c r="T208" i="1"/>
  <c r="O208" i="1"/>
  <c r="T29" i="1"/>
  <c r="O29" i="1"/>
  <c r="N41" i="1"/>
  <c r="T198" i="1"/>
  <c r="T133" i="1"/>
  <c r="T138" i="1"/>
  <c r="T58" i="1"/>
  <c r="T97" i="1"/>
  <c r="T179" i="1"/>
  <c r="T204" i="1"/>
  <c r="T247" i="1"/>
  <c r="T216" i="1"/>
  <c r="T147" i="1"/>
  <c r="T203" i="1"/>
  <c r="T187" i="1"/>
  <c r="T231" i="1"/>
  <c r="T227" i="1"/>
  <c r="T68" i="1"/>
  <c r="T144" i="1"/>
  <c r="T30" i="1"/>
  <c r="T45" i="1"/>
  <c r="T126" i="1"/>
  <c r="T41" i="1"/>
  <c r="N138" i="1"/>
  <c r="T28" i="1"/>
  <c r="T32" i="1"/>
  <c r="T199" i="1"/>
  <c r="T239" i="1"/>
  <c r="L141" i="1"/>
  <c r="N216" i="1"/>
  <c r="T36" i="1"/>
  <c r="N207" i="1"/>
  <c r="T207" i="1"/>
  <c r="T215" i="1"/>
  <c r="T193" i="1"/>
  <c r="T209" i="1"/>
  <c r="T197" i="1"/>
  <c r="N247" i="1"/>
  <c r="T201" i="1"/>
  <c r="T37" i="1"/>
  <c r="T71" i="1"/>
  <c r="T76" i="1"/>
  <c r="T84" i="1"/>
  <c r="T94" i="1"/>
  <c r="T132" i="1"/>
  <c r="T210" i="1"/>
  <c r="N94" i="1"/>
  <c r="N133" i="1"/>
  <c r="N97" i="1"/>
  <c r="N171" i="1"/>
  <c r="N197" i="1"/>
  <c r="L42" i="1"/>
  <c r="N29" i="1"/>
  <c r="N144" i="1"/>
  <c r="N45" i="1"/>
  <c r="L91" i="1"/>
  <c r="N158" i="1"/>
  <c r="N76" i="1"/>
  <c r="N208" i="1"/>
  <c r="N132" i="1"/>
  <c r="N204" i="1"/>
  <c r="N37" i="1"/>
  <c r="K150" i="1"/>
  <c r="N126" i="1"/>
  <c r="N215" i="1"/>
  <c r="S38" i="1"/>
  <c r="N30" i="1"/>
  <c r="N71" i="1"/>
  <c r="N84" i="1"/>
  <c r="N90" i="1"/>
  <c r="N198" i="1"/>
  <c r="N28" i="1"/>
  <c r="N32" i="1"/>
  <c r="L164" i="1"/>
  <c r="N199" i="1"/>
  <c r="N210" i="1"/>
  <c r="S189" i="1"/>
  <c r="N193" i="1"/>
  <c r="S130" i="1"/>
  <c r="N179" i="1"/>
  <c r="S231" i="1"/>
  <c r="N36" i="1"/>
  <c r="N258" i="1"/>
  <c r="N147" i="1"/>
  <c r="N203" i="1"/>
  <c r="L33" i="1"/>
  <c r="N201" i="1"/>
  <c r="N161" i="1"/>
  <c r="L100" i="1"/>
  <c r="N187" i="1"/>
  <c r="N209" i="1"/>
  <c r="L183" i="1"/>
  <c r="N200" i="1"/>
  <c r="J91" i="1"/>
  <c r="K42" i="1"/>
  <c r="S212" i="1"/>
  <c r="S214" i="1"/>
  <c r="S78" i="1"/>
  <c r="S163" i="1"/>
  <c r="K134" i="1"/>
  <c r="S98" i="1"/>
  <c r="S57" i="1"/>
  <c r="S48" i="1"/>
  <c r="S39" i="1"/>
  <c r="S31" i="1"/>
  <c r="J49" i="1"/>
  <c r="T49" i="1" s="1"/>
  <c r="K91" i="1"/>
  <c r="J183" i="1"/>
  <c r="J172" i="1"/>
  <c r="T172" i="1" s="1"/>
  <c r="T190" i="1"/>
  <c r="J73" i="1"/>
  <c r="T73" i="1" s="1"/>
  <c r="J100" i="1"/>
  <c r="K194" i="1"/>
  <c r="J251" i="1"/>
  <c r="J150" i="1"/>
  <c r="J33" i="1"/>
  <c r="T162" i="1"/>
  <c r="J81" i="1"/>
  <c r="T81" i="1" s="1"/>
  <c r="J164" i="1"/>
  <c r="S168" i="1"/>
  <c r="J127" i="1"/>
  <c r="T127" i="1" s="1"/>
  <c r="K33" i="1"/>
  <c r="J42" i="1"/>
  <c r="S85" i="1"/>
  <c r="J141" i="1"/>
  <c r="S167" i="1"/>
  <c r="K183" i="1"/>
  <c r="J86" i="1"/>
  <c r="T86" i="1" s="1"/>
  <c r="J134" i="1"/>
  <c r="H103" i="1" l="1"/>
  <c r="H111" i="1" s="1"/>
  <c r="Q208" i="1"/>
  <c r="W208" i="1"/>
  <c r="Q158" i="1"/>
  <c r="W158" i="1"/>
  <c r="Q90" i="1"/>
  <c r="W90" i="1"/>
  <c r="Q161" i="1"/>
  <c r="W161" i="1"/>
  <c r="O240" i="1"/>
  <c r="W240" i="1" s="1"/>
  <c r="W239" i="1"/>
  <c r="O141" i="1"/>
  <c r="W141" i="1" s="1"/>
  <c r="AA19" i="1" s="1"/>
  <c r="W138" i="1"/>
  <c r="Q29" i="1"/>
  <c r="W29" i="1"/>
  <c r="E103" i="1"/>
  <c r="E111" i="1" s="1"/>
  <c r="Q197" i="1"/>
  <c r="Q204" i="1"/>
  <c r="Q133" i="1"/>
  <c r="Q207" i="1"/>
  <c r="Q210" i="1"/>
  <c r="P33" i="1"/>
  <c r="P134" i="1"/>
  <c r="Q203" i="1"/>
  <c r="O217" i="1"/>
  <c r="W217" i="1" s="1"/>
  <c r="Q132" i="1"/>
  <c r="Q209" i="1"/>
  <c r="P100" i="1"/>
  <c r="Q97" i="1"/>
  <c r="Q171" i="1"/>
  <c r="Q172" i="1" s="1"/>
  <c r="O172" i="1"/>
  <c r="W172" i="1" s="1"/>
  <c r="Q68" i="1"/>
  <c r="S65" i="1"/>
  <c r="Q244" i="1"/>
  <c r="S244" i="1" s="1"/>
  <c r="S243" i="1"/>
  <c r="O164" i="1"/>
  <c r="W164" i="1" s="1"/>
  <c r="O91" i="1"/>
  <c r="O100" i="1"/>
  <c r="Q94" i="1"/>
  <c r="Q45" i="1"/>
  <c r="Q49" i="1" s="1"/>
  <c r="O49" i="1"/>
  <c r="Q200" i="1"/>
  <c r="S200" i="1" s="1"/>
  <c r="Q71" i="1"/>
  <c r="Q73" i="1" s="1"/>
  <c r="O73" i="1"/>
  <c r="Q76" i="1"/>
  <c r="Q81" i="1" s="1"/>
  <c r="O81" i="1"/>
  <c r="Q193" i="1"/>
  <c r="Q194" i="1" s="1"/>
  <c r="O194" i="1"/>
  <c r="W194" i="1" s="1"/>
  <c r="Q247" i="1"/>
  <c r="Q251" i="1" s="1"/>
  <c r="O251" i="1"/>
  <c r="W251" i="1" s="1"/>
  <c r="P217" i="1"/>
  <c r="Q199" i="1"/>
  <c r="Q215" i="1"/>
  <c r="Q216" i="1"/>
  <c r="Q28" i="1"/>
  <c r="O33" i="1"/>
  <c r="Q187" i="1"/>
  <c r="Q190" i="1" s="1"/>
  <c r="Q239" i="1"/>
  <c r="Q240" i="1" s="1"/>
  <c r="Q144" i="1"/>
  <c r="S144" i="1" s="1"/>
  <c r="O150" i="1"/>
  <c r="W150" i="1" s="1"/>
  <c r="Q138" i="1"/>
  <c r="Q141" i="1" s="1"/>
  <c r="Q30" i="1"/>
  <c r="Q179" i="1"/>
  <c r="Q183" i="1" s="1"/>
  <c r="O183" i="1"/>
  <c r="W183" i="1" s="1"/>
  <c r="Q126" i="1"/>
  <c r="Q127" i="1" s="1"/>
  <c r="O127" i="1"/>
  <c r="Q32" i="1"/>
  <c r="Q198" i="1"/>
  <c r="Q91" i="1"/>
  <c r="Q162" i="1"/>
  <c r="Q164" i="1" s="1"/>
  <c r="P164" i="1"/>
  <c r="Q201" i="1"/>
  <c r="O134" i="1"/>
  <c r="W134" i="1" s="1"/>
  <c r="Q147" i="1"/>
  <c r="T150" i="1"/>
  <c r="T141" i="1"/>
  <c r="T42" i="1"/>
  <c r="T91" i="1"/>
  <c r="T183" i="1"/>
  <c r="T194" i="1"/>
  <c r="T134" i="1"/>
  <c r="T33" i="1"/>
  <c r="T217" i="1"/>
  <c r="N162" i="1"/>
  <c r="S211" i="1"/>
  <c r="S72" i="1"/>
  <c r="S213" i="1"/>
  <c r="S206" i="1"/>
  <c r="S188" i="1"/>
  <c r="S140" i="1"/>
  <c r="S53" i="1"/>
  <c r="S52" i="1"/>
  <c r="S62" i="1"/>
  <c r="S226" i="1"/>
  <c r="S175" i="1"/>
  <c r="K164" i="1"/>
  <c r="T164" i="1" s="1"/>
  <c r="S238" i="1"/>
  <c r="S61" i="1"/>
  <c r="S56" i="1"/>
  <c r="K251" i="1"/>
  <c r="T251" i="1" s="1"/>
  <c r="S176" i="1"/>
  <c r="K100" i="1"/>
  <c r="T100" i="1" s="1"/>
  <c r="S58" i="1"/>
  <c r="S227" i="1"/>
  <c r="J103" i="1" l="1"/>
  <c r="K103" i="1"/>
  <c r="K111" i="1" s="1"/>
  <c r="AA16" i="1"/>
  <c r="AA20" i="1" s="1"/>
  <c r="Q134" i="1"/>
  <c r="P103" i="1"/>
  <c r="P111" i="1" s="1"/>
  <c r="Q100" i="1"/>
  <c r="Q150" i="1"/>
  <c r="S150" i="1" s="1"/>
  <c r="Q33" i="1"/>
  <c r="Q217" i="1"/>
  <c r="T103" i="1"/>
  <c r="T111" i="1" s="1"/>
  <c r="S201" i="1"/>
  <c r="S68" i="1"/>
  <c r="S216" i="1"/>
  <c r="S133" i="1"/>
  <c r="S203" i="1"/>
  <c r="S158" i="1"/>
  <c r="S251" i="1"/>
  <c r="S32" i="1"/>
  <c r="S198" i="1"/>
  <c r="S215" i="1"/>
  <c r="S41" i="1"/>
  <c r="S239" i="1"/>
  <c r="S199" i="1"/>
  <c r="S208" i="1"/>
  <c r="S204" i="1"/>
  <c r="S207" i="1"/>
  <c r="S209" i="1"/>
  <c r="S210" i="1"/>
  <c r="S162" i="1"/>
  <c r="S161" i="1"/>
  <c r="S127" i="1"/>
  <c r="S97" i="1"/>
  <c r="S94" i="1"/>
  <c r="S90" i="1"/>
  <c r="S84" i="1"/>
  <c r="S86" i="1"/>
  <c r="S71" i="1"/>
  <c r="S37" i="1"/>
  <c r="S30" i="1"/>
  <c r="S29" i="1"/>
  <c r="S240" i="1"/>
  <c r="S76" i="1"/>
  <c r="S45" i="1"/>
  <c r="S81" i="1"/>
  <c r="S197" i="1"/>
  <c r="S132" i="1"/>
  <c r="S171" i="1"/>
  <c r="S247" i="1"/>
  <c r="S141" i="1"/>
  <c r="S190" i="1"/>
  <c r="S147" i="1"/>
  <c r="S179" i="1"/>
  <c r="S49" i="1"/>
  <c r="S73" i="1"/>
  <c r="S36" i="1"/>
  <c r="S138" i="1"/>
  <c r="S172" i="1"/>
  <c r="S187" i="1"/>
  <c r="S28" i="1"/>
  <c r="S126" i="1"/>
  <c r="J111" i="1" l="1"/>
  <c r="O103" i="1"/>
  <c r="N103" i="1"/>
  <c r="N111" i="1" s="1"/>
  <c r="O111" i="1"/>
  <c r="S111" i="1" s="1"/>
  <c r="W103" i="1"/>
  <c r="W111" i="1" s="1"/>
  <c r="S103" i="1"/>
  <c r="S134" i="1"/>
  <c r="S91" i="1"/>
  <c r="S33" i="1"/>
  <c r="S164" i="1"/>
  <c r="S42" i="1"/>
  <c r="S217" i="1"/>
  <c r="S100" i="1"/>
  <c r="S183" i="1"/>
  <c r="S194" i="1"/>
  <c r="S193" i="1"/>
  <c r="N24" i="1" l="1"/>
  <c r="T24" i="1"/>
  <c r="O24" i="1"/>
  <c r="W24" i="1" s="1"/>
  <c r="J25" i="1"/>
  <c r="T25" i="1" s="1"/>
  <c r="O25" i="1" l="1"/>
  <c r="Q24" i="1"/>
  <c r="Q25" i="1" s="1"/>
  <c r="S25" i="1" l="1"/>
  <c r="S24" i="1"/>
  <c r="C9" i="21"/>
  <c r="J10" i="1" l="1"/>
  <c r="C18" i="21"/>
  <c r="F9" i="21"/>
  <c r="F18" i="21" s="1"/>
  <c r="P10" i="1" l="1"/>
  <c r="J18" i="1"/>
  <c r="O10" i="1"/>
  <c r="O18" i="1" s="1"/>
  <c r="H9" i="21"/>
  <c r="E7" i="24" l="1"/>
  <c r="B87" i="21"/>
  <c r="B89" i="21" s="1"/>
  <c r="B92" i="21" s="1"/>
  <c r="S38" i="21" s="1"/>
  <c r="D122" i="1" s="1"/>
  <c r="H122" i="1" s="1"/>
  <c r="S10" i="1"/>
  <c r="P18" i="1"/>
  <c r="Q19" i="1"/>
  <c r="N9" i="21"/>
  <c r="N17" i="21" s="1"/>
  <c r="X17" i="21" s="1"/>
  <c r="H18" i="21"/>
  <c r="I18" i="21" s="1"/>
  <c r="X38" i="21" l="1"/>
  <c r="S62" i="21"/>
  <c r="P19" i="1"/>
  <c r="S19" i="1" s="1"/>
  <c r="E7" i="25"/>
  <c r="X9" i="21"/>
  <c r="S18" i="1"/>
  <c r="D10" i="1"/>
  <c r="D123" i="1"/>
  <c r="E122" i="1"/>
  <c r="E123" i="1" s="1"/>
  <c r="H10" i="1" l="1"/>
  <c r="E108" i="21" s="1"/>
  <c r="E10" i="1"/>
  <c r="E18" i="1" s="1"/>
  <c r="D18" i="1"/>
  <c r="J122" i="1"/>
  <c r="N122" i="1" s="1"/>
  <c r="H123" i="1"/>
  <c r="H18" i="1" l="1"/>
  <c r="B44" i="21" s="1"/>
  <c r="B46" i="21" s="1"/>
  <c r="B48" i="21" s="1"/>
  <c r="P40" i="21" s="1"/>
  <c r="D153" i="1" s="1"/>
  <c r="H153" i="1" s="1"/>
  <c r="H21" i="24"/>
  <c r="K10" i="1"/>
  <c r="K18" i="1" s="1"/>
  <c r="O122" i="1"/>
  <c r="J123" i="1"/>
  <c r="T123" i="1" s="1"/>
  <c r="T122" i="1"/>
  <c r="O123" i="1" l="1"/>
  <c r="W122" i="1"/>
  <c r="H154" i="1"/>
  <c r="H261" i="1" s="1"/>
  <c r="H265" i="1" s="1"/>
  <c r="L19" i="1"/>
  <c r="L234" i="1" s="1"/>
  <c r="L235" i="1" s="1"/>
  <c r="T18" i="1"/>
  <c r="P62" i="21"/>
  <c r="X62" i="21" s="1"/>
  <c r="E153" i="1"/>
  <c r="E154" i="1" s="1"/>
  <c r="E261" i="1" s="1"/>
  <c r="E265" i="1" s="1"/>
  <c r="D154" i="1"/>
  <c r="D261" i="1" s="1"/>
  <c r="D265" i="1" s="1"/>
  <c r="X40" i="21"/>
  <c r="J19" i="1"/>
  <c r="P122" i="1" s="1"/>
  <c r="H21" i="25"/>
  <c r="H23" i="24"/>
  <c r="N10" i="1"/>
  <c r="K19" i="1" l="1"/>
  <c r="K234" i="1" s="1"/>
  <c r="K235" i="1" s="1"/>
  <c r="J153" i="1"/>
  <c r="O153" i="1" s="1"/>
  <c r="L153" i="1"/>
  <c r="L154" i="1" s="1"/>
  <c r="L261" i="1" s="1"/>
  <c r="E8" i="37" s="1"/>
  <c r="H263" i="1"/>
  <c r="J234" i="1"/>
  <c r="J235" i="1" s="1"/>
  <c r="H21" i="37"/>
  <c r="H23" i="37" s="1"/>
  <c r="H21" i="26"/>
  <c r="H23" i="26" s="1"/>
  <c r="H23" i="25"/>
  <c r="Q122" i="1"/>
  <c r="Q123" i="1" s="1"/>
  <c r="P123" i="1"/>
  <c r="O154" i="1" l="1"/>
  <c r="W154" i="1" s="1"/>
  <c r="W153" i="1"/>
  <c r="K153" i="1"/>
  <c r="K154" i="1" s="1"/>
  <c r="K261" i="1" s="1"/>
  <c r="K263" i="1" s="1"/>
  <c r="T235" i="1"/>
  <c r="Q153" i="1"/>
  <c r="Q154" i="1" s="1"/>
  <c r="J154" i="1"/>
  <c r="J261" i="1" s="1"/>
  <c r="J263" i="1" s="1"/>
  <c r="P153" i="1"/>
  <c r="P154" i="1" s="1"/>
  <c r="L265" i="1"/>
  <c r="O234" i="1"/>
  <c r="N234" i="1"/>
  <c r="L263" i="1"/>
  <c r="T234" i="1"/>
  <c r="P234" i="1"/>
  <c r="P235" i="1" s="1"/>
  <c r="Q234" i="1"/>
  <c r="Q235" i="1" s="1"/>
  <c r="Q261" i="1" s="1"/>
  <c r="S122" i="1"/>
  <c r="S123" i="1"/>
  <c r="S154" i="1" l="1"/>
  <c r="O235" i="1"/>
  <c r="S235" i="1" s="1"/>
  <c r="W234" i="1"/>
  <c r="N153" i="1"/>
  <c r="K265" i="1"/>
  <c r="T154" i="1"/>
  <c r="T153" i="1"/>
  <c r="S153" i="1"/>
  <c r="S234" i="1"/>
  <c r="J265" i="1"/>
  <c r="E8" i="26"/>
  <c r="U6" i="26" s="1"/>
  <c r="V6" i="26" s="1"/>
  <c r="P261" i="1"/>
  <c r="E8" i="25" s="1"/>
  <c r="Q265" i="1"/>
  <c r="Q263" i="1"/>
  <c r="O261" i="1" l="1"/>
  <c r="S261" i="1" s="1"/>
  <c r="W235" i="1"/>
  <c r="U7" i="26"/>
  <c r="V7" i="26" s="1"/>
  <c r="AJ31" i="26" s="1"/>
  <c r="U8" i="26"/>
  <c r="V8" i="26" s="1"/>
  <c r="W8" i="26" s="1"/>
  <c r="X8" i="26" s="1"/>
  <c r="Y8" i="26" s="1"/>
  <c r="AA8" i="26" s="1"/>
  <c r="AB8" i="26" s="1"/>
  <c r="AC8" i="26" s="1"/>
  <c r="U6" i="37"/>
  <c r="V6" i="37" s="1"/>
  <c r="U5" i="37"/>
  <c r="V5" i="37" s="1"/>
  <c r="U8" i="37"/>
  <c r="V8" i="37" s="1"/>
  <c r="U7" i="37"/>
  <c r="V7" i="37" s="1"/>
  <c r="U5" i="26"/>
  <c r="V5" i="26" s="1"/>
  <c r="AJ29" i="26" s="1"/>
  <c r="P265" i="1"/>
  <c r="U8" i="25"/>
  <c r="V8" i="25" s="1"/>
  <c r="U5" i="25"/>
  <c r="V5" i="25" s="1"/>
  <c r="U6" i="25"/>
  <c r="V6" i="25" s="1"/>
  <c r="U7" i="25"/>
  <c r="V7" i="25" s="1"/>
  <c r="P263" i="1"/>
  <c r="W6" i="26"/>
  <c r="X6" i="26" s="1"/>
  <c r="Y6" i="26" s="1"/>
  <c r="AA6" i="26" s="1"/>
  <c r="AB6" i="26" s="1"/>
  <c r="AC6" i="26" s="1"/>
  <c r="AJ30" i="26"/>
  <c r="E8" i="24" l="1"/>
  <c r="O265" i="1"/>
  <c r="AJ32" i="26"/>
  <c r="E10" i="26"/>
  <c r="E12" i="26" s="1"/>
  <c r="W5" i="26"/>
  <c r="X5" i="26" s="1"/>
  <c r="Y5" i="26" s="1"/>
  <c r="AA5" i="26" s="1"/>
  <c r="AB5" i="26" s="1"/>
  <c r="AC5" i="26" s="1"/>
  <c r="AF5" i="26" s="1"/>
  <c r="AJ20" i="26" s="1"/>
  <c r="W7" i="26"/>
  <c r="X7" i="26" s="1"/>
  <c r="Y7" i="26" s="1"/>
  <c r="AA7" i="26" s="1"/>
  <c r="AB7" i="26" s="1"/>
  <c r="AC7" i="26" s="1"/>
  <c r="AF7" i="26" s="1"/>
  <c r="AJ22" i="26" s="1"/>
  <c r="AJ30" i="37"/>
  <c r="W6" i="37"/>
  <c r="X6" i="37" s="1"/>
  <c r="Y6" i="37" s="1"/>
  <c r="AA6" i="37" s="1"/>
  <c r="AB6" i="37" s="1"/>
  <c r="AC6" i="37" s="1"/>
  <c r="AJ29" i="37"/>
  <c r="W5" i="37"/>
  <c r="X5" i="37" s="1"/>
  <c r="Y5" i="37" s="1"/>
  <c r="AA5" i="37" s="1"/>
  <c r="AB5" i="37" s="1"/>
  <c r="AC5" i="37" s="1"/>
  <c r="E10" i="37"/>
  <c r="E12" i="37" s="1"/>
  <c r="AJ31" i="37"/>
  <c r="W7" i="37"/>
  <c r="X7" i="37" s="1"/>
  <c r="Y7" i="37" s="1"/>
  <c r="AA7" i="37" s="1"/>
  <c r="AB7" i="37" s="1"/>
  <c r="AC7" i="37" s="1"/>
  <c r="AJ32" i="37"/>
  <c r="W8" i="37"/>
  <c r="X8" i="37" s="1"/>
  <c r="Y8" i="37" s="1"/>
  <c r="AA8" i="37" s="1"/>
  <c r="AB8" i="37" s="1"/>
  <c r="AC8" i="37" s="1"/>
  <c r="AF6" i="26"/>
  <c r="AJ21" i="26" s="1"/>
  <c r="AD6" i="26"/>
  <c r="AJ30" i="25"/>
  <c r="W6" i="25"/>
  <c r="X6" i="25" s="1"/>
  <c r="Y6" i="25" s="1"/>
  <c r="AA6" i="25" s="1"/>
  <c r="AB6" i="25" s="1"/>
  <c r="AC6" i="25" s="1"/>
  <c r="E10" i="25"/>
  <c r="E12" i="25" s="1"/>
  <c r="W5" i="25"/>
  <c r="X5" i="25" s="1"/>
  <c r="Y5" i="25" s="1"/>
  <c r="AA5" i="25" s="1"/>
  <c r="AB5" i="25" s="1"/>
  <c r="AC5" i="25" s="1"/>
  <c r="AJ29" i="25"/>
  <c r="AJ32" i="25"/>
  <c r="W8" i="25"/>
  <c r="X8" i="25" s="1"/>
  <c r="Y8" i="25" s="1"/>
  <c r="AA8" i="25" s="1"/>
  <c r="AB8" i="25" s="1"/>
  <c r="AC8" i="25" s="1"/>
  <c r="AF8" i="26"/>
  <c r="AJ23" i="26" s="1"/>
  <c r="AD8" i="26"/>
  <c r="AJ31" i="25"/>
  <c r="W7" i="25"/>
  <c r="X7" i="25" s="1"/>
  <c r="Y7" i="25" s="1"/>
  <c r="AA7" i="25" s="1"/>
  <c r="AB7" i="25" s="1"/>
  <c r="AC7" i="25" s="1"/>
  <c r="U6" i="24" l="1"/>
  <c r="V6" i="24" s="1"/>
  <c r="U8" i="24"/>
  <c r="V8" i="24" s="1"/>
  <c r="U5" i="24"/>
  <c r="V5" i="24" s="1"/>
  <c r="U7" i="24"/>
  <c r="V7" i="24" s="1"/>
  <c r="AD5" i="26"/>
  <c r="AJ38" i="26" s="1"/>
  <c r="AD7" i="26"/>
  <c r="V13" i="26" s="1"/>
  <c r="AF5" i="37"/>
  <c r="AJ20" i="37" s="1"/>
  <c r="AD5" i="37"/>
  <c r="AF7" i="37"/>
  <c r="AJ22" i="37" s="1"/>
  <c r="AD7" i="37"/>
  <c r="AF6" i="37"/>
  <c r="AJ21" i="37" s="1"/>
  <c r="AD6" i="37"/>
  <c r="AF8" i="37"/>
  <c r="AJ23" i="37" s="1"/>
  <c r="AD8" i="37"/>
  <c r="V14" i="26"/>
  <c r="AE8" i="26"/>
  <c r="AJ17" i="26" s="1"/>
  <c r="AJ41" i="26"/>
  <c r="AF6" i="25"/>
  <c r="AJ21" i="25" s="1"/>
  <c r="AD6" i="25"/>
  <c r="AF7" i="25"/>
  <c r="AJ22" i="25" s="1"/>
  <c r="AD7" i="25"/>
  <c r="AF8" i="25"/>
  <c r="AJ23" i="25" s="1"/>
  <c r="AD8" i="25"/>
  <c r="V12" i="26"/>
  <c r="AE6" i="26"/>
  <c r="AJ15" i="26" s="1"/>
  <c r="AJ39" i="26"/>
  <c r="AF5" i="25"/>
  <c r="AJ20" i="25" s="1"/>
  <c r="AD5" i="25"/>
  <c r="AJ31" i="24" l="1"/>
  <c r="W7" i="24"/>
  <c r="X7" i="24" s="1"/>
  <c r="Y7" i="24" s="1"/>
  <c r="AA7" i="24" s="1"/>
  <c r="AB7" i="24" s="1"/>
  <c r="AC7" i="24" s="1"/>
  <c r="E10" i="24"/>
  <c r="E12" i="24" s="1"/>
  <c r="W5" i="24"/>
  <c r="X5" i="24" s="1"/>
  <c r="Y5" i="24" s="1"/>
  <c r="AA5" i="24" s="1"/>
  <c r="AB5" i="24" s="1"/>
  <c r="AC5" i="24" s="1"/>
  <c r="AJ29" i="24"/>
  <c r="W8" i="24"/>
  <c r="X8" i="24" s="1"/>
  <c r="Y8" i="24" s="1"/>
  <c r="AA8" i="24" s="1"/>
  <c r="AB8" i="24" s="1"/>
  <c r="AC8" i="24" s="1"/>
  <c r="AJ32" i="24"/>
  <c r="W6" i="24"/>
  <c r="X6" i="24" s="1"/>
  <c r="Y6" i="24" s="1"/>
  <c r="AA6" i="24" s="1"/>
  <c r="AB6" i="24" s="1"/>
  <c r="AC6" i="24" s="1"/>
  <c r="AJ30" i="24"/>
  <c r="AE5" i="26"/>
  <c r="AJ14" i="26" s="1"/>
  <c r="V11" i="26"/>
  <c r="AK29" i="26" s="1"/>
  <c r="AE7" i="26"/>
  <c r="AJ16" i="26" s="1"/>
  <c r="AJ40" i="26"/>
  <c r="AJ41" i="37"/>
  <c r="AE8" i="37"/>
  <c r="AJ17" i="37" s="1"/>
  <c r="V14" i="37"/>
  <c r="AJ40" i="37"/>
  <c r="V13" i="37"/>
  <c r="AE7" i="37"/>
  <c r="AJ16" i="37" s="1"/>
  <c r="AJ39" i="37"/>
  <c r="V12" i="37"/>
  <c r="AE6" i="37"/>
  <c r="AJ15" i="37" s="1"/>
  <c r="AJ38" i="37"/>
  <c r="AE5" i="37"/>
  <c r="AJ14" i="37" s="1"/>
  <c r="V11" i="37"/>
  <c r="AE5" i="25"/>
  <c r="AJ14" i="25" s="1"/>
  <c r="V11" i="25"/>
  <c r="AJ38" i="25"/>
  <c r="AK30" i="26"/>
  <c r="W12" i="26"/>
  <c r="X12" i="26" s="1"/>
  <c r="Y12" i="26" s="1"/>
  <c r="AA12" i="26" s="1"/>
  <c r="AB12" i="26" s="1"/>
  <c r="AC12" i="26" s="1"/>
  <c r="AJ41" i="25"/>
  <c r="AE8" i="25"/>
  <c r="AJ17" i="25" s="1"/>
  <c r="V14" i="25"/>
  <c r="AJ39" i="25"/>
  <c r="V12" i="25"/>
  <c r="AE6" i="25"/>
  <c r="AJ15" i="25" s="1"/>
  <c r="AJ28" i="26"/>
  <c r="AJ19" i="26"/>
  <c r="AJ37" i="26"/>
  <c r="AJ40" i="25"/>
  <c r="AE7" i="25"/>
  <c r="AJ16" i="25" s="1"/>
  <c r="V13" i="25"/>
  <c r="AK31" i="26"/>
  <c r="W13" i="26"/>
  <c r="X13" i="26" s="1"/>
  <c r="Y13" i="26" s="1"/>
  <c r="AA13" i="26" s="1"/>
  <c r="AB13" i="26" s="1"/>
  <c r="AC13" i="26" s="1"/>
  <c r="AK32" i="26"/>
  <c r="W14" i="26"/>
  <c r="X14" i="26" s="1"/>
  <c r="Y14" i="26" s="1"/>
  <c r="AA14" i="26" s="1"/>
  <c r="AB14" i="26" s="1"/>
  <c r="AC14" i="26" s="1"/>
  <c r="AF6" i="24" l="1"/>
  <c r="AJ21" i="24" s="1"/>
  <c r="AD6" i="24"/>
  <c r="AD5" i="24"/>
  <c r="AF5" i="24"/>
  <c r="AJ20" i="24" s="1"/>
  <c r="AD8" i="24"/>
  <c r="AF8" i="24"/>
  <c r="AJ23" i="24" s="1"/>
  <c r="AF7" i="24"/>
  <c r="AJ22" i="24" s="1"/>
  <c r="AD7" i="24"/>
  <c r="W11" i="26"/>
  <c r="X11" i="26" s="1"/>
  <c r="Y11" i="26" s="1"/>
  <c r="AA11" i="26" s="1"/>
  <c r="AB11" i="26" s="1"/>
  <c r="AC11" i="26" s="1"/>
  <c r="AD11" i="26" s="1"/>
  <c r="AK29" i="37"/>
  <c r="W11" i="37"/>
  <c r="X11" i="37" s="1"/>
  <c r="Y11" i="37" s="1"/>
  <c r="AA11" i="37" s="1"/>
  <c r="AB11" i="37" s="1"/>
  <c r="AC11" i="37" s="1"/>
  <c r="AK30" i="37"/>
  <c r="W12" i="37"/>
  <c r="X12" i="37" s="1"/>
  <c r="Y12" i="37" s="1"/>
  <c r="AA12" i="37" s="1"/>
  <c r="AB12" i="37" s="1"/>
  <c r="AC12" i="37" s="1"/>
  <c r="AJ28" i="37"/>
  <c r="AJ37" i="37"/>
  <c r="AJ19" i="37"/>
  <c r="AK32" i="37"/>
  <c r="W14" i="37"/>
  <c r="X14" i="37" s="1"/>
  <c r="Y14" i="37" s="1"/>
  <c r="AA14" i="37" s="1"/>
  <c r="AB14" i="37" s="1"/>
  <c r="AC14" i="37" s="1"/>
  <c r="AK31" i="37"/>
  <c r="W13" i="37"/>
  <c r="X13" i="37" s="1"/>
  <c r="Y13" i="37" s="1"/>
  <c r="AA13" i="37" s="1"/>
  <c r="AB13" i="37" s="1"/>
  <c r="AC13" i="37" s="1"/>
  <c r="W13" i="25"/>
  <c r="X13" i="25" s="1"/>
  <c r="Y13" i="25" s="1"/>
  <c r="AA13" i="25" s="1"/>
  <c r="AB13" i="25" s="1"/>
  <c r="AC13" i="25" s="1"/>
  <c r="AK31" i="25"/>
  <c r="AF14" i="26"/>
  <c r="AK23" i="26" s="1"/>
  <c r="AD14" i="26"/>
  <c r="AJ28" i="25"/>
  <c r="AJ37" i="25"/>
  <c r="AJ19" i="25"/>
  <c r="W14" i="25"/>
  <c r="X14" i="25" s="1"/>
  <c r="Y14" i="25" s="1"/>
  <c r="AA14" i="25" s="1"/>
  <c r="AB14" i="25" s="1"/>
  <c r="AC14" i="25" s="1"/>
  <c r="AK32" i="25"/>
  <c r="AF12" i="26"/>
  <c r="AK21" i="26" s="1"/>
  <c r="AD12" i="26"/>
  <c r="AK29" i="25"/>
  <c r="W11" i="25"/>
  <c r="X11" i="25" s="1"/>
  <c r="Y11" i="25" s="1"/>
  <c r="AA11" i="25" s="1"/>
  <c r="AB11" i="25" s="1"/>
  <c r="AC11" i="25" s="1"/>
  <c r="AF13" i="26"/>
  <c r="AK22" i="26" s="1"/>
  <c r="AD13" i="26"/>
  <c r="AK30" i="25"/>
  <c r="W12" i="25"/>
  <c r="X12" i="25" s="1"/>
  <c r="Y12" i="25" s="1"/>
  <c r="AA12" i="25" s="1"/>
  <c r="AB12" i="25" s="1"/>
  <c r="AC12" i="25" s="1"/>
  <c r="AJ40" i="24" l="1"/>
  <c r="V13" i="24"/>
  <c r="AE7" i="24"/>
  <c r="AJ16" i="24" s="1"/>
  <c r="AE5" i="24"/>
  <c r="AJ14" i="24" s="1"/>
  <c r="V11" i="24"/>
  <c r="AJ38" i="24"/>
  <c r="AE6" i="24"/>
  <c r="AJ15" i="24" s="1"/>
  <c r="V12" i="24"/>
  <c r="AJ39" i="24"/>
  <c r="V14" i="24"/>
  <c r="AE8" i="24"/>
  <c r="AJ17" i="24" s="1"/>
  <c r="AJ41" i="24"/>
  <c r="AF11" i="26"/>
  <c r="AK20" i="26" s="1"/>
  <c r="AF12" i="37"/>
  <c r="AK21" i="37" s="1"/>
  <c r="AD12" i="37"/>
  <c r="AF13" i="37"/>
  <c r="AK22" i="37" s="1"/>
  <c r="AD13" i="37"/>
  <c r="AF11" i="37"/>
  <c r="AK20" i="37" s="1"/>
  <c r="AD11" i="37"/>
  <c r="AF14" i="37"/>
  <c r="AK23" i="37" s="1"/>
  <c r="AD14" i="37"/>
  <c r="AF14" i="25"/>
  <c r="AK23" i="25" s="1"/>
  <c r="AD14" i="25"/>
  <c r="AK41" i="26"/>
  <c r="V20" i="26"/>
  <c r="AE14" i="26"/>
  <c r="AK17" i="26" s="1"/>
  <c r="AF13" i="25"/>
  <c r="AK22" i="25" s="1"/>
  <c r="AD13" i="25"/>
  <c r="AK38" i="26"/>
  <c r="V17" i="26"/>
  <c r="AE11" i="26"/>
  <c r="AK14" i="26" s="1"/>
  <c r="AK40" i="26"/>
  <c r="AE13" i="26"/>
  <c r="AK16" i="26" s="1"/>
  <c r="V19" i="26"/>
  <c r="AK39" i="26"/>
  <c r="V18" i="26"/>
  <c r="AE12" i="26"/>
  <c r="AK15" i="26" s="1"/>
  <c r="AD12" i="25"/>
  <c r="AF12" i="25"/>
  <c r="AK21" i="25" s="1"/>
  <c r="AF11" i="25"/>
  <c r="AK20" i="25" s="1"/>
  <c r="AD11" i="25"/>
  <c r="AK30" i="24" l="1"/>
  <c r="W12" i="24"/>
  <c r="X12" i="24" s="1"/>
  <c r="Y12" i="24" s="1"/>
  <c r="AA12" i="24" s="1"/>
  <c r="AB12" i="24" s="1"/>
  <c r="AC12" i="24" s="1"/>
  <c r="AJ28" i="24"/>
  <c r="AJ37" i="24"/>
  <c r="AJ19" i="24"/>
  <c r="W14" i="24"/>
  <c r="X14" i="24" s="1"/>
  <c r="Y14" i="24" s="1"/>
  <c r="AA14" i="24" s="1"/>
  <c r="AB14" i="24" s="1"/>
  <c r="AC14" i="24" s="1"/>
  <c r="AK32" i="24"/>
  <c r="AK31" i="24"/>
  <c r="W13" i="24"/>
  <c r="X13" i="24" s="1"/>
  <c r="Y13" i="24" s="1"/>
  <c r="AA13" i="24" s="1"/>
  <c r="AB13" i="24" s="1"/>
  <c r="AC13" i="24" s="1"/>
  <c r="AK29" i="24"/>
  <c r="W11" i="24"/>
  <c r="X11" i="24" s="1"/>
  <c r="Y11" i="24" s="1"/>
  <c r="AA11" i="24" s="1"/>
  <c r="AB11" i="24" s="1"/>
  <c r="AC11" i="24" s="1"/>
  <c r="AK41" i="37"/>
  <c r="AE14" i="37"/>
  <c r="AK17" i="37" s="1"/>
  <c r="V20" i="37"/>
  <c r="AK40" i="37"/>
  <c r="V19" i="37"/>
  <c r="AE13" i="37"/>
  <c r="AK16" i="37" s="1"/>
  <c r="AK38" i="37"/>
  <c r="V17" i="37"/>
  <c r="AE11" i="37"/>
  <c r="AK14" i="37" s="1"/>
  <c r="AK39" i="37"/>
  <c r="V18" i="37"/>
  <c r="AE12" i="37"/>
  <c r="AK15" i="37" s="1"/>
  <c r="W20" i="26"/>
  <c r="X20" i="26" s="1"/>
  <c r="Y20" i="26" s="1"/>
  <c r="AA20" i="26" s="1"/>
  <c r="AB20" i="26" s="1"/>
  <c r="AC20" i="26" s="1"/>
  <c r="AL32" i="26"/>
  <c r="V20" i="25"/>
  <c r="AE14" i="25"/>
  <c r="AK17" i="25" s="1"/>
  <c r="AK41" i="25"/>
  <c r="AE11" i="25"/>
  <c r="AK14" i="25" s="1"/>
  <c r="AK38" i="25"/>
  <c r="V17" i="25"/>
  <c r="AL30" i="26"/>
  <c r="W18" i="26"/>
  <c r="X18" i="26" s="1"/>
  <c r="Y18" i="26" s="1"/>
  <c r="AA18" i="26" s="1"/>
  <c r="AB18" i="26" s="1"/>
  <c r="AC18" i="26" s="1"/>
  <c r="AK40" i="25"/>
  <c r="V19" i="25"/>
  <c r="AE13" i="25"/>
  <c r="AK16" i="25" s="1"/>
  <c r="AK39" i="25"/>
  <c r="AE12" i="25"/>
  <c r="AK15" i="25" s="1"/>
  <c r="V18" i="25"/>
  <c r="AL31" i="26"/>
  <c r="W19" i="26"/>
  <c r="X19" i="26" s="1"/>
  <c r="Y19" i="26" s="1"/>
  <c r="AA19" i="26" s="1"/>
  <c r="AB19" i="26" s="1"/>
  <c r="AC19" i="26" s="1"/>
  <c r="W17" i="26"/>
  <c r="X17" i="26" s="1"/>
  <c r="Y17" i="26" s="1"/>
  <c r="AA17" i="26" s="1"/>
  <c r="AB17" i="26" s="1"/>
  <c r="AC17" i="26" s="1"/>
  <c r="AL29" i="26"/>
  <c r="AK37" i="26"/>
  <c r="AK28" i="26"/>
  <c r="AK19" i="26"/>
  <c r="AF11" i="24" l="1"/>
  <c r="AK20" i="24" s="1"/>
  <c r="AD11" i="24"/>
  <c r="AD14" i="24"/>
  <c r="AF14" i="24"/>
  <c r="AK23" i="24" s="1"/>
  <c r="AD12" i="24"/>
  <c r="AF12" i="24"/>
  <c r="AK21" i="24" s="1"/>
  <c r="AF13" i="24"/>
  <c r="AK22" i="24" s="1"/>
  <c r="AD13" i="24"/>
  <c r="AK37" i="37"/>
  <c r="AK28" i="37"/>
  <c r="AK19" i="37"/>
  <c r="AL29" i="37"/>
  <c r="W17" i="37"/>
  <c r="X17" i="37" s="1"/>
  <c r="Y17" i="37" s="1"/>
  <c r="AA17" i="37" s="1"/>
  <c r="AB17" i="37" s="1"/>
  <c r="AC17" i="37" s="1"/>
  <c r="AL30" i="37"/>
  <c r="W18" i="37"/>
  <c r="X18" i="37" s="1"/>
  <c r="Y18" i="37" s="1"/>
  <c r="AA18" i="37" s="1"/>
  <c r="AB18" i="37" s="1"/>
  <c r="AC18" i="37" s="1"/>
  <c r="AL32" i="37"/>
  <c r="W20" i="37"/>
  <c r="X20" i="37" s="1"/>
  <c r="Y20" i="37" s="1"/>
  <c r="AA20" i="37" s="1"/>
  <c r="AB20" i="37" s="1"/>
  <c r="AC20" i="37" s="1"/>
  <c r="AL31" i="37"/>
  <c r="W19" i="37"/>
  <c r="X19" i="37" s="1"/>
  <c r="Y19" i="37" s="1"/>
  <c r="AA19" i="37" s="1"/>
  <c r="AB19" i="37" s="1"/>
  <c r="AC19" i="37" s="1"/>
  <c r="AF19" i="26"/>
  <c r="AL22" i="26" s="1"/>
  <c r="AD19" i="26"/>
  <c r="W19" i="25"/>
  <c r="X19" i="25" s="1"/>
  <c r="Y19" i="25" s="1"/>
  <c r="AA19" i="25" s="1"/>
  <c r="AB19" i="25" s="1"/>
  <c r="AC19" i="25" s="1"/>
  <c r="AL31" i="25"/>
  <c r="AL29" i="25"/>
  <c r="W17" i="25"/>
  <c r="X17" i="25" s="1"/>
  <c r="Y17" i="25" s="1"/>
  <c r="AA17" i="25" s="1"/>
  <c r="AB17" i="25" s="1"/>
  <c r="AC17" i="25" s="1"/>
  <c r="AL32" i="25"/>
  <c r="W20" i="25"/>
  <c r="X20" i="25" s="1"/>
  <c r="Y20" i="25" s="1"/>
  <c r="AA20" i="25" s="1"/>
  <c r="AB20" i="25" s="1"/>
  <c r="AC20" i="25" s="1"/>
  <c r="W18" i="25"/>
  <c r="X18" i="25" s="1"/>
  <c r="Y18" i="25" s="1"/>
  <c r="AA18" i="25" s="1"/>
  <c r="AB18" i="25" s="1"/>
  <c r="AC18" i="25" s="1"/>
  <c r="AL30" i="25"/>
  <c r="AF17" i="26"/>
  <c r="AL20" i="26" s="1"/>
  <c r="AD17" i="26"/>
  <c r="AF18" i="26"/>
  <c r="AL21" i="26" s="1"/>
  <c r="AD18" i="26"/>
  <c r="AF20" i="26"/>
  <c r="AL23" i="26" s="1"/>
  <c r="AD20" i="26"/>
  <c r="AK19" i="25"/>
  <c r="AK37" i="25"/>
  <c r="AK28" i="25"/>
  <c r="AE13" i="24" l="1"/>
  <c r="AK16" i="24" s="1"/>
  <c r="AK40" i="24"/>
  <c r="V19" i="24"/>
  <c r="AK41" i="24"/>
  <c r="AE14" i="24"/>
  <c r="AK17" i="24" s="1"/>
  <c r="V20" i="24"/>
  <c r="AE11" i="24"/>
  <c r="AK14" i="24" s="1"/>
  <c r="V17" i="24"/>
  <c r="AK38" i="24"/>
  <c r="AE12" i="24"/>
  <c r="AK15" i="24" s="1"/>
  <c r="AK39" i="24"/>
  <c r="V18" i="24"/>
  <c r="AF19" i="37"/>
  <c r="AL22" i="37" s="1"/>
  <c r="AD19" i="37"/>
  <c r="AF18" i="37"/>
  <c r="AL21" i="37" s="1"/>
  <c r="AD18" i="37"/>
  <c r="AF20" i="37"/>
  <c r="AL23" i="37" s="1"/>
  <c r="AD20" i="37"/>
  <c r="AF17" i="37"/>
  <c r="AL20" i="37" s="1"/>
  <c r="AD17" i="37"/>
  <c r="AF18" i="25"/>
  <c r="AL21" i="25" s="1"/>
  <c r="AD18" i="25"/>
  <c r="V24" i="26"/>
  <c r="AE18" i="26"/>
  <c r="AL15" i="26" s="1"/>
  <c r="AL39" i="26"/>
  <c r="V26" i="26"/>
  <c r="AE20" i="26"/>
  <c r="AL17" i="26" s="1"/>
  <c r="AL41" i="26"/>
  <c r="AE17" i="26"/>
  <c r="AL14" i="26" s="1"/>
  <c r="AL38" i="26"/>
  <c r="V23" i="26"/>
  <c r="AF20" i="25"/>
  <c r="AL23" i="25" s="1"/>
  <c r="AD20" i="25"/>
  <c r="V25" i="26"/>
  <c r="AL40" i="26"/>
  <c r="AE19" i="26"/>
  <c r="AL16" i="26" s="1"/>
  <c r="AF17" i="25"/>
  <c r="AL20" i="25" s="1"/>
  <c r="AD17" i="25"/>
  <c r="AF19" i="25"/>
  <c r="AL22" i="25" s="1"/>
  <c r="AD19" i="25"/>
  <c r="W17" i="24" l="1"/>
  <c r="X17" i="24" s="1"/>
  <c r="Y17" i="24" s="1"/>
  <c r="AA17" i="24" s="1"/>
  <c r="AB17" i="24" s="1"/>
  <c r="AC17" i="24" s="1"/>
  <c r="AL29" i="24"/>
  <c r="W18" i="24"/>
  <c r="X18" i="24" s="1"/>
  <c r="Y18" i="24" s="1"/>
  <c r="AA18" i="24" s="1"/>
  <c r="AB18" i="24" s="1"/>
  <c r="AC18" i="24" s="1"/>
  <c r="AL30" i="24"/>
  <c r="AL31" i="24"/>
  <c r="W19" i="24"/>
  <c r="X19" i="24" s="1"/>
  <c r="Y19" i="24" s="1"/>
  <c r="AA19" i="24" s="1"/>
  <c r="AB19" i="24" s="1"/>
  <c r="AC19" i="24" s="1"/>
  <c r="W20" i="24"/>
  <c r="X20" i="24" s="1"/>
  <c r="Y20" i="24" s="1"/>
  <c r="AA20" i="24" s="1"/>
  <c r="AB20" i="24" s="1"/>
  <c r="AC20" i="24" s="1"/>
  <c r="AL32" i="24"/>
  <c r="AK19" i="24"/>
  <c r="AK28" i="24"/>
  <c r="AK37" i="24"/>
  <c r="AL38" i="37"/>
  <c r="AE17" i="37"/>
  <c r="AL14" i="37" s="1"/>
  <c r="V23" i="37"/>
  <c r="AL39" i="37"/>
  <c r="V24" i="37"/>
  <c r="AE18" i="37"/>
  <c r="AL15" i="37" s="1"/>
  <c r="AL41" i="37"/>
  <c r="V26" i="37"/>
  <c r="AE20" i="37"/>
  <c r="AL17" i="37" s="1"/>
  <c r="AL40" i="37"/>
  <c r="V25" i="37"/>
  <c r="AE19" i="37"/>
  <c r="AL16" i="37" s="1"/>
  <c r="AL40" i="25"/>
  <c r="AE19" i="25"/>
  <c r="AL16" i="25" s="1"/>
  <c r="V25" i="25"/>
  <c r="V23" i="25"/>
  <c r="AE17" i="25"/>
  <c r="AL14" i="25" s="1"/>
  <c r="AL38" i="25"/>
  <c r="AM31" i="26"/>
  <c r="W25" i="26"/>
  <c r="X25" i="26" s="1"/>
  <c r="Y25" i="26" s="1"/>
  <c r="AA25" i="26" s="1"/>
  <c r="AB25" i="26" s="1"/>
  <c r="AC25" i="26" s="1"/>
  <c r="AL41" i="25"/>
  <c r="V26" i="25"/>
  <c r="AE20" i="25"/>
  <c r="AL17" i="25" s="1"/>
  <c r="AM29" i="26"/>
  <c r="W23" i="26"/>
  <c r="X23" i="26" s="1"/>
  <c r="Y23" i="26" s="1"/>
  <c r="AA23" i="26" s="1"/>
  <c r="AB23" i="26" s="1"/>
  <c r="AC23" i="26" s="1"/>
  <c r="AL19" i="26"/>
  <c r="AL37" i="26"/>
  <c r="AL28" i="26"/>
  <c r="AM30" i="26"/>
  <c r="W24" i="26"/>
  <c r="X24" i="26" s="1"/>
  <c r="Y24" i="26" s="1"/>
  <c r="AA24" i="26" s="1"/>
  <c r="AB24" i="26" s="1"/>
  <c r="AC24" i="26" s="1"/>
  <c r="W26" i="26"/>
  <c r="X26" i="26" s="1"/>
  <c r="Y26" i="26" s="1"/>
  <c r="AA26" i="26" s="1"/>
  <c r="AB26" i="26" s="1"/>
  <c r="AC26" i="26" s="1"/>
  <c r="AM32" i="26"/>
  <c r="AL39" i="25"/>
  <c r="AE18" i="25"/>
  <c r="AL15" i="25" s="1"/>
  <c r="V24" i="25"/>
  <c r="AF20" i="24" l="1"/>
  <c r="AL23" i="24" s="1"/>
  <c r="AD20" i="24"/>
  <c r="AD18" i="24"/>
  <c r="AF18" i="24"/>
  <c r="AL21" i="24" s="1"/>
  <c r="AF19" i="24"/>
  <c r="AL22" i="24" s="1"/>
  <c r="AD19" i="24"/>
  <c r="AF17" i="24"/>
  <c r="AL20" i="24" s="1"/>
  <c r="AD17" i="24"/>
  <c r="AL37" i="37"/>
  <c r="AL28" i="37"/>
  <c r="AL19" i="37"/>
  <c r="AM30" i="37"/>
  <c r="W24" i="37"/>
  <c r="X24" i="37" s="1"/>
  <c r="Y24" i="37" s="1"/>
  <c r="AA24" i="37" s="1"/>
  <c r="AB24" i="37" s="1"/>
  <c r="AC24" i="37" s="1"/>
  <c r="AM32" i="37"/>
  <c r="W26" i="37"/>
  <c r="X26" i="37" s="1"/>
  <c r="Y26" i="37" s="1"/>
  <c r="AA26" i="37" s="1"/>
  <c r="AB26" i="37" s="1"/>
  <c r="AC26" i="37" s="1"/>
  <c r="AM31" i="37"/>
  <c r="W25" i="37"/>
  <c r="X25" i="37" s="1"/>
  <c r="Y25" i="37" s="1"/>
  <c r="AA25" i="37" s="1"/>
  <c r="AB25" i="37" s="1"/>
  <c r="AC25" i="37" s="1"/>
  <c r="AM29" i="37"/>
  <c r="W23" i="37"/>
  <c r="X23" i="37" s="1"/>
  <c r="Y23" i="37" s="1"/>
  <c r="AA23" i="37" s="1"/>
  <c r="AB23" i="37" s="1"/>
  <c r="AC23" i="37" s="1"/>
  <c r="AF23" i="26"/>
  <c r="AM20" i="26" s="1"/>
  <c r="AD23" i="26"/>
  <c r="AF25" i="26"/>
  <c r="AM22" i="26" s="1"/>
  <c r="AD25" i="26"/>
  <c r="W23" i="25"/>
  <c r="X23" i="25" s="1"/>
  <c r="Y23" i="25" s="1"/>
  <c r="AA23" i="25" s="1"/>
  <c r="AB23" i="25" s="1"/>
  <c r="AC23" i="25" s="1"/>
  <c r="AM29" i="25"/>
  <c r="AF24" i="26"/>
  <c r="AM21" i="26" s="1"/>
  <c r="AD24" i="26"/>
  <c r="AM32" i="25"/>
  <c r="W26" i="25"/>
  <c r="X26" i="25" s="1"/>
  <c r="Y26" i="25" s="1"/>
  <c r="AA26" i="25" s="1"/>
  <c r="AB26" i="25" s="1"/>
  <c r="AC26" i="25" s="1"/>
  <c r="W25" i="25"/>
  <c r="X25" i="25" s="1"/>
  <c r="Y25" i="25" s="1"/>
  <c r="AA25" i="25" s="1"/>
  <c r="AB25" i="25" s="1"/>
  <c r="AC25" i="25" s="1"/>
  <c r="AM31" i="25"/>
  <c r="W24" i="25"/>
  <c r="X24" i="25" s="1"/>
  <c r="Y24" i="25" s="1"/>
  <c r="AA24" i="25" s="1"/>
  <c r="AB24" i="25" s="1"/>
  <c r="AC24" i="25" s="1"/>
  <c r="AM30" i="25"/>
  <c r="AF26" i="26"/>
  <c r="AM23" i="26" s="1"/>
  <c r="AD26" i="26"/>
  <c r="AL28" i="25"/>
  <c r="AL37" i="25"/>
  <c r="AL19" i="25"/>
  <c r="V23" i="24" l="1"/>
  <c r="AE17" i="24"/>
  <c r="AL14" i="24" s="1"/>
  <c r="AL38" i="24"/>
  <c r="AE18" i="24"/>
  <c r="AL15" i="24" s="1"/>
  <c r="V24" i="24"/>
  <c r="AL39" i="24"/>
  <c r="AL40" i="24"/>
  <c r="AE19" i="24"/>
  <c r="AL16" i="24" s="1"/>
  <c r="V25" i="24"/>
  <c r="V26" i="24"/>
  <c r="AL41" i="24"/>
  <c r="AE20" i="24"/>
  <c r="AL17" i="24" s="1"/>
  <c r="AF25" i="37"/>
  <c r="AM22" i="37" s="1"/>
  <c r="AD25" i="37"/>
  <c r="AF23" i="37"/>
  <c r="AM20" i="37" s="1"/>
  <c r="AD23" i="37"/>
  <c r="AF26" i="37"/>
  <c r="AM23" i="37" s="1"/>
  <c r="AD26" i="37"/>
  <c r="AF24" i="37"/>
  <c r="AM21" i="37" s="1"/>
  <c r="AD24" i="37"/>
  <c r="AF25" i="25"/>
  <c r="AM22" i="25" s="1"/>
  <c r="AD25" i="25"/>
  <c r="AM40" i="26"/>
  <c r="V31" i="26"/>
  <c r="AE25" i="26"/>
  <c r="AM16" i="26" s="1"/>
  <c r="V30" i="26"/>
  <c r="AM39" i="26"/>
  <c r="AE24" i="26"/>
  <c r="AM15" i="26" s="1"/>
  <c r="AF24" i="25"/>
  <c r="AM21" i="25" s="1"/>
  <c r="AD24" i="25"/>
  <c r="AE23" i="26"/>
  <c r="AM14" i="26" s="1"/>
  <c r="AM38" i="26"/>
  <c r="V29" i="26"/>
  <c r="V32" i="26"/>
  <c r="AE26" i="26"/>
  <c r="AM17" i="26" s="1"/>
  <c r="AM41" i="26"/>
  <c r="AF26" i="25"/>
  <c r="AM23" i="25" s="1"/>
  <c r="AD26" i="25"/>
  <c r="AF23" i="25"/>
  <c r="AM20" i="25" s="1"/>
  <c r="AD23" i="25"/>
  <c r="AL28" i="24" l="1"/>
  <c r="AL37" i="24"/>
  <c r="AL19" i="24"/>
  <c r="AM32" i="24"/>
  <c r="W26" i="24"/>
  <c r="X26" i="24" s="1"/>
  <c r="Y26" i="24" s="1"/>
  <c r="AA26" i="24" s="1"/>
  <c r="AB26" i="24" s="1"/>
  <c r="AC26" i="24" s="1"/>
  <c r="W25" i="24"/>
  <c r="X25" i="24" s="1"/>
  <c r="Y25" i="24" s="1"/>
  <c r="AA25" i="24" s="1"/>
  <c r="AB25" i="24" s="1"/>
  <c r="AC25" i="24" s="1"/>
  <c r="AM31" i="24"/>
  <c r="W24" i="24"/>
  <c r="X24" i="24" s="1"/>
  <c r="Y24" i="24" s="1"/>
  <c r="AA24" i="24" s="1"/>
  <c r="AB24" i="24" s="1"/>
  <c r="AC24" i="24" s="1"/>
  <c r="AM30" i="24"/>
  <c r="AM29" i="24"/>
  <c r="W23" i="24"/>
  <c r="X23" i="24" s="1"/>
  <c r="Y23" i="24" s="1"/>
  <c r="AA23" i="24" s="1"/>
  <c r="AB23" i="24" s="1"/>
  <c r="AC23" i="24" s="1"/>
  <c r="V32" i="37"/>
  <c r="AE26" i="37"/>
  <c r="AM17" i="37" s="1"/>
  <c r="AM41" i="37"/>
  <c r="AE25" i="37"/>
  <c r="AM16" i="37" s="1"/>
  <c r="V31" i="37"/>
  <c r="AM40" i="37"/>
  <c r="AM39" i="37"/>
  <c r="AE24" i="37"/>
  <c r="AM15" i="37" s="1"/>
  <c r="V30" i="37"/>
  <c r="AM38" i="37"/>
  <c r="V29" i="37"/>
  <c r="AE23" i="37"/>
  <c r="AM14" i="37" s="1"/>
  <c r="V29" i="25"/>
  <c r="AE23" i="25"/>
  <c r="AM14" i="25" s="1"/>
  <c r="AM38" i="25"/>
  <c r="V31" i="25"/>
  <c r="AM40" i="25"/>
  <c r="AE25" i="25"/>
  <c r="AM16" i="25" s="1"/>
  <c r="AM37" i="26"/>
  <c r="AM19" i="26"/>
  <c r="AM28" i="26"/>
  <c r="W29" i="26"/>
  <c r="X29" i="26" s="1"/>
  <c r="Y29" i="26" s="1"/>
  <c r="AA29" i="26" s="1"/>
  <c r="AB29" i="26" s="1"/>
  <c r="AC29" i="26" s="1"/>
  <c r="AN29" i="26"/>
  <c r="V32" i="25"/>
  <c r="AE26" i="25"/>
  <c r="AM17" i="25" s="1"/>
  <c r="AM41" i="25"/>
  <c r="W32" i="26"/>
  <c r="X32" i="26" s="1"/>
  <c r="Y32" i="26" s="1"/>
  <c r="AA32" i="26" s="1"/>
  <c r="AB32" i="26" s="1"/>
  <c r="AC32" i="26" s="1"/>
  <c r="AN32" i="26"/>
  <c r="AM39" i="25"/>
  <c r="V30" i="25"/>
  <c r="AE24" i="25"/>
  <c r="AM15" i="25" s="1"/>
  <c r="W30" i="26"/>
  <c r="X30" i="26" s="1"/>
  <c r="Y30" i="26" s="1"/>
  <c r="AA30" i="26" s="1"/>
  <c r="AB30" i="26" s="1"/>
  <c r="AC30" i="26" s="1"/>
  <c r="AN30" i="26"/>
  <c r="W31" i="26"/>
  <c r="X31" i="26" s="1"/>
  <c r="Y31" i="26" s="1"/>
  <c r="AA31" i="26" s="1"/>
  <c r="AB31" i="26" s="1"/>
  <c r="AC31" i="26" s="1"/>
  <c r="AN31" i="26"/>
  <c r="AD24" i="24" l="1"/>
  <c r="AF24" i="24"/>
  <c r="AM21" i="24" s="1"/>
  <c r="AF23" i="24"/>
  <c r="AM20" i="24" s="1"/>
  <c r="AD23" i="24"/>
  <c r="AD25" i="24"/>
  <c r="AF25" i="24"/>
  <c r="AM22" i="24" s="1"/>
  <c r="AD26" i="24"/>
  <c r="AF26" i="24"/>
  <c r="AM23" i="24" s="1"/>
  <c r="W29" i="37"/>
  <c r="X29" i="37" s="1"/>
  <c r="Y29" i="37" s="1"/>
  <c r="AA29" i="37" s="1"/>
  <c r="AB29" i="37" s="1"/>
  <c r="AC29" i="37" s="1"/>
  <c r="AN29" i="37"/>
  <c r="AM37" i="37"/>
  <c r="AM28" i="37"/>
  <c r="AM19" i="37"/>
  <c r="W30" i="37"/>
  <c r="X30" i="37" s="1"/>
  <c r="Y30" i="37" s="1"/>
  <c r="AA30" i="37" s="1"/>
  <c r="AB30" i="37" s="1"/>
  <c r="AC30" i="37" s="1"/>
  <c r="AN30" i="37"/>
  <c r="W31" i="37"/>
  <c r="X31" i="37" s="1"/>
  <c r="Y31" i="37" s="1"/>
  <c r="AA31" i="37" s="1"/>
  <c r="AB31" i="37" s="1"/>
  <c r="AC31" i="37" s="1"/>
  <c r="AN31" i="37"/>
  <c r="W32" i="37"/>
  <c r="X32" i="37" s="1"/>
  <c r="Y32" i="37" s="1"/>
  <c r="AA32" i="37" s="1"/>
  <c r="AB32" i="37" s="1"/>
  <c r="AC32" i="37" s="1"/>
  <c r="AN32" i="37"/>
  <c r="AF29" i="26"/>
  <c r="AN20" i="26" s="1"/>
  <c r="AD29" i="26"/>
  <c r="AN30" i="25"/>
  <c r="W30" i="25"/>
  <c r="X30" i="25" s="1"/>
  <c r="Y30" i="25" s="1"/>
  <c r="AA30" i="25" s="1"/>
  <c r="AB30" i="25" s="1"/>
  <c r="AC30" i="25" s="1"/>
  <c r="AF30" i="26"/>
  <c r="AN21" i="26" s="1"/>
  <c r="AD30" i="26"/>
  <c r="AN32" i="25"/>
  <c r="W32" i="25"/>
  <c r="X32" i="25" s="1"/>
  <c r="Y32" i="25" s="1"/>
  <c r="AA32" i="25" s="1"/>
  <c r="AB32" i="25" s="1"/>
  <c r="AC32" i="25" s="1"/>
  <c r="AM19" i="25"/>
  <c r="AM28" i="25"/>
  <c r="AM37" i="25"/>
  <c r="AF31" i="26"/>
  <c r="AN22" i="26" s="1"/>
  <c r="AD31" i="26"/>
  <c r="AN31" i="25"/>
  <c r="W31" i="25"/>
  <c r="X31" i="25" s="1"/>
  <c r="Y31" i="25" s="1"/>
  <c r="AA31" i="25" s="1"/>
  <c r="AB31" i="25" s="1"/>
  <c r="AC31" i="25" s="1"/>
  <c r="AF32" i="26"/>
  <c r="AN23" i="26" s="1"/>
  <c r="AD32" i="26"/>
  <c r="W29" i="25"/>
  <c r="X29" i="25" s="1"/>
  <c r="Y29" i="25" s="1"/>
  <c r="AA29" i="25" s="1"/>
  <c r="AB29" i="25" s="1"/>
  <c r="AC29" i="25" s="1"/>
  <c r="AN29" i="25"/>
  <c r="V29" i="24" l="1"/>
  <c r="AE23" i="24"/>
  <c r="AM14" i="24" s="1"/>
  <c r="AM38" i="24"/>
  <c r="V32" i="24"/>
  <c r="AE26" i="24"/>
  <c r="AM17" i="24" s="1"/>
  <c r="AM41" i="24"/>
  <c r="AE25" i="24"/>
  <c r="AM16" i="24" s="1"/>
  <c r="V31" i="24"/>
  <c r="AM40" i="24"/>
  <c r="V30" i="24"/>
  <c r="AE24" i="24"/>
  <c r="AM15" i="24" s="1"/>
  <c r="AM39" i="24"/>
  <c r="AF31" i="37"/>
  <c r="AN22" i="37" s="1"/>
  <c r="AD31" i="37"/>
  <c r="AF32" i="37"/>
  <c r="AN23" i="37" s="1"/>
  <c r="AD32" i="37"/>
  <c r="AF30" i="37"/>
  <c r="AN21" i="37" s="1"/>
  <c r="AD30" i="37"/>
  <c r="AF29" i="37"/>
  <c r="AN20" i="37" s="1"/>
  <c r="AD29" i="37"/>
  <c r="AF32" i="25"/>
  <c r="AN23" i="25" s="1"/>
  <c r="AD32" i="25"/>
  <c r="AF30" i="25"/>
  <c r="AN21" i="25" s="1"/>
  <c r="AD30" i="25"/>
  <c r="AF31" i="25"/>
  <c r="AN22" i="25" s="1"/>
  <c r="AD31" i="25"/>
  <c r="V36" i="26"/>
  <c r="AN39" i="26"/>
  <c r="AE30" i="26"/>
  <c r="AN15" i="26" s="1"/>
  <c r="AE29" i="26"/>
  <c r="AN14" i="26" s="1"/>
  <c r="V35" i="26"/>
  <c r="AN38" i="26"/>
  <c r="V38" i="26"/>
  <c r="AE32" i="26"/>
  <c r="AN17" i="26" s="1"/>
  <c r="AN41" i="26"/>
  <c r="AF29" i="25"/>
  <c r="AN20" i="25" s="1"/>
  <c r="AD29" i="25"/>
  <c r="AN40" i="26"/>
  <c r="V37" i="26"/>
  <c r="AE31" i="26"/>
  <c r="AN16" i="26" s="1"/>
  <c r="AM37" i="24" l="1"/>
  <c r="AM28" i="24"/>
  <c r="AM19" i="24"/>
  <c r="W32" i="24"/>
  <c r="X32" i="24" s="1"/>
  <c r="Y32" i="24" s="1"/>
  <c r="AA32" i="24" s="1"/>
  <c r="AB32" i="24" s="1"/>
  <c r="AC32" i="24" s="1"/>
  <c r="AN32" i="24"/>
  <c r="W30" i="24"/>
  <c r="X30" i="24" s="1"/>
  <c r="Y30" i="24" s="1"/>
  <c r="AA30" i="24" s="1"/>
  <c r="AB30" i="24" s="1"/>
  <c r="AC30" i="24" s="1"/>
  <c r="AN30" i="24"/>
  <c r="AN31" i="24"/>
  <c r="W31" i="24"/>
  <c r="X31" i="24" s="1"/>
  <c r="Y31" i="24" s="1"/>
  <c r="AA31" i="24" s="1"/>
  <c r="AB31" i="24" s="1"/>
  <c r="AC31" i="24" s="1"/>
  <c r="W29" i="24"/>
  <c r="X29" i="24" s="1"/>
  <c r="Y29" i="24" s="1"/>
  <c r="AA29" i="24" s="1"/>
  <c r="AB29" i="24" s="1"/>
  <c r="AC29" i="24" s="1"/>
  <c r="AN29" i="24"/>
  <c r="AE32" i="37"/>
  <c r="AN17" i="37" s="1"/>
  <c r="AN41" i="37"/>
  <c r="V38" i="37"/>
  <c r="AN38" i="37"/>
  <c r="AE29" i="37"/>
  <c r="AN14" i="37" s="1"/>
  <c r="V35" i="37"/>
  <c r="AE30" i="37"/>
  <c r="AN15" i="37" s="1"/>
  <c r="V36" i="37"/>
  <c r="AN39" i="37"/>
  <c r="AE31" i="37"/>
  <c r="AN16" i="37" s="1"/>
  <c r="AN40" i="37"/>
  <c r="V37" i="37"/>
  <c r="V35" i="25"/>
  <c r="AE29" i="25"/>
  <c r="AN14" i="25" s="1"/>
  <c r="AN38" i="25"/>
  <c r="AO32" i="26"/>
  <c r="W38" i="26"/>
  <c r="X38" i="26" s="1"/>
  <c r="Y38" i="26" s="1"/>
  <c r="AA38" i="26" s="1"/>
  <c r="AB38" i="26" s="1"/>
  <c r="AC38" i="26" s="1"/>
  <c r="AN39" i="25"/>
  <c r="AE30" i="25"/>
  <c r="AN15" i="25" s="1"/>
  <c r="V36" i="25"/>
  <c r="W37" i="26"/>
  <c r="X37" i="26" s="1"/>
  <c r="Y37" i="26" s="1"/>
  <c r="AA37" i="26" s="1"/>
  <c r="AB37" i="26" s="1"/>
  <c r="AC37" i="26" s="1"/>
  <c r="AO31" i="26"/>
  <c r="W35" i="26"/>
  <c r="X35" i="26" s="1"/>
  <c r="Y35" i="26" s="1"/>
  <c r="AA35" i="26" s="1"/>
  <c r="AB35" i="26" s="1"/>
  <c r="AC35" i="26" s="1"/>
  <c r="AO29" i="26"/>
  <c r="W36" i="26"/>
  <c r="X36" i="26" s="1"/>
  <c r="Y36" i="26" s="1"/>
  <c r="AA36" i="26" s="1"/>
  <c r="AB36" i="26" s="1"/>
  <c r="AC36" i="26" s="1"/>
  <c r="AO30" i="26"/>
  <c r="AN28" i="26"/>
  <c r="AN19" i="26"/>
  <c r="AN37" i="26"/>
  <c r="AE31" i="25"/>
  <c r="AN16" i="25" s="1"/>
  <c r="V37" i="25"/>
  <c r="AN40" i="25"/>
  <c r="V38" i="25"/>
  <c r="AE32" i="25"/>
  <c r="AN17" i="25" s="1"/>
  <c r="AN41" i="25"/>
  <c r="AF32" i="24" l="1"/>
  <c r="AN23" i="24" s="1"/>
  <c r="AD32" i="24"/>
  <c r="AF29" i="24"/>
  <c r="AN20" i="24" s="1"/>
  <c r="AD29" i="24"/>
  <c r="AF30" i="24"/>
  <c r="AN21" i="24" s="1"/>
  <c r="AD30" i="24"/>
  <c r="AF31" i="24"/>
  <c r="AN22" i="24" s="1"/>
  <c r="AD31" i="24"/>
  <c r="W37" i="37"/>
  <c r="X37" i="37" s="1"/>
  <c r="Y37" i="37" s="1"/>
  <c r="AA37" i="37" s="1"/>
  <c r="AB37" i="37" s="1"/>
  <c r="AC37" i="37" s="1"/>
  <c r="AO31" i="37"/>
  <c r="W36" i="37"/>
  <c r="X36" i="37" s="1"/>
  <c r="Y36" i="37" s="1"/>
  <c r="AA36" i="37" s="1"/>
  <c r="AB36" i="37" s="1"/>
  <c r="AC36" i="37" s="1"/>
  <c r="AO30" i="37"/>
  <c r="W38" i="37"/>
  <c r="X38" i="37" s="1"/>
  <c r="Y38" i="37" s="1"/>
  <c r="AA38" i="37" s="1"/>
  <c r="AB38" i="37" s="1"/>
  <c r="AC38" i="37" s="1"/>
  <c r="AO32" i="37"/>
  <c r="W35" i="37"/>
  <c r="X35" i="37" s="1"/>
  <c r="Y35" i="37" s="1"/>
  <c r="AA35" i="37" s="1"/>
  <c r="AB35" i="37" s="1"/>
  <c r="AC35" i="37" s="1"/>
  <c r="AO29" i="37"/>
  <c r="AN37" i="37"/>
  <c r="AN19" i="37"/>
  <c r="AN28" i="37"/>
  <c r="AO31" i="25"/>
  <c r="W37" i="25"/>
  <c r="X37" i="25" s="1"/>
  <c r="Y37" i="25" s="1"/>
  <c r="AA37" i="25" s="1"/>
  <c r="AB37" i="25" s="1"/>
  <c r="AC37" i="25" s="1"/>
  <c r="AF36" i="26"/>
  <c r="AO21" i="26" s="1"/>
  <c r="AD36" i="26"/>
  <c r="AF37" i="26"/>
  <c r="AO22" i="26" s="1"/>
  <c r="AD37" i="26"/>
  <c r="W36" i="25"/>
  <c r="X36" i="25" s="1"/>
  <c r="Y36" i="25" s="1"/>
  <c r="AA36" i="25" s="1"/>
  <c r="AB36" i="25" s="1"/>
  <c r="AC36" i="25" s="1"/>
  <c r="AO30" i="25"/>
  <c r="AN37" i="25"/>
  <c r="AN19" i="25"/>
  <c r="AN28" i="25"/>
  <c r="AO32" i="25"/>
  <c r="W38" i="25"/>
  <c r="X38" i="25" s="1"/>
  <c r="Y38" i="25" s="1"/>
  <c r="AA38" i="25" s="1"/>
  <c r="AB38" i="25" s="1"/>
  <c r="AC38" i="25" s="1"/>
  <c r="AF35" i="26"/>
  <c r="AO20" i="26" s="1"/>
  <c r="AD35" i="26"/>
  <c r="AF38" i="26"/>
  <c r="AO23" i="26" s="1"/>
  <c r="AD38" i="26"/>
  <c r="W35" i="25"/>
  <c r="X35" i="25" s="1"/>
  <c r="Y35" i="25" s="1"/>
  <c r="AA35" i="25" s="1"/>
  <c r="AB35" i="25" s="1"/>
  <c r="AC35" i="25" s="1"/>
  <c r="AO29" i="25"/>
  <c r="AE31" i="24" l="1"/>
  <c r="AN16" i="24" s="1"/>
  <c r="AN40" i="24"/>
  <c r="V37" i="24"/>
  <c r="AN38" i="24"/>
  <c r="AE29" i="24"/>
  <c r="AN14" i="24" s="1"/>
  <c r="V35" i="24"/>
  <c r="AE30" i="24"/>
  <c r="AN15" i="24" s="1"/>
  <c r="V36" i="24"/>
  <c r="AN39" i="24"/>
  <c r="V38" i="24"/>
  <c r="AE32" i="24"/>
  <c r="AN17" i="24" s="1"/>
  <c r="AN41" i="24"/>
  <c r="AF35" i="37"/>
  <c r="AO20" i="37" s="1"/>
  <c r="AD35" i="37"/>
  <c r="AF36" i="37"/>
  <c r="AO21" i="37" s="1"/>
  <c r="AD36" i="37"/>
  <c r="AF38" i="37"/>
  <c r="AO23" i="37" s="1"/>
  <c r="AD38" i="37"/>
  <c r="AF37" i="37"/>
  <c r="AO22" i="37" s="1"/>
  <c r="AD37" i="37"/>
  <c r="AF38" i="25"/>
  <c r="AO23" i="25" s="1"/>
  <c r="AD38" i="25"/>
  <c r="AO40" i="26"/>
  <c r="AE37" i="26"/>
  <c r="AO16" i="26" s="1"/>
  <c r="V43" i="26"/>
  <c r="AF37" i="25"/>
  <c r="AO22" i="25" s="1"/>
  <c r="AD37" i="25"/>
  <c r="AE38" i="26"/>
  <c r="AO17" i="26" s="1"/>
  <c r="AO41" i="26"/>
  <c r="V44" i="26"/>
  <c r="V41" i="26"/>
  <c r="AE35" i="26"/>
  <c r="AO14" i="26" s="1"/>
  <c r="AO38" i="26"/>
  <c r="AO39" i="26"/>
  <c r="V42" i="26"/>
  <c r="AE36" i="26"/>
  <c r="AO15" i="26" s="1"/>
  <c r="AF35" i="25"/>
  <c r="AO20" i="25" s="1"/>
  <c r="AD35" i="25"/>
  <c r="AF36" i="25"/>
  <c r="AO21" i="25" s="1"/>
  <c r="AD36" i="25"/>
  <c r="AO30" i="24" l="1"/>
  <c r="W36" i="24"/>
  <c r="X36" i="24" s="1"/>
  <c r="Y36" i="24" s="1"/>
  <c r="AA36" i="24" s="1"/>
  <c r="AB36" i="24" s="1"/>
  <c r="AC36" i="24" s="1"/>
  <c r="AO31" i="24"/>
  <c r="W37" i="24"/>
  <c r="X37" i="24" s="1"/>
  <c r="Y37" i="24" s="1"/>
  <c r="AA37" i="24" s="1"/>
  <c r="AB37" i="24" s="1"/>
  <c r="AC37" i="24" s="1"/>
  <c r="AN19" i="24"/>
  <c r="AN28" i="24"/>
  <c r="AN37" i="24"/>
  <c r="W38" i="24"/>
  <c r="X38" i="24" s="1"/>
  <c r="Y38" i="24" s="1"/>
  <c r="AA38" i="24" s="1"/>
  <c r="AB38" i="24" s="1"/>
  <c r="AC38" i="24" s="1"/>
  <c r="AO32" i="24"/>
  <c r="W35" i="24"/>
  <c r="X35" i="24" s="1"/>
  <c r="Y35" i="24" s="1"/>
  <c r="AA35" i="24" s="1"/>
  <c r="AB35" i="24" s="1"/>
  <c r="AC35" i="24" s="1"/>
  <c r="AO29" i="24"/>
  <c r="V42" i="37"/>
  <c r="AE36" i="37"/>
  <c r="AO15" i="37" s="1"/>
  <c r="AO39" i="37"/>
  <c r="AO41" i="37"/>
  <c r="AE38" i="37"/>
  <c r="AO17" i="37" s="1"/>
  <c r="V44" i="37"/>
  <c r="V41" i="37"/>
  <c r="AE35" i="37"/>
  <c r="AO14" i="37" s="1"/>
  <c r="AO38" i="37"/>
  <c r="AO40" i="37"/>
  <c r="V43" i="37"/>
  <c r="AE37" i="37"/>
  <c r="AO16" i="37" s="1"/>
  <c r="AE35" i="25"/>
  <c r="AO14" i="25" s="1"/>
  <c r="AO38" i="25"/>
  <c r="V41" i="25"/>
  <c r="AP32" i="26"/>
  <c r="W44" i="26"/>
  <c r="X44" i="26" s="1"/>
  <c r="Y44" i="26" s="1"/>
  <c r="AA44" i="26" s="1"/>
  <c r="AB44" i="26" s="1"/>
  <c r="AC44" i="26" s="1"/>
  <c r="V43" i="25"/>
  <c r="AE37" i="25"/>
  <c r="AO16" i="25" s="1"/>
  <c r="AO40" i="25"/>
  <c r="W42" i="26"/>
  <c r="X42" i="26" s="1"/>
  <c r="Y42" i="26" s="1"/>
  <c r="AA42" i="26" s="1"/>
  <c r="AB42" i="26" s="1"/>
  <c r="AC42" i="26" s="1"/>
  <c r="AP30" i="26"/>
  <c r="W41" i="26"/>
  <c r="X41" i="26" s="1"/>
  <c r="Y41" i="26" s="1"/>
  <c r="AA41" i="26" s="1"/>
  <c r="AB41" i="26" s="1"/>
  <c r="AC41" i="26" s="1"/>
  <c r="AP29" i="26"/>
  <c r="V44" i="25"/>
  <c r="AE38" i="25"/>
  <c r="AO17" i="25" s="1"/>
  <c r="AO41" i="25"/>
  <c r="V42" i="25"/>
  <c r="AE36" i="25"/>
  <c r="AO15" i="25" s="1"/>
  <c r="AO39" i="25"/>
  <c r="AO37" i="26"/>
  <c r="AO28" i="26"/>
  <c r="AO19" i="26"/>
  <c r="AP31" i="26"/>
  <c r="W43" i="26"/>
  <c r="X43" i="26" s="1"/>
  <c r="Y43" i="26" s="1"/>
  <c r="AA43" i="26" s="1"/>
  <c r="AB43" i="26" s="1"/>
  <c r="AC43" i="26" s="1"/>
  <c r="AF38" i="24" l="1"/>
  <c r="AO23" i="24" s="1"/>
  <c r="AD38" i="24"/>
  <c r="AD37" i="24"/>
  <c r="AF37" i="24"/>
  <c r="AO22" i="24" s="1"/>
  <c r="AD35" i="24"/>
  <c r="AF35" i="24"/>
  <c r="AO20" i="24" s="1"/>
  <c r="AD36" i="24"/>
  <c r="AF36" i="24"/>
  <c r="AO21" i="24" s="1"/>
  <c r="W43" i="37"/>
  <c r="X43" i="37" s="1"/>
  <c r="Y43" i="37" s="1"/>
  <c r="AA43" i="37" s="1"/>
  <c r="AB43" i="37" s="1"/>
  <c r="AC43" i="37" s="1"/>
  <c r="AP31" i="37"/>
  <c r="W41" i="37"/>
  <c r="X41" i="37" s="1"/>
  <c r="Y41" i="37" s="1"/>
  <c r="AA41" i="37" s="1"/>
  <c r="AB41" i="37" s="1"/>
  <c r="AC41" i="37" s="1"/>
  <c r="AP29" i="37"/>
  <c r="AP32" i="37"/>
  <c r="W44" i="37"/>
  <c r="X44" i="37" s="1"/>
  <c r="Y44" i="37" s="1"/>
  <c r="AA44" i="37" s="1"/>
  <c r="AB44" i="37" s="1"/>
  <c r="AC44" i="37" s="1"/>
  <c r="AO28" i="37"/>
  <c r="AO19" i="37"/>
  <c r="AO37" i="37"/>
  <c r="W42" i="37"/>
  <c r="X42" i="37" s="1"/>
  <c r="Y42" i="37" s="1"/>
  <c r="AA42" i="37" s="1"/>
  <c r="AB42" i="37" s="1"/>
  <c r="AC42" i="37" s="1"/>
  <c r="AP30" i="37"/>
  <c r="AP32" i="25"/>
  <c r="W44" i="25"/>
  <c r="X44" i="25" s="1"/>
  <c r="Y44" i="25" s="1"/>
  <c r="AA44" i="25" s="1"/>
  <c r="AB44" i="25" s="1"/>
  <c r="AC44" i="25" s="1"/>
  <c r="AF42" i="26"/>
  <c r="AP21" i="26" s="1"/>
  <c r="AD42" i="26"/>
  <c r="AF44" i="26"/>
  <c r="AP23" i="26" s="1"/>
  <c r="AD44" i="26"/>
  <c r="AF43" i="26"/>
  <c r="AP22" i="26" s="1"/>
  <c r="AD43" i="26"/>
  <c r="AF41" i="26"/>
  <c r="AP20" i="26" s="1"/>
  <c r="AD41" i="26"/>
  <c r="AO28" i="25"/>
  <c r="AO19" i="25"/>
  <c r="AO37" i="25"/>
  <c r="AP29" i="25"/>
  <c r="W41" i="25"/>
  <c r="X41" i="25" s="1"/>
  <c r="Y41" i="25" s="1"/>
  <c r="AA41" i="25" s="1"/>
  <c r="AB41" i="25" s="1"/>
  <c r="AC41" i="25" s="1"/>
  <c r="AP30" i="25"/>
  <c r="W42" i="25"/>
  <c r="X42" i="25" s="1"/>
  <c r="Y42" i="25" s="1"/>
  <c r="AA42" i="25" s="1"/>
  <c r="AB42" i="25" s="1"/>
  <c r="AC42" i="25" s="1"/>
  <c r="W43" i="25"/>
  <c r="X43" i="25" s="1"/>
  <c r="Y43" i="25" s="1"/>
  <c r="AA43" i="25" s="1"/>
  <c r="AB43" i="25" s="1"/>
  <c r="AC43" i="25" s="1"/>
  <c r="AP31" i="25"/>
  <c r="AO39" i="24" l="1"/>
  <c r="V42" i="24"/>
  <c r="AE36" i="24"/>
  <c r="AO15" i="24" s="1"/>
  <c r="V43" i="24"/>
  <c r="AE37" i="24"/>
  <c r="AO16" i="24" s="1"/>
  <c r="AO40" i="24"/>
  <c r="AE38" i="24"/>
  <c r="AO17" i="24" s="1"/>
  <c r="AO41" i="24"/>
  <c r="V44" i="24"/>
  <c r="AO38" i="24"/>
  <c r="V41" i="24"/>
  <c r="AE35" i="24"/>
  <c r="AO14" i="24" s="1"/>
  <c r="AF41" i="37"/>
  <c r="AP20" i="37" s="1"/>
  <c r="AD41" i="37"/>
  <c r="AF42" i="37"/>
  <c r="AP21" i="37" s="1"/>
  <c r="AD42" i="37"/>
  <c r="AF44" i="37"/>
  <c r="AP23" i="37" s="1"/>
  <c r="AD44" i="37"/>
  <c r="AF43" i="37"/>
  <c r="AP22" i="37" s="1"/>
  <c r="AD43" i="37"/>
  <c r="AF41" i="25"/>
  <c r="AP20" i="25" s="1"/>
  <c r="AD41" i="25"/>
  <c r="AP40" i="26"/>
  <c r="V49" i="26"/>
  <c r="AE43" i="26"/>
  <c r="AP16" i="26" s="1"/>
  <c r="AE42" i="26"/>
  <c r="AP15" i="26" s="1"/>
  <c r="AP39" i="26"/>
  <c r="V48" i="26"/>
  <c r="V47" i="26"/>
  <c r="AE41" i="26"/>
  <c r="AP14" i="26" s="1"/>
  <c r="AP38" i="26"/>
  <c r="AF43" i="25"/>
  <c r="AP22" i="25" s="1"/>
  <c r="AD43" i="25"/>
  <c r="AF42" i="25"/>
  <c r="AP21" i="25" s="1"/>
  <c r="AD42" i="25"/>
  <c r="V50" i="26"/>
  <c r="AE44" i="26"/>
  <c r="AP17" i="26" s="1"/>
  <c r="AP41" i="26"/>
  <c r="AF44" i="25"/>
  <c r="AP23" i="25" s="1"/>
  <c r="AD44" i="25"/>
  <c r="AP31" i="24" l="1"/>
  <c r="W43" i="24"/>
  <c r="X43" i="24" s="1"/>
  <c r="Y43" i="24" s="1"/>
  <c r="AA43" i="24" s="1"/>
  <c r="AB43" i="24" s="1"/>
  <c r="AC43" i="24" s="1"/>
  <c r="W41" i="24"/>
  <c r="X41" i="24" s="1"/>
  <c r="Y41" i="24" s="1"/>
  <c r="AA41" i="24" s="1"/>
  <c r="AB41" i="24" s="1"/>
  <c r="AC41" i="24" s="1"/>
  <c r="AP29" i="24"/>
  <c r="W42" i="24"/>
  <c r="X42" i="24" s="1"/>
  <c r="Y42" i="24" s="1"/>
  <c r="AA42" i="24" s="1"/>
  <c r="AB42" i="24" s="1"/>
  <c r="AC42" i="24" s="1"/>
  <c r="AP30" i="24"/>
  <c r="W44" i="24"/>
  <c r="X44" i="24" s="1"/>
  <c r="Y44" i="24" s="1"/>
  <c r="AA44" i="24" s="1"/>
  <c r="AB44" i="24" s="1"/>
  <c r="AC44" i="24" s="1"/>
  <c r="AP32" i="24"/>
  <c r="AO37" i="24"/>
  <c r="AO28" i="24"/>
  <c r="AO19" i="24"/>
  <c r="AP40" i="37"/>
  <c r="V49" i="37"/>
  <c r="AE43" i="37"/>
  <c r="AP16" i="37" s="1"/>
  <c r="V48" i="37"/>
  <c r="AE42" i="37"/>
  <c r="AP15" i="37" s="1"/>
  <c r="AP39" i="37"/>
  <c r="AP41" i="37"/>
  <c r="V50" i="37"/>
  <c r="AE44" i="37"/>
  <c r="AP17" i="37" s="1"/>
  <c r="AE41" i="37"/>
  <c r="AP14" i="37" s="1"/>
  <c r="AP38" i="37"/>
  <c r="V47" i="37"/>
  <c r="AP37" i="26"/>
  <c r="AP19" i="26"/>
  <c r="AP28" i="26"/>
  <c r="AP39" i="25"/>
  <c r="V48" i="25"/>
  <c r="AE42" i="25"/>
  <c r="AP15" i="25" s="1"/>
  <c r="W47" i="26"/>
  <c r="X47" i="26" s="1"/>
  <c r="Y47" i="26" s="1"/>
  <c r="AA47" i="26" s="1"/>
  <c r="AB47" i="26" s="1"/>
  <c r="AC47" i="26" s="1"/>
  <c r="AQ29" i="26"/>
  <c r="V50" i="25"/>
  <c r="AE44" i="25"/>
  <c r="AP17" i="25" s="1"/>
  <c r="AP41" i="25"/>
  <c r="AQ32" i="26"/>
  <c r="W50" i="26"/>
  <c r="X50" i="26" s="1"/>
  <c r="Y50" i="26" s="1"/>
  <c r="AA50" i="26" s="1"/>
  <c r="AB50" i="26" s="1"/>
  <c r="AC50" i="26" s="1"/>
  <c r="AQ30" i="26"/>
  <c r="W48" i="26"/>
  <c r="X48" i="26" s="1"/>
  <c r="Y48" i="26" s="1"/>
  <c r="AA48" i="26" s="1"/>
  <c r="AB48" i="26" s="1"/>
  <c r="AC48" i="26" s="1"/>
  <c r="W49" i="26"/>
  <c r="X49" i="26" s="1"/>
  <c r="Y49" i="26" s="1"/>
  <c r="AA49" i="26" s="1"/>
  <c r="AB49" i="26" s="1"/>
  <c r="AC49" i="26" s="1"/>
  <c r="AQ31" i="26"/>
  <c r="V47" i="25"/>
  <c r="AE41" i="25"/>
  <c r="AP14" i="25" s="1"/>
  <c r="AP38" i="25"/>
  <c r="V49" i="25"/>
  <c r="AE43" i="25"/>
  <c r="AP16" i="25" s="1"/>
  <c r="AP40" i="25"/>
  <c r="AF44" i="24" l="1"/>
  <c r="AP23" i="24" s="1"/>
  <c r="AD44" i="24"/>
  <c r="AD41" i="24"/>
  <c r="AF41" i="24"/>
  <c r="AP20" i="24" s="1"/>
  <c r="AF43" i="24"/>
  <c r="AP22" i="24" s="1"/>
  <c r="AD43" i="24"/>
  <c r="AF42" i="24"/>
  <c r="AP21" i="24" s="1"/>
  <c r="AD42" i="24"/>
  <c r="AQ29" i="37"/>
  <c r="W47" i="37"/>
  <c r="X47" i="37" s="1"/>
  <c r="Y47" i="37" s="1"/>
  <c r="AA47" i="37" s="1"/>
  <c r="AB47" i="37" s="1"/>
  <c r="AC47" i="37" s="1"/>
  <c r="AQ32" i="37"/>
  <c r="W50" i="37"/>
  <c r="X50" i="37" s="1"/>
  <c r="Y50" i="37" s="1"/>
  <c r="AA50" i="37" s="1"/>
  <c r="AB50" i="37" s="1"/>
  <c r="AC50" i="37" s="1"/>
  <c r="AQ30" i="37"/>
  <c r="W48" i="37"/>
  <c r="X48" i="37" s="1"/>
  <c r="Y48" i="37" s="1"/>
  <c r="AA48" i="37" s="1"/>
  <c r="AB48" i="37" s="1"/>
  <c r="AC48" i="37" s="1"/>
  <c r="W49" i="37"/>
  <c r="X49" i="37" s="1"/>
  <c r="Y49" i="37" s="1"/>
  <c r="AA49" i="37" s="1"/>
  <c r="AB49" i="37" s="1"/>
  <c r="AC49" i="37" s="1"/>
  <c r="AQ31" i="37"/>
  <c r="AP28" i="37"/>
  <c r="AP19" i="37"/>
  <c r="AP37" i="37"/>
  <c r="W47" i="25"/>
  <c r="X47" i="25" s="1"/>
  <c r="Y47" i="25" s="1"/>
  <c r="AA47" i="25" s="1"/>
  <c r="AB47" i="25" s="1"/>
  <c r="AC47" i="25" s="1"/>
  <c r="AQ29" i="25"/>
  <c r="AP28" i="25"/>
  <c r="AP19" i="25"/>
  <c r="AP37" i="25"/>
  <c r="AF50" i="26"/>
  <c r="AQ23" i="26" s="1"/>
  <c r="AD50" i="26"/>
  <c r="W50" i="25"/>
  <c r="X50" i="25" s="1"/>
  <c r="Y50" i="25" s="1"/>
  <c r="AA50" i="25" s="1"/>
  <c r="AB50" i="25" s="1"/>
  <c r="AC50" i="25" s="1"/>
  <c r="AQ32" i="25"/>
  <c r="W49" i="25"/>
  <c r="X49" i="25" s="1"/>
  <c r="Y49" i="25" s="1"/>
  <c r="AA49" i="25" s="1"/>
  <c r="AB49" i="25" s="1"/>
  <c r="AC49" i="25" s="1"/>
  <c r="AQ31" i="25"/>
  <c r="AF49" i="26"/>
  <c r="AQ22" i="26" s="1"/>
  <c r="AD49" i="26"/>
  <c r="AF48" i="26"/>
  <c r="AQ21" i="26" s="1"/>
  <c r="AD48" i="26"/>
  <c r="AF47" i="26"/>
  <c r="AQ20" i="26" s="1"/>
  <c r="AD47" i="26"/>
  <c r="AQ30" i="25"/>
  <c r="W48" i="25"/>
  <c r="X48" i="25" s="1"/>
  <c r="Y48" i="25" s="1"/>
  <c r="AA48" i="25" s="1"/>
  <c r="AB48" i="25" s="1"/>
  <c r="AC48" i="25" s="1"/>
  <c r="AP39" i="24" l="1"/>
  <c r="AE42" i="24"/>
  <c r="AP15" i="24" s="1"/>
  <c r="V48" i="24"/>
  <c r="AE41" i="24"/>
  <c r="AP14" i="24" s="1"/>
  <c r="V47" i="24"/>
  <c r="AP38" i="24"/>
  <c r="V49" i="24"/>
  <c r="AE43" i="24"/>
  <c r="AP16" i="24" s="1"/>
  <c r="AP40" i="24"/>
  <c r="AP41" i="24"/>
  <c r="V50" i="24"/>
  <c r="AE44" i="24"/>
  <c r="AP17" i="24" s="1"/>
  <c r="AF49" i="37"/>
  <c r="AQ22" i="37" s="1"/>
  <c r="AD49" i="37"/>
  <c r="AF48" i="37"/>
  <c r="AQ21" i="37" s="1"/>
  <c r="AD48" i="37"/>
  <c r="AF47" i="37"/>
  <c r="AQ20" i="37" s="1"/>
  <c r="AD47" i="37"/>
  <c r="AF50" i="37"/>
  <c r="AQ23" i="37" s="1"/>
  <c r="AD50" i="37"/>
  <c r="AQ38" i="26"/>
  <c r="AE47" i="26"/>
  <c r="AQ14" i="26" s="1"/>
  <c r="V53" i="26"/>
  <c r="AE48" i="26"/>
  <c r="AQ15" i="26" s="1"/>
  <c r="V54" i="26"/>
  <c r="AQ39" i="26"/>
  <c r="AF50" i="25"/>
  <c r="AQ23" i="25" s="1"/>
  <c r="AD50" i="25"/>
  <c r="AF49" i="25"/>
  <c r="AQ22" i="25" s="1"/>
  <c r="AD49" i="25"/>
  <c r="AQ41" i="26"/>
  <c r="AE50" i="26"/>
  <c r="AQ17" i="26" s="1"/>
  <c r="V56" i="26"/>
  <c r="AF48" i="25"/>
  <c r="AQ21" i="25" s="1"/>
  <c r="AD48" i="25"/>
  <c r="V55" i="26"/>
  <c r="AQ40" i="26"/>
  <c r="AE49" i="26"/>
  <c r="AQ16" i="26" s="1"/>
  <c r="AF47" i="25"/>
  <c r="AQ20" i="25" s="1"/>
  <c r="AD47" i="25"/>
  <c r="AP28" i="24" l="1"/>
  <c r="AP37" i="24"/>
  <c r="AP19" i="24"/>
  <c r="W50" i="24"/>
  <c r="X50" i="24" s="1"/>
  <c r="Y50" i="24" s="1"/>
  <c r="AA50" i="24" s="1"/>
  <c r="AB50" i="24" s="1"/>
  <c r="AC50" i="24" s="1"/>
  <c r="AQ32" i="24"/>
  <c r="AQ31" i="24"/>
  <c r="W49" i="24"/>
  <c r="X49" i="24" s="1"/>
  <c r="Y49" i="24" s="1"/>
  <c r="AA49" i="24" s="1"/>
  <c r="AB49" i="24" s="1"/>
  <c r="AC49" i="24" s="1"/>
  <c r="W48" i="24"/>
  <c r="X48" i="24" s="1"/>
  <c r="Y48" i="24" s="1"/>
  <c r="AA48" i="24" s="1"/>
  <c r="AB48" i="24" s="1"/>
  <c r="AC48" i="24" s="1"/>
  <c r="AQ30" i="24"/>
  <c r="W47" i="24"/>
  <c r="X47" i="24" s="1"/>
  <c r="Y47" i="24" s="1"/>
  <c r="AA47" i="24" s="1"/>
  <c r="AB47" i="24" s="1"/>
  <c r="AC47" i="24" s="1"/>
  <c r="AQ29" i="24"/>
  <c r="AE50" i="37"/>
  <c r="AQ17" i="37" s="1"/>
  <c r="V56" i="37"/>
  <c r="AQ41" i="37"/>
  <c r="V54" i="37"/>
  <c r="AQ39" i="37"/>
  <c r="AE48" i="37"/>
  <c r="AQ15" i="37" s="1"/>
  <c r="AE49" i="37"/>
  <c r="AQ16" i="37" s="1"/>
  <c r="V55" i="37"/>
  <c r="AQ40" i="37"/>
  <c r="AQ38" i="37"/>
  <c r="AE47" i="37"/>
  <c r="AQ14" i="37" s="1"/>
  <c r="V53" i="37"/>
  <c r="V54" i="25"/>
  <c r="AQ39" i="25"/>
  <c r="AE48" i="25"/>
  <c r="AQ15" i="25" s="1"/>
  <c r="AQ38" i="25"/>
  <c r="AE47" i="25"/>
  <c r="AQ14" i="25" s="1"/>
  <c r="V53" i="25"/>
  <c r="AE49" i="25"/>
  <c r="AQ16" i="25" s="1"/>
  <c r="V55" i="25"/>
  <c r="AQ40" i="25"/>
  <c r="W53" i="26"/>
  <c r="X53" i="26" s="1"/>
  <c r="Y53" i="26" s="1"/>
  <c r="AA53" i="26" s="1"/>
  <c r="AB53" i="26" s="1"/>
  <c r="AC53" i="26" s="1"/>
  <c r="AR29" i="26"/>
  <c r="W56" i="26"/>
  <c r="X56" i="26" s="1"/>
  <c r="Y56" i="26" s="1"/>
  <c r="AA56" i="26" s="1"/>
  <c r="AB56" i="26" s="1"/>
  <c r="AC56" i="26" s="1"/>
  <c r="AR32" i="26"/>
  <c r="AR31" i="26"/>
  <c r="W55" i="26"/>
  <c r="X55" i="26" s="1"/>
  <c r="Y55" i="26" s="1"/>
  <c r="AA55" i="26" s="1"/>
  <c r="AB55" i="26" s="1"/>
  <c r="AC55" i="26" s="1"/>
  <c r="AQ28" i="26"/>
  <c r="AQ37" i="26"/>
  <c r="AQ19" i="26"/>
  <c r="AE50" i="25"/>
  <c r="AQ17" i="25" s="1"/>
  <c r="V56" i="25"/>
  <c r="AQ41" i="25"/>
  <c r="AR30" i="26"/>
  <c r="W54" i="26"/>
  <c r="X54" i="26" s="1"/>
  <c r="Y54" i="26" s="1"/>
  <c r="AA54" i="26" s="1"/>
  <c r="AB54" i="26" s="1"/>
  <c r="AC54" i="26" s="1"/>
  <c r="AD48" i="24" l="1"/>
  <c r="AF48" i="24"/>
  <c r="AQ21" i="24" s="1"/>
  <c r="AF50" i="24"/>
  <c r="AQ23" i="24" s="1"/>
  <c r="AD50" i="24"/>
  <c r="AF49" i="24"/>
  <c r="AQ22" i="24" s="1"/>
  <c r="AD49" i="24"/>
  <c r="AF47" i="24"/>
  <c r="AQ20" i="24" s="1"/>
  <c r="AD47" i="24"/>
  <c r="W54" i="37"/>
  <c r="X54" i="37" s="1"/>
  <c r="Y54" i="37" s="1"/>
  <c r="AA54" i="37" s="1"/>
  <c r="AB54" i="37" s="1"/>
  <c r="AC54" i="37" s="1"/>
  <c r="AR30" i="37"/>
  <c r="W53" i="37"/>
  <c r="X53" i="37" s="1"/>
  <c r="Y53" i="37" s="1"/>
  <c r="AA53" i="37" s="1"/>
  <c r="AB53" i="37" s="1"/>
  <c r="AC53" i="37" s="1"/>
  <c r="AR29" i="37"/>
  <c r="W56" i="37"/>
  <c r="X56" i="37" s="1"/>
  <c r="Y56" i="37" s="1"/>
  <c r="AA56" i="37" s="1"/>
  <c r="AB56" i="37" s="1"/>
  <c r="AC56" i="37" s="1"/>
  <c r="AR32" i="37"/>
  <c r="W55" i="37"/>
  <c r="X55" i="37" s="1"/>
  <c r="Y55" i="37" s="1"/>
  <c r="AA55" i="37" s="1"/>
  <c r="AB55" i="37" s="1"/>
  <c r="AC55" i="37" s="1"/>
  <c r="AR31" i="37"/>
  <c r="AQ28" i="37"/>
  <c r="AQ19" i="37"/>
  <c r="AQ37" i="37"/>
  <c r="AF53" i="26"/>
  <c r="AR20" i="26" s="1"/>
  <c r="AD53" i="26"/>
  <c r="AR30" i="25"/>
  <c r="W54" i="25"/>
  <c r="X54" i="25" s="1"/>
  <c r="Y54" i="25" s="1"/>
  <c r="AA54" i="25" s="1"/>
  <c r="AB54" i="25" s="1"/>
  <c r="AC54" i="25" s="1"/>
  <c r="AR32" i="25"/>
  <c r="W56" i="25"/>
  <c r="X56" i="25" s="1"/>
  <c r="Y56" i="25" s="1"/>
  <c r="AA56" i="25" s="1"/>
  <c r="AB56" i="25" s="1"/>
  <c r="AC56" i="25" s="1"/>
  <c r="AF54" i="26"/>
  <c r="AR21" i="26" s="1"/>
  <c r="AD54" i="26"/>
  <c r="W55" i="25"/>
  <c r="X55" i="25" s="1"/>
  <c r="Y55" i="25" s="1"/>
  <c r="AA55" i="25" s="1"/>
  <c r="AB55" i="25" s="1"/>
  <c r="AC55" i="25" s="1"/>
  <c r="AR31" i="25"/>
  <c r="AF55" i="26"/>
  <c r="AR22" i="26" s="1"/>
  <c r="AD55" i="26"/>
  <c r="AF56" i="26"/>
  <c r="AR23" i="26" s="1"/>
  <c r="AD56" i="26"/>
  <c r="AQ19" i="25"/>
  <c r="AQ37" i="25"/>
  <c r="AQ28" i="25"/>
  <c r="W53" i="25"/>
  <c r="X53" i="25" s="1"/>
  <c r="Y53" i="25" s="1"/>
  <c r="AA53" i="25" s="1"/>
  <c r="AB53" i="25" s="1"/>
  <c r="AC53" i="25" s="1"/>
  <c r="AR29" i="25"/>
  <c r="AE47" i="24" l="1"/>
  <c r="AQ14" i="24" s="1"/>
  <c r="AQ38" i="24"/>
  <c r="V53" i="24"/>
  <c r="AE50" i="24"/>
  <c r="AQ17" i="24" s="1"/>
  <c r="V56" i="24"/>
  <c r="AQ41" i="24"/>
  <c r="V55" i="24"/>
  <c r="AE49" i="24"/>
  <c r="AQ16" i="24" s="1"/>
  <c r="AQ40" i="24"/>
  <c r="V54" i="24"/>
  <c r="AQ39" i="24"/>
  <c r="AE48" i="24"/>
  <c r="AQ15" i="24" s="1"/>
  <c r="AF55" i="37"/>
  <c r="AR22" i="37" s="1"/>
  <c r="AD55" i="37"/>
  <c r="AF53" i="37"/>
  <c r="AR20" i="37" s="1"/>
  <c r="AD53" i="37"/>
  <c r="AF56" i="37"/>
  <c r="AR23" i="37" s="1"/>
  <c r="AD56" i="37"/>
  <c r="AF54" i="37"/>
  <c r="AR21" i="37" s="1"/>
  <c r="AD54" i="37"/>
  <c r="AR41" i="26"/>
  <c r="AE56" i="26"/>
  <c r="AR17" i="26" s="1"/>
  <c r="AE55" i="26"/>
  <c r="AR16" i="26" s="1"/>
  <c r="AR40" i="26"/>
  <c r="AE54" i="26"/>
  <c r="AR15" i="26" s="1"/>
  <c r="AR39" i="26"/>
  <c r="AF54" i="25"/>
  <c r="AR21" i="25" s="1"/>
  <c r="AD54" i="25"/>
  <c r="AF56" i="25"/>
  <c r="AR23" i="25" s="1"/>
  <c r="AD56" i="25"/>
  <c r="AE53" i="26"/>
  <c r="AR14" i="26" s="1"/>
  <c r="AR38" i="26"/>
  <c r="AF53" i="25"/>
  <c r="AR20" i="25" s="1"/>
  <c r="AD53" i="25"/>
  <c r="AF55" i="25"/>
  <c r="AR22" i="25" s="1"/>
  <c r="AD55" i="25"/>
  <c r="AR31" i="24" l="1"/>
  <c r="W55" i="24"/>
  <c r="X55" i="24" s="1"/>
  <c r="Y55" i="24" s="1"/>
  <c r="AA55" i="24" s="1"/>
  <c r="AB55" i="24" s="1"/>
  <c r="AC55" i="24" s="1"/>
  <c r="AR29" i="24"/>
  <c r="W53" i="24"/>
  <c r="X53" i="24" s="1"/>
  <c r="Y53" i="24" s="1"/>
  <c r="AA53" i="24" s="1"/>
  <c r="AB53" i="24" s="1"/>
  <c r="AC53" i="24" s="1"/>
  <c r="AQ37" i="24"/>
  <c r="AQ19" i="24"/>
  <c r="AQ28" i="24"/>
  <c r="AR30" i="24"/>
  <c r="W54" i="24"/>
  <c r="X54" i="24" s="1"/>
  <c r="Y54" i="24" s="1"/>
  <c r="AA54" i="24" s="1"/>
  <c r="AB54" i="24" s="1"/>
  <c r="AC54" i="24" s="1"/>
  <c r="AR32" i="24"/>
  <c r="W56" i="24"/>
  <c r="X56" i="24" s="1"/>
  <c r="Y56" i="24" s="1"/>
  <c r="AA56" i="24" s="1"/>
  <c r="AB56" i="24" s="1"/>
  <c r="AC56" i="24" s="1"/>
  <c r="AE54" i="37"/>
  <c r="AR15" i="37" s="1"/>
  <c r="AR39" i="37"/>
  <c r="AR38" i="37"/>
  <c r="AE53" i="37"/>
  <c r="AR14" i="37" s="1"/>
  <c r="AE55" i="37"/>
  <c r="AR16" i="37" s="1"/>
  <c r="AR40" i="37"/>
  <c r="AE56" i="37"/>
  <c r="AR17" i="37" s="1"/>
  <c r="AR41" i="37"/>
  <c r="AR40" i="25"/>
  <c r="AE55" i="25"/>
  <c r="AR16" i="25" s="1"/>
  <c r="AE53" i="25"/>
  <c r="AR14" i="25" s="1"/>
  <c r="AR38" i="25"/>
  <c r="AE56" i="25"/>
  <c r="AR17" i="25" s="1"/>
  <c r="AR41" i="25"/>
  <c r="AR39" i="25"/>
  <c r="AE54" i="25"/>
  <c r="AR15" i="25" s="1"/>
  <c r="AR28" i="26"/>
  <c r="AR19" i="26"/>
  <c r="AR37" i="26"/>
  <c r="AJ44" i="26" s="1"/>
  <c r="AD56" i="24" l="1"/>
  <c r="AF56" i="24"/>
  <c r="AR23" i="24" s="1"/>
  <c r="AF53" i="24"/>
  <c r="AR20" i="24" s="1"/>
  <c r="AD53" i="24"/>
  <c r="AF55" i="24"/>
  <c r="AR22" i="24" s="1"/>
  <c r="AD55" i="24"/>
  <c r="AD54" i="24"/>
  <c r="AF54" i="24"/>
  <c r="AR21" i="24" s="1"/>
  <c r="AR37" i="37"/>
  <c r="AJ44" i="37" s="1"/>
  <c r="AR19" i="37"/>
  <c r="AR28" i="37"/>
  <c r="AR19" i="25"/>
  <c r="AR28" i="25"/>
  <c r="AR37" i="25"/>
  <c r="AJ44" i="25" s="1"/>
  <c r="AJ26" i="26"/>
  <c r="H15" i="26"/>
  <c r="H25" i="26" s="1"/>
  <c r="E6" i="26" s="1"/>
  <c r="E11" i="26"/>
  <c r="AJ35" i="26"/>
  <c r="AE54" i="24" l="1"/>
  <c r="AR15" i="24" s="1"/>
  <c r="AR39" i="24"/>
  <c r="AR38" i="24"/>
  <c r="AE53" i="24"/>
  <c r="AR14" i="24" s="1"/>
  <c r="AE55" i="24"/>
  <c r="AR16" i="24" s="1"/>
  <c r="AR40" i="24"/>
  <c r="AE56" i="24"/>
  <c r="AR17" i="24" s="1"/>
  <c r="AR41" i="24"/>
  <c r="AJ35" i="37"/>
  <c r="E11" i="37"/>
  <c r="AJ26" i="37"/>
  <c r="H15" i="37"/>
  <c r="J6" i="26"/>
  <c r="E5" i="26"/>
  <c r="E11" i="25"/>
  <c r="AJ35" i="25"/>
  <c r="AJ26" i="25"/>
  <c r="H15" i="25"/>
  <c r="H25" i="25" s="1"/>
  <c r="E6" i="25" s="1"/>
  <c r="AR37" i="24" l="1"/>
  <c r="AJ44" i="24" s="1"/>
  <c r="AR28" i="24"/>
  <c r="AR19" i="24"/>
  <c r="M169" i="15"/>
  <c r="H25" i="37"/>
  <c r="E6" i="37" s="1"/>
  <c r="J6" i="25"/>
  <c r="E5" i="25"/>
  <c r="H15" i="24" l="1"/>
  <c r="H25" i="24" s="1"/>
  <c r="E6" i="24" s="1"/>
  <c r="AJ26" i="24"/>
  <c r="AJ35" i="24"/>
  <c r="E11" i="24"/>
  <c r="I5" i="15"/>
  <c r="C6" i="9" s="1"/>
  <c r="M5" i="14"/>
  <c r="J6" i="37"/>
  <c r="K5" i="15" s="1"/>
  <c r="E5" i="37"/>
  <c r="D82" i="9"/>
  <c r="E82" i="9" s="1"/>
  <c r="J41" i="15"/>
  <c r="C510" i="9" l="1"/>
  <c r="G510" i="9" s="1"/>
  <c r="C67" i="9"/>
  <c r="E67" i="9" s="1"/>
  <c r="C26" i="9"/>
  <c r="C50" i="9"/>
  <c r="C94" i="9"/>
  <c r="E94" i="9" s="1"/>
  <c r="C146" i="9"/>
  <c r="C194" i="9"/>
  <c r="E194" i="9" s="1"/>
  <c r="C230" i="9"/>
  <c r="C293" i="9"/>
  <c r="C351" i="9"/>
  <c r="C429" i="9"/>
  <c r="C521" i="9"/>
  <c r="G521" i="9" s="1"/>
  <c r="C125" i="9"/>
  <c r="E125" i="9" s="1"/>
  <c r="C227" i="9"/>
  <c r="E227" i="9" s="1"/>
  <c r="C317" i="9"/>
  <c r="C408" i="9"/>
  <c r="E408" i="9" s="1"/>
  <c r="C71" i="9"/>
  <c r="E71" i="9" s="1"/>
  <c r="C267" i="9"/>
  <c r="C451" i="9"/>
  <c r="C159" i="9"/>
  <c r="C350" i="9"/>
  <c r="E350" i="9" s="1"/>
  <c r="C25" i="9"/>
  <c r="C33" i="9"/>
  <c r="C57" i="9"/>
  <c r="E57" i="9" s="1"/>
  <c r="C112" i="9"/>
  <c r="E112" i="9" s="1"/>
  <c r="C154" i="9"/>
  <c r="C204" i="9"/>
  <c r="E204" i="9" s="1"/>
  <c r="C247" i="9"/>
  <c r="E247" i="9" s="1"/>
  <c r="C303" i="9"/>
  <c r="C364" i="9"/>
  <c r="C453" i="9"/>
  <c r="C46" i="9"/>
  <c r="E46" i="9" s="1"/>
  <c r="C147" i="9"/>
  <c r="E147" i="9" s="1"/>
  <c r="C248" i="9"/>
  <c r="C343" i="9"/>
  <c r="C430" i="9"/>
  <c r="E430" i="9" s="1"/>
  <c r="C118" i="9"/>
  <c r="E118" i="9" s="1"/>
  <c r="C313" i="9"/>
  <c r="E313" i="9" s="1"/>
  <c r="C495" i="9"/>
  <c r="C213" i="9"/>
  <c r="E213" i="9" s="1"/>
  <c r="C396" i="9"/>
  <c r="E396" i="9" s="1"/>
  <c r="C22" i="9"/>
  <c r="E22" i="9" s="1"/>
  <c r="C18" i="9"/>
  <c r="E18" i="9" s="1"/>
  <c r="C77" i="9"/>
  <c r="C124" i="9"/>
  <c r="E124" i="9" s="1"/>
  <c r="C160" i="9"/>
  <c r="C214" i="9"/>
  <c r="E214" i="9" s="1"/>
  <c r="C259" i="9"/>
  <c r="E259" i="9" s="1"/>
  <c r="C316" i="9"/>
  <c r="E316" i="9" s="1"/>
  <c r="C387" i="9"/>
  <c r="C477" i="9"/>
  <c r="C74" i="9"/>
  <c r="E74" i="9" s="1"/>
  <c r="C175" i="9"/>
  <c r="E175" i="9" s="1"/>
  <c r="C272" i="9"/>
  <c r="E272" i="9" s="1"/>
  <c r="C365" i="9"/>
  <c r="C456" i="9"/>
  <c r="C170" i="9"/>
  <c r="C358" i="9"/>
  <c r="C56" i="9"/>
  <c r="E56" i="9" s="1"/>
  <c r="C258" i="9"/>
  <c r="E258" i="9" s="1"/>
  <c r="C438" i="9"/>
  <c r="E438" i="9" s="1"/>
  <c r="C34" i="9"/>
  <c r="C41" i="9"/>
  <c r="E41" i="9" s="1"/>
  <c r="C86" i="9"/>
  <c r="E86" i="9" s="1"/>
  <c r="C128" i="9"/>
  <c r="E128" i="9" s="1"/>
  <c r="C178" i="9"/>
  <c r="C226" i="9"/>
  <c r="E226" i="9" s="1"/>
  <c r="C271" i="9"/>
  <c r="E271" i="9" s="1"/>
  <c r="C342" i="9"/>
  <c r="E342" i="9" s="1"/>
  <c r="C407" i="9"/>
  <c r="C497" i="9"/>
  <c r="C95" i="9"/>
  <c r="E95" i="9" s="1"/>
  <c r="C205" i="9"/>
  <c r="E205" i="9" s="1"/>
  <c r="C294" i="9"/>
  <c r="C388" i="9"/>
  <c r="C498" i="9"/>
  <c r="E498" i="9" s="1"/>
  <c r="C222" i="9"/>
  <c r="E222" i="9" s="1"/>
  <c r="C405" i="9"/>
  <c r="C107" i="9"/>
  <c r="E107" i="9" s="1"/>
  <c r="C302" i="9"/>
  <c r="E302" i="9" s="1"/>
  <c r="C486" i="9"/>
  <c r="E486" i="9" s="1"/>
  <c r="C397" i="9"/>
  <c r="E397" i="9" s="1"/>
  <c r="C439" i="9"/>
  <c r="E439" i="9" s="1"/>
  <c r="C487" i="9"/>
  <c r="E487" i="9" s="1"/>
  <c r="C87" i="9"/>
  <c r="E87" i="9" s="1"/>
  <c r="C137" i="9"/>
  <c r="E137" i="9" s="1"/>
  <c r="C195" i="9"/>
  <c r="E195" i="9" s="1"/>
  <c r="C239" i="9"/>
  <c r="E239" i="9" s="1"/>
  <c r="C284" i="9"/>
  <c r="E284" i="9" s="1"/>
  <c r="C329" i="9"/>
  <c r="E329" i="9" s="1"/>
  <c r="C374" i="9"/>
  <c r="C420" i="9"/>
  <c r="E420" i="9" s="1"/>
  <c r="C466" i="9"/>
  <c r="C512" i="9"/>
  <c r="G512" i="9" s="1"/>
  <c r="C79" i="9"/>
  <c r="E79" i="9" s="1"/>
  <c r="C130" i="9"/>
  <c r="E130" i="9" s="1"/>
  <c r="C182" i="9"/>
  <c r="E182" i="9" s="1"/>
  <c r="C234" i="9"/>
  <c r="C277" i="9"/>
  <c r="C326" i="9"/>
  <c r="E326" i="9" s="1"/>
  <c r="C371" i="9"/>
  <c r="E371" i="9" s="1"/>
  <c r="C417" i="9"/>
  <c r="C461" i="9"/>
  <c r="C509" i="9"/>
  <c r="G509" i="9" s="1"/>
  <c r="C72" i="9"/>
  <c r="E72" i="9" s="1"/>
  <c r="C119" i="9"/>
  <c r="C171" i="9"/>
  <c r="C225" i="9"/>
  <c r="E225" i="9" s="1"/>
  <c r="C268" i="9"/>
  <c r="C314" i="9"/>
  <c r="E314" i="9" s="1"/>
  <c r="C363" i="9"/>
  <c r="C406" i="9"/>
  <c r="E406" i="9" s="1"/>
  <c r="C452" i="9"/>
  <c r="C496" i="9"/>
  <c r="C478" i="9"/>
  <c r="C522" i="9"/>
  <c r="G522" i="9" s="1"/>
  <c r="C92" i="9"/>
  <c r="E92" i="9" s="1"/>
  <c r="C144" i="9"/>
  <c r="E144" i="9" s="1"/>
  <c r="C200" i="9"/>
  <c r="E200" i="9" s="1"/>
  <c r="C244" i="9"/>
  <c r="E244" i="9" s="1"/>
  <c r="C289" i="9"/>
  <c r="C336" i="9"/>
  <c r="C385" i="9"/>
  <c r="C427" i="9"/>
  <c r="E427" i="9" s="1"/>
  <c r="C471" i="9"/>
  <c r="E471" i="9" s="1"/>
  <c r="C519" i="9"/>
  <c r="G519" i="9" s="1"/>
  <c r="C80" i="9"/>
  <c r="E80" i="9" s="1"/>
  <c r="C131" i="9"/>
  <c r="E131" i="9" s="1"/>
  <c r="C183" i="9"/>
  <c r="C235" i="9"/>
  <c r="C280" i="9"/>
  <c r="E280" i="9" s="1"/>
  <c r="C327" i="9"/>
  <c r="E327" i="9" s="1"/>
  <c r="C372" i="9"/>
  <c r="E372" i="9" s="1"/>
  <c r="C418" i="9"/>
  <c r="E418" i="9" s="1"/>
  <c r="C462" i="9"/>
  <c r="C526" i="9"/>
  <c r="G526" i="9" s="1"/>
  <c r="C500" i="9"/>
  <c r="E500" i="9" s="1"/>
  <c r="C480" i="9"/>
  <c r="E480" i="9" s="1"/>
  <c r="C458" i="9"/>
  <c r="C434" i="9"/>
  <c r="E434" i="9" s="1"/>
  <c r="C412" i="9"/>
  <c r="E412" i="9" s="1"/>
  <c r="C390" i="9"/>
  <c r="C367" i="9"/>
  <c r="C345" i="9"/>
  <c r="E345" i="9" s="1"/>
  <c r="C320" i="9"/>
  <c r="E320" i="9" s="1"/>
  <c r="C298" i="9"/>
  <c r="E298" i="9" s="1"/>
  <c r="C274" i="9"/>
  <c r="C254" i="9"/>
  <c r="E254" i="9" s="1"/>
  <c r="C229" i="9"/>
  <c r="E229" i="9" s="1"/>
  <c r="C207" i="9"/>
  <c r="E207" i="9" s="1"/>
  <c r="C177" i="9"/>
  <c r="C153" i="9"/>
  <c r="E153" i="9" s="1"/>
  <c r="C127" i="9"/>
  <c r="E127" i="9" s="1"/>
  <c r="C100" i="9"/>
  <c r="E100" i="9" s="1"/>
  <c r="C76" i="9"/>
  <c r="C49" i="9"/>
  <c r="E49" i="9" s="1"/>
  <c r="C513" i="9"/>
  <c r="G513" i="9" s="1"/>
  <c r="C489" i="9"/>
  <c r="C467" i="9"/>
  <c r="C447" i="9"/>
  <c r="E447" i="9" s="1"/>
  <c r="C421" i="9"/>
  <c r="E421" i="9" s="1"/>
  <c r="C399" i="9"/>
  <c r="C375" i="9"/>
  <c r="C353" i="9"/>
  <c r="C331" i="9"/>
  <c r="C306" i="9"/>
  <c r="C285" i="9"/>
  <c r="E285" i="9" s="1"/>
  <c r="C263" i="9"/>
  <c r="E263" i="9" s="1"/>
  <c r="C240" i="9"/>
  <c r="E240" i="9" s="1"/>
  <c r="C216" i="9"/>
  <c r="E216" i="9" s="1"/>
  <c r="C196" i="9"/>
  <c r="E196" i="9" s="1"/>
  <c r="C162" i="9"/>
  <c r="E162" i="9" s="1"/>
  <c r="C138" i="9"/>
  <c r="E138" i="9" s="1"/>
  <c r="C114" i="9"/>
  <c r="E114" i="9" s="1"/>
  <c r="C88" i="9"/>
  <c r="E88" i="9" s="1"/>
  <c r="C62" i="9"/>
  <c r="E62" i="9" s="1"/>
  <c r="C518" i="9"/>
  <c r="E518" i="9" s="1"/>
  <c r="C492" i="9"/>
  <c r="C470" i="9"/>
  <c r="C450" i="9"/>
  <c r="E450" i="9" s="1"/>
  <c r="C426" i="9"/>
  <c r="C404" i="9"/>
  <c r="C379" i="9"/>
  <c r="C356" i="9"/>
  <c r="E356" i="9" s="1"/>
  <c r="C335" i="9"/>
  <c r="E335" i="9" s="1"/>
  <c r="C312" i="9"/>
  <c r="E312" i="9" s="1"/>
  <c r="C288" i="9"/>
  <c r="C266" i="9"/>
  <c r="E266" i="9" s="1"/>
  <c r="C243" i="9"/>
  <c r="E243" i="9" s="1"/>
  <c r="C221" i="9"/>
  <c r="E221" i="9" s="1"/>
  <c r="C199" i="9"/>
  <c r="E199" i="9" s="1"/>
  <c r="C168" i="9"/>
  <c r="E168" i="9" s="1"/>
  <c r="C143" i="9"/>
  <c r="E143" i="9" s="1"/>
  <c r="C117" i="9"/>
  <c r="E117" i="9" s="1"/>
  <c r="C91" i="9"/>
  <c r="C66" i="9"/>
  <c r="E66" i="9" s="1"/>
  <c r="G518" i="9"/>
  <c r="C517" i="9"/>
  <c r="G517" i="9" s="1"/>
  <c r="C491" i="9"/>
  <c r="C469" i="9"/>
  <c r="E469" i="9" s="1"/>
  <c r="C449" i="9"/>
  <c r="E449" i="9" s="1"/>
  <c r="C425" i="9"/>
  <c r="C403" i="9"/>
  <c r="C377" i="9"/>
  <c r="E377" i="9" s="1"/>
  <c r="C355" i="9"/>
  <c r="E355" i="9" s="1"/>
  <c r="C333" i="9"/>
  <c r="E333" i="9" s="1"/>
  <c r="C311" i="9"/>
  <c r="E311" i="9" s="1"/>
  <c r="C287" i="9"/>
  <c r="E287" i="9" s="1"/>
  <c r="C265" i="9"/>
  <c r="E265" i="9" s="1"/>
  <c r="C242" i="9"/>
  <c r="E242" i="9" s="1"/>
  <c r="C218" i="9"/>
  <c r="C198" i="9"/>
  <c r="E198" i="9" s="1"/>
  <c r="C167" i="9"/>
  <c r="E167" i="9" s="1"/>
  <c r="C140" i="9"/>
  <c r="E140" i="9" s="1"/>
  <c r="C116" i="9"/>
  <c r="E116" i="9" s="1"/>
  <c r="C90" i="9"/>
  <c r="E90" i="9" s="1"/>
  <c r="C65" i="9"/>
  <c r="E65" i="9" s="1"/>
  <c r="C40" i="9"/>
  <c r="C39" i="9"/>
  <c r="E39" i="9" s="1"/>
  <c r="C13" i="9"/>
  <c r="E13" i="9" s="1"/>
  <c r="C514" i="9"/>
  <c r="G514" i="9" s="1"/>
  <c r="C490" i="9"/>
  <c r="C468" i="9"/>
  <c r="C448" i="9"/>
  <c r="E448" i="9" s="1"/>
  <c r="C424" i="9"/>
  <c r="E424" i="9" s="1"/>
  <c r="C400" i="9"/>
  <c r="E400" i="9" s="1"/>
  <c r="C376" i="9"/>
  <c r="C354" i="9"/>
  <c r="E354" i="9" s="1"/>
  <c r="C332" i="9"/>
  <c r="E332" i="9" s="1"/>
  <c r="C307" i="9"/>
  <c r="C286" i="9"/>
  <c r="E286" i="9" s="1"/>
  <c r="C264" i="9"/>
  <c r="E264" i="9" s="1"/>
  <c r="C241" i="9"/>
  <c r="E241" i="9" s="1"/>
  <c r="C217" i="9"/>
  <c r="E217" i="9" s="1"/>
  <c r="C197" i="9"/>
  <c r="E197" i="9" s="1"/>
  <c r="C163" i="9"/>
  <c r="E163" i="9" s="1"/>
  <c r="C139" i="9"/>
  <c r="E139" i="9" s="1"/>
  <c r="C115" i="9"/>
  <c r="E115" i="9" s="1"/>
  <c r="C89" i="9"/>
  <c r="E89" i="9" s="1"/>
  <c r="C63" i="9"/>
  <c r="E63" i="9" s="1"/>
  <c r="C525" i="9"/>
  <c r="G525" i="9" s="1"/>
  <c r="C499" i="9"/>
  <c r="C479" i="9"/>
  <c r="C457" i="9"/>
  <c r="E457" i="9" s="1"/>
  <c r="C433" i="9"/>
  <c r="E433" i="9" s="1"/>
  <c r="C409" i="9"/>
  <c r="C389" i="9"/>
  <c r="C366" i="9"/>
  <c r="E366" i="9" s="1"/>
  <c r="C344" i="9"/>
  <c r="E344" i="9" s="1"/>
  <c r="C318" i="9"/>
  <c r="E318" i="9" s="1"/>
  <c r="C295" i="9"/>
  <c r="C273" i="9"/>
  <c r="E273" i="9" s="1"/>
  <c r="C253" i="9"/>
  <c r="E253" i="9" s="1"/>
  <c r="C228" i="9"/>
  <c r="E228" i="9" s="1"/>
  <c r="C206" i="9"/>
  <c r="E206" i="9" s="1"/>
  <c r="C176" i="9"/>
  <c r="E176" i="9" s="1"/>
  <c r="C152" i="9"/>
  <c r="E152" i="9" s="1"/>
  <c r="C126" i="9"/>
  <c r="E126" i="9" s="1"/>
  <c r="C99" i="9"/>
  <c r="E99" i="9" s="1"/>
  <c r="C75" i="9"/>
  <c r="E75" i="9" s="1"/>
  <c r="C47" i="9"/>
  <c r="C503" i="9"/>
  <c r="E503" i="9" s="1"/>
  <c r="C482" i="9"/>
  <c r="C460" i="9"/>
  <c r="E460" i="9" s="1"/>
  <c r="C436" i="9"/>
  <c r="E436" i="9" s="1"/>
  <c r="C416" i="9"/>
  <c r="C394" i="9"/>
  <c r="C369" i="9"/>
  <c r="C347" i="9"/>
  <c r="E347" i="9" s="1"/>
  <c r="C322" i="9"/>
  <c r="E322" i="9" s="1"/>
  <c r="C300" i="9"/>
  <c r="E300" i="9" s="1"/>
  <c r="C276" i="9"/>
  <c r="C256" i="9"/>
  <c r="E256" i="9" s="1"/>
  <c r="C231" i="9"/>
  <c r="C209" i="9"/>
  <c r="E209" i="9" s="1"/>
  <c r="C179" i="9"/>
  <c r="E179" i="9" s="1"/>
  <c r="C155" i="9"/>
  <c r="E155" i="9" s="1"/>
  <c r="C129" i="9"/>
  <c r="E129" i="9" s="1"/>
  <c r="C105" i="9"/>
  <c r="E105" i="9" s="1"/>
  <c r="C78" i="9"/>
  <c r="E78" i="9" s="1"/>
  <c r="C53" i="9"/>
  <c r="E53" i="9" s="1"/>
  <c r="C527" i="9"/>
  <c r="G527" i="9" s="1"/>
  <c r="C501" i="9"/>
  <c r="E501" i="9" s="1"/>
  <c r="C481" i="9"/>
  <c r="E481" i="9" s="1"/>
  <c r="C459" i="9"/>
  <c r="E459" i="9" s="1"/>
  <c r="C435" i="9"/>
  <c r="C415" i="9"/>
  <c r="C391" i="9"/>
  <c r="E391" i="9" s="1"/>
  <c r="C368" i="9"/>
  <c r="E368" i="9" s="1"/>
  <c r="C346" i="9"/>
  <c r="C321" i="9"/>
  <c r="C299" i="9"/>
  <c r="E299" i="9" s="1"/>
  <c r="C275" i="9"/>
  <c r="C255" i="9"/>
  <c r="E255" i="9" s="1"/>
  <c r="C17" i="9"/>
  <c r="E17" i="9" s="1"/>
  <c r="C30" i="9"/>
  <c r="E30" i="9" s="1"/>
  <c r="C73" i="9"/>
  <c r="E73" i="9" s="1"/>
  <c r="C101" i="9"/>
  <c r="E101" i="9" s="1"/>
  <c r="C136" i="9"/>
  <c r="E136" i="9" s="1"/>
  <c r="C174" i="9"/>
  <c r="E174" i="9" s="1"/>
  <c r="C208" i="9"/>
  <c r="E208" i="9" s="1"/>
  <c r="C236" i="9"/>
  <c r="C281" i="9"/>
  <c r="C328" i="9"/>
  <c r="E328" i="9" s="1"/>
  <c r="C373" i="9"/>
  <c r="E373" i="9" s="1"/>
  <c r="C419" i="9"/>
  <c r="E419" i="9" s="1"/>
  <c r="C465" i="9"/>
  <c r="C511" i="9"/>
  <c r="G511" i="9" s="1"/>
  <c r="C61" i="9"/>
  <c r="E61" i="9" s="1"/>
  <c r="C113" i="9"/>
  <c r="E113" i="9" s="1"/>
  <c r="C161" i="9"/>
  <c r="C215" i="9"/>
  <c r="E215" i="9" s="1"/>
  <c r="C262" i="9"/>
  <c r="E262" i="9" s="1"/>
  <c r="C304" i="9"/>
  <c r="C352" i="9"/>
  <c r="C398" i="9"/>
  <c r="E398" i="9" s="1"/>
  <c r="C441" i="9"/>
  <c r="E441" i="9" s="1"/>
  <c r="C488" i="9"/>
  <c r="C54" i="9"/>
  <c r="C106" i="9"/>
  <c r="E106" i="9" s="1"/>
  <c r="C156" i="9"/>
  <c r="E156" i="9" s="1"/>
  <c r="C212" i="9"/>
  <c r="E212" i="9" s="1"/>
  <c r="C257" i="9"/>
  <c r="E257" i="9" s="1"/>
  <c r="C301" i="9"/>
  <c r="E301" i="9" s="1"/>
  <c r="C348" i="9"/>
  <c r="E348" i="9" s="1"/>
  <c r="C395" i="9"/>
  <c r="E395" i="9" s="1"/>
  <c r="C437" i="9"/>
  <c r="C483" i="9"/>
  <c r="E483" i="9" s="1"/>
  <c r="C93" i="9"/>
  <c r="E93" i="9" s="1"/>
  <c r="C145" i="9"/>
  <c r="E145" i="9" s="1"/>
  <c r="C203" i="9"/>
  <c r="E203" i="9" s="1"/>
  <c r="C245" i="9"/>
  <c r="E245" i="9" s="1"/>
  <c r="C290" i="9"/>
  <c r="E290" i="9" s="1"/>
  <c r="C337" i="9"/>
  <c r="E337" i="9" s="1"/>
  <c r="C386" i="9"/>
  <c r="E386" i="9" s="1"/>
  <c r="C428" i="9"/>
  <c r="E428" i="9" s="1"/>
  <c r="C474" i="9"/>
  <c r="E474" i="9" s="1"/>
  <c r="C520" i="9"/>
  <c r="G520" i="9" s="1"/>
  <c r="K140" i="15"/>
  <c r="K139" i="15"/>
  <c r="K141" i="15"/>
  <c r="K41" i="15"/>
  <c r="H4" i="24"/>
  <c r="E5" i="24"/>
  <c r="J6" i="24"/>
  <c r="M89" i="14"/>
  <c r="M85" i="14"/>
  <c r="M75" i="14"/>
  <c r="M71" i="14"/>
  <c r="M67" i="14"/>
  <c r="M63" i="14"/>
  <c r="M59" i="14"/>
  <c r="M55" i="14"/>
  <c r="M51" i="14"/>
  <c r="M47" i="14"/>
  <c r="M43" i="14"/>
  <c r="M39" i="14"/>
  <c r="M15" i="14"/>
  <c r="M19" i="14"/>
  <c r="M23" i="14"/>
  <c r="M27" i="14"/>
  <c r="M31" i="14"/>
  <c r="M92" i="14"/>
  <c r="M88" i="14"/>
  <c r="M78" i="14"/>
  <c r="M74" i="14"/>
  <c r="M70" i="14"/>
  <c r="M66" i="14"/>
  <c r="M62" i="14"/>
  <c r="M58" i="14"/>
  <c r="M54" i="14"/>
  <c r="M50" i="14"/>
  <c r="M46" i="14"/>
  <c r="M42" i="14"/>
  <c r="M38" i="14"/>
  <c r="M16" i="14"/>
  <c r="M20" i="14"/>
  <c r="M24" i="14"/>
  <c r="M28" i="14"/>
  <c r="M12" i="14"/>
  <c r="M91" i="14"/>
  <c r="M87" i="14"/>
  <c r="M77" i="14"/>
  <c r="M73" i="14"/>
  <c r="M69" i="14"/>
  <c r="M65" i="14"/>
  <c r="M61" i="14"/>
  <c r="M57" i="14"/>
  <c r="M53" i="14"/>
  <c r="M49" i="14"/>
  <c r="M45" i="14"/>
  <c r="M41" i="14"/>
  <c r="M13" i="14"/>
  <c r="M17" i="14"/>
  <c r="M21" i="14"/>
  <c r="M25" i="14"/>
  <c r="M29" i="14"/>
  <c r="M90" i="14"/>
  <c r="M86" i="14"/>
  <c r="M76" i="14"/>
  <c r="M72" i="14"/>
  <c r="M68" i="14"/>
  <c r="M64" i="14"/>
  <c r="M60" i="14"/>
  <c r="M56" i="14"/>
  <c r="M52" i="14"/>
  <c r="M48" i="14"/>
  <c r="M44" i="14"/>
  <c r="M40" i="14"/>
  <c r="M14" i="14"/>
  <c r="M18" i="14"/>
  <c r="M22" i="14"/>
  <c r="M26" i="14"/>
  <c r="M30" i="14"/>
  <c r="G82" i="9"/>
  <c r="C9" i="9"/>
  <c r="E9" i="9" s="1"/>
  <c r="G126" i="9"/>
  <c r="E33" i="9"/>
  <c r="G88" i="9"/>
  <c r="G112" i="9"/>
  <c r="E26" i="9"/>
  <c r="E77" i="9"/>
  <c r="E119" i="9"/>
  <c r="E161" i="9"/>
  <c r="E25" i="9"/>
  <c r="G105" i="9"/>
  <c r="G144" i="9"/>
  <c r="E519" i="9"/>
  <c r="E496" i="9"/>
  <c r="E462" i="9"/>
  <c r="E390" i="9"/>
  <c r="E367" i="9"/>
  <c r="E512" i="9"/>
  <c r="E435" i="9"/>
  <c r="G496" i="9"/>
  <c r="G480" i="9"/>
  <c r="E466" i="9"/>
  <c r="E416" i="9"/>
  <c r="G400" i="9"/>
  <c r="E379" i="9"/>
  <c r="E513" i="9"/>
  <c r="E499" i="9"/>
  <c r="E437" i="9"/>
  <c r="E409" i="9"/>
  <c r="G285" i="9"/>
  <c r="E248" i="9"/>
  <c r="E352" i="9"/>
  <c r="G333" i="9"/>
  <c r="E317" i="9"/>
  <c r="G280" i="9"/>
  <c r="G242" i="9"/>
  <c r="G214" i="9"/>
  <c r="E363" i="9"/>
  <c r="E289" i="9"/>
  <c r="G221" i="9"/>
  <c r="G199" i="9"/>
  <c r="E171" i="9"/>
  <c r="E34" i="9"/>
  <c r="G113" i="9"/>
  <c r="G299" i="9"/>
  <c r="G39" i="9"/>
  <c r="G79" i="9"/>
  <c r="G107" i="9"/>
  <c r="G255" i="9"/>
  <c r="G74" i="9"/>
  <c r="G124" i="9"/>
  <c r="E146" i="9"/>
  <c r="G298" i="9"/>
  <c r="G503" i="9"/>
  <c r="E490" i="9"/>
  <c r="E458" i="9"/>
  <c r="E527" i="9"/>
  <c r="E510" i="9"/>
  <c r="E465" i="9"/>
  <c r="E429" i="9"/>
  <c r="E415" i="9"/>
  <c r="E387" i="9"/>
  <c r="E492" i="9"/>
  <c r="E478" i="9"/>
  <c r="E426" i="9"/>
  <c r="E374" i="9"/>
  <c r="E495" i="9"/>
  <c r="E467" i="9"/>
  <c r="E451" i="9"/>
  <c r="E405" i="9"/>
  <c r="E389" i="9"/>
  <c r="E321" i="9"/>
  <c r="E281" i="9"/>
  <c r="G241" i="9"/>
  <c r="G217" i="9"/>
  <c r="G197" i="9"/>
  <c r="E331" i="9"/>
  <c r="G314" i="9"/>
  <c r="E276" i="9"/>
  <c r="E234" i="9"/>
  <c r="G208" i="9"/>
  <c r="G329" i="9"/>
  <c r="E267" i="9"/>
  <c r="G215" i="9"/>
  <c r="G195" i="9"/>
  <c r="G322" i="9"/>
  <c r="E293" i="9"/>
  <c r="G272" i="9"/>
  <c r="G228" i="9"/>
  <c r="G206" i="9"/>
  <c r="E47" i="9"/>
  <c r="E159" i="9"/>
  <c r="E520" i="9"/>
  <c r="G17" i="9"/>
  <c r="G99" i="9"/>
  <c r="G136" i="9"/>
  <c r="G145" i="9"/>
  <c r="G257" i="9"/>
  <c r="E40" i="9"/>
  <c r="E76" i="9"/>
  <c r="E154" i="9"/>
  <c r="G300" i="9"/>
  <c r="E452" i="9"/>
  <c r="E376" i="9"/>
  <c r="E497" i="9"/>
  <c r="E453" i="9"/>
  <c r="E425" i="9"/>
  <c r="E407" i="9"/>
  <c r="E488" i="9"/>
  <c r="E456" i="9"/>
  <c r="E394" i="9"/>
  <c r="E369" i="9"/>
  <c r="E489" i="9"/>
  <c r="E461" i="9"/>
  <c r="E399" i="9"/>
  <c r="E385" i="9"/>
  <c r="E358" i="9"/>
  <c r="E343" i="9"/>
  <c r="G318" i="9"/>
  <c r="E275" i="9"/>
  <c r="E231" i="9"/>
  <c r="E288" i="9"/>
  <c r="G226" i="9"/>
  <c r="G204" i="9"/>
  <c r="E277" i="9"/>
  <c r="E235" i="9"/>
  <c r="G209" i="9"/>
  <c r="E183" i="9"/>
  <c r="E351" i="9"/>
  <c r="G312" i="9"/>
  <c r="E268" i="9"/>
  <c r="E218" i="9"/>
  <c r="G200" i="9"/>
  <c r="G13" i="9"/>
  <c r="G101" i="9"/>
  <c r="G254" i="9"/>
  <c r="G18" i="9"/>
  <c r="G80" i="9"/>
  <c r="G140" i="9"/>
  <c r="G22" i="9"/>
  <c r="E54" i="9"/>
  <c r="G194" i="9"/>
  <c r="G78" i="9"/>
  <c r="E160" i="9"/>
  <c r="G498" i="9"/>
  <c r="E468" i="9"/>
  <c r="E514" i="9"/>
  <c r="E491" i="9"/>
  <c r="E477" i="9"/>
  <c r="G421" i="9"/>
  <c r="E403" i="9"/>
  <c r="E482" i="9"/>
  <c r="E470" i="9"/>
  <c r="G418" i="9"/>
  <c r="E404" i="9"/>
  <c r="E388" i="9"/>
  <c r="E365" i="9"/>
  <c r="G501" i="9"/>
  <c r="E479" i="9"/>
  <c r="G459" i="9"/>
  <c r="G439" i="9"/>
  <c r="E417" i="9"/>
  <c r="G397" i="9"/>
  <c r="E375" i="9"/>
  <c r="E353" i="9"/>
  <c r="G337" i="9"/>
  <c r="G313" i="9"/>
  <c r="G229" i="9"/>
  <c r="G207" i="9"/>
  <c r="E364" i="9"/>
  <c r="E336" i="9"/>
  <c r="G320" i="9"/>
  <c r="G286" i="9"/>
  <c r="G198" i="9"/>
  <c r="G335" i="9"/>
  <c r="G311" i="9"/>
  <c r="G227" i="9"/>
  <c r="G205" i="9"/>
  <c r="E177" i="9"/>
  <c r="E346" i="9"/>
  <c r="E236" i="9"/>
  <c r="G216" i="9"/>
  <c r="G196" i="9"/>
  <c r="G89" i="9"/>
  <c r="G147" i="9"/>
  <c r="E517" i="9"/>
  <c r="E274" i="9"/>
  <c r="E178" i="9"/>
  <c r="G212" i="9"/>
  <c r="G41" i="9"/>
  <c r="E170" i="9"/>
  <c r="E230" i="9"/>
  <c r="G137" i="9"/>
  <c r="E91" i="9"/>
  <c r="G462" i="9"/>
  <c r="G100" i="9"/>
  <c r="G56" i="9"/>
  <c r="G106" i="9"/>
  <c r="G458" i="9"/>
  <c r="G114" i="9"/>
  <c r="G115" i="9"/>
  <c r="G116" i="9"/>
  <c r="G129" i="9"/>
  <c r="G117" i="9"/>
  <c r="O41" i="15"/>
  <c r="M41" i="15"/>
  <c r="I106" i="15"/>
  <c r="I121" i="15"/>
  <c r="I108" i="15"/>
  <c r="I155" i="15"/>
  <c r="I49" i="15"/>
  <c r="I124" i="15"/>
  <c r="I125" i="15"/>
  <c r="I152" i="15"/>
  <c r="I114" i="15"/>
  <c r="I103" i="15"/>
  <c r="I95" i="15"/>
  <c r="I87" i="15"/>
  <c r="I79" i="15"/>
  <c r="I71" i="15"/>
  <c r="I63" i="15"/>
  <c r="I55" i="15"/>
  <c r="I34" i="15"/>
  <c r="I119" i="15"/>
  <c r="I111" i="15"/>
  <c r="I100" i="15"/>
  <c r="I92" i="15"/>
  <c r="I84" i="15"/>
  <c r="I76" i="15"/>
  <c r="I68" i="15"/>
  <c r="I60" i="15"/>
  <c r="I52" i="15"/>
  <c r="I27" i="15"/>
  <c r="I19" i="15"/>
  <c r="I30" i="15"/>
  <c r="I22" i="15"/>
  <c r="I14" i="15"/>
  <c r="I153" i="15"/>
  <c r="I154" i="15"/>
  <c r="I122" i="15"/>
  <c r="I123" i="15"/>
  <c r="I120" i="15"/>
  <c r="I112" i="15"/>
  <c r="I101" i="15"/>
  <c r="I93" i="15"/>
  <c r="I85" i="15"/>
  <c r="I77" i="15"/>
  <c r="I69" i="15"/>
  <c r="I61" i="15"/>
  <c r="I53" i="15"/>
  <c r="I32" i="15"/>
  <c r="I117" i="15"/>
  <c r="I109" i="15"/>
  <c r="I98" i="15"/>
  <c r="I90" i="15"/>
  <c r="I82" i="15"/>
  <c r="I74" i="15"/>
  <c r="I66" i="15"/>
  <c r="I58" i="15"/>
  <c r="I50" i="15"/>
  <c r="I25" i="15"/>
  <c r="I17" i="15"/>
  <c r="I28" i="15"/>
  <c r="I20" i="15"/>
  <c r="I151" i="15"/>
  <c r="I150" i="15"/>
  <c r="I128" i="15"/>
  <c r="I129" i="15"/>
  <c r="I35" i="15"/>
  <c r="I118" i="15"/>
  <c r="I110" i="15"/>
  <c r="I99" i="15"/>
  <c r="I91" i="15"/>
  <c r="I83" i="15"/>
  <c r="I75" i="15"/>
  <c r="I67" i="15"/>
  <c r="I59" i="15"/>
  <c r="I51" i="15"/>
  <c r="I115" i="15"/>
  <c r="I104" i="15"/>
  <c r="I96" i="15"/>
  <c r="I88" i="15"/>
  <c r="I80" i="15"/>
  <c r="I72" i="15"/>
  <c r="I64" i="15"/>
  <c r="I56" i="15"/>
  <c r="I31" i="15"/>
  <c r="I23" i="15"/>
  <c r="I15" i="15"/>
  <c r="I26" i="15"/>
  <c r="I18" i="15"/>
  <c r="I149" i="15"/>
  <c r="I148" i="15"/>
  <c r="I12" i="15"/>
  <c r="I126" i="15"/>
  <c r="I127" i="15"/>
  <c r="I33" i="15"/>
  <c r="I116" i="15"/>
  <c r="I105" i="15"/>
  <c r="I97" i="15"/>
  <c r="I89" i="15"/>
  <c r="I81" i="15"/>
  <c r="I73" i="15"/>
  <c r="I65" i="15"/>
  <c r="I57" i="15"/>
  <c r="I36" i="15"/>
  <c r="I107" i="15"/>
  <c r="I113" i="15"/>
  <c r="I102" i="15"/>
  <c r="I94" i="15"/>
  <c r="I86" i="15"/>
  <c r="I78" i="15"/>
  <c r="I70" i="15"/>
  <c r="I62" i="15"/>
  <c r="I54" i="15"/>
  <c r="I29" i="15"/>
  <c r="I21" i="15"/>
  <c r="I13" i="15"/>
  <c r="I24" i="15"/>
  <c r="I16" i="15"/>
  <c r="G256" i="9" l="1"/>
  <c r="G87" i="9"/>
  <c r="G73" i="9"/>
  <c r="G240" i="9"/>
  <c r="G265" i="9"/>
  <c r="G474" i="9"/>
  <c r="G436" i="9"/>
  <c r="G71" i="9"/>
  <c r="G412" i="9"/>
  <c r="G243" i="9"/>
  <c r="G128" i="9"/>
  <c r="G284" i="9"/>
  <c r="G143" i="9"/>
  <c r="G316" i="9"/>
  <c r="E525" i="9"/>
  <c r="G125" i="9"/>
  <c r="G253" i="9"/>
  <c r="G127" i="9"/>
  <c r="G262" i="9"/>
  <c r="G138" i="9"/>
  <c r="G167" i="9"/>
  <c r="G53" i="9"/>
  <c r="G94" i="9"/>
  <c r="G72" i="9"/>
  <c r="E521" i="9"/>
  <c r="G266" i="9"/>
  <c r="G213" i="9"/>
  <c r="E509" i="9"/>
  <c r="G301" i="9"/>
  <c r="G327" i="9"/>
  <c r="E526" i="9"/>
  <c r="G326" i="9"/>
  <c r="G441" i="9"/>
  <c r="G66" i="9"/>
  <c r="G49" i="9"/>
  <c r="G420" i="9"/>
  <c r="G75" i="9"/>
  <c r="G328" i="9"/>
  <c r="E522" i="9"/>
  <c r="G287" i="9"/>
  <c r="G225" i="9"/>
  <c r="G95" i="9"/>
  <c r="G258" i="9"/>
  <c r="G263" i="9"/>
  <c r="G302" i="9"/>
  <c r="G46" i="9"/>
  <c r="G264" i="9"/>
  <c r="G239" i="9"/>
  <c r="E511" i="9"/>
  <c r="G30" i="9"/>
  <c r="G271" i="9"/>
  <c r="G86" i="9"/>
  <c r="G203" i="9"/>
  <c r="G483" i="9"/>
  <c r="G93" i="9"/>
  <c r="M140" i="15"/>
  <c r="O140" i="15"/>
  <c r="M141" i="15"/>
  <c r="P141" i="15" s="1"/>
  <c r="O141" i="15"/>
  <c r="M139" i="15"/>
  <c r="O139" i="15"/>
  <c r="G451" i="9"/>
  <c r="G481" i="9"/>
  <c r="G499" i="9"/>
  <c r="G495" i="9"/>
  <c r="G491" i="9"/>
  <c r="G131" i="9"/>
  <c r="G478" i="9"/>
  <c r="G367" i="9"/>
  <c r="G146" i="9"/>
  <c r="G276" i="9"/>
  <c r="G429" i="9"/>
  <c r="G477" i="9"/>
  <c r="G9" i="9"/>
  <c r="G67" i="9"/>
  <c r="G152" i="9"/>
  <c r="G63" i="9"/>
  <c r="G377" i="9"/>
  <c r="G118" i="9"/>
  <c r="G453" i="9"/>
  <c r="G47" i="9"/>
  <c r="G390" i="9"/>
  <c r="G385" i="9"/>
  <c r="G275" i="9"/>
  <c r="G365" i="9"/>
  <c r="G369" i="9"/>
  <c r="G450" i="9"/>
  <c r="G317" i="9"/>
  <c r="G437" i="9"/>
  <c r="G76" i="9"/>
  <c r="G247" i="9"/>
  <c r="G33" i="9"/>
  <c r="G456" i="9"/>
  <c r="G492" i="9"/>
  <c r="G347" i="9"/>
  <c r="G465" i="9"/>
  <c r="G156" i="9"/>
  <c r="G218" i="9"/>
  <c r="G457" i="9"/>
  <c r="G160" i="9"/>
  <c r="G375" i="9"/>
  <c r="G177" i="9"/>
  <c r="G470" i="9"/>
  <c r="G235" i="9"/>
  <c r="G183" i="9"/>
  <c r="G182" i="9"/>
  <c r="G433" i="9"/>
  <c r="G77" i="9"/>
  <c r="G407" i="9"/>
  <c r="G434" i="9"/>
  <c r="G403" i="9"/>
  <c r="G342" i="9"/>
  <c r="G416" i="9"/>
  <c r="G363" i="9"/>
  <c r="G139" i="9"/>
  <c r="G419" i="9"/>
  <c r="G90" i="9"/>
  <c r="G336" i="9"/>
  <c r="G490" i="9"/>
  <c r="G222" i="9"/>
  <c r="G497" i="9"/>
  <c r="G290" i="9"/>
  <c r="G62" i="9"/>
  <c r="G65" i="9"/>
  <c r="G461" i="9"/>
  <c r="G345" i="9"/>
  <c r="G344" i="9"/>
  <c r="G469" i="9"/>
  <c r="G273" i="9"/>
  <c r="G350" i="9"/>
  <c r="G277" i="9"/>
  <c r="G386" i="9"/>
  <c r="G354" i="9"/>
  <c r="G427" i="9"/>
  <c r="G289" i="9"/>
  <c r="G352" i="9"/>
  <c r="G374" i="9"/>
  <c r="G119" i="9"/>
  <c r="G179" i="9"/>
  <c r="G379" i="9"/>
  <c r="G293" i="9"/>
  <c r="G471" i="9"/>
  <c r="G376" i="9"/>
  <c r="G175" i="9"/>
  <c r="G466" i="9"/>
  <c r="G130" i="9"/>
  <c r="G348" i="9"/>
  <c r="G488" i="9"/>
  <c r="G170" i="9"/>
  <c r="G396" i="9"/>
  <c r="G479" i="9"/>
  <c r="G274" i="9"/>
  <c r="G364" i="9"/>
  <c r="G388" i="9"/>
  <c r="G244" i="9"/>
  <c r="G61" i="9"/>
  <c r="G332" i="9"/>
  <c r="G248" i="9"/>
  <c r="G406" i="9"/>
  <c r="G259" i="9"/>
  <c r="G500" i="9"/>
  <c r="G321" i="9"/>
  <c r="G435" i="9"/>
  <c r="G447" i="9"/>
  <c r="G398" i="9"/>
  <c r="G405" i="9"/>
  <c r="G346" i="9"/>
  <c r="G358" i="9"/>
  <c r="G176" i="9"/>
  <c r="G230" i="9"/>
  <c r="G231" i="9"/>
  <c r="G25" i="9"/>
  <c r="G448" i="9"/>
  <c r="G268" i="9"/>
  <c r="G162" i="9"/>
  <c r="G351" i="9"/>
  <c r="G91" i="9"/>
  <c r="G409" i="9"/>
  <c r="G54" i="9"/>
  <c r="G487" i="9"/>
  <c r="O94" i="15"/>
  <c r="M94" i="15"/>
  <c r="P94" i="15" s="1"/>
  <c r="O81" i="15"/>
  <c r="M81" i="15"/>
  <c r="P81" i="15" s="1"/>
  <c r="M26" i="15"/>
  <c r="P26" i="15" s="1"/>
  <c r="O26" i="15"/>
  <c r="O51" i="15"/>
  <c r="M51" i="15"/>
  <c r="P51" i="15" s="1"/>
  <c r="O118" i="15"/>
  <c r="M118" i="15"/>
  <c r="P118" i="15" s="1"/>
  <c r="O17" i="15"/>
  <c r="M17" i="15"/>
  <c r="P17" i="15" s="1"/>
  <c r="O53" i="15"/>
  <c r="M53" i="15"/>
  <c r="P53" i="15" s="1"/>
  <c r="O153" i="15"/>
  <c r="M153" i="15"/>
  <c r="P153" i="15" s="1"/>
  <c r="O100" i="15"/>
  <c r="M100" i="15"/>
  <c r="P100" i="15" s="1"/>
  <c r="M43" i="15"/>
  <c r="P41" i="15"/>
  <c r="P43" i="15" s="1"/>
  <c r="G307" i="9"/>
  <c r="E307" i="9"/>
  <c r="G303" i="9"/>
  <c r="E303" i="9"/>
  <c r="M21" i="15"/>
  <c r="P21" i="15" s="1"/>
  <c r="O21" i="15"/>
  <c r="O70" i="15"/>
  <c r="M70" i="15"/>
  <c r="P70" i="15" s="1"/>
  <c r="O89" i="15"/>
  <c r="M89" i="15"/>
  <c r="P89" i="15" s="1"/>
  <c r="M15" i="15"/>
  <c r="P15" i="15" s="1"/>
  <c r="O15" i="15"/>
  <c r="O59" i="15"/>
  <c r="M59" i="15"/>
  <c r="P59" i="15" s="1"/>
  <c r="O151" i="15"/>
  <c r="M151" i="15"/>
  <c r="P151" i="15" s="1"/>
  <c r="M74" i="15"/>
  <c r="P74" i="15" s="1"/>
  <c r="O74" i="15"/>
  <c r="O93" i="15"/>
  <c r="M93" i="15"/>
  <c r="P93" i="15" s="1"/>
  <c r="M14" i="15"/>
  <c r="P14" i="15" s="1"/>
  <c r="O14" i="15"/>
  <c r="O27" i="15"/>
  <c r="M27" i="15"/>
  <c r="P27" i="15" s="1"/>
  <c r="O63" i="15"/>
  <c r="M63" i="15"/>
  <c r="P63" i="15" s="1"/>
  <c r="O95" i="15"/>
  <c r="M95" i="15"/>
  <c r="P95" i="15" s="1"/>
  <c r="O155" i="15"/>
  <c r="M155" i="15"/>
  <c r="P155" i="15" s="1"/>
  <c r="G267" i="9"/>
  <c r="G424" i="9"/>
  <c r="G57" i="9"/>
  <c r="G417" i="9"/>
  <c r="G426" i="9"/>
  <c r="G387" i="9"/>
  <c r="G294" i="9"/>
  <c r="E294" i="9"/>
  <c r="M16" i="15"/>
  <c r="P16" i="15" s="1"/>
  <c r="O16" i="15"/>
  <c r="M29" i="15"/>
  <c r="P29" i="15" s="1"/>
  <c r="O29" i="15"/>
  <c r="O78" i="15"/>
  <c r="M78" i="15"/>
  <c r="P78" i="15" s="1"/>
  <c r="O113" i="15"/>
  <c r="M113" i="15"/>
  <c r="P113" i="15" s="1"/>
  <c r="O65" i="15"/>
  <c r="M65" i="15"/>
  <c r="P65" i="15" s="1"/>
  <c r="O97" i="15"/>
  <c r="M97" i="15"/>
  <c r="P97" i="15" s="1"/>
  <c r="O127" i="15"/>
  <c r="M127" i="15"/>
  <c r="P127" i="15" s="1"/>
  <c r="O149" i="15"/>
  <c r="M149" i="15"/>
  <c r="P149" i="15" s="1"/>
  <c r="O23" i="15"/>
  <c r="M23" i="15"/>
  <c r="P23" i="15" s="1"/>
  <c r="O72" i="15"/>
  <c r="M72" i="15"/>
  <c r="P72" i="15" s="1"/>
  <c r="O104" i="15"/>
  <c r="M104" i="15"/>
  <c r="P104" i="15" s="1"/>
  <c r="O67" i="15"/>
  <c r="M67" i="15"/>
  <c r="P67" i="15" s="1"/>
  <c r="O99" i="15"/>
  <c r="M99" i="15"/>
  <c r="P99" i="15" s="1"/>
  <c r="O129" i="15"/>
  <c r="M129" i="15"/>
  <c r="P129" i="15" s="1"/>
  <c r="O20" i="15"/>
  <c r="M20" i="15"/>
  <c r="P20" i="15" s="1"/>
  <c r="O50" i="15"/>
  <c r="M50" i="15"/>
  <c r="P50" i="15" s="1"/>
  <c r="O82" i="15"/>
  <c r="M82" i="15"/>
  <c r="P82" i="15" s="1"/>
  <c r="O117" i="15"/>
  <c r="M117" i="15"/>
  <c r="P117" i="15" s="1"/>
  <c r="O69" i="15"/>
  <c r="M69" i="15"/>
  <c r="P69" i="15" s="1"/>
  <c r="O101" i="15"/>
  <c r="M101" i="15"/>
  <c r="P101" i="15" s="1"/>
  <c r="O122" i="15"/>
  <c r="M122" i="15"/>
  <c r="P122" i="15" s="1"/>
  <c r="M22" i="15"/>
  <c r="P22" i="15" s="1"/>
  <c r="O22" i="15"/>
  <c r="O52" i="15"/>
  <c r="M52" i="15"/>
  <c r="P52" i="15" s="1"/>
  <c r="O84" i="15"/>
  <c r="M84" i="15"/>
  <c r="P84" i="15" s="1"/>
  <c r="O119" i="15"/>
  <c r="M119" i="15"/>
  <c r="P119" i="15" s="1"/>
  <c r="O71" i="15"/>
  <c r="M71" i="15"/>
  <c r="P71" i="15" s="1"/>
  <c r="O103" i="15"/>
  <c r="M103" i="15"/>
  <c r="P103" i="15" s="1"/>
  <c r="O124" i="15"/>
  <c r="M124" i="15"/>
  <c r="P124" i="15" s="1"/>
  <c r="O121" i="15"/>
  <c r="M121" i="15"/>
  <c r="P121" i="15" s="1"/>
  <c r="G373" i="9"/>
  <c r="G371" i="9"/>
  <c r="G389" i="9"/>
  <c r="G281" i="9"/>
  <c r="G449" i="9"/>
  <c r="G159" i="9"/>
  <c r="G468" i="9"/>
  <c r="G372" i="9"/>
  <c r="G355" i="9"/>
  <c r="G394" i="9"/>
  <c r="G368" i="9"/>
  <c r="G486" i="9"/>
  <c r="G40" i="9"/>
  <c r="G163" i="9"/>
  <c r="G245" i="9"/>
  <c r="G395" i="9"/>
  <c r="G34" i="9"/>
  <c r="G366" i="9"/>
  <c r="G415" i="9"/>
  <c r="G408" i="9"/>
  <c r="G168" i="9"/>
  <c r="G234" i="9"/>
  <c r="G161" i="9"/>
  <c r="G304" i="9"/>
  <c r="E304" i="9"/>
  <c r="G306" i="9"/>
  <c r="E306" i="9"/>
  <c r="R41" i="14"/>
  <c r="O41" i="14"/>
  <c r="S41" i="14" s="1"/>
  <c r="R30" i="14"/>
  <c r="O30" i="14"/>
  <c r="S30" i="14" s="1"/>
  <c r="R60" i="14"/>
  <c r="O60" i="14"/>
  <c r="S60" i="14" s="1"/>
  <c r="R14" i="14"/>
  <c r="O14" i="14"/>
  <c r="S14" i="14" s="1"/>
  <c r="R38" i="14"/>
  <c r="O38" i="14"/>
  <c r="R75" i="14"/>
  <c r="O75" i="14"/>
  <c r="S75" i="14" s="1"/>
  <c r="R68" i="14"/>
  <c r="O68" i="14"/>
  <c r="S68" i="14" s="1"/>
  <c r="R74" i="14"/>
  <c r="O74" i="14"/>
  <c r="S74" i="14" s="1"/>
  <c r="R19" i="14"/>
  <c r="O19" i="14"/>
  <c r="S19" i="14" s="1"/>
  <c r="R43" i="14"/>
  <c r="O43" i="14"/>
  <c r="S43" i="14" s="1"/>
  <c r="R78" i="14"/>
  <c r="O78" i="14"/>
  <c r="S78" i="14" s="1"/>
  <c r="R55" i="14"/>
  <c r="O55" i="14"/>
  <c r="S55" i="14" s="1"/>
  <c r="R12" i="14"/>
  <c r="O12" i="14"/>
  <c r="R31" i="14"/>
  <c r="O31" i="14"/>
  <c r="S31" i="14" s="1"/>
  <c r="R54" i="14"/>
  <c r="O54" i="14"/>
  <c r="S54" i="14" s="1"/>
  <c r="R64" i="14"/>
  <c r="O64" i="14"/>
  <c r="S64" i="14" s="1"/>
  <c r="R88" i="14"/>
  <c r="O88" i="14"/>
  <c r="S88" i="14" s="1"/>
  <c r="M62" i="15"/>
  <c r="P62" i="15" s="1"/>
  <c r="O62" i="15"/>
  <c r="O116" i="15"/>
  <c r="M116" i="15"/>
  <c r="P116" i="15" s="1"/>
  <c r="O88" i="15"/>
  <c r="M88" i="15"/>
  <c r="P88" i="15" s="1"/>
  <c r="O66" i="15"/>
  <c r="M66" i="15"/>
  <c r="P66" i="15" s="1"/>
  <c r="O120" i="15"/>
  <c r="M120" i="15"/>
  <c r="P120" i="15" s="1"/>
  <c r="O55" i="15"/>
  <c r="M55" i="15"/>
  <c r="P55" i="15" s="1"/>
  <c r="O108" i="15"/>
  <c r="M108" i="15"/>
  <c r="P108" i="15" s="1"/>
  <c r="G50" i="9"/>
  <c r="E50" i="9"/>
  <c r="O57" i="15"/>
  <c r="M57" i="15"/>
  <c r="P57" i="15" s="1"/>
  <c r="O33" i="15"/>
  <c r="M33" i="15"/>
  <c r="P33" i="15" s="1"/>
  <c r="O64" i="15"/>
  <c r="M64" i="15"/>
  <c r="P64" i="15" s="1"/>
  <c r="O96" i="15"/>
  <c r="M96" i="15"/>
  <c r="P96" i="15" s="1"/>
  <c r="O35" i="15"/>
  <c r="M35" i="15"/>
  <c r="P35" i="15" s="1"/>
  <c r="M25" i="15"/>
  <c r="P25" i="15" s="1"/>
  <c r="O25" i="15"/>
  <c r="O61" i="15"/>
  <c r="M61" i="15"/>
  <c r="P61" i="15" s="1"/>
  <c r="O123" i="15"/>
  <c r="M123" i="15"/>
  <c r="P123" i="15" s="1"/>
  <c r="O76" i="15"/>
  <c r="M76" i="15"/>
  <c r="P76" i="15" s="1"/>
  <c r="O125" i="15"/>
  <c r="M125" i="15"/>
  <c r="P125" i="15" s="1"/>
  <c r="O24" i="15"/>
  <c r="M24" i="15"/>
  <c r="P24" i="15" s="1"/>
  <c r="O54" i="15"/>
  <c r="M54" i="15"/>
  <c r="P54" i="15" s="1"/>
  <c r="O86" i="15"/>
  <c r="M86" i="15"/>
  <c r="P86" i="15" s="1"/>
  <c r="O107" i="15"/>
  <c r="M107" i="15"/>
  <c r="P107" i="15" s="1"/>
  <c r="O73" i="15"/>
  <c r="M73" i="15"/>
  <c r="P73" i="15" s="1"/>
  <c r="O105" i="15"/>
  <c r="M105" i="15"/>
  <c r="P105" i="15" s="1"/>
  <c r="O126" i="15"/>
  <c r="M126" i="15"/>
  <c r="P126" i="15" s="1"/>
  <c r="M18" i="15"/>
  <c r="P18" i="15" s="1"/>
  <c r="O18" i="15"/>
  <c r="O31" i="15"/>
  <c r="M31" i="15"/>
  <c r="P31" i="15" s="1"/>
  <c r="O80" i="15"/>
  <c r="M80" i="15"/>
  <c r="P80" i="15" s="1"/>
  <c r="O115" i="15"/>
  <c r="M115" i="15"/>
  <c r="P115" i="15" s="1"/>
  <c r="O75" i="15"/>
  <c r="M75" i="15"/>
  <c r="P75" i="15" s="1"/>
  <c r="O110" i="15"/>
  <c r="M110" i="15"/>
  <c r="P110" i="15" s="1"/>
  <c r="O128" i="15"/>
  <c r="M128" i="15"/>
  <c r="P128" i="15" s="1"/>
  <c r="M28" i="15"/>
  <c r="P28" i="15" s="1"/>
  <c r="O28" i="15"/>
  <c r="O58" i="15"/>
  <c r="M58" i="15"/>
  <c r="P58" i="15" s="1"/>
  <c r="O90" i="15"/>
  <c r="M90" i="15"/>
  <c r="P90" i="15" s="1"/>
  <c r="O32" i="15"/>
  <c r="M32" i="15"/>
  <c r="P32" i="15" s="1"/>
  <c r="O77" i="15"/>
  <c r="M77" i="15"/>
  <c r="P77" i="15" s="1"/>
  <c r="O112" i="15"/>
  <c r="M112" i="15"/>
  <c r="P112" i="15" s="1"/>
  <c r="O154" i="15"/>
  <c r="M154" i="15"/>
  <c r="P154" i="15" s="1"/>
  <c r="O30" i="15"/>
  <c r="M30" i="15"/>
  <c r="P30" i="15" s="1"/>
  <c r="O60" i="15"/>
  <c r="M60" i="15"/>
  <c r="P60" i="15" s="1"/>
  <c r="O92" i="15"/>
  <c r="M92" i="15"/>
  <c r="P92" i="15" s="1"/>
  <c r="O34" i="15"/>
  <c r="M34" i="15"/>
  <c r="P34" i="15" s="1"/>
  <c r="O79" i="15"/>
  <c r="M79" i="15"/>
  <c r="P79" i="15" s="1"/>
  <c r="O114" i="15"/>
  <c r="M114" i="15"/>
  <c r="P114" i="15" s="1"/>
  <c r="O49" i="15"/>
  <c r="M49" i="15"/>
  <c r="P140" i="15"/>
  <c r="O106" i="15"/>
  <c r="M106" i="15"/>
  <c r="P106" i="15" s="1"/>
  <c r="G236" i="9"/>
  <c r="G343" i="9"/>
  <c r="G331" i="9"/>
  <c r="G155" i="9"/>
  <c r="G154" i="9"/>
  <c r="G404" i="9"/>
  <c r="G460" i="9"/>
  <c r="G489" i="9"/>
  <c r="G178" i="9"/>
  <c r="G438" i="9"/>
  <c r="G425" i="9"/>
  <c r="G153" i="9"/>
  <c r="G92" i="9"/>
  <c r="G467" i="9"/>
  <c r="G288" i="9"/>
  <c r="G353" i="9"/>
  <c r="G356" i="9"/>
  <c r="G295" i="9"/>
  <c r="E295" i="9"/>
  <c r="R17" i="14"/>
  <c r="O17" i="14"/>
  <c r="S17" i="14" s="1"/>
  <c r="R45" i="14"/>
  <c r="O45" i="14"/>
  <c r="S45" i="14" s="1"/>
  <c r="R77" i="14"/>
  <c r="O77" i="14"/>
  <c r="S77" i="14" s="1"/>
  <c r="R66" i="14"/>
  <c r="O66" i="14"/>
  <c r="S66" i="14" s="1"/>
  <c r="R18" i="14"/>
  <c r="O18" i="14"/>
  <c r="S18" i="14" s="1"/>
  <c r="R42" i="14"/>
  <c r="O42" i="14"/>
  <c r="S42" i="14" s="1"/>
  <c r="R65" i="14"/>
  <c r="O65" i="14"/>
  <c r="S65" i="14" s="1"/>
  <c r="R76" i="14"/>
  <c r="O76" i="14"/>
  <c r="S76" i="14" s="1"/>
  <c r="R89" i="14"/>
  <c r="O89" i="14"/>
  <c r="S89" i="14" s="1"/>
  <c r="R23" i="14"/>
  <c r="O23" i="14"/>
  <c r="S23" i="14" s="1"/>
  <c r="R47" i="14"/>
  <c r="O47" i="14"/>
  <c r="S47" i="14" s="1"/>
  <c r="R69" i="14"/>
  <c r="O69" i="14"/>
  <c r="S69" i="14" s="1"/>
  <c r="R67" i="14"/>
  <c r="O67" i="14"/>
  <c r="S67" i="14" s="1"/>
  <c r="R16" i="14"/>
  <c r="O16" i="14"/>
  <c r="S16" i="14" s="1"/>
  <c r="R40" i="14"/>
  <c r="O40" i="14"/>
  <c r="S40" i="14" s="1"/>
  <c r="R29" i="14"/>
  <c r="O29" i="14"/>
  <c r="S29" i="14" s="1"/>
  <c r="R72" i="14"/>
  <c r="O72" i="14"/>
  <c r="S72" i="14" s="1"/>
  <c r="R90" i="14"/>
  <c r="O90" i="14"/>
  <c r="S90" i="14" s="1"/>
  <c r="O56" i="15"/>
  <c r="M56" i="15"/>
  <c r="P56" i="15" s="1"/>
  <c r="O85" i="15"/>
  <c r="M85" i="15"/>
  <c r="P85" i="15" s="1"/>
  <c r="O161" i="15"/>
  <c r="M161" i="15"/>
  <c r="R21" i="14"/>
  <c r="O21" i="14"/>
  <c r="S21" i="14" s="1"/>
  <c r="R49" i="14"/>
  <c r="O49" i="14"/>
  <c r="S49" i="14" s="1"/>
  <c r="R62" i="14"/>
  <c r="O62" i="14"/>
  <c r="S62" i="14" s="1"/>
  <c r="R85" i="14"/>
  <c r="O85" i="14"/>
  <c r="R22" i="14"/>
  <c r="O22" i="14"/>
  <c r="S22" i="14" s="1"/>
  <c r="R46" i="14"/>
  <c r="O46" i="14"/>
  <c r="S46" i="14" s="1"/>
  <c r="R52" i="14"/>
  <c r="O52" i="14"/>
  <c r="S52" i="14" s="1"/>
  <c r="R53" i="14"/>
  <c r="O53" i="14"/>
  <c r="S53" i="14" s="1"/>
  <c r="R87" i="14"/>
  <c r="O87" i="14"/>
  <c r="S87" i="14" s="1"/>
  <c r="R27" i="14"/>
  <c r="O27" i="14"/>
  <c r="S27" i="14" s="1"/>
  <c r="R51" i="14"/>
  <c r="O51" i="14"/>
  <c r="S51" i="14" s="1"/>
  <c r="R56" i="14"/>
  <c r="O56" i="14"/>
  <c r="S56" i="14" s="1"/>
  <c r="R86" i="14"/>
  <c r="O86" i="14"/>
  <c r="S86" i="14" s="1"/>
  <c r="R20" i="14"/>
  <c r="O20" i="14"/>
  <c r="S20" i="14" s="1"/>
  <c r="R44" i="14"/>
  <c r="O44" i="14"/>
  <c r="S44" i="14" s="1"/>
  <c r="R73" i="14"/>
  <c r="O73" i="14"/>
  <c r="S73" i="14" s="1"/>
  <c r="R57" i="14"/>
  <c r="O57" i="14"/>
  <c r="S57" i="14" s="1"/>
  <c r="M136" i="15"/>
  <c r="P136" i="15"/>
  <c r="M13" i="15"/>
  <c r="P13" i="15" s="1"/>
  <c r="O13" i="15"/>
  <c r="O36" i="15"/>
  <c r="M36" i="15"/>
  <c r="P36" i="15" s="1"/>
  <c r="O12" i="15"/>
  <c r="M12" i="15"/>
  <c r="O83" i="15"/>
  <c r="M83" i="15"/>
  <c r="P83" i="15" s="1"/>
  <c r="O150" i="15"/>
  <c r="M150" i="15"/>
  <c r="P150" i="15" s="1"/>
  <c r="O98" i="15"/>
  <c r="M98" i="15"/>
  <c r="P98" i="15" s="1"/>
  <c r="M19" i="15"/>
  <c r="P19" i="15" s="1"/>
  <c r="O19" i="15"/>
  <c r="O68" i="15"/>
  <c r="M68" i="15"/>
  <c r="P68" i="15" s="1"/>
  <c r="O87" i="15"/>
  <c r="M87" i="15"/>
  <c r="P87" i="15" s="1"/>
  <c r="O152" i="15"/>
  <c r="M152" i="15"/>
  <c r="P152" i="15" s="1"/>
  <c r="O102" i="15"/>
  <c r="M102" i="15"/>
  <c r="P102" i="15" s="1"/>
  <c r="O148" i="15"/>
  <c r="M148" i="15"/>
  <c r="O91" i="15"/>
  <c r="M91" i="15"/>
  <c r="P91" i="15" s="1"/>
  <c r="O109" i="15"/>
  <c r="M109" i="15"/>
  <c r="P109" i="15" s="1"/>
  <c r="O111" i="15"/>
  <c r="M111" i="15"/>
  <c r="P111" i="15" s="1"/>
  <c r="G430" i="9"/>
  <c r="G428" i="9"/>
  <c r="G391" i="9"/>
  <c r="G399" i="9"/>
  <c r="G174" i="9"/>
  <c r="G482" i="9"/>
  <c r="G171" i="9"/>
  <c r="G452" i="9"/>
  <c r="G26" i="9"/>
  <c r="R25" i="14"/>
  <c r="O25" i="14"/>
  <c r="S25" i="14" s="1"/>
  <c r="R58" i="14"/>
  <c r="O58" i="14"/>
  <c r="S58" i="14" s="1"/>
  <c r="R28" i="14"/>
  <c r="O28" i="14"/>
  <c r="S28" i="14" s="1"/>
  <c r="R92" i="14"/>
  <c r="O92" i="14"/>
  <c r="S92" i="14" s="1"/>
  <c r="R26" i="14"/>
  <c r="O26" i="14"/>
  <c r="S26" i="14" s="1"/>
  <c r="R50" i="14"/>
  <c r="O50" i="14"/>
  <c r="S50" i="14" s="1"/>
  <c r="R63" i="14"/>
  <c r="O63" i="14"/>
  <c r="S63" i="14" s="1"/>
  <c r="R61" i="14"/>
  <c r="O61" i="14"/>
  <c r="S61" i="14" s="1"/>
  <c r="R15" i="14"/>
  <c r="O15" i="14"/>
  <c r="S15" i="14" s="1"/>
  <c r="R39" i="14"/>
  <c r="O39" i="14"/>
  <c r="S39" i="14" s="1"/>
  <c r="R13" i="14"/>
  <c r="O13" i="14"/>
  <c r="S13" i="14" s="1"/>
  <c r="R70" i="14"/>
  <c r="O70" i="14"/>
  <c r="S70" i="14" s="1"/>
  <c r="R91" i="14"/>
  <c r="O91" i="14"/>
  <c r="S91" i="14" s="1"/>
  <c r="R24" i="14"/>
  <c r="O24" i="14"/>
  <c r="S24" i="14" s="1"/>
  <c r="R48" i="14"/>
  <c r="O48" i="14"/>
  <c r="S48" i="14" s="1"/>
  <c r="R59" i="14"/>
  <c r="O59" i="14"/>
  <c r="S59" i="14" s="1"/>
  <c r="R71" i="14"/>
  <c r="O71" i="14"/>
  <c r="S71" i="14" s="1"/>
  <c r="M143" i="15" l="1"/>
  <c r="P12" i="15"/>
  <c r="P38" i="15" s="1"/>
  <c r="M38" i="15"/>
  <c r="P148" i="15"/>
  <c r="P158" i="15" s="1"/>
  <c r="M158" i="15"/>
  <c r="O94" i="14"/>
  <c r="P168" i="15" s="1"/>
  <c r="S85" i="14"/>
  <c r="S94" i="14" s="1"/>
  <c r="M163" i="15"/>
  <c r="P161" i="15"/>
  <c r="P163" i="15" s="1"/>
  <c r="P139" i="15"/>
  <c r="P143" i="15" s="1"/>
  <c r="P49" i="15"/>
  <c r="P131" i="15" s="1"/>
  <c r="M131" i="15"/>
  <c r="S12" i="14"/>
  <c r="S33" i="14" s="1"/>
  <c r="O33" i="14"/>
  <c r="O80" i="14"/>
  <c r="S38" i="14"/>
  <c r="S80" i="14" s="1"/>
  <c r="P167" i="15" l="1"/>
  <c r="P166" i="15"/>
  <c r="P169" i="15" s="1"/>
  <c r="M167" i="15"/>
  <c r="M166" i="15"/>
  <c r="M168" i="15" l="1"/>
  <c r="M170" i="15" s="1"/>
  <c r="O2" i="15" s="1"/>
</calcChain>
</file>

<file path=xl/comments1.xml><?xml version="1.0" encoding="utf-8"?>
<comments xmlns="http://schemas.openxmlformats.org/spreadsheetml/2006/main">
  <authors>
    <author>Chelsea Paschke</author>
    <author>Heather Garland</author>
  </authors>
  <commentList>
    <comment ref="B15" authorId="0">
      <text>
        <r>
          <rPr>
            <b/>
            <sz val="9"/>
            <color indexed="81"/>
            <rFont val="Tahoma"/>
            <family val="2"/>
          </rPr>
          <t>Chelsea Paschke:</t>
        </r>
        <r>
          <rPr>
            <sz val="9"/>
            <color indexed="81"/>
            <rFont val="Tahoma"/>
            <family val="2"/>
          </rPr>
          <t xml:space="preserve">
proceeds from recycled materials
</t>
        </r>
      </text>
    </comment>
    <comment ref="D99" authorId="1">
      <text>
        <r>
          <rPr>
            <b/>
            <sz val="9"/>
            <color indexed="81"/>
            <rFont val="Tahoma"/>
            <family val="2"/>
          </rPr>
          <t>Heather Garland:</t>
        </r>
        <r>
          <rPr>
            <sz val="9"/>
            <color indexed="81"/>
            <rFont val="Tahoma"/>
            <family val="2"/>
          </rPr>
          <t xml:space="preserve">
Remove unallowable expense.</t>
        </r>
      </text>
    </comment>
    <comment ref="B115" authorId="1">
      <text>
        <r>
          <rPr>
            <b/>
            <sz val="9"/>
            <color indexed="81"/>
            <rFont val="Tahoma"/>
            <family val="2"/>
          </rPr>
          <t>Heather Garland:</t>
        </r>
        <r>
          <rPr>
            <sz val="9"/>
            <color indexed="81"/>
            <rFont val="Tahoma"/>
            <family val="2"/>
          </rPr>
          <t xml:space="preserve">
Cost to dispose of commingle material at the landfill.  Commingle is 100% regulated.</t>
        </r>
      </text>
    </comment>
    <comment ref="B138" authorId="1">
      <text>
        <r>
          <rPr>
            <b/>
            <sz val="9"/>
            <color indexed="81"/>
            <rFont val="Tahoma"/>
            <family val="2"/>
          </rPr>
          <t>Heather Garland:</t>
        </r>
        <r>
          <rPr>
            <sz val="9"/>
            <color indexed="81"/>
            <rFont val="Tahoma"/>
            <family val="2"/>
          </rPr>
          <t xml:space="preserve">
Per Aaron, this claim is 100% related to regulated route.</t>
        </r>
      </text>
    </comment>
    <comment ref="B144" authorId="1">
      <text>
        <r>
          <rPr>
            <b/>
            <sz val="9"/>
            <color indexed="81"/>
            <rFont val="Tahoma"/>
            <family val="2"/>
          </rPr>
          <t>Heather Garland:</t>
        </r>
        <r>
          <rPr>
            <sz val="9"/>
            <color indexed="81"/>
            <rFont val="Tahoma"/>
            <family val="2"/>
          </rPr>
          <t xml:space="preserve">
Mostly Aaron Lawhead.  He's often on a truck so route hours are used.</t>
        </r>
      </text>
    </comment>
    <comment ref="B199" authorId="1">
      <text>
        <r>
          <rPr>
            <b/>
            <sz val="9"/>
            <color indexed="81"/>
            <rFont val="Tahoma"/>
            <family val="2"/>
          </rPr>
          <t>Heather Garland:</t>
        </r>
        <r>
          <rPr>
            <sz val="9"/>
            <color indexed="81"/>
            <rFont val="Tahoma"/>
            <family val="2"/>
          </rPr>
          <t xml:space="preserve">
Aaron Lawhead, allocate on Rt Hours same as his salary.</t>
        </r>
      </text>
    </comment>
    <comment ref="D200" authorId="1">
      <text>
        <r>
          <rPr>
            <b/>
            <sz val="9"/>
            <color indexed="81"/>
            <rFont val="Tahoma"/>
            <family val="2"/>
          </rPr>
          <t>Heather Garland:</t>
        </r>
        <r>
          <rPr>
            <sz val="9"/>
            <color indexed="81"/>
            <rFont val="Tahoma"/>
            <family val="2"/>
          </rPr>
          <t xml:space="preserve">
Unallowable.</t>
        </r>
      </text>
    </comment>
    <comment ref="D212" authorId="1">
      <text>
        <r>
          <rPr>
            <b/>
            <sz val="9"/>
            <color indexed="81"/>
            <rFont val="Tahoma"/>
            <family val="2"/>
          </rPr>
          <t>Heather Garland:</t>
        </r>
        <r>
          <rPr>
            <sz val="9"/>
            <color indexed="81"/>
            <rFont val="Tahoma"/>
            <family val="2"/>
          </rPr>
          <t xml:space="preserve">
Unallowable.</t>
        </r>
      </text>
    </comment>
    <comment ref="B230" authorId="1">
      <text>
        <r>
          <rPr>
            <b/>
            <sz val="9"/>
            <color indexed="81"/>
            <rFont val="Tahoma"/>
            <family val="2"/>
          </rPr>
          <t>Heather Garland:</t>
        </r>
        <r>
          <rPr>
            <sz val="9"/>
            <color indexed="81"/>
            <rFont val="Tahoma"/>
            <family val="2"/>
          </rPr>
          <t xml:space="preserve">
City franchise/utility taxes - 100% Non-Reg.</t>
        </r>
      </text>
    </comment>
  </commentList>
</comments>
</file>

<file path=xl/comments10.xml><?xml version="1.0" encoding="utf-8"?>
<comments xmlns="http://schemas.openxmlformats.org/spreadsheetml/2006/main">
  <authors>
    <author>Chelsea Paschke</author>
  </authors>
  <commentList>
    <comment ref="D54" authorId="0">
      <text>
        <r>
          <rPr>
            <b/>
            <sz val="9"/>
            <color indexed="81"/>
            <rFont val="Tahoma"/>
            <family val="2"/>
          </rPr>
          <t xml:space="preserve">Chelsea Paschke:
</t>
        </r>
        <r>
          <rPr>
            <sz val="9"/>
            <color indexed="81"/>
            <rFont val="Tahoma"/>
            <family val="2"/>
          </rPr>
          <t>16% is the disallowed portion of the WRRA fees.  Based on prior audit this same percentage is disallowed for corporate dues and subscriptions.</t>
        </r>
      </text>
    </comment>
  </commentList>
</comments>
</file>

<file path=xl/comments11.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2.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3.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4.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5.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2.xml><?xml version="1.0" encoding="utf-8"?>
<comments xmlns="http://schemas.openxmlformats.org/spreadsheetml/2006/main">
  <authors>
    <author>Heather Garland</author>
  </authors>
  <commentList>
    <comment ref="B25" authorId="0">
      <text>
        <r>
          <rPr>
            <b/>
            <sz val="9"/>
            <color indexed="81"/>
            <rFont val="Tahoma"/>
            <family val="2"/>
          </rPr>
          <t>Heather Garland:</t>
        </r>
        <r>
          <rPr>
            <sz val="9"/>
            <color indexed="81"/>
            <rFont val="Tahoma"/>
            <family val="2"/>
          </rPr>
          <t xml:space="preserve">
We bill the city for their disposal and it is taken to a separate disposal facility (Lincoln County) than Spokane or Whitman so it must be isolated and manually adjusted to non-regulated because these tons/customers were NOT included in our DF allocation calculation.</t>
        </r>
      </text>
    </comment>
    <comment ref="D66" authorId="0">
      <text>
        <r>
          <rPr>
            <b/>
            <sz val="9"/>
            <color indexed="81"/>
            <rFont val="Tahoma"/>
            <family val="2"/>
          </rPr>
          <t>Heather Garland:</t>
        </r>
        <r>
          <rPr>
            <sz val="9"/>
            <color indexed="81"/>
            <rFont val="Tahoma"/>
            <family val="2"/>
          </rPr>
          <t xml:space="preserve">
Amortize workers comp claim over 2 years.  Empire has traditionally filed for a rate increase every two years.</t>
        </r>
      </text>
    </comment>
  </commentList>
</comments>
</file>

<file path=xl/comments3.xml><?xml version="1.0" encoding="utf-8"?>
<comments xmlns="http://schemas.openxmlformats.org/spreadsheetml/2006/main">
  <authors>
    <author>Heather Garland</author>
    <author>Chelsea Paschke</author>
  </authors>
  <commentList>
    <comment ref="D13" authorId="0">
      <text>
        <r>
          <rPr>
            <b/>
            <sz val="9"/>
            <color indexed="81"/>
            <rFont val="Tahoma"/>
            <family val="2"/>
          </rPr>
          <t>Heather Garland:</t>
        </r>
        <r>
          <rPr>
            <sz val="9"/>
            <color indexed="81"/>
            <rFont val="Tahoma"/>
            <family val="2"/>
          </rPr>
          <t xml:space="preserve">
Per count of customers on MM001 Query.</t>
        </r>
      </text>
    </comment>
    <comment ref="F15" authorId="0">
      <text>
        <r>
          <rPr>
            <b/>
            <sz val="9"/>
            <color indexed="81"/>
            <rFont val="Tahoma"/>
            <family val="2"/>
          </rPr>
          <t>Heather Garland:</t>
        </r>
        <r>
          <rPr>
            <sz val="9"/>
            <color indexed="81"/>
            <rFont val="Tahoma"/>
            <family val="2"/>
          </rPr>
          <t xml:space="preserve">
Per count of customers on MM001 Query.</t>
        </r>
      </text>
    </comment>
    <comment ref="H23" authorId="1">
      <text>
        <r>
          <rPr>
            <b/>
            <sz val="9"/>
            <color indexed="81"/>
            <rFont val="Tahoma"/>
            <family val="2"/>
          </rPr>
          <t>Chelsea Paschke:</t>
        </r>
        <r>
          <rPr>
            <sz val="9"/>
            <color indexed="81"/>
            <rFont val="Tahoma"/>
            <family val="2"/>
          </rPr>
          <t xml:space="preserve">
As of 12/31/2017 we no longer service this city?  Since rates are set looking forward, we will not show any Harrington customer counts for allocation purposes.</t>
        </r>
      </text>
    </comment>
    <comment ref="D45" authorId="0">
      <text>
        <r>
          <rPr>
            <b/>
            <sz val="9"/>
            <color indexed="81"/>
            <rFont val="Tahoma"/>
            <family val="2"/>
          </rPr>
          <t>Heather Garland:</t>
        </r>
        <r>
          <rPr>
            <sz val="9"/>
            <color indexed="81"/>
            <rFont val="Tahoma"/>
            <family val="2"/>
          </rPr>
          <t xml:space="preserve">
Provided by Aaron Lawhead - 2/2/18.</t>
        </r>
      </text>
    </comment>
  </commentList>
</comments>
</file>

<file path=xl/comments4.xml><?xml version="1.0" encoding="utf-8"?>
<comments xmlns="http://schemas.openxmlformats.org/spreadsheetml/2006/main">
  <authors>
    <author>Chelsea Paschke</author>
  </authors>
  <commentList>
    <comment ref="Q4" authorId="0">
      <text>
        <r>
          <rPr>
            <b/>
            <sz val="9"/>
            <color indexed="81"/>
            <rFont val="Tahoma"/>
            <family val="2"/>
          </rPr>
          <t>Chelsea Paschke:</t>
        </r>
        <r>
          <rPr>
            <sz val="9"/>
            <color indexed="81"/>
            <rFont val="Tahoma"/>
            <family val="2"/>
          </rPr>
          <t xml:space="preserve">
New rates as of 1/1/18 per TG-171120.
</t>
        </r>
      </text>
    </comment>
  </commentList>
</comments>
</file>

<file path=xl/comments5.xml><?xml version="1.0" encoding="utf-8"?>
<comments xmlns="http://schemas.openxmlformats.org/spreadsheetml/2006/main">
  <authors>
    <author>Heather Garland</author>
  </authors>
  <commentList>
    <comment ref="K5" authorId="0">
      <text>
        <r>
          <rPr>
            <b/>
            <sz val="9"/>
            <color indexed="81"/>
            <rFont val="Tahoma"/>
            <family val="2"/>
          </rPr>
          <t>Heather Garland:</t>
        </r>
        <r>
          <rPr>
            <sz val="9"/>
            <color indexed="81"/>
            <rFont val="Tahoma"/>
            <family val="2"/>
          </rPr>
          <t xml:space="preserve">
Medical Waste rate increase will be filed at a later date, pending the results of the garbage increase audit.</t>
        </r>
      </text>
    </comment>
  </commentList>
</comments>
</file>

<file path=xl/comments6.xml><?xml version="1.0" encoding="utf-8"?>
<comments xmlns="http://schemas.openxmlformats.org/spreadsheetml/2006/main">
  <authors>
    <author>Melissa Cheesman</author>
  </authors>
  <commentList>
    <comment ref="B40" authorId="0">
      <text>
        <r>
          <rPr>
            <b/>
            <sz val="9"/>
            <color indexed="81"/>
            <rFont val="Tahoma"/>
            <family val="2"/>
          </rPr>
          <t>Melissa Cheesman:</t>
        </r>
        <r>
          <rPr>
            <sz val="9"/>
            <color indexed="81"/>
            <rFont val="Tahoma"/>
            <family val="2"/>
          </rPr>
          <t xml:space="preserve">
Shop and Office
Based on preivoius owers bases (purchase) of the property. Property address - 905 N Sumner, Colfax, WA 99111
</t>
        </r>
      </text>
    </comment>
    <comment ref="B42" authorId="0">
      <text>
        <r>
          <rPr>
            <b/>
            <sz val="9"/>
            <color indexed="81"/>
            <rFont val="Tahoma"/>
            <family val="2"/>
          </rPr>
          <t>Melissa Cheesman:</t>
        </r>
        <r>
          <rPr>
            <sz val="9"/>
            <color indexed="81"/>
            <rFont val="Tahoma"/>
            <family val="2"/>
          </rPr>
          <t xml:space="preserve">
Empty lots used to store containers.
Based on preivoius owers bases (purchase) of the property. Property has no address. Approx location is 1/2 mile form the Main Yard - SR 26, Mile Marker 34, Whitman County</t>
        </r>
      </text>
    </comment>
  </commentList>
</comments>
</file>

<file path=xl/comments7.xml><?xml version="1.0" encoding="utf-8"?>
<comments xmlns="http://schemas.openxmlformats.org/spreadsheetml/2006/main">
  <authors>
    <author>brianbr</author>
  </authors>
  <commentList>
    <comment ref="I71" authorId="0">
      <text>
        <r>
          <rPr>
            <b/>
            <sz val="9"/>
            <color indexed="81"/>
            <rFont val="Tahoma"/>
            <family val="2"/>
          </rPr>
          <t>brianbr:</t>
        </r>
        <r>
          <rPr>
            <sz val="9"/>
            <color indexed="81"/>
            <rFont val="Tahoma"/>
            <family val="2"/>
          </rPr>
          <t xml:space="preserve">
burner was down much of July</t>
        </r>
      </text>
    </comment>
  </commentList>
</comments>
</file>

<file path=xl/comments8.xml><?xml version="1.0" encoding="utf-8"?>
<comments xmlns="http://schemas.openxmlformats.org/spreadsheetml/2006/main">
  <authors>
    <author>Jennifer Bergheim</author>
  </authors>
  <commentList>
    <comment ref="N7" authorId="0">
      <text>
        <r>
          <rPr>
            <b/>
            <sz val="9"/>
            <color indexed="81"/>
            <rFont val="Tahoma"/>
            <family val="2"/>
          </rPr>
          <t>Jennifer Bergheim:</t>
        </r>
        <r>
          <rPr>
            <sz val="9"/>
            <color indexed="81"/>
            <rFont val="Tahoma"/>
            <family val="2"/>
          </rPr>
          <t xml:space="preserve">
This column represents driver safety bonuses and customer service tooty bonuses. 7/15/16</t>
        </r>
      </text>
    </comment>
    <comment ref="P74" authorId="0">
      <text>
        <r>
          <rPr>
            <b/>
            <sz val="9"/>
            <color indexed="81"/>
            <rFont val="Tahoma"/>
            <family val="2"/>
          </rPr>
          <t>Jennifer Bergheim:</t>
        </r>
        <r>
          <rPr>
            <sz val="9"/>
            <color indexed="81"/>
            <rFont val="Tahoma"/>
            <family val="2"/>
          </rPr>
          <t xml:space="preserve">
GL amounts to be linked to income  statement in pro forma</t>
        </r>
      </text>
    </comment>
  </commentList>
</comments>
</file>

<file path=xl/comments9.xml><?xml version="1.0" encoding="utf-8"?>
<comments xmlns="http://schemas.openxmlformats.org/spreadsheetml/2006/main">
  <authors>
    <author>Heather Garland</author>
  </authors>
  <commentList>
    <comment ref="C23" authorId="0">
      <text>
        <r>
          <rPr>
            <b/>
            <sz val="9"/>
            <color indexed="81"/>
            <rFont val="Tahoma"/>
            <family val="2"/>
          </rPr>
          <t>Heather Garland:</t>
        </r>
        <r>
          <rPr>
            <sz val="9"/>
            <color indexed="81"/>
            <rFont val="Tahoma"/>
            <family val="2"/>
          </rPr>
          <t xml:space="preserve">
From external payroll document. Support can be provided upon request.</t>
        </r>
      </text>
    </comment>
  </commentList>
</comments>
</file>

<file path=xl/sharedStrings.xml><?xml version="1.0" encoding="utf-8"?>
<sst xmlns="http://schemas.openxmlformats.org/spreadsheetml/2006/main" count="7896" uniqueCount="2117">
  <si>
    <t>Consolidated Income Statement</t>
  </si>
  <si>
    <t>UNADJUSTED</t>
  </si>
  <si>
    <t>RESTATING</t>
  </si>
  <si>
    <t>ADJUSTED</t>
  </si>
  <si>
    <t>PRO FORMA</t>
  </si>
  <si>
    <t>FINAL</t>
  </si>
  <si>
    <t>ALLOCATED</t>
  </si>
  <si>
    <t>TOTAL</t>
  </si>
  <si>
    <t>REGULATED</t>
  </si>
  <si>
    <t>FINANCIALS</t>
  </si>
  <si>
    <t>ADJUSTMENTS</t>
  </si>
  <si>
    <t>NON-REGULATED</t>
  </si>
  <si>
    <t>Allocator</t>
  </si>
  <si>
    <t>RECYCLE ROUTES</t>
  </si>
  <si>
    <t>Check $</t>
  </si>
  <si>
    <t>Check %</t>
  </si>
  <si>
    <t>Revenue:</t>
  </si>
  <si>
    <t>Residential</t>
  </si>
  <si>
    <t>RS-1</t>
  </si>
  <si>
    <t>Actual</t>
  </si>
  <si>
    <t xml:space="preserve">Commercial </t>
  </si>
  <si>
    <t>Drop Box</t>
  </si>
  <si>
    <t>Pass Thru</t>
  </si>
  <si>
    <t>Recycling Material</t>
  </si>
  <si>
    <t>Service Charge</t>
  </si>
  <si>
    <t>P-Card Rebate</t>
  </si>
  <si>
    <t>Total</t>
  </si>
  <si>
    <t>Expenses:</t>
  </si>
  <si>
    <t>Rt Hrs</t>
  </si>
  <si>
    <t>Repair-Shop, Bldg</t>
  </si>
  <si>
    <t>Wages Mechanics</t>
  </si>
  <si>
    <t>Salaries</t>
  </si>
  <si>
    <t>Wages-Regular</t>
  </si>
  <si>
    <t>RS-9</t>
  </si>
  <si>
    <t>Wages-OT</t>
  </si>
  <si>
    <t>Safety Bonus</t>
  </si>
  <si>
    <t>Other Bonus</t>
  </si>
  <si>
    <t>Vacation Pay</t>
  </si>
  <si>
    <t>Sick Pay</t>
  </si>
  <si>
    <t>Wages Container Mechanics</t>
  </si>
  <si>
    <t>Wages Regular</t>
  </si>
  <si>
    <t>Wages O.T.</t>
  </si>
  <si>
    <t>Safety Bonuses</t>
  </si>
  <si>
    <t>Other Bonus/Commission - Non-Safety</t>
  </si>
  <si>
    <t>Holiday Pay</t>
  </si>
  <si>
    <t>Parts &amp; Materials</t>
  </si>
  <si>
    <t>Operating Supplies</t>
  </si>
  <si>
    <t>Total Parts &amp; Materials</t>
  </si>
  <si>
    <t>Outside Repair</t>
  </si>
  <si>
    <t>Accident Repair</t>
  </si>
  <si>
    <t>Damage Paid by District</t>
  </si>
  <si>
    <t>Ins Claims Repairs</t>
  </si>
  <si>
    <t>Tires &amp; Tubes</t>
  </si>
  <si>
    <t xml:space="preserve">Other Maint </t>
  </si>
  <si>
    <t>Contract Labor</t>
  </si>
  <si>
    <t>Uniforms</t>
  </si>
  <si>
    <t>Communications</t>
  </si>
  <si>
    <t>Equip/Vehicle Rental</t>
  </si>
  <si>
    <t>Towing</t>
  </si>
  <si>
    <t>Travel</t>
  </si>
  <si>
    <t>Costs Awaiting Capitalization</t>
  </si>
  <si>
    <t>Safety &amp; Training</t>
  </si>
  <si>
    <t>Outside Repairs</t>
  </si>
  <si>
    <t>Allocated Exp In - District</t>
  </si>
  <si>
    <t>Drive Cam Fees</t>
  </si>
  <si>
    <t>Wages-Supervisor</t>
  </si>
  <si>
    <t>Salaries-Supervisor</t>
  </si>
  <si>
    <t>RS-5</t>
  </si>
  <si>
    <t>Driver Wages</t>
  </si>
  <si>
    <t>Wages OT</t>
  </si>
  <si>
    <t>Total Driver Wages</t>
  </si>
  <si>
    <t>Fuel &amp; Oil</t>
  </si>
  <si>
    <t>Fuel Expense</t>
  </si>
  <si>
    <t>Oil and Grease</t>
  </si>
  <si>
    <t>Total Fuel and Oil</t>
  </si>
  <si>
    <t>Other Collection Exp</t>
  </si>
  <si>
    <t>Drug Screening</t>
  </si>
  <si>
    <t>Other Prof Fees</t>
  </si>
  <si>
    <t>Penalties &amp; Violations</t>
  </si>
  <si>
    <t>Dump Fee and Charges</t>
  </si>
  <si>
    <t>Disposal Landfill</t>
  </si>
  <si>
    <t>RS-2</t>
  </si>
  <si>
    <t>Processing Fee</t>
  </si>
  <si>
    <t>Sales</t>
  </si>
  <si>
    <t>WUTC Fee</t>
  </si>
  <si>
    <t>UTC Fee</t>
  </si>
  <si>
    <t>RS-6</t>
  </si>
  <si>
    <t>Revenue</t>
  </si>
  <si>
    <t>Advertising Expense</t>
  </si>
  <si>
    <t>Advertising and Promotions</t>
  </si>
  <si>
    <t>Advertising Exp</t>
  </si>
  <si>
    <t>Public Liability</t>
  </si>
  <si>
    <t>Self Insurance Premium</t>
  </si>
  <si>
    <t>Current Year Claims</t>
  </si>
  <si>
    <t>Prior Year Claims</t>
  </si>
  <si>
    <t>Property &amp; Liability ins</t>
  </si>
  <si>
    <t>Workmen's Comp</t>
  </si>
  <si>
    <t>WC Current Year Claims</t>
  </si>
  <si>
    <t>WC Prior Year Claims</t>
  </si>
  <si>
    <t>RS-4</t>
  </si>
  <si>
    <t>WC Premium</t>
  </si>
  <si>
    <t>Bond Exp-WC</t>
  </si>
  <si>
    <t>Salaries - Office</t>
  </si>
  <si>
    <t>RS-5; RS-9</t>
  </si>
  <si>
    <t>Vacation</t>
  </si>
  <si>
    <t>Sick Leave</t>
  </si>
  <si>
    <t>Salaries-Office</t>
  </si>
  <si>
    <t>Management Fee</t>
  </si>
  <si>
    <t>Corp OH Allocation</t>
  </si>
  <si>
    <t>RS-3</t>
  </si>
  <si>
    <t>Office &amp; Other Expense</t>
  </si>
  <si>
    <t>Office Supplies and Equip</t>
  </si>
  <si>
    <t>Postage</t>
  </si>
  <si>
    <t>Bldg &amp; Property Maint</t>
  </si>
  <si>
    <t>Office Supplies</t>
  </si>
  <si>
    <t>Payroll Processing Fee</t>
  </si>
  <si>
    <t>Data Processing</t>
  </si>
  <si>
    <t>Customer Notification</t>
  </si>
  <si>
    <t>Credit and Collection</t>
  </si>
  <si>
    <t>Office &amp; Other Exp</t>
  </si>
  <si>
    <t>Legal &amp; Accounting</t>
  </si>
  <si>
    <t>Legal</t>
  </si>
  <si>
    <t>Utilities</t>
  </si>
  <si>
    <t>Communication</t>
  </si>
  <si>
    <t>Employee Welfare</t>
  </si>
  <si>
    <t>Group Insurance</t>
  </si>
  <si>
    <t>Pension</t>
  </si>
  <si>
    <t>Bad Debt</t>
  </si>
  <si>
    <t>Bad Debt Provision</t>
  </si>
  <si>
    <t>RS-8</t>
  </si>
  <si>
    <t>Bad Debts</t>
  </si>
  <si>
    <t>Other General Expenses</t>
  </si>
  <si>
    <t>Empl &amp; Commun Activ</t>
  </si>
  <si>
    <t>Employee Comm Activity</t>
  </si>
  <si>
    <t>Employee Relocation</t>
  </si>
  <si>
    <t>Contributions</t>
  </si>
  <si>
    <t>Alloc Exp In Distr</t>
  </si>
  <si>
    <t>Cell Phones</t>
  </si>
  <si>
    <t>Dues &amp; Subscriptions</t>
  </si>
  <si>
    <t>Entertainment</t>
  </si>
  <si>
    <t>Excursion Meetings</t>
  </si>
  <si>
    <t>Lodging</t>
  </si>
  <si>
    <t>Travel Auto</t>
  </si>
  <si>
    <t>Meals</t>
  </si>
  <si>
    <t>Meals with Customers</t>
  </si>
  <si>
    <t>Credit Card Fees</t>
  </si>
  <si>
    <t>Recruitment Advertising &amp; Expenses</t>
  </si>
  <si>
    <t>Other Professional Fees</t>
  </si>
  <si>
    <t>Coffee Bar</t>
  </si>
  <si>
    <t>Permits</t>
  </si>
  <si>
    <t>Depreciation, Amortization &amp; Sale of Assets</t>
  </si>
  <si>
    <t>Depreciation Trks</t>
  </si>
  <si>
    <t>RS-7</t>
  </si>
  <si>
    <t>Depr</t>
  </si>
  <si>
    <t>Depreciation Cont, DB</t>
  </si>
  <si>
    <t>Depreciation Service</t>
  </si>
  <si>
    <t>Depreciation Shop</t>
  </si>
  <si>
    <t>Depreciation Office</t>
  </si>
  <si>
    <t>Amortization</t>
  </si>
  <si>
    <t>Sale of Asset (5 Acres of Granger Land)</t>
  </si>
  <si>
    <t>Operating Tax &amp; Licensing</t>
  </si>
  <si>
    <t>Rebate &amp; Rev Sharing</t>
  </si>
  <si>
    <t>Operating Tax &amp; Lic</t>
  </si>
  <si>
    <t>State Excise Tax</t>
  </si>
  <si>
    <t>Taxes &amp; Pass Thru Fees</t>
  </si>
  <si>
    <t>Vehicle Licenses</t>
  </si>
  <si>
    <t>Licenses</t>
  </si>
  <si>
    <t>Property Tax</t>
  </si>
  <si>
    <t>Payroll Taxes</t>
  </si>
  <si>
    <t>RS-5, RS-9</t>
  </si>
  <si>
    <t>Rent-Land, Structures</t>
  </si>
  <si>
    <t>Real Estate Rental</t>
  </si>
  <si>
    <t>Long Term Contr Amort</t>
  </si>
  <si>
    <t>Total Amort</t>
  </si>
  <si>
    <t>Operating Ratio</t>
  </si>
  <si>
    <t>Net Income (Loss)</t>
  </si>
  <si>
    <t>Average Investment</t>
  </si>
  <si>
    <t>Acct</t>
  </si>
  <si>
    <t>AcctName</t>
  </si>
  <si>
    <t>Act(-11)</t>
  </si>
  <si>
    <t>Act(-10)</t>
  </si>
  <si>
    <t>Act(-9)</t>
  </si>
  <si>
    <t>Act(-8)</t>
  </si>
  <si>
    <t>Act(-7)</t>
  </si>
  <si>
    <t>Act(-6)</t>
  </si>
  <si>
    <t>Act(-5)</t>
  </si>
  <si>
    <t>Act(-4)</t>
  </si>
  <si>
    <t>Act(-3)</t>
  </si>
  <si>
    <t>Act(-2)</t>
  </si>
  <si>
    <t>Act(-1)</t>
  </si>
  <si>
    <t>Act</t>
  </si>
  <si>
    <t>Waste Connections, Inc.</t>
  </si>
  <si>
    <t>Districts/Grouping:</t>
  </si>
  <si>
    <t>2120</t>
  </si>
  <si>
    <t>Exclude IC:</t>
  </si>
  <si>
    <t/>
  </si>
  <si>
    <t>System:</t>
  </si>
  <si>
    <t>2017-12</t>
  </si>
  <si>
    <t>Category</t>
  </si>
  <si>
    <t>[Fixed][Acct]='98501'</t>
  </si>
  <si>
    <t>Days - Weekdays</t>
  </si>
  <si>
    <t>IS Hauling</t>
  </si>
  <si>
    <t>Hauling Revenue - Roll Off Permanent</t>
  </si>
  <si>
    <t>[!DetailRow]</t>
  </si>
  <si>
    <t>Corporate Roll Off Disposal Charge</t>
  </si>
  <si>
    <t>Hauling Revenue - Roll Off Extras</t>
  </si>
  <si>
    <t>Hauling Revenue - Residential MSW</t>
  </si>
  <si>
    <t>Hauling Revenue - Residential MSW Extras</t>
  </si>
  <si>
    <t>Hauling Revenue - Commercial FEL</t>
  </si>
  <si>
    <t>Hauling Revenue - Commercial FEL Extras</t>
  </si>
  <si>
    <t>Hauling Revenue - Commercial REL Extras</t>
  </si>
  <si>
    <t>Hauling Revenue</t>
  </si>
  <si>
    <t>IS Transfer</t>
  </si>
  <si>
    <t>Transfer and MRF</t>
  </si>
  <si>
    <t>IS MRF</t>
  </si>
  <si>
    <t>Proceeds - Metal</t>
  </si>
  <si>
    <t>Proceeds - Commingled</t>
  </si>
  <si>
    <t>Recycling Proceeds</t>
  </si>
  <si>
    <t>IS Landfill</t>
  </si>
  <si>
    <t>Landfill Revenue</t>
  </si>
  <si>
    <t>IS Intermodal</t>
  </si>
  <si>
    <t>Intermodal</t>
  </si>
  <si>
    <t>IS Other Revenue</t>
  </si>
  <si>
    <t>Other Revenue</t>
  </si>
  <si>
    <t>P-Card Rebate Revenue</t>
  </si>
  <si>
    <t>IS Disposal</t>
  </si>
  <si>
    <t>Disposal Incineration</t>
  </si>
  <si>
    <t>Disposal Transfer Station</t>
  </si>
  <si>
    <t>Disposal</t>
  </si>
  <si>
    <t>IS MRF Processing</t>
  </si>
  <si>
    <t>MRF Processing</t>
  </si>
  <si>
    <t>IS BRT</t>
  </si>
  <si>
    <t>Rebates and Revenue Sharing</t>
  </si>
  <si>
    <t>Taxes and Pass Thru Fees</t>
  </si>
  <si>
    <t>WUTC Taxes</t>
  </si>
  <si>
    <t>Brok. and Taxes</t>
  </si>
  <si>
    <t>IS Recycling Mat</t>
  </si>
  <si>
    <t>Cost of Materials - OCC</t>
  </si>
  <si>
    <t>Cost of Materials - Other Recyclables</t>
  </si>
  <si>
    <t>Cost of Materials</t>
  </si>
  <si>
    <t>IS Other Expense</t>
  </si>
  <si>
    <t>Other Expense</t>
  </si>
  <si>
    <t>Rev Reductions</t>
  </si>
  <si>
    <t>Net Revenue</t>
  </si>
  <si>
    <t>IS Labor</t>
  </si>
  <si>
    <t>Safety and Training</t>
  </si>
  <si>
    <t>Pension and Profit Sharing</t>
  </si>
  <si>
    <t>Labor</t>
  </si>
  <si>
    <t>IS Fixed Equipment</t>
  </si>
  <si>
    <t>Truck Fixed</t>
  </si>
  <si>
    <t>IS Truck Variable</t>
  </si>
  <si>
    <t>Parts and Materials</t>
  </si>
  <si>
    <t>Tires</t>
  </si>
  <si>
    <t>Towing Expense</t>
  </si>
  <si>
    <t>Truck Variable</t>
  </si>
  <si>
    <t>IS Container</t>
  </si>
  <si>
    <t>Container Exp</t>
  </si>
  <si>
    <t>IS Supervisor</t>
  </si>
  <si>
    <t>Superv. Ex</t>
  </si>
  <si>
    <t>IS OtherOpExp</t>
  </si>
  <si>
    <t>Bldg &amp; Property</t>
  </si>
  <si>
    <t>Real Estate Rentals</t>
  </si>
  <si>
    <t>Drive Cam &amp; Routing SW Fees</t>
  </si>
  <si>
    <t>Property Taxes</t>
  </si>
  <si>
    <t>Penalties and Violations</t>
  </si>
  <si>
    <t>Bonds Expense</t>
  </si>
  <si>
    <t>Other Operating</t>
  </si>
  <si>
    <t>Closure Exp</t>
  </si>
  <si>
    <t>IS Insurance</t>
  </si>
  <si>
    <t>A&amp;L - Current Year Claims</t>
  </si>
  <si>
    <t>WC - Current Year Claims</t>
  </si>
  <si>
    <t>WC - Prior Year Claims</t>
  </si>
  <si>
    <t>Workers Comp Prem</t>
  </si>
  <si>
    <t>Insurance Exp</t>
  </si>
  <si>
    <t>IS OpDisposal</t>
  </si>
  <si>
    <t>Gain/Loss on Sale of Asset</t>
  </si>
  <si>
    <t>G/L on Ops</t>
  </si>
  <si>
    <t>Cost of Ops</t>
  </si>
  <si>
    <t>Gross Profit</t>
  </si>
  <si>
    <t>IS Sales</t>
  </si>
  <si>
    <t>Sales Exp</t>
  </si>
  <si>
    <t>IS G&amp;A</t>
  </si>
  <si>
    <t>Cellular Telephone</t>
  </si>
  <si>
    <t>Dues and Subscriptions</t>
  </si>
  <si>
    <t>Excursions Meetings</t>
  </si>
  <si>
    <t>Travel - Auto</t>
  </si>
  <si>
    <t>Payroll Processing Fees</t>
  </si>
  <si>
    <t>G&amp;A</t>
  </si>
  <si>
    <t>IS Overhead</t>
  </si>
  <si>
    <t>Corporate Overhead Allocation In</t>
  </si>
  <si>
    <t>Corp Overhead</t>
  </si>
  <si>
    <t>Total SG&amp;A</t>
  </si>
  <si>
    <t>EBITDA</t>
  </si>
  <si>
    <t>Watch list EBITDA</t>
  </si>
  <si>
    <t>IS Depreciation</t>
  </si>
  <si>
    <t>Depreciation</t>
  </si>
  <si>
    <t>IS Depletion</t>
  </si>
  <si>
    <t>Airspace Amort</t>
  </si>
  <si>
    <t>IS Amort</t>
  </si>
  <si>
    <t>Long Term Contract Amort</t>
  </si>
  <si>
    <t>Intangible Amort</t>
  </si>
  <si>
    <t>Total DDA</t>
  </si>
  <si>
    <t>EBIT From Ops</t>
  </si>
  <si>
    <t>IS Interest</t>
  </si>
  <si>
    <t>Interest Exp</t>
  </si>
  <si>
    <t>IS Interest Income</t>
  </si>
  <si>
    <t>Interest Income</t>
  </si>
  <si>
    <t>IS OtherIncExp</t>
  </si>
  <si>
    <t>Other Inc/Exp</t>
  </si>
  <si>
    <t>NI b/ Taxes &amp; Extra</t>
  </si>
  <si>
    <t>IS Extraordinary</t>
  </si>
  <si>
    <t>Extra. Items</t>
  </si>
  <si>
    <t>NI b/ Taxes</t>
  </si>
  <si>
    <t>IS Taxes</t>
  </si>
  <si>
    <t>Taxes</t>
  </si>
  <si>
    <t>Net Income</t>
  </si>
  <si>
    <t>IS NoncontrollingExp</t>
  </si>
  <si>
    <t>Non Controlling Int</t>
  </si>
  <si>
    <t>Net Income Attrib</t>
  </si>
  <si>
    <t>[Leftovers]</t>
  </si>
  <si>
    <t>Data Not Included</t>
  </si>
  <si>
    <t>Check</t>
  </si>
  <si>
    <t>MEDICAL</t>
  </si>
  <si>
    <t>WASTE</t>
  </si>
  <si>
    <t>Allocation Ratios</t>
  </si>
  <si>
    <t>Regulated</t>
  </si>
  <si>
    <t>Non-Reg</t>
  </si>
  <si>
    <t>Med Waste</t>
  </si>
  <si>
    <t>Recycling</t>
  </si>
  <si>
    <t>Commercial Recycling</t>
  </si>
  <si>
    <t>Medical Waste</t>
  </si>
  <si>
    <t>M</t>
  </si>
  <si>
    <t>RO</t>
  </si>
  <si>
    <t>Non-Regulated</t>
  </si>
  <si>
    <t>Containers</t>
  </si>
  <si>
    <t>!??!</t>
  </si>
  <si>
    <t>OP/RATIO</t>
  </si>
  <si>
    <t xml:space="preserve">      curve</t>
  </si>
  <si>
    <t>FORMULAS</t>
  </si>
  <si>
    <t>1st Revenue</t>
  </si>
  <si>
    <t>1st Turnover</t>
  </si>
  <si>
    <t>ROR</t>
  </si>
  <si>
    <t>ROE</t>
  </si>
  <si>
    <t>Adj ROE</t>
  </si>
  <si>
    <t>Pre Tax ROE</t>
  </si>
  <si>
    <t>Adj M</t>
  </si>
  <si>
    <t>Revenues</t>
  </si>
  <si>
    <t>Decision</t>
  </si>
  <si>
    <t xml:space="preserve">     lookup table</t>
  </si>
  <si>
    <t>!!!</t>
  </si>
  <si>
    <t>Revenue Requirement</t>
  </si>
  <si>
    <t>!!!&lt;--</t>
  </si>
  <si>
    <t xml:space="preserve"> 1. less than 50</t>
  </si>
  <si>
    <t>@EXP(5.72260-(.68367*@LN(T)))</t>
  </si>
  <si>
    <t>Revenue Deficiency</t>
  </si>
  <si>
    <t>Increase</t>
  </si>
  <si>
    <t xml:space="preserve"> 2. Between 50 and 125</t>
  </si>
  <si>
    <t>@EXP(5.70827-(.68367*@LN(T)))</t>
  </si>
  <si>
    <t>*</t>
  </si>
  <si>
    <t>-</t>
  </si>
  <si>
    <t>* p/f before rates</t>
  </si>
  <si>
    <t xml:space="preserve"> 3. Between 125 and 140</t>
  </si>
  <si>
    <t>@EXP(5.69850-(.68367*@LN(T)))</t>
  </si>
  <si>
    <t>Expenses</t>
  </si>
  <si>
    <t xml:space="preserve"> 4. greater than 400</t>
  </si>
  <si>
    <t>@EXP(5.69220-(.68367*@LN(T)))</t>
  </si>
  <si>
    <t>Avg. Investment  -</t>
  </si>
  <si>
    <t>curve turnover</t>
  </si>
  <si>
    <t>(calculated)</t>
  </si>
  <si>
    <t>2nd Turnover</t>
  </si>
  <si>
    <t xml:space="preserve">     lookup tables</t>
  </si>
  <si>
    <t>final turnover</t>
  </si>
  <si>
    <t>curve No. used</t>
  </si>
  <si>
    <t xml:space="preserve">Company actual </t>
  </si>
  <si>
    <t>capital structure:</t>
  </si>
  <si>
    <t>OPERATING RATIO -&gt;</t>
  </si>
  <si>
    <t>3rd Turnover</t>
  </si>
  <si>
    <t xml:space="preserve">Actual Debt Ratio </t>
  </si>
  <si>
    <t xml:space="preserve"> Conversion factor data:</t>
  </si>
  <si>
    <t>Actual Equity Ratio</t>
  </si>
  <si>
    <t xml:space="preserve"> B &amp; O Tax</t>
  </si>
  <si>
    <t>Actual Cost of Debt</t>
  </si>
  <si>
    <t xml:space="preserve"> WUTC Fee</t>
  </si>
  <si>
    <t>Basis Pts</t>
  </si>
  <si>
    <t>Corp OH</t>
  </si>
  <si>
    <t>Tax Rate</t>
  </si>
  <si>
    <t xml:space="preserve"> Bad Debts</t>
  </si>
  <si>
    <t>4th Turnover</t>
  </si>
  <si>
    <t>Revenue Sensitive</t>
  </si>
  <si>
    <t>Conversion Factor</t>
  </si>
  <si>
    <t>yes</t>
  </si>
  <si>
    <t>5th Turnover</t>
  </si>
  <si>
    <t>6th Turnover</t>
  </si>
  <si>
    <t>7th turnover</t>
  </si>
  <si>
    <t>8th turnover</t>
  </si>
  <si>
    <t>9th turnover</t>
  </si>
  <si>
    <t>District</t>
  </si>
  <si>
    <t>2010 - Vancouver Hauling</t>
  </si>
  <si>
    <t>2051 - CRC</t>
  </si>
  <si>
    <t>2053 - Triangle</t>
  </si>
  <si>
    <t>2120 - Empire Disposal</t>
  </si>
  <si>
    <t>2195 - Yakima Waste</t>
  </si>
  <si>
    <t>Depreciation of LH Improv</t>
  </si>
  <si>
    <t>Disposal Transfer - Spokane</t>
  </si>
  <si>
    <t>Empire Disposal</t>
  </si>
  <si>
    <t>Test Period Ending 12-31-2017</t>
  </si>
  <si>
    <t>Empire Disposal, Inc.</t>
  </si>
  <si>
    <t>Customer Counts (CUST)</t>
  </si>
  <si>
    <t>Spokane Co. Reg</t>
  </si>
  <si>
    <t>Whitman Co. Reg</t>
  </si>
  <si>
    <t>Total Reg</t>
  </si>
  <si>
    <t xml:space="preserve">City Contract/Non-Reg </t>
  </si>
  <si>
    <t>Reg LOB Allocator</t>
  </si>
  <si>
    <t>Resi MSW</t>
  </si>
  <si>
    <t>Packer/RO</t>
  </si>
  <si>
    <t>Resi Recycle</t>
  </si>
  <si>
    <t>Comm MSW</t>
  </si>
  <si>
    <t>Roll Off MSW</t>
  </si>
  <si>
    <t>Roll Off Recycling</t>
  </si>
  <si>
    <t>Billed Customer Counts (BILLED)</t>
  </si>
  <si>
    <t>Non Reg</t>
  </si>
  <si>
    <t>Army</t>
  </si>
  <si>
    <t>Harrington</t>
  </si>
  <si>
    <t>Latah Co</t>
  </si>
  <si>
    <t>Rockford</t>
  </si>
  <si>
    <t>Spangle</t>
  </si>
  <si>
    <t>Starbuck</t>
  </si>
  <si>
    <t>Tekoa</t>
  </si>
  <si>
    <t>Non-Reg Recycle</t>
  </si>
  <si>
    <t>Resi</t>
  </si>
  <si>
    <t>Comm</t>
  </si>
  <si>
    <t>Resi Rec</t>
  </si>
  <si>
    <t>Total Billed</t>
  </si>
  <si>
    <t>Calculation of City Billed Customers</t>
  </si>
  <si>
    <t>Total City/Non-Reg Customers</t>
  </si>
  <si>
    <t>Less Army (Empire Bills)</t>
  </si>
  <si>
    <t>City Bills &amp; Collects</t>
  </si>
  <si>
    <t>10% "Loading" factor to allocate expense to city billed customers</t>
  </si>
  <si>
    <t>Garbage</t>
  </si>
  <si>
    <t>Unit Counts (U Cnts)</t>
  </si>
  <si>
    <t>Garbage Carts</t>
  </si>
  <si>
    <t>Recycling Carts</t>
  </si>
  <si>
    <t>Garbage/Recyling Cart Alloc</t>
  </si>
  <si>
    <t>Empire Disposal G-75</t>
  </si>
  <si>
    <t>Rate Sheet</t>
  </si>
  <si>
    <t>Packer Routes</t>
  </si>
  <si>
    <t>Whitman &amp; Spokane County</t>
  </si>
  <si>
    <t>Item 50, Pg 19</t>
  </si>
  <si>
    <t>Returned check charge</t>
  </si>
  <si>
    <t>Per LG</t>
  </si>
  <si>
    <t>Item 51, Pg 20</t>
  </si>
  <si>
    <t>Restart Fees</t>
  </si>
  <si>
    <t>Item 52, Pg 20</t>
  </si>
  <si>
    <t>Outside Spokane County</t>
  </si>
  <si>
    <t>Item 55, Pg 21</t>
  </si>
  <si>
    <t>Over size</t>
  </si>
  <si>
    <t>Item 60, Pg 21</t>
  </si>
  <si>
    <t>Charge per hour</t>
  </si>
  <si>
    <t>Minumum charge</t>
  </si>
  <si>
    <t>Inside Spokane County</t>
  </si>
  <si>
    <t>Item 55, Pg 21-A</t>
  </si>
  <si>
    <t>Item 60, Pg 21-A</t>
  </si>
  <si>
    <t>Item 70, Pg 22</t>
  </si>
  <si>
    <t>Returned Trip</t>
  </si>
  <si>
    <t>Cans</t>
  </si>
  <si>
    <t>Container</t>
  </si>
  <si>
    <t>Item 80, Pg 24</t>
  </si>
  <si>
    <t>Carry-outs</t>
  </si>
  <si>
    <t>Can, units 5-25'</t>
  </si>
  <si>
    <t>Can, units +25'</t>
  </si>
  <si>
    <t>Drive-in</t>
  </si>
  <si>
    <t>Driveways over 125-250'</t>
  </si>
  <si>
    <t>Private roads over 125-</t>
  </si>
  <si>
    <t>Item 90, Pg 25</t>
  </si>
  <si>
    <t>Stairs (each step up or down)</t>
  </si>
  <si>
    <t>Overheard obstruction</t>
  </si>
  <si>
    <t>Sunken</t>
  </si>
  <si>
    <t>Item 100, pg 26</t>
  </si>
  <si>
    <t xml:space="preserve">Mini can </t>
  </si>
  <si>
    <t>One can</t>
  </si>
  <si>
    <t>Two cans</t>
  </si>
  <si>
    <t>Three cans</t>
  </si>
  <si>
    <t>Four cans</t>
  </si>
  <si>
    <t>Five cans</t>
  </si>
  <si>
    <t>Six cans</t>
  </si>
  <si>
    <t>65 Gal Toter</t>
  </si>
  <si>
    <t>95 Gal Toter</t>
  </si>
  <si>
    <t>One can Monthly</t>
  </si>
  <si>
    <t>Item 100, pg 26A</t>
  </si>
  <si>
    <t>Item 100, pg 27</t>
  </si>
  <si>
    <t>Extra Units</t>
  </si>
  <si>
    <t>Bag</t>
  </si>
  <si>
    <t>On Call</t>
  </si>
  <si>
    <t>Item 100, pg 27A</t>
  </si>
  <si>
    <t>Item 150, pg 30</t>
  </si>
  <si>
    <t>Bulky</t>
  </si>
  <si>
    <t>Loose material</t>
  </si>
  <si>
    <t>Additional</t>
  </si>
  <si>
    <t>Minimum</t>
  </si>
  <si>
    <t>Carry Charge,per 5' over 8'</t>
  </si>
  <si>
    <t>Item 150, pg 30A</t>
  </si>
  <si>
    <t>Item 160, Pg 31</t>
  </si>
  <si>
    <t>Single Rear Drive Axle</t>
  </si>
  <si>
    <t>Non-packer truck</t>
  </si>
  <si>
    <t>Packer truck</t>
  </si>
  <si>
    <t>Drop-box truck</t>
  </si>
  <si>
    <t>Extra person</t>
  </si>
  <si>
    <t>Tandem Rear Drive Axle</t>
  </si>
  <si>
    <t>Item 160, Pg 31A</t>
  </si>
  <si>
    <t>Item 205, Pg 33</t>
  </si>
  <si>
    <t>Roll-out charge up to 25'</t>
  </si>
  <si>
    <t>Container over 25' in 5' increments</t>
  </si>
  <si>
    <t>Carts, Toters</t>
  </si>
  <si>
    <t xml:space="preserve">Over 25' add </t>
  </si>
  <si>
    <t>Item 210, Pg 35</t>
  </si>
  <si>
    <t>Washing</t>
  </si>
  <si>
    <t>Minimum (3 yard)</t>
  </si>
  <si>
    <t>Steam Cleaning</t>
  </si>
  <si>
    <t>Sanitizing</t>
  </si>
  <si>
    <t>Pickup and redelivery, per container</t>
  </si>
  <si>
    <t>Up to 8 yard</t>
  </si>
  <si>
    <t>Over 8 yard</t>
  </si>
  <si>
    <t>Item 230, pg 36</t>
  </si>
  <si>
    <t>Whitman County Transfer Station</t>
  </si>
  <si>
    <t xml:space="preserve">Spokane Co. Waste to Energy </t>
  </si>
  <si>
    <t>Spokane County Transfer Station</t>
  </si>
  <si>
    <t>Item 240, pg 37</t>
  </si>
  <si>
    <t>Container Rent</t>
  </si>
  <si>
    <t>1 yard</t>
  </si>
  <si>
    <t>1.5 yard</t>
  </si>
  <si>
    <t>2 yard</t>
  </si>
  <si>
    <t>3 yard</t>
  </si>
  <si>
    <t>4 yard</t>
  </si>
  <si>
    <t>6 yard</t>
  </si>
  <si>
    <t>8 yard</t>
  </si>
  <si>
    <t>Containers Pickup</t>
  </si>
  <si>
    <t>Special Pickups</t>
  </si>
  <si>
    <t>Initial Delivery all sizes</t>
  </si>
  <si>
    <t>1-4 yard</t>
  </si>
  <si>
    <t>6-8 yard</t>
  </si>
  <si>
    <t>Temporary Service</t>
  </si>
  <si>
    <t>Daily Rent</t>
  </si>
  <si>
    <t xml:space="preserve">Rent Maximum </t>
  </si>
  <si>
    <t>Gate Chrg</t>
  </si>
  <si>
    <t>Unlocking, Locking</t>
  </si>
  <si>
    <t>Item 240, pg 37A</t>
  </si>
  <si>
    <t>Item 245, pg 38</t>
  </si>
  <si>
    <t>1 32 gal can</t>
  </si>
  <si>
    <t xml:space="preserve">Each Additional </t>
  </si>
  <si>
    <t>Special pickups, p/can</t>
  </si>
  <si>
    <t>Minimum charge</t>
  </si>
  <si>
    <t>Minimum monthly charge</t>
  </si>
  <si>
    <t>Item 245, pg 38A</t>
  </si>
  <si>
    <t>Ratios</t>
  </si>
  <si>
    <t>Item 255, pg 39</t>
  </si>
  <si>
    <t>Compacted Material, Cust Owned</t>
  </si>
  <si>
    <t>Special and Temporary</t>
  </si>
  <si>
    <t>Excess Miles</t>
  </si>
  <si>
    <t>Item 255, pg 39A</t>
  </si>
  <si>
    <t>Compacted, Cust Owned Cont</t>
  </si>
  <si>
    <t>Item 260, Pg 40</t>
  </si>
  <si>
    <t>Permanent</t>
  </si>
  <si>
    <t>Rent</t>
  </si>
  <si>
    <t>15 yard</t>
  </si>
  <si>
    <t>18 yard</t>
  </si>
  <si>
    <t>20 yard</t>
  </si>
  <si>
    <t>25 yard</t>
  </si>
  <si>
    <t>30 yard</t>
  </si>
  <si>
    <t>35 yard</t>
  </si>
  <si>
    <t>40 yard</t>
  </si>
  <si>
    <t>First Pickup</t>
  </si>
  <si>
    <t>Each Additional Pickup</t>
  </si>
  <si>
    <t>Temporary</t>
  </si>
  <si>
    <t>Initial delivery 15-40 yard</t>
  </si>
  <si>
    <t>Pickups</t>
  </si>
  <si>
    <t>Rent per day</t>
  </si>
  <si>
    <t>Maximum</t>
  </si>
  <si>
    <t>Excess miles</t>
  </si>
  <si>
    <t>Item 260, Pg 40A</t>
  </si>
  <si>
    <t>Item 275, Pg 42</t>
  </si>
  <si>
    <t>Customer Owned Compactor</t>
  </si>
  <si>
    <t>36 yard</t>
  </si>
  <si>
    <t>Connect/Disconnect</t>
  </si>
  <si>
    <t>Lock/Unlock</t>
  </si>
  <si>
    <t>Proposed Rate 4/1/2018</t>
  </si>
  <si>
    <t>Container redelivery</t>
  </si>
  <si>
    <t>Cart redelivery</t>
  </si>
  <si>
    <t>Line of Business Allocator</t>
  </si>
  <si>
    <t>Cont Count</t>
  </si>
  <si>
    <t>Cust</t>
  </si>
  <si>
    <t>Billed Cust</t>
  </si>
  <si>
    <t>Route Hours (RT Hrs)</t>
  </si>
  <si>
    <t>Allocation Tables</t>
  </si>
  <si>
    <t>Reg vs. Non-Reg</t>
  </si>
  <si>
    <t>Restating Adjustments</t>
  </si>
  <si>
    <t>RS-1: Restate Revenue to Billing Records</t>
  </si>
  <si>
    <t>Restating Adjustment Summary</t>
  </si>
  <si>
    <t>Revenue Adjustments</t>
  </si>
  <si>
    <t>OH Adjustments</t>
  </si>
  <si>
    <t>Unallowable Expenses</t>
  </si>
  <si>
    <t>Restate Raises</t>
  </si>
  <si>
    <t>Adjust Deprec to UTC Method</t>
  </si>
  <si>
    <t>Adjust Bad Debt</t>
  </si>
  <si>
    <t>Total Revenue per Billing</t>
  </si>
  <si>
    <t>Per IS</t>
  </si>
  <si>
    <t>Difference</t>
  </si>
  <si>
    <t>Building/Grounds Repair</t>
  </si>
  <si>
    <t>Reclass Pass-Through</t>
  </si>
  <si>
    <t>Pass Through</t>
  </si>
  <si>
    <t>Disposal Transfer</t>
  </si>
  <si>
    <t>Processing Fees</t>
  </si>
  <si>
    <t>RS-3: Region &amp; Corp OH Adjustments</t>
  </si>
  <si>
    <t>Corporate OH Adjust:</t>
  </si>
  <si>
    <t>Adjusted OH %</t>
  </si>
  <si>
    <t>Region OH Adjust:</t>
  </si>
  <si>
    <t>Per Calc</t>
  </si>
  <si>
    <t>Adjust</t>
  </si>
  <si>
    <t>RS-4: Remove Unallowable Expenses</t>
  </si>
  <si>
    <t>Remove</t>
  </si>
  <si>
    <t>46900</t>
  </si>
  <si>
    <t>Sale of Asset</t>
  </si>
  <si>
    <t>Franchise Fees</t>
  </si>
  <si>
    <t>Wages</t>
  </si>
  <si>
    <t>Drivers</t>
  </si>
  <si>
    <t>Mechanics</t>
  </si>
  <si>
    <t>Supervisors</t>
  </si>
  <si>
    <t>Regulated Revenue</t>
  </si>
  <si>
    <t>Test Period Fees</t>
  </si>
  <si>
    <t>PER IS</t>
  </si>
  <si>
    <t>Adjustment</t>
  </si>
  <si>
    <t>46800</t>
  </si>
  <si>
    <t>Per UTC</t>
  </si>
  <si>
    <t>Bad Debt:</t>
  </si>
  <si>
    <t>Write-off</t>
  </si>
  <si>
    <t>Bad Debt % for LG</t>
  </si>
  <si>
    <t>Beginning test period</t>
  </si>
  <si>
    <t>Ending test period</t>
  </si>
  <si>
    <t>Recovery</t>
  </si>
  <si>
    <t>Actual write-off expense</t>
  </si>
  <si>
    <t>Income Statement</t>
  </si>
  <si>
    <t>46700</t>
  </si>
  <si>
    <t>Taxes Allocation In</t>
  </si>
  <si>
    <t>PRO-FORMA RAISES INTO EXPENSE BASE</t>
  </si>
  <si>
    <t>PR-1</t>
  </si>
  <si>
    <t>Restate Wage Increase:</t>
  </si>
  <si>
    <t>Supervisor</t>
  </si>
  <si>
    <t>Office</t>
  </si>
  <si>
    <t>Wage Increase Taxes:</t>
  </si>
  <si>
    <t>TOTAL PR-1</t>
  </si>
  <si>
    <t>PRO-FORMA KNOWN EXPENSE OF NOTIFYING CUSTOMERS OF RATE INCREASE</t>
  </si>
  <si>
    <t>Expense</t>
  </si>
  <si>
    <t>In Districts:</t>
  </si>
  <si>
    <t>1010,1011</t>
  </si>
  <si>
    <t>Subsystem:</t>
  </si>
  <si>
    <t>Company:</t>
  </si>
  <si>
    <t>Corp</t>
  </si>
  <si>
    <t>Currency:</t>
  </si>
  <si>
    <t>USD</t>
  </si>
  <si>
    <t>Income Statement Detail - Eliminated</t>
  </si>
  <si>
    <t>YTD 12</t>
  </si>
  <si>
    <t>2017</t>
  </si>
  <si>
    <t>Termination Pay</t>
  </si>
  <si>
    <t>Property and Liability Insurance</t>
  </si>
  <si>
    <t>RM Fixed Costs</t>
  </si>
  <si>
    <t>Deferred Comp Earnings</t>
  </si>
  <si>
    <t>Corp Allocated Bonus</t>
  </si>
  <si>
    <t>WCN Training</t>
  </si>
  <si>
    <t>Corporate Office Relocation</t>
  </si>
  <si>
    <t>Political Contributions</t>
  </si>
  <si>
    <t>Plane Parts &amp; Materials</t>
  </si>
  <si>
    <t>Aircraft Lubricants &amp; Consumables</t>
  </si>
  <si>
    <t>Registration Fees</t>
  </si>
  <si>
    <t>Club Dues</t>
  </si>
  <si>
    <t>Bank Charges</t>
  </si>
  <si>
    <t>Outside Storages</t>
  </si>
  <si>
    <t>External Recruiter Fees</t>
  </si>
  <si>
    <t>Recruitment Travel Expenses</t>
  </si>
  <si>
    <t>Accounting Professional Fees</t>
  </si>
  <si>
    <t>Acquisition Cost Write Off</t>
  </si>
  <si>
    <t>Directors and Officers Insurance</t>
  </si>
  <si>
    <t>Computer Software</t>
  </si>
  <si>
    <t>Computer Supplies</t>
  </si>
  <si>
    <t>Security Services</t>
  </si>
  <si>
    <t>Board of Directors Fees</t>
  </si>
  <si>
    <t>Board of Directors Expense Report</t>
  </si>
  <si>
    <t>Trade Shows</t>
  </si>
  <si>
    <t xml:space="preserve">     Total Corporate G&amp;A Expenses</t>
  </si>
  <si>
    <t xml:space="preserve">     Total Waste Connections eliminated revenues</t>
  </si>
  <si>
    <t>Reference Sheet</t>
  </si>
  <si>
    <t>Monthly Factor</t>
  </si>
  <si>
    <t>Pickups:</t>
  </si>
  <si>
    <t>1 unit</t>
  </si>
  <si>
    <t>2 units</t>
  </si>
  <si>
    <t>3 units</t>
  </si>
  <si>
    <t>4 units</t>
  </si>
  <si>
    <t>5 units</t>
  </si>
  <si>
    <t>6 units</t>
  </si>
  <si>
    <t>7 unit</t>
  </si>
  <si>
    <t>5 Times per Week</t>
  </si>
  <si>
    <t>4 Times per Week</t>
  </si>
  <si>
    <t>3 Times per Week</t>
  </si>
  <si>
    <t>2 Times per Week</t>
  </si>
  <si>
    <t>Weekly Pickup (WG)</t>
  </si>
  <si>
    <t>Every Other Week (EOWG)</t>
  </si>
  <si>
    <t>Monthly (MG)</t>
  </si>
  <si>
    <t>Meeks Weights</t>
  </si>
  <si>
    <t>Res'l</t>
  </si>
  <si>
    <t>Pounds per Pickup</t>
  </si>
  <si>
    <t>20 gal minican</t>
  </si>
  <si>
    <t>1 can</t>
  </si>
  <si>
    <t>2 cans</t>
  </si>
  <si>
    <t>3 cans</t>
  </si>
  <si>
    <t>Lbs. per ton</t>
  </si>
  <si>
    <t>4 cans</t>
  </si>
  <si>
    <t>Yds. Per ton</t>
  </si>
  <si>
    <t>n/a</t>
  </si>
  <si>
    <t>5 cans</t>
  </si>
  <si>
    <t>6 cans</t>
  </si>
  <si>
    <t>Supercan 60</t>
  </si>
  <si>
    <t>Supercan 90</t>
  </si>
  <si>
    <t>Once a month</t>
  </si>
  <si>
    <t>Extras</t>
  </si>
  <si>
    <t>Com'l</t>
  </si>
  <si>
    <t>1 yd container</t>
  </si>
  <si>
    <t>1.5 yd container</t>
  </si>
  <si>
    <t>2 yd container</t>
  </si>
  <si>
    <t>3 yd container</t>
  </si>
  <si>
    <t>4 yd container</t>
  </si>
  <si>
    <t>6 yd container</t>
  </si>
  <si>
    <t>8 yd container</t>
  </si>
  <si>
    <t>3 yd packer/compactor</t>
  </si>
  <si>
    <t>4 yd packer/compactor</t>
  </si>
  <si>
    <t>5 yd packer/compactor</t>
  </si>
  <si>
    <t>6 yd packer/compactor</t>
  </si>
  <si>
    <t>Yards</t>
  </si>
  <si>
    <t>* not on meeks - calculated by staff</t>
  </si>
  <si>
    <t>Effective 4/1/2018</t>
  </si>
  <si>
    <t>TOTAL REVENUE</t>
  </si>
  <si>
    <t>TOTAL SERVICE CHARGES</t>
  </si>
  <si>
    <t>RETURN CHECK CHARGE</t>
  </si>
  <si>
    <t>RETCKC</t>
  </si>
  <si>
    <t>FINANCE CHARGE</t>
  </si>
  <si>
    <t>FINCHG</t>
  </si>
  <si>
    <t>Service Charges</t>
  </si>
  <si>
    <t>TOTAL PASSTHROUGH DISPOSAL</t>
  </si>
  <si>
    <t>DISPOSAL CHARGE - RO</t>
  </si>
  <si>
    <t>DISP-RO</t>
  </si>
  <si>
    <t>PASSTHROUGH DISPOSAL</t>
  </si>
  <si>
    <t>TOTAL DROP BOX RECYCLING</t>
  </si>
  <si>
    <t>HAUL RECYCLE - RO</t>
  </si>
  <si>
    <t>HAULREC-RO</t>
  </si>
  <si>
    <t>DROP BOX RECYLING (NON-REG)</t>
  </si>
  <si>
    <t>DROP BOX RECYLING</t>
  </si>
  <si>
    <t>TOTAL DROP BOX HAULS/RENTAL</t>
  </si>
  <si>
    <t>MILEAGE FEE - RO</t>
  </si>
  <si>
    <t>MILE-RO</t>
  </si>
  <si>
    <t>DELIVERY FEE - RO</t>
  </si>
  <si>
    <t>DEL-RO</t>
  </si>
  <si>
    <t>RENTAL FEE 40 YD MONTHLY</t>
  </si>
  <si>
    <t>RENT40MO-RO</t>
  </si>
  <si>
    <t>RENTAL FEE 25YD MONTHLY</t>
  </si>
  <si>
    <t>RENT25MO-RO</t>
  </si>
  <si>
    <t>COMPACTOR HAUL - RO</t>
  </si>
  <si>
    <t>HAUL-CP</t>
  </si>
  <si>
    <t>HAUL 40 YD TEMP - RO</t>
  </si>
  <si>
    <t>HAUL40TEMP-RO</t>
  </si>
  <si>
    <t>HAUL 25 YD TEMP - RO</t>
  </si>
  <si>
    <t>HAUL25TEMP-RO</t>
  </si>
  <si>
    <t>HAUL 25 YD - RO</t>
  </si>
  <si>
    <t>HAUL25-RO</t>
  </si>
  <si>
    <t>DROP BOX HAULS/RENTAL</t>
  </si>
  <si>
    <t>DROP BOX SERVICES</t>
  </si>
  <si>
    <t>TOTAL COMMERCIAL GARBAGE</t>
  </si>
  <si>
    <t>REINSTATE FEE - COMM</t>
  </si>
  <si>
    <t>REINSTATE-COMM</t>
  </si>
  <si>
    <t>DRIVE IN 125-250' - COMM</t>
  </si>
  <si>
    <t xml:space="preserve">DRIVEIN1-COMM </t>
  </si>
  <si>
    <t>DISTANCE FEE - COMM</t>
  </si>
  <si>
    <t>DIST-COM</t>
  </si>
  <si>
    <t>DELIVERY FEE TEMP-COMM</t>
  </si>
  <si>
    <t>DELTEMP-COMM</t>
  </si>
  <si>
    <t>RENTAL FEE 6 YD COMM</t>
  </si>
  <si>
    <t>RENT6-COMM</t>
  </si>
  <si>
    <t>RENTAL FEE 4YD TEMP - COM</t>
  </si>
  <si>
    <t>RENT4TEMP-COMM</t>
  </si>
  <si>
    <t>RENTAL FEE 4 YD COMM</t>
  </si>
  <si>
    <t>RENT4-COMM</t>
  </si>
  <si>
    <t>RENTAL FEE 3 YD TEMP - CO</t>
  </si>
  <si>
    <t>RENT3TEMP-COMM</t>
  </si>
  <si>
    <t>RENTAL FEE 3 YD COMM</t>
  </si>
  <si>
    <t>RENT3-COMM</t>
  </si>
  <si>
    <t>RENTAL FEE 2 YD TEMP - COMM</t>
  </si>
  <si>
    <t>RENT2TEMP-COMM</t>
  </si>
  <si>
    <t>RENTAL FEE 2 YD COMM</t>
  </si>
  <si>
    <t>RENT2-COMM</t>
  </si>
  <si>
    <t>RENTAL FEE 1 YD TEMP - COMM</t>
  </si>
  <si>
    <t>RENT1TEMP-COMM</t>
  </si>
  <si>
    <t>RENTAL FEE 1 YD COMM MA</t>
  </si>
  <si>
    <t>RENT1-COMM</t>
  </si>
  <si>
    <t xml:space="preserve">RENTAL FEE 1.5 YD TEMP - </t>
  </si>
  <si>
    <t>RENT1.5TEMP-COMM</t>
  </si>
  <si>
    <t>RENTAL FEE 1.5 YD COMM</t>
  </si>
  <si>
    <t>RENT1.5-COMM</t>
  </si>
  <si>
    <t>EXTRA YARDAGE - COMM</t>
  </si>
  <si>
    <t>EXTRAYDG-COMM</t>
  </si>
  <si>
    <t>EXTRA CAN, BAG, BOX-COMM</t>
  </si>
  <si>
    <t>EXTRA-COMM</t>
  </si>
  <si>
    <t>1 RL 1.5 YD ON CALL-COMM</t>
  </si>
  <si>
    <t>RL1.5C-OC</t>
  </si>
  <si>
    <t>1 RL 1 YD ON CALL-COMM</t>
  </si>
  <si>
    <t>RL1C-OC</t>
  </si>
  <si>
    <t>1 RL 32 GL ON CALL - COMM</t>
  </si>
  <si>
    <t>RL32C-OC</t>
  </si>
  <si>
    <t>RL 90 GL 1X WK COMM 2</t>
  </si>
  <si>
    <t>RL090.0G1W002COMM</t>
  </si>
  <si>
    <t>RL 90 GL 1X WK COMM 1</t>
  </si>
  <si>
    <t>RL090.0G1W001COMM</t>
  </si>
  <si>
    <t>RL 65 GL 1X WK COMM 1</t>
  </si>
  <si>
    <t>RL065.0G1W001COMM</t>
  </si>
  <si>
    <t>RL 32 GL 1X WK COMM 2</t>
  </si>
  <si>
    <t>RL032.0G1W002COMM</t>
  </si>
  <si>
    <t>RL 32 GL 1X WK COMM 1</t>
  </si>
  <si>
    <t>RL032.0G1W001COMM</t>
  </si>
  <si>
    <t>RL TEMPORARY 4 YD-COMM</t>
  </si>
  <si>
    <t>RL4TC-COMM</t>
  </si>
  <si>
    <t>RL TEMPORARY 3 YD - COMM</t>
  </si>
  <si>
    <t>RL3TC-COMM</t>
  </si>
  <si>
    <t>RL TEMPORARY 2 YD-COMM</t>
  </si>
  <si>
    <t>RL2TC-COMM</t>
  </si>
  <si>
    <t>RL TEMPORARY 1.5 YD-COMM</t>
  </si>
  <si>
    <t>RL1.5TC-COMM</t>
  </si>
  <si>
    <t>RL TEMPORARY 1 YD-COMM</t>
  </si>
  <si>
    <t>RL1TC-COMM</t>
  </si>
  <si>
    <t>RL 6 YD 1X WK 2</t>
  </si>
  <si>
    <t>RL006.0Y1W002</t>
  </si>
  <si>
    <t>RL 4 YD 1X WK 2</t>
  </si>
  <si>
    <t>RL004.0Y1W002</t>
  </si>
  <si>
    <t>RL 4 YD 1X WK 1</t>
  </si>
  <si>
    <t>RL004.0Y1W001</t>
  </si>
  <si>
    <t>RL 3 YD 1X WK 2</t>
  </si>
  <si>
    <t>RL003.0Y1W002</t>
  </si>
  <si>
    <t>RL 3 YD 1X WK 1</t>
  </si>
  <si>
    <t>RL003.0Y1W001</t>
  </si>
  <si>
    <t>RL 2 YD 1X WK 1</t>
  </si>
  <si>
    <t>RL002.0Y1W001</t>
  </si>
  <si>
    <t>RL 1.5 YD 1X WK 3</t>
  </si>
  <si>
    <t>RL001.5Y1W003</t>
  </si>
  <si>
    <t>RL 1.5 YD 1X WK 2</t>
  </si>
  <si>
    <t>RL001.5Y1W002</t>
  </si>
  <si>
    <t>RL 1.5 YD 1X WK 1</t>
  </si>
  <si>
    <t>RL001.5Y1W001</t>
  </si>
  <si>
    <t>RL 1 YD 1X MO 1</t>
  </si>
  <si>
    <t>RL001.0Y1M001</t>
  </si>
  <si>
    <t>RL 1 YD 1X WK 1</t>
  </si>
  <si>
    <t>RL001.0Y1W001</t>
  </si>
  <si>
    <t>COMMERCIAL GARBAGE</t>
  </si>
  <si>
    <t>COMMERCIAL SERVICES</t>
  </si>
  <si>
    <t>TOTAL RESIDENTIAL GARBAGE</t>
  </si>
  <si>
    <t>REINSTATE FEE - RES</t>
  </si>
  <si>
    <t>REINSTATE-RES</t>
  </si>
  <si>
    <t>REDELIVERY FEE - RES</t>
  </si>
  <si>
    <t>REDEL-RES</t>
  </si>
  <si>
    <t>TRIP FEE - RES</t>
  </si>
  <si>
    <t>TRIP-RES</t>
  </si>
  <si>
    <t xml:space="preserve">DRIVE IN 125-250' - RES </t>
  </si>
  <si>
    <t>DRIVEIN1-RES</t>
  </si>
  <si>
    <t>OVERFILL/WEIGHT CAN-RES</t>
  </si>
  <si>
    <t>OW-RES</t>
  </si>
  <si>
    <t>OVERSIZE CAN - RES</t>
  </si>
  <si>
    <t>OS-RES</t>
  </si>
  <si>
    <t>BULKY ITEM PICK UP-RES</t>
  </si>
  <si>
    <t>BULKY-RES</t>
  </si>
  <si>
    <t>EXTRA YARDAGE - RES</t>
  </si>
  <si>
    <t>EXTRYDG-RES</t>
  </si>
  <si>
    <t>EXTRA CAN, BAG, BOX-RES</t>
  </si>
  <si>
    <t>EXTRA-RES</t>
  </si>
  <si>
    <t>1 RL 32 GL ON CALL-RES</t>
  </si>
  <si>
    <t>RL32R-OC</t>
  </si>
  <si>
    <t>RL 90 GL 1X WK 3</t>
  </si>
  <si>
    <t>RL090.0G1W003</t>
  </si>
  <si>
    <t>RL 90 GL 1X WK 2</t>
  </si>
  <si>
    <t>RL090.0G1W002</t>
  </si>
  <si>
    <t>RL 90 GL 1X WK 1</t>
  </si>
  <si>
    <t>RL090.0G1W001</t>
  </si>
  <si>
    <t>RL 65 GL 1X WK 2</t>
  </si>
  <si>
    <t>RL065.0G1W002</t>
  </si>
  <si>
    <t>RL 65 GL 1X WK 1</t>
  </si>
  <si>
    <t>RL065.0G1W001</t>
  </si>
  <si>
    <t>RL 32 GL 1X WK 3</t>
  </si>
  <si>
    <t>RL032.0G1W003</t>
  </si>
  <si>
    <t>RL 32 GL 1X WK 2</t>
  </si>
  <si>
    <t>RL032.0G1W002</t>
  </si>
  <si>
    <t>RL 32 GL 1X WK 1</t>
  </si>
  <si>
    <t>RL032.0G1W001</t>
  </si>
  <si>
    <t>RL 32 GL 1X MO 1</t>
  </si>
  <si>
    <t>RL032.0G1M001</t>
  </si>
  <si>
    <t>RL 20 GL 1X WK 1</t>
  </si>
  <si>
    <t>RL020.0G1W001</t>
  </si>
  <si>
    <t>RESIDENTIAL GARBAGE</t>
  </si>
  <si>
    <t>RESIDENTIAL SERVICES</t>
  </si>
  <si>
    <t>per Month</t>
  </si>
  <si>
    <t>Customers</t>
  </si>
  <si>
    <t>Rate</t>
  </si>
  <si>
    <t>Service Code Description</t>
  </si>
  <si>
    <t>Service Code</t>
  </si>
  <si>
    <t xml:space="preserve">Avg Cust </t>
  </si>
  <si>
    <t>April 17 - Dec 17</t>
  </si>
  <si>
    <t>Jan 17 - March 17</t>
  </si>
  <si>
    <t>Spokane Co. Regulated - Price Out</t>
  </si>
  <si>
    <t>BILL AREAS: SPOKANE CO., TOWN OF LATAH</t>
  </si>
  <si>
    <t>Empire Disposal Inc.</t>
  </si>
  <si>
    <t>ADJUSTMENT FINANCE CHARGE</t>
  </si>
  <si>
    <t>ADJ-FIN</t>
  </si>
  <si>
    <t xml:space="preserve">TOTAL DROP BOX </t>
  </si>
  <si>
    <t>HAUL 40 YD - RO</t>
  </si>
  <si>
    <t>HAUL40-RO</t>
  </si>
  <si>
    <t>TOTAL MEDICAL WASTE</t>
  </si>
  <si>
    <t>MED WASTE ADDL CONT 2-5</t>
  </si>
  <si>
    <t>HAULMEDADDL-COMM</t>
  </si>
  <si>
    <t>MED WASTE ADDL CONT 6+</t>
  </si>
  <si>
    <t>HAULMEDADDL6-COMM</t>
  </si>
  <si>
    <t>MEDICAL WASTE SERVICE - COMM</t>
  </si>
  <si>
    <t>HAULMED-COMM</t>
  </si>
  <si>
    <t>MEDICAL WASTE</t>
  </si>
  <si>
    <t>TOTAL COMMERCIAL RECYCLING</t>
  </si>
  <si>
    <t>COMMERCIAL RECYCLE WEEKLY</t>
  </si>
  <si>
    <t>RECCOMSVC1W001</t>
  </si>
  <si>
    <t>COMMERCIAL RECYCLING (NON-REG)</t>
  </si>
  <si>
    <t>COMMERCIAL RECYCLING</t>
  </si>
  <si>
    <t>UNLOCKING FEE - COMM</t>
  </si>
  <si>
    <t>UNLCKC</t>
  </si>
  <si>
    <t>TRIP FEE - COMM</t>
  </si>
  <si>
    <t>TRIP1-COMM</t>
  </si>
  <si>
    <t>ROLL OUT CHARGE - COMM</t>
  </si>
  <si>
    <t>ROLL-COMM</t>
  </si>
  <si>
    <t>REDELIVERY FEE - COMM</t>
  </si>
  <si>
    <t>REDEL-COMM</t>
  </si>
  <si>
    <t>PU/REDEL UP TO 8 YDS - COMM</t>
  </si>
  <si>
    <t>PUREDEL1-COMM</t>
  </si>
  <si>
    <t>RENTAL FEE 8 YD COMM</t>
  </si>
  <si>
    <t>RENT8-COMM</t>
  </si>
  <si>
    <t>CONT CLEAN 1 YD - COMM</t>
  </si>
  <si>
    <t>CLEAN1YD-COMM</t>
  </si>
  <si>
    <t>1 RL 90 GL ON CALL-COMM</t>
  </si>
  <si>
    <t>RL90C-OC</t>
  </si>
  <si>
    <t>8 YD ON CALL - COMM</t>
  </si>
  <si>
    <t>RL8C-OC</t>
  </si>
  <si>
    <t>1 RL 6 YD ON CALL - COMM</t>
  </si>
  <si>
    <t>RL6C-OC</t>
  </si>
  <si>
    <t>1 RL 4 YD ON CALL-COMM</t>
  </si>
  <si>
    <t>RL4C-OC</t>
  </si>
  <si>
    <t>1 RL 3 YD ON CALL-COMM</t>
  </si>
  <si>
    <t>RL3C-OC</t>
  </si>
  <si>
    <t>1 RL 2 YD ON CALL-COMM</t>
  </si>
  <si>
    <t>RL2C-OC</t>
  </si>
  <si>
    <t>OVERFILL/WEIGHT CAN-COMM</t>
  </si>
  <si>
    <t>OW-COMM</t>
  </si>
  <si>
    <t>OVERSIZE CAN - COMM</t>
  </si>
  <si>
    <t>OS-COMM</t>
  </si>
  <si>
    <t>RL 90 GL 2X WK COMM 4</t>
  </si>
  <si>
    <t>RL090.0G2W004COMM</t>
  </si>
  <si>
    <t>RL 90 GL 2X WK COMM 1</t>
  </si>
  <si>
    <t>RL090.0G2W001COMM</t>
  </si>
  <si>
    <t>RL 65 GL 1X WK COMM 5</t>
  </si>
  <si>
    <t>RL065.0G1W005COMM</t>
  </si>
  <si>
    <t>RL 65 GL 1X WK COMM 2</t>
  </si>
  <si>
    <t>RL065.0G1W002COMM</t>
  </si>
  <si>
    <t>RL 32 GL 1X WK COMM 3</t>
  </si>
  <si>
    <t>RL032.0G1W003COMM</t>
  </si>
  <si>
    <t>RL 8 YD 2X WK 1</t>
  </si>
  <si>
    <t>RL008.0Y2W001</t>
  </si>
  <si>
    <t>RL 8 YD 1X WK 1</t>
  </si>
  <si>
    <t>RL008.0Y1W001</t>
  </si>
  <si>
    <t>RL 6 YD 5X WEEK</t>
  </si>
  <si>
    <t>RL006.0Y5W001</t>
  </si>
  <si>
    <t>RL 6 YD 4X WK 1</t>
  </si>
  <si>
    <t>RL006.0Y4W001</t>
  </si>
  <si>
    <t>RL 6 YD 2X WK 1</t>
  </si>
  <si>
    <t>RL006.0Y2W001</t>
  </si>
  <si>
    <t>RL 6 YD 1X WK 1</t>
  </si>
  <si>
    <t>RL006.0Y1W001</t>
  </si>
  <si>
    <t>RL 4 YD 4X WK 1</t>
  </si>
  <si>
    <t>RL004.0Y4W001</t>
  </si>
  <si>
    <t>RL 4 YD 3X WK 1</t>
  </si>
  <si>
    <t>RL004.0Y3W001</t>
  </si>
  <si>
    <t>RL 4 YD 2X WK 1</t>
  </si>
  <si>
    <t>RL004.0Y2W001</t>
  </si>
  <si>
    <t>RL 3 YD 3X WK 2</t>
  </si>
  <si>
    <t>RL003.0Y3W002</t>
  </si>
  <si>
    <t>RL 3 YD 3X WK 1</t>
  </si>
  <si>
    <t>RL003.0Y3W001</t>
  </si>
  <si>
    <t>RL 3 YD 2X WK 1</t>
  </si>
  <si>
    <t>RL003.0Y2W001</t>
  </si>
  <si>
    <t>RL 2 YD 3X WK 1</t>
  </si>
  <si>
    <t>RL002.0Y3W001</t>
  </si>
  <si>
    <t>RL 2 YD 2X WK 1</t>
  </si>
  <si>
    <t>RL002.0Y2W001</t>
  </si>
  <si>
    <t>RL 2 YD 1X MO 1</t>
  </si>
  <si>
    <t>RL002.0Y1M001</t>
  </si>
  <si>
    <t>RL 1.5 YD 3X WK 1</t>
  </si>
  <si>
    <t>RL001.5Y3W001</t>
  </si>
  <si>
    <t>RL 1.5 YD 2X WK 1</t>
  </si>
  <si>
    <t>RL001.5Y2W001</t>
  </si>
  <si>
    <t>RL 1.5 YD 1X MO 1</t>
  </si>
  <si>
    <t>RL001.5Y1M001</t>
  </si>
  <si>
    <t>RL 1 YD 3X WK 1</t>
  </si>
  <si>
    <t>RL001.0Y3W001</t>
  </si>
  <si>
    <t>RL 1 YD 1X WK 2</t>
  </si>
  <si>
    <t>RL001.0Y1W002</t>
  </si>
  <si>
    <t>TOTAL RESIDENTIAL RECYCLING</t>
  </si>
  <si>
    <t>RESI RECYCLE WITH GARBAGE</t>
  </si>
  <si>
    <t>RRECWGBG</t>
  </si>
  <si>
    <t>RESIDENTIAL RECYCLING</t>
  </si>
  <si>
    <t>TIME FEE 1 - RES</t>
  </si>
  <si>
    <t>TIME-RES</t>
  </si>
  <si>
    <t>WALK IN 5-25 FT - RES</t>
  </si>
  <si>
    <t>WI1-RES</t>
  </si>
  <si>
    <t>DISTANCE FEE - RES</t>
  </si>
  <si>
    <t>DIST-RES</t>
  </si>
  <si>
    <t>RL 90 GL ON CALL - RES</t>
  </si>
  <si>
    <t>RL90R-OC</t>
  </si>
  <si>
    <t>RL 65 GL 1X WK 3</t>
  </si>
  <si>
    <t>RL065.0G1W003</t>
  </si>
  <si>
    <t>RL 32 GL 1X WK 4</t>
  </si>
  <si>
    <t>RL032.0G1W004</t>
  </si>
  <si>
    <t>Avg Cust</t>
  </si>
  <si>
    <t>Whitman Co. Regulated - Price Out</t>
  </si>
  <si>
    <t>BILL AREAS: ALBION, COLFAX, MALDEN, OAKESDALE, PALOUSE, UNIONTOWN, WHITMAN COUNTY</t>
  </si>
  <si>
    <t>Packer &amp; Roll-off</t>
  </si>
  <si>
    <t>Proposed</t>
  </si>
  <si>
    <t>Annual Increase</t>
  </si>
  <si>
    <t>Tariff Rate</t>
  </si>
  <si>
    <t>Annual Revenue</t>
  </si>
  <si>
    <t xml:space="preserve">Adjustments per </t>
  </si>
  <si>
    <t>Adjusted</t>
  </si>
  <si>
    <t>12-Months</t>
  </si>
  <si>
    <t>Adjust Out</t>
  </si>
  <si>
    <t>Ended</t>
  </si>
  <si>
    <t>Non-Allowable</t>
  </si>
  <si>
    <t>Airplane depreciation, as removed on prior rate cases, TG-170036/170037.</t>
  </si>
  <si>
    <t>Remove non-regulated operating assets and R360 assets in TG-130501 and TG-130502</t>
  </si>
  <si>
    <t>Corp PR Tax</t>
  </si>
  <si>
    <t>Grand Total</t>
  </si>
  <si>
    <t>WWW.PAKITRITE.COM~AARON LAWHEAD</t>
  </si>
  <si>
    <t>SUBWAY        00177667~DANIEL YOUNG</t>
  </si>
  <si>
    <t>SNAKEDANCEREXC~AARON LAWHEAD</t>
  </si>
  <si>
    <t>SAFEWAY STORE 00026393~AARON LAWHEAD</t>
  </si>
  <si>
    <t>ROSAUERS #70~AARON LAWHEAD</t>
  </si>
  <si>
    <t>Rcls Jet Boat Prepayment</t>
  </si>
  <si>
    <t>HALLETTS MARKET AND CAFE~BILL STANSBERRY</t>
  </si>
  <si>
    <t>FONKS~AARON LAWHEAD</t>
  </si>
  <si>
    <t>FOLSOM ACE HARDWARE~AARON LAWHEAD</t>
  </si>
  <si>
    <t>DURHAM SCHOOL SERVICES~AARON LAWHEAD</t>
  </si>
  <si>
    <t>COLFAX ROTARY CLUB</t>
  </si>
  <si>
    <t>COLFAX GOLF COURSE~AARON LAWHEAD</t>
  </si>
  <si>
    <t>CD'S SMOKE PIT~AARON LAWHEAD</t>
  </si>
  <si>
    <t>BEECHERS RETAIL WEB~AARON LAWHEAD</t>
  </si>
  <si>
    <t>AMAZON.COM~AARON LAWHEAD</t>
  </si>
  <si>
    <t>AMAZON MKTPLACE PMTS~AARON LAWHEAD</t>
  </si>
  <si>
    <t>AARON LAWHEAD</t>
  </si>
  <si>
    <t>2120ALAWHEAD : Supplies</t>
  </si>
  <si>
    <t>2120ALAWHEAD : KC's 67th Birthday lunch</t>
  </si>
  <si>
    <t>2120ALAWHEAD : Breakfast</t>
  </si>
  <si>
    <t>Sum of Amount USD</t>
  </si>
  <si>
    <t>Row Labels</t>
  </si>
  <si>
    <t>End of List</t>
  </si>
  <si>
    <t>wci_wa</t>
  </si>
  <si>
    <t>JRNL00871495</t>
  </si>
  <si>
    <t>0/JE IC</t>
  </si>
  <si>
    <t>AlexandraP</t>
  </si>
  <si>
    <t>Wester PCard Activity - Dec</t>
  </si>
  <si>
    <t>P</t>
  </si>
  <si>
    <t>JRNLWA00365961</t>
  </si>
  <si>
    <t>70095-2120-000-00</t>
  </si>
  <si>
    <t>JRNL00869028</t>
  </si>
  <si>
    <t>JRNL00868978</t>
  </si>
  <si>
    <t>MimiS</t>
  </si>
  <si>
    <t>OPEX 13- P Card Accrual</t>
  </si>
  <si>
    <t>JRNLWA00364931</t>
  </si>
  <si>
    <t>JRNLWA00364900</t>
  </si>
  <si>
    <t>JRNL00867895</t>
  </si>
  <si>
    <t>Western PCard Activity - Nov</t>
  </si>
  <si>
    <t>JRNLWA00364391</t>
  </si>
  <si>
    <t>JRNL00864546</t>
  </si>
  <si>
    <t>HeatherWe</t>
  </si>
  <si>
    <t>Western PCard Activity - Oct</t>
  </si>
  <si>
    <t>JRNLWA00362909</t>
  </si>
  <si>
    <t>JRNL00857227</t>
  </si>
  <si>
    <t>PCard Activity - Aug - Western</t>
  </si>
  <si>
    <t>JRNLWA00359794</t>
  </si>
  <si>
    <t>JRNL00854693</t>
  </si>
  <si>
    <t>JRNL00854579</t>
  </si>
  <si>
    <t>OPEX14- AP and Exp Report Accr</t>
  </si>
  <si>
    <t>JRNLWA00358839</t>
  </si>
  <si>
    <t>JRNL00855039</t>
  </si>
  <si>
    <t>VO04371246</t>
  </si>
  <si>
    <t>7/1-7/31/2017</t>
  </si>
  <si>
    <t>2120ALAWHEAD</t>
  </si>
  <si>
    <t>JeffS</t>
  </si>
  <si>
    <t>From Voucher Posting.</t>
  </si>
  <si>
    <t>JRNLWA00358951</t>
  </si>
  <si>
    <t>JRNLWA00358776</t>
  </si>
  <si>
    <t>JRNL00853023</t>
  </si>
  <si>
    <t>PCard Activity July - Western</t>
  </si>
  <si>
    <t>JRNLWA00358110</t>
  </si>
  <si>
    <t>JRNLWA00357067</t>
  </si>
  <si>
    <t>0/REVERSE</t>
  </si>
  <si>
    <t>BrianBr</t>
  </si>
  <si>
    <t>MISC5-Reclass Jet Boat Prepaym</t>
  </si>
  <si>
    <t>JRNLWA00357076</t>
  </si>
  <si>
    <t>1/JE STD</t>
  </si>
  <si>
    <t>JRNL00849664</t>
  </si>
  <si>
    <t>PCard Activity June - Western</t>
  </si>
  <si>
    <t>JRNLWA00356562</t>
  </si>
  <si>
    <t>JRNL00841892</t>
  </si>
  <si>
    <t>PCard Activity April - Western</t>
  </si>
  <si>
    <t>JRNLWA00353598</t>
  </si>
  <si>
    <t>JRNL00838884</t>
  </si>
  <si>
    <t>JRNL00838851</t>
  </si>
  <si>
    <t>AdamJo</t>
  </si>
  <si>
    <t>JRNLWA00352349</t>
  </si>
  <si>
    <t>JRNLWA00352304</t>
  </si>
  <si>
    <t>JRNL00837651</t>
  </si>
  <si>
    <t>PCard Activity March - Western</t>
  </si>
  <si>
    <t>JRNLWA00351880</t>
  </si>
  <si>
    <t>JRNL00836327</t>
  </si>
  <si>
    <t>VO04229986</t>
  </si>
  <si>
    <t>PO-2120-17-00204</t>
  </si>
  <si>
    <t>2017 advertising</t>
  </si>
  <si>
    <t>DUES 3/6/2017</t>
  </si>
  <si>
    <t>2120COLROT</t>
  </si>
  <si>
    <t>JRNLWA00351537</t>
  </si>
  <si>
    <t>VO Number</t>
  </si>
  <si>
    <t>Staged District</t>
  </si>
  <si>
    <t>Staged Year Month</t>
  </si>
  <si>
    <t>Staged_DocRef</t>
  </si>
  <si>
    <t>Staged_RefCode</t>
  </si>
  <si>
    <t>Seg4</t>
  </si>
  <si>
    <t>Seg3</t>
  </si>
  <si>
    <t>Seg2</t>
  </si>
  <si>
    <t>Seg1</t>
  </si>
  <si>
    <t>Posted Flag</t>
  </si>
  <si>
    <t>Type Flag</t>
  </si>
  <si>
    <t>Repeating Flag</t>
  </si>
  <si>
    <t>Recurring Flag</t>
  </si>
  <si>
    <t>Hold Flag</t>
  </si>
  <si>
    <t>Reversing Flag</t>
  </si>
  <si>
    <t>Database</t>
  </si>
  <si>
    <t>Date Due</t>
  </si>
  <si>
    <t>Amt Net</t>
  </si>
  <si>
    <t>Date Posted</t>
  </si>
  <si>
    <t>Date Entered</t>
  </si>
  <si>
    <t>Class Code</t>
  </si>
  <si>
    <t>Document 1</t>
  </si>
  <si>
    <t>Document 2</t>
  </si>
  <si>
    <t>Ticket Num</t>
  </si>
  <si>
    <t>Vendor Order Num</t>
  </si>
  <si>
    <t>Po Ctrl Num</t>
  </si>
  <si>
    <t>Doc Ctrl Num</t>
  </si>
  <si>
    <t>Doc Desc</t>
  </si>
  <si>
    <t>Date Doc</t>
  </si>
  <si>
    <t>Further Description</t>
  </si>
  <si>
    <t>One Time Vendor</t>
  </si>
  <si>
    <t>Vendor Code</t>
  </si>
  <si>
    <t>R/Type</t>
  </si>
  <si>
    <t>User</t>
  </si>
  <si>
    <t>Journal Description</t>
  </si>
  <si>
    <t>Psted*</t>
  </si>
  <si>
    <t>Journal Control Num</t>
  </si>
  <si>
    <t>Nat Currency</t>
  </si>
  <si>
    <t>Amount CAD</t>
  </si>
  <si>
    <t>Amount USD</t>
  </si>
  <si>
    <t>Date</t>
  </si>
  <si>
    <t>Full Account</t>
  </si>
  <si>
    <t>Not included in print range</t>
  </si>
  <si>
    <t>*records limit:</t>
  </si>
  <si>
    <t>Num of Entries Shown:</t>
  </si>
  <si>
    <t>*pstd: P = Posted, U = Unposted, S = Staged, C:0 = I/C Unposted, -1 = Hanging out there.</t>
  </si>
  <si>
    <t>Total of Entries:</t>
  </si>
  <si>
    <t>All</t>
  </si>
  <si>
    <t>Posting:</t>
  </si>
  <si>
    <t>Amount To:</t>
  </si>
  <si>
    <t>Amount From:</t>
  </si>
  <si>
    <t>70095</t>
  </si>
  <si>
    <t>Accts:</t>
  </si>
  <si>
    <t>To:</t>
  </si>
  <si>
    <t>Vendor Code:</t>
  </si>
  <si>
    <t>Districts:</t>
  </si>
  <si>
    <t>2017-01</t>
  </si>
  <si>
    <t>From:</t>
  </si>
  <si>
    <t>Other Criteria</t>
  </si>
  <si>
    <t>Date Range:</t>
  </si>
  <si>
    <t>v.4.6</t>
  </si>
  <si>
    <t>NOTE: Ctrl+Shift+J to pull data</t>
  </si>
  <si>
    <t>Journal Entry Query Tool</t>
  </si>
  <si>
    <t>Current Month:</t>
  </si>
  <si>
    <t>ToMonth:</t>
  </si>
  <si>
    <t>FromMonth:</t>
  </si>
  <si>
    <t>Other</t>
  </si>
  <si>
    <t>Entries Shown Limit Setup:</t>
  </si>
  <si>
    <t>Formulas</t>
  </si>
  <si>
    <t>Staged_District</t>
  </si>
  <si>
    <t>Staged_YearMonth</t>
  </si>
  <si>
    <t>staged_refCode</t>
  </si>
  <si>
    <t>seg4_code</t>
  </si>
  <si>
    <t>seg3_code</t>
  </si>
  <si>
    <t>seg2_code</t>
  </si>
  <si>
    <t>seg1_code</t>
  </si>
  <si>
    <t>posted_flag</t>
  </si>
  <si>
    <t>type_flag</t>
  </si>
  <si>
    <t>repeating_flag</t>
  </si>
  <si>
    <t>recurring_flag</t>
  </si>
  <si>
    <t>hold_flag</t>
  </si>
  <si>
    <t>reversing_flag</t>
  </si>
  <si>
    <t>DBase</t>
  </si>
  <si>
    <t>date_due</t>
  </si>
  <si>
    <t>amt_net</t>
  </si>
  <si>
    <t>date_posted</t>
  </si>
  <si>
    <t>date_entered</t>
  </si>
  <si>
    <t>class_code</t>
  </si>
  <si>
    <t>document_1</t>
  </si>
  <si>
    <t>document_2</t>
  </si>
  <si>
    <t>ticket_num</t>
  </si>
  <si>
    <t>vend_order_num</t>
  </si>
  <si>
    <t>po_ctrl_num</t>
  </si>
  <si>
    <t>doc_ctrl_num</t>
  </si>
  <si>
    <t>doc_desc</t>
  </si>
  <si>
    <t>date_doc</t>
  </si>
  <si>
    <t>Description</t>
  </si>
  <si>
    <t>OneTime</t>
  </si>
  <si>
    <t>vendor_code</t>
  </si>
  <si>
    <t>TypeCode</t>
  </si>
  <si>
    <t>journal_description</t>
  </si>
  <si>
    <t>pstd</t>
  </si>
  <si>
    <t>Journal</t>
  </si>
  <si>
    <t>currencycode</t>
  </si>
  <si>
    <t>balance_cad</t>
  </si>
  <si>
    <t>balance_usd</t>
  </si>
  <si>
    <t>date_applied</t>
  </si>
  <si>
    <t>FullAcct</t>
  </si>
  <si>
    <t>70195</t>
  </si>
  <si>
    <t>70195-2120-000-00</t>
  </si>
  <si>
    <t>JRNLWA00348169</t>
  </si>
  <si>
    <t>RosemaryS</t>
  </si>
  <si>
    <t>25WRRA</t>
  </si>
  <si>
    <t>WASHINGTON REFUSE &amp; RECYCLING ASSOC</t>
  </si>
  <si>
    <t>WRRA Regular Dues- January</t>
  </si>
  <si>
    <t>PO-2000-17-00092</t>
  </si>
  <si>
    <t>VO04166261</t>
  </si>
  <si>
    <t>JRNL00827837</t>
  </si>
  <si>
    <t>JRNLWA00348531</t>
  </si>
  <si>
    <t>2120COLCHAM</t>
  </si>
  <si>
    <t>COLFAX CHAMBER OF COMMERCE</t>
  </si>
  <si>
    <t>2017 MEMBERSHIP DUES</t>
  </si>
  <si>
    <t>PO-2120-17-00029</t>
  </si>
  <si>
    <t>VO04172043</t>
  </si>
  <si>
    <t>JRNL00828532</t>
  </si>
  <si>
    <t>JRNLWA00347903</t>
  </si>
  <si>
    <t>WHITMAN COUNTY GAZETTE~AARON LAWHEAD</t>
  </si>
  <si>
    <t>JRNL00827295</t>
  </si>
  <si>
    <t>JRNL00827352</t>
  </si>
  <si>
    <t>WASHINGTON STATE RECYCLIN~BRIAN BROOKES</t>
  </si>
  <si>
    <t>JRNLWA00349054</t>
  </si>
  <si>
    <t>PCard Activity January- Wester</t>
  </si>
  <si>
    <t>JRNL00830275</t>
  </si>
  <si>
    <t>JRNLWA00348931</t>
  </si>
  <si>
    <t>WRRA Regular Dues- February</t>
  </si>
  <si>
    <t>PO-2000-17-00437</t>
  </si>
  <si>
    <t>VO04192647</t>
  </si>
  <si>
    <t>JRNL00830163</t>
  </si>
  <si>
    <t>JRNLWA00350516</t>
  </si>
  <si>
    <t>212AWB</t>
  </si>
  <si>
    <t>ASSOCIATION OF WASHINGTON BUSINESS</t>
  </si>
  <si>
    <t>AWB Association of WA Business- 2017 Due</t>
  </si>
  <si>
    <t>PO-2000-17-00267</t>
  </si>
  <si>
    <t>VO04220208</t>
  </si>
  <si>
    <t>JRNL00833985</t>
  </si>
  <si>
    <t>JRNLWA00351492</t>
  </si>
  <si>
    <t>WRRA- Regular Dues March 2017</t>
  </si>
  <si>
    <t>PO-2000-17-00833</t>
  </si>
  <si>
    <t>VO04226137</t>
  </si>
  <si>
    <t>JRNL00836115</t>
  </si>
  <si>
    <t>JRNLWA00353071</t>
  </si>
  <si>
    <t>APRIL WRRA INVOICE</t>
  </si>
  <si>
    <t>PO-2000-17-01475</t>
  </si>
  <si>
    <t>VO04255529</t>
  </si>
  <si>
    <t>JRNL00840219</t>
  </si>
  <si>
    <t>JRNLWA00354681</t>
  </si>
  <si>
    <t>Regular Dues</t>
  </si>
  <si>
    <t>PO-2000-17-01877</t>
  </si>
  <si>
    <t>VO04292441</t>
  </si>
  <si>
    <t>JRNL00844227</t>
  </si>
  <si>
    <t>JRNLWA00357384</t>
  </si>
  <si>
    <t>PO Log and Expense Report Accr</t>
  </si>
  <si>
    <t>25WRRA : WRRA Allocation, regular dues</t>
  </si>
  <si>
    <t>JRNL00851453</t>
  </si>
  <si>
    <t>JRNLWA00356733</t>
  </si>
  <si>
    <t>WRRA Allocation, regular dues</t>
  </si>
  <si>
    <t>PO-2000-17-02242</t>
  </si>
  <si>
    <t>VO04340580</t>
  </si>
  <si>
    <t>JRNL00850187</t>
  </si>
  <si>
    <t>JRNLWA00357503</t>
  </si>
  <si>
    <t>MaribelV</t>
  </si>
  <si>
    <t>JRNL00851472</t>
  </si>
  <si>
    <t>AMAZONPRIME MEMBERSHIP~AARON LAWHEAD</t>
  </si>
  <si>
    <t>JRNLWA00358893</t>
  </si>
  <si>
    <t>25WRRA : Landfill Dues</t>
  </si>
  <si>
    <t>JRNL00854889</t>
  </si>
  <si>
    <t>JRNLWA00359308</t>
  </si>
  <si>
    <t>WRRA Regular Dues</t>
  </si>
  <si>
    <t>PO-2000-17-02997</t>
  </si>
  <si>
    <t>VO04377418</t>
  </si>
  <si>
    <t>JRNL00855531</t>
  </si>
  <si>
    <t>JRNLWA00359015</t>
  </si>
  <si>
    <t>JRNL00854943</t>
  </si>
  <si>
    <t>JRNLWA00360840</t>
  </si>
  <si>
    <t>PO-2000-17-03413</t>
  </si>
  <si>
    <t>VO04409164</t>
  </si>
  <si>
    <t>JRNL00859253</t>
  </si>
  <si>
    <t>JRNLWA00362458</t>
  </si>
  <si>
    <t>PO-2000-17-03774</t>
  </si>
  <si>
    <t>VO04437537</t>
  </si>
  <si>
    <t>JRNL00862926</t>
  </si>
  <si>
    <t>JRNLWA00362532</t>
  </si>
  <si>
    <t>PO-2000-17-03851</t>
  </si>
  <si>
    <t>VO04452330</t>
  </si>
  <si>
    <t>JRNL00863260</t>
  </si>
  <si>
    <t>JRNLWA00363997</t>
  </si>
  <si>
    <t>November WRRA Dues</t>
  </si>
  <si>
    <t>PO-2000-17-04213</t>
  </si>
  <si>
    <t>VO04477067</t>
  </si>
  <si>
    <t>JRNL00866609</t>
  </si>
  <si>
    <t>JRNLWA00364123</t>
  </si>
  <si>
    <t>2120WESTSTAT</t>
  </si>
  <si>
    <t>WESTERN STATES EQUIPMENT CO., INC.</t>
  </si>
  <si>
    <t>ET SUBSCRIPTION INV#IN000501861</t>
  </si>
  <si>
    <t>IN000501861</t>
  </si>
  <si>
    <t>PO-2120-17-01056</t>
  </si>
  <si>
    <t>VO04487217</t>
  </si>
  <si>
    <t>JRNL00867083</t>
  </si>
  <si>
    <t>CUMMINS NW PORTLAND~DANIEL YOUNG</t>
  </si>
  <si>
    <t>JRNLWA00365550</t>
  </si>
  <si>
    <t>VUS000014985</t>
  </si>
  <si>
    <t>WRRA REGULAR DUES FOR DECEMBER</t>
  </si>
  <si>
    <t>PO-2000-17-04557</t>
  </si>
  <si>
    <t>VO04505129</t>
  </si>
  <si>
    <t>JRNL00870250</t>
  </si>
  <si>
    <t>JRNLWA00365747</t>
  </si>
  <si>
    <t>VUS000014745</t>
  </si>
  <si>
    <t>MEMBERSHIP DUES INV#253</t>
  </si>
  <si>
    <t>PO-2120-17-01159</t>
  </si>
  <si>
    <t>VO04521760</t>
  </si>
  <si>
    <t>JRNL00870988</t>
  </si>
  <si>
    <t>JRNLWA00351081</t>
  </si>
  <si>
    <t>JRNL00835421</t>
  </si>
  <si>
    <t>JRNLWA00351194</t>
  </si>
  <si>
    <t>JRNL00835589</t>
  </si>
  <si>
    <t>JRNLWA00354171</t>
  </si>
  <si>
    <t>JRNL00843154</t>
  </si>
  <si>
    <t>JRNLWA00354289</t>
  </si>
  <si>
    <t>JRNL00843301</t>
  </si>
  <si>
    <t>JRNLWA00357155</t>
  </si>
  <si>
    <t>JRNL00851359</t>
  </si>
  <si>
    <t>JRNLWA00357163</t>
  </si>
  <si>
    <t>JRNL00851363</t>
  </si>
  <si>
    <t>JRNLWA00357459</t>
  </si>
  <si>
    <t>OPEX14a- AP and Exp Report Acc</t>
  </si>
  <si>
    <t>JRNL00851475</t>
  </si>
  <si>
    <t>JRNLWA00357180</t>
  </si>
  <si>
    <t>JRNL00851379</t>
  </si>
  <si>
    <t>JRNLWA00357519</t>
  </si>
  <si>
    <t>JoshuaV</t>
  </si>
  <si>
    <t>JRNL00851595</t>
  </si>
  <si>
    <t>JRNLWA00358455</t>
  </si>
  <si>
    <t>MISC1-Reverse Dup June AP Accr</t>
  </si>
  <si>
    <t>Rvrs Dup June AP Accrual</t>
  </si>
  <si>
    <t>JRNL00853728</t>
  </si>
  <si>
    <t>As of Jan 1, 2018</t>
  </si>
  <si>
    <t xml:space="preserve">Empire Disposal, Inc. </t>
  </si>
  <si>
    <t>January 1, 2017 - December 31, 2017</t>
  </si>
  <si>
    <t>Spokane Co.</t>
  </si>
  <si>
    <t>Whitman Co.</t>
  </si>
  <si>
    <t>Adjust in Management Comp</t>
  </si>
  <si>
    <t>Pass-Through</t>
  </si>
  <si>
    <t>40101 - Whitman</t>
  </si>
  <si>
    <t>40121 - Incinerator</t>
  </si>
  <si>
    <t xml:space="preserve">40131 - Spokane </t>
  </si>
  <si>
    <t>Communications &amp; Utilities</t>
  </si>
  <si>
    <t>Adjustment Needed</t>
  </si>
  <si>
    <t>Leasehold Improvements</t>
  </si>
  <si>
    <t>Comp Allocation In</t>
  </si>
  <si>
    <t>General Rate Filing 4/1/2018</t>
  </si>
  <si>
    <t>Management Compensation Allocation</t>
  </si>
  <si>
    <t>DVP/DivCon</t>
  </si>
  <si>
    <t>2125 - Spokane Transfer</t>
  </si>
  <si>
    <t>2011 - OPF</t>
  </si>
  <si>
    <t>2025 - CRD</t>
  </si>
  <si>
    <t>2046 - EWSI</t>
  </si>
  <si>
    <t>2042 - Wasco</t>
  </si>
  <si>
    <t>2050 - Finley</t>
  </si>
  <si>
    <t>2044 - The Dalles</t>
  </si>
  <si>
    <t>2045 - Hood River</t>
  </si>
  <si>
    <t>Other Compensation</t>
  </si>
  <si>
    <t>Inter-co elimiation rev</t>
  </si>
  <si>
    <t>Gross Revenue before eliminations</t>
  </si>
  <si>
    <t xml:space="preserve">     Total eligible allocation rate</t>
  </si>
  <si>
    <t>NEW IMPROVED LURITO - GALLAGHER FORMULA -Packer &amp; RO-Empire Disposal</t>
  </si>
  <si>
    <t>NEW IMPROVED LURITO - GALLAGHER FORMULA - Recycling-Empire Disposal</t>
  </si>
  <si>
    <t>Region OH Calculation</t>
  </si>
  <si>
    <t>2017 %</t>
  </si>
  <si>
    <t>2016 Customer Count</t>
  </si>
  <si>
    <t>Allocation Percentage</t>
  </si>
  <si>
    <t>REGION G&amp;A STATEMENT</t>
  </si>
  <si>
    <t xml:space="preserve">Empire Disposal </t>
  </si>
  <si>
    <t>Adjusted Region</t>
  </si>
  <si>
    <t>Allocation</t>
  </si>
  <si>
    <t>Unallowable</t>
  </si>
  <si>
    <t>OH Allocation</t>
  </si>
  <si>
    <t>Building Operating Expenses (CAM)</t>
  </si>
  <si>
    <t>Gifts to Customers</t>
  </si>
  <si>
    <t>Miscellaneous</t>
  </si>
  <si>
    <t>Per GL</t>
  </si>
  <si>
    <t>(A)</t>
  </si>
  <si>
    <t>(A)  Immaterial variance</t>
  </si>
  <si>
    <t>check figure</t>
  </si>
  <si>
    <t>Commercial Recyling</t>
  </si>
  <si>
    <t xml:space="preserve">Resi Recy/Garbage </t>
  </si>
  <si>
    <t xml:space="preserve">Comm Recy/Garbage </t>
  </si>
  <si>
    <t>To allocate shared truck</t>
  </si>
  <si>
    <t>Depreciation &amp; Average Investment Summary:</t>
  </si>
  <si>
    <t>Beginning</t>
  </si>
  <si>
    <t>Ending</t>
  </si>
  <si>
    <t>Average</t>
  </si>
  <si>
    <t>Equipment</t>
  </si>
  <si>
    <t>Cost</t>
  </si>
  <si>
    <t>Salvage</t>
  </si>
  <si>
    <t>Test Year</t>
  </si>
  <si>
    <t>Accum Depr</t>
  </si>
  <si>
    <t>Investment</t>
  </si>
  <si>
    <t>Depreciation Expense</t>
  </si>
  <si>
    <t>Med-Waste</t>
  </si>
  <si>
    <t>Trucks</t>
  </si>
  <si>
    <t>Garbage - Shared</t>
  </si>
  <si>
    <t>Roll-off</t>
  </si>
  <si>
    <t>Resi Recycling/Garbage - Shared</t>
  </si>
  <si>
    <t>Comm Recycling/Garbage - Shared</t>
  </si>
  <si>
    <t>Total Trucks</t>
  </si>
  <si>
    <t xml:space="preserve"> </t>
  </si>
  <si>
    <t>Containers:</t>
  </si>
  <si>
    <t>U Cnts</t>
  </si>
  <si>
    <t>Garbage/Recycling Carts</t>
  </si>
  <si>
    <t>Drop Boxes</t>
  </si>
  <si>
    <t>Total Cont, Carts,</t>
  </si>
  <si>
    <t>Service Equipment</t>
  </si>
  <si>
    <t>Shop Equipment</t>
  </si>
  <si>
    <t>Office Equipment</t>
  </si>
  <si>
    <t>Cust Counts</t>
  </si>
  <si>
    <t>Total Equipment</t>
  </si>
  <si>
    <t>Structures</t>
  </si>
  <si>
    <t>Land</t>
  </si>
  <si>
    <t xml:space="preserve">Land, Lot Colfax </t>
  </si>
  <si>
    <t>Container Storage</t>
  </si>
  <si>
    <t>Total Land &amp; LH</t>
  </si>
  <si>
    <t>Depreciation Expense - Reg LOB</t>
  </si>
  <si>
    <t>Average Investment - Reg LOB</t>
  </si>
  <si>
    <t>Payroll Schedule</t>
  </si>
  <si>
    <t>Note: Use the employees latest pay raise date.</t>
  </si>
  <si>
    <t>Test Year Start Date:</t>
  </si>
  <si>
    <t>Raise Date:</t>
  </si>
  <si>
    <t># of Restatment Days</t>
  </si>
  <si>
    <t>REGULAR</t>
  </si>
  <si>
    <t>OVERTIME</t>
  </si>
  <si>
    <t>VACATION/ PTO</t>
  </si>
  <si>
    <t>HOLIDAY</t>
  </si>
  <si>
    <t>OTHER</t>
  </si>
  <si>
    <t>BONUS</t>
  </si>
  <si>
    <t>District #</t>
  </si>
  <si>
    <t>EE #</t>
  </si>
  <si>
    <t>Name</t>
  </si>
  <si>
    <t>Job</t>
  </si>
  <si>
    <t>Hours</t>
  </si>
  <si>
    <t>Pay</t>
  </si>
  <si>
    <t>Total Pay per Payroll Register</t>
  </si>
  <si>
    <t>Total Hours</t>
  </si>
  <si>
    <t>Total Non-Wrk Hrs</t>
  </si>
  <si>
    <t>Total Route Hrs</t>
  </si>
  <si>
    <t>Wage Base</t>
  </si>
  <si>
    <t>Raise Date</t>
  </si>
  <si>
    <t>Raise %</t>
  </si>
  <si>
    <t>Restatement</t>
  </si>
  <si>
    <t>Proforma</t>
  </si>
  <si>
    <t>Drivers (50020)</t>
  </si>
  <si>
    <t>116872</t>
  </si>
  <si>
    <t xml:space="preserve">Brian Himes </t>
  </si>
  <si>
    <t>102490</t>
  </si>
  <si>
    <t xml:space="preserve">Chipp Reum </t>
  </si>
  <si>
    <t>300613</t>
  </si>
  <si>
    <t>Cody Kritzeck</t>
  </si>
  <si>
    <t>102539</t>
  </si>
  <si>
    <t xml:space="preserve">John Hall </t>
  </si>
  <si>
    <t>102306</t>
  </si>
  <si>
    <t xml:space="preserve">John Vantine </t>
  </si>
  <si>
    <t>158990</t>
  </si>
  <si>
    <t xml:space="preserve">Jonathan Meredith </t>
  </si>
  <si>
    <t>301756</t>
  </si>
  <si>
    <t xml:space="preserve">Kaleb Bleeker </t>
  </si>
  <si>
    <t>158609</t>
  </si>
  <si>
    <t xml:space="preserve">Matthew Macdougall </t>
  </si>
  <si>
    <t>102432</t>
  </si>
  <si>
    <t xml:space="preserve">Melroy Manner </t>
  </si>
  <si>
    <t>112920</t>
  </si>
  <si>
    <t xml:space="preserve">Troy Scott </t>
  </si>
  <si>
    <t>TOTAL PACKER</t>
  </si>
  <si>
    <t>102379</t>
  </si>
  <si>
    <t xml:space="preserve">Brian Johnson </t>
  </si>
  <si>
    <t>102977</t>
  </si>
  <si>
    <t xml:space="preserve">Chris Rogers </t>
  </si>
  <si>
    <t>TOTAL ROLLOFF</t>
  </si>
  <si>
    <t>TOTAL DRIVERS</t>
  </si>
  <si>
    <t>Mechanics Hourly/Salary (52010/52020)</t>
  </si>
  <si>
    <t>300154</t>
  </si>
  <si>
    <t xml:space="preserve">Andrew Carriker </t>
  </si>
  <si>
    <t>118261</t>
  </si>
  <si>
    <t xml:space="preserve">Daniel Young </t>
  </si>
  <si>
    <t>TOTAL MECHANICS</t>
  </si>
  <si>
    <t>TOTAL CONTAINER</t>
  </si>
  <si>
    <t>G&amp;A (Salary 70010 - Hourly 70020 )</t>
  </si>
  <si>
    <t>302282</t>
  </si>
  <si>
    <t xml:space="preserve">Dante Nelson </t>
  </si>
  <si>
    <t>118044</t>
  </si>
  <si>
    <t xml:space="preserve">Jamie Bretveld </t>
  </si>
  <si>
    <t>102585</t>
  </si>
  <si>
    <t xml:space="preserve">Kathleen Carr </t>
  </si>
  <si>
    <t>TOTAL G&amp;A</t>
  </si>
  <si>
    <t>Supervisor -  Salaried/Hourly 56010/56020</t>
  </si>
  <si>
    <t>154760</t>
  </si>
  <si>
    <t xml:space="preserve">Aaron Lawhead </t>
  </si>
  <si>
    <t>TOTAL SUPERVISOR</t>
  </si>
  <si>
    <t>GRAND TOTALS</t>
  </si>
  <si>
    <t>check</t>
  </si>
  <si>
    <t>Reconciliation of Payroll Register to General Ledger</t>
  </si>
  <si>
    <t>DRIVER WAGES PER PR REGISTER</t>
  </si>
  <si>
    <t>Accruals</t>
  </si>
  <si>
    <t xml:space="preserve">   (See Driver GL Detail tab for Details)</t>
  </si>
  <si>
    <t>Misc -  Immaterial</t>
  </si>
  <si>
    <t>GL</t>
  </si>
  <si>
    <t>Other Bonuses</t>
  </si>
  <si>
    <t>MECHANICS -  HOURLY &amp; SALARY PER PR REGISTER</t>
  </si>
  <si>
    <t xml:space="preserve">   (See Detailed Schedule)</t>
  </si>
  <si>
    <t>CONTAINER</t>
  </si>
  <si>
    <t>55020 Prior Accrual</t>
  </si>
  <si>
    <t>55020 Current Accrual</t>
  </si>
  <si>
    <t>55025 Prior Accrual</t>
  </si>
  <si>
    <t>55025 Current Accrual</t>
  </si>
  <si>
    <t>55035 Accrual Adjustment</t>
  </si>
  <si>
    <t>55065 Prior Accrual</t>
  </si>
  <si>
    <t>55065 Current Accrual</t>
  </si>
  <si>
    <t>52070 Prior Accrual</t>
  </si>
  <si>
    <t>Unreconciled Difference</t>
  </si>
  <si>
    <t xml:space="preserve"> Qtr Total</t>
  </si>
  <si>
    <t>SUPERVISOR - SALARY &amp; HOURLY WAGES PER PR REGISTER</t>
  </si>
  <si>
    <t>Accruals, Division Payroll Alloc, Mgmt Bonus, Etc</t>
  </si>
  <si>
    <t xml:space="preserve">   (See Supervisor GL Detail tab for Details)</t>
  </si>
  <si>
    <t>(B)</t>
  </si>
  <si>
    <t>G&amp;A - SALARY &amp; HOURLY WAGES PER PR REGISTER</t>
  </si>
  <si>
    <t>Accruals, Division Payroll Alloc., Region OH Alloc., Etc</t>
  </si>
  <si>
    <t xml:space="preserve">   (See G&amp;A GL Detail tab for Details)</t>
  </si>
  <si>
    <t>Tooty Bonuses</t>
  </si>
  <si>
    <t>Total Difference to GL</t>
  </si>
  <si>
    <t>During the 2017 Calendar year, Aaron Lawhead transferred from Supervisor to G&amp;A on the GL. Differeces in GL catecories offset each other.</t>
  </si>
  <si>
    <t>P-1</t>
  </si>
  <si>
    <t>P-2</t>
  </si>
  <si>
    <t>Packer</t>
  </si>
  <si>
    <t>Recycle</t>
  </si>
  <si>
    <t>RS-5: Restate in 11/18/2017 raises so 12 months of the current wages are reflected in the rates</t>
  </si>
  <si>
    <t>40101</t>
  </si>
  <si>
    <t>40101-2120-000-00</t>
  </si>
  <si>
    <t>JRNLWA00348360</t>
  </si>
  <si>
    <t>2120WHITLAND : PO 01323 : WHITMAN COUNTY</t>
  </si>
  <si>
    <t>JRNL00827992</t>
  </si>
  <si>
    <t>JRNL00828129</t>
  </si>
  <si>
    <t>JRNLWA00349180</t>
  </si>
  <si>
    <t>REV3-Rcrd Other Rev</t>
  </si>
  <si>
    <t>Disp Comm - City of Harrington</t>
  </si>
  <si>
    <t>JRNL00830552</t>
  </si>
  <si>
    <t>JRNLWA00349484</t>
  </si>
  <si>
    <t>2120WHITLAND : DISPOSAL LANDFILL</t>
  </si>
  <si>
    <t>JRNL00831510</t>
  </si>
  <si>
    <t>2120WHITLAND : PO 00049 : WHITMAN COUNTY</t>
  </si>
  <si>
    <t>JRNLWA00350034</t>
  </si>
  <si>
    <t>2120WHITLAND</t>
  </si>
  <si>
    <t>WHITMAN COUNTY LANDFILL</t>
  </si>
  <si>
    <t>DISPOSAL LANDFILL</t>
  </si>
  <si>
    <t>PO-2120-17-00049</t>
  </si>
  <si>
    <t>VO04199194</t>
  </si>
  <si>
    <t>JRNL00832535</t>
  </si>
  <si>
    <t>JRNLWA00349568</t>
  </si>
  <si>
    <t>JRNL00831622</t>
  </si>
  <si>
    <t>JRNLWA00350373</t>
  </si>
  <si>
    <t>JRNL00833791</t>
  </si>
  <si>
    <t>JRNLWA00351483</t>
  </si>
  <si>
    <t>VO04224883</t>
  </si>
  <si>
    <t>JRNL00836090</t>
  </si>
  <si>
    <t>JRNLWA00351901</t>
  </si>
  <si>
    <t>VO04250254</t>
  </si>
  <si>
    <t>JRNL00837833</t>
  </si>
  <si>
    <t>JRNLWA00351902</t>
  </si>
  <si>
    <t>JRNL00837801</t>
  </si>
  <si>
    <t>JRNLWA00353427</t>
  </si>
  <si>
    <t>JRNL00841660</t>
  </si>
  <si>
    <t>JRNLWA00354535</t>
  </si>
  <si>
    <t>VO04280813</t>
  </si>
  <si>
    <t>JRNL00843720</t>
  </si>
  <si>
    <t>JRNLWA00355202</t>
  </si>
  <si>
    <t>JRNL00845569</t>
  </si>
  <si>
    <t>JRNLWA00355646</t>
  </si>
  <si>
    <t>JRNL00846891</t>
  </si>
  <si>
    <t>JRNLWA00356122</t>
  </si>
  <si>
    <t>VO04312527</t>
  </si>
  <si>
    <t>JRNL00847631</t>
  </si>
  <si>
    <t>JRNLWA00355843</t>
  </si>
  <si>
    <t>JRNL00846929</t>
  </si>
  <si>
    <t>JRNLWA00356478</t>
  </si>
  <si>
    <t>VO04338885</t>
  </si>
  <si>
    <t>JRNL00849459</t>
  </si>
  <si>
    <t>JRNLWA00356561</t>
  </si>
  <si>
    <t>JRNL00849658</t>
  </si>
  <si>
    <t>JRNLWA00358174</t>
  </si>
  <si>
    <t>JRNL00853202</t>
  </si>
  <si>
    <t>JRNLWA00359162</t>
  </si>
  <si>
    <t>VO04371775</t>
  </si>
  <si>
    <t>JRNL00855141</t>
  </si>
  <si>
    <t>JRNLWA00359749</t>
  </si>
  <si>
    <t>VO04401051</t>
  </si>
  <si>
    <t>JRNL00857032</t>
  </si>
  <si>
    <t>JRNLWA00359790</t>
  </si>
  <si>
    <t>JRNL00857210</t>
  </si>
  <si>
    <t>JRNLWA00361177</t>
  </si>
  <si>
    <t>VO04430024</t>
  </si>
  <si>
    <t>JRNL00860501</t>
  </si>
  <si>
    <t>JRNLWA00361182</t>
  </si>
  <si>
    <t>JRNL00860470</t>
  </si>
  <si>
    <t>JRNLWA00362879</t>
  </si>
  <si>
    <t>JRNL00864289</t>
  </si>
  <si>
    <t>JRNLWA00363524</t>
  </si>
  <si>
    <t>JRNL00865690</t>
  </si>
  <si>
    <t>JRNLWA00363297</t>
  </si>
  <si>
    <t>VO04469608</t>
  </si>
  <si>
    <t>JRNL00865291</t>
  </si>
  <si>
    <t>JRNLWA00363671</t>
  </si>
  <si>
    <t>JRNL00865868</t>
  </si>
  <si>
    <t>INTEGRITY EXCAVATION~AARON LAWHEAD</t>
  </si>
  <si>
    <t>JRNLWA00364427</t>
  </si>
  <si>
    <t>JRNL00867953</t>
  </si>
  <si>
    <t>JRNLWA00365208</t>
  </si>
  <si>
    <t>VUS000014774 : DISPOSAL LANDFILL</t>
  </si>
  <si>
    <t>JRNL00869271</t>
  </si>
  <si>
    <t>JRNLWA00365559</t>
  </si>
  <si>
    <t>VUS000014774</t>
  </si>
  <si>
    <t>PO-2120-17-01080</t>
  </si>
  <si>
    <t>VO04506393</t>
  </si>
  <si>
    <t>JRNL00870265</t>
  </si>
  <si>
    <t>JRNLWA00365353</t>
  </si>
  <si>
    <t>JRNL00869442</t>
  </si>
  <si>
    <t>JRNLWA00365968</t>
  </si>
  <si>
    <t>JRNL00871517</t>
  </si>
  <si>
    <t>JRNLWA00366735</t>
  </si>
  <si>
    <t>JRNL00872871</t>
  </si>
  <si>
    <t>40131</t>
  </si>
  <si>
    <t>40131-2120-000-00</t>
  </si>
  <si>
    <t>JRNLWA00348593</t>
  </si>
  <si>
    <t>VUS000009995</t>
  </si>
  <si>
    <t>SPOKANE COUNTY SOLID WASTE</t>
  </si>
  <si>
    <t>SPOKANE TRANSFER STATION ACCT #4005</t>
  </si>
  <si>
    <t>20170105-4005-34791</t>
  </si>
  <si>
    <t>PO-2120-16-00818</t>
  </si>
  <si>
    <t>VO04177869</t>
  </si>
  <si>
    <t>JRNL00828874</t>
  </si>
  <si>
    <t>PCARD : PO 01319 : STERICYCLE : PCard</t>
  </si>
  <si>
    <t>VUS000009995 : PO 00818 : SPOKANE COUNTY</t>
  </si>
  <si>
    <t>STERICYCLE~AARON LAWHEAD</t>
  </si>
  <si>
    <t>VUS000009995 : PO 00045 : SPOKANE COUNTY</t>
  </si>
  <si>
    <t>PCARD : PO 00046 : STERICYCLE : PCard</t>
  </si>
  <si>
    <t>JRNLWA00350171</t>
  </si>
  <si>
    <t>SPOKANE TRANSFER STATION ACCT#4005</t>
  </si>
  <si>
    <t>20170217-4005-34921</t>
  </si>
  <si>
    <t>PO-2120-17-00045</t>
  </si>
  <si>
    <t>VO04211670</t>
  </si>
  <si>
    <t>JRNL00833159</t>
  </si>
  <si>
    <t>JRNLWA00350488</t>
  </si>
  <si>
    <t>PCard Activity February - West</t>
  </si>
  <si>
    <t>JRNL00833894</t>
  </si>
  <si>
    <t>JRNLWA00351578</t>
  </si>
  <si>
    <t>20170307-4005-35032</t>
  </si>
  <si>
    <t>VO04233056</t>
  </si>
  <si>
    <t>JRNL00836465</t>
  </si>
  <si>
    <t>JRNLWA00352634</t>
  </si>
  <si>
    <t>JRNL00839329</t>
  </si>
  <si>
    <t>JRNLWA00352832</t>
  </si>
  <si>
    <t>JRNL00839579</t>
  </si>
  <si>
    <t>VUS000009995 : SPOKANE TRANSFER STATION</t>
  </si>
  <si>
    <t>JRNLWA00353610</t>
  </si>
  <si>
    <t>20170405-4005-35200</t>
  </si>
  <si>
    <t>VO04277981</t>
  </si>
  <si>
    <t>JRNL00842093</t>
  </si>
  <si>
    <t>JRNLWA00354721</t>
  </si>
  <si>
    <t>20170504-4005-35378</t>
  </si>
  <si>
    <t>VO04296002</t>
  </si>
  <si>
    <t>JRNL00844412</t>
  </si>
  <si>
    <t>JRNLWA00355229</t>
  </si>
  <si>
    <t>Pcard Activity May - Western</t>
  </si>
  <si>
    <t>JRNL00845802</t>
  </si>
  <si>
    <t>JRNLWA00356215</t>
  </si>
  <si>
    <t>20170606-4005-35560</t>
  </si>
  <si>
    <t>VO04320468</t>
  </si>
  <si>
    <t>JRNL00848012</t>
  </si>
  <si>
    <t>JRNLWA00357902</t>
  </si>
  <si>
    <t>20170706-4005</t>
  </si>
  <si>
    <t>VO04361509</t>
  </si>
  <si>
    <t>JRNL00852487</t>
  </si>
  <si>
    <t>20170804-4005-35946</t>
  </si>
  <si>
    <t>VO04400955</t>
  </si>
  <si>
    <t>JRNLWA00360326</t>
  </si>
  <si>
    <t>JRNL00858357</t>
  </si>
  <si>
    <t>JRNLWA00360866</t>
  </si>
  <si>
    <t>20170906-4005-36136</t>
  </si>
  <si>
    <t>VO04410432</t>
  </si>
  <si>
    <t>JRNL00859284</t>
  </si>
  <si>
    <t>JRNLWA00360518</t>
  </si>
  <si>
    <t>JRNL00858393</t>
  </si>
  <si>
    <t>JRNLWA00361268</t>
  </si>
  <si>
    <t>PCard Activity - Sep - Western</t>
  </si>
  <si>
    <t>JRNL00860630</t>
  </si>
  <si>
    <t>JRNLWA00361464</t>
  </si>
  <si>
    <t>JRNL00860889</t>
  </si>
  <si>
    <t>JRNLWA00361731</t>
  </si>
  <si>
    <t>JRNL00861648</t>
  </si>
  <si>
    <t>JRNLWA00362596</t>
  </si>
  <si>
    <t>20171005-4005-36334</t>
  </si>
  <si>
    <t>VO04457620</t>
  </si>
  <si>
    <t>JRNL00863576</t>
  </si>
  <si>
    <t>JRNLWA00361527</t>
  </si>
  <si>
    <t>JRNL00861148</t>
  </si>
  <si>
    <t>JRNLWA00361784</t>
  </si>
  <si>
    <t>JRNL00861735</t>
  </si>
  <si>
    <t>JRNLWA00364131</t>
  </si>
  <si>
    <t>20171107-4005-36520</t>
  </si>
  <si>
    <t>VO04488176</t>
  </si>
  <si>
    <t>JRNL00867124</t>
  </si>
  <si>
    <t>JRNLWA00365922</t>
  </si>
  <si>
    <t>20171206-4005-36713</t>
  </si>
  <si>
    <t>VO04524444</t>
  </si>
  <si>
    <t>JRNL00871388</t>
  </si>
  <si>
    <t>40121</t>
  </si>
  <si>
    <t>40121-2120-000-00</t>
  </si>
  <si>
    <t>JRNLWA00348830</t>
  </si>
  <si>
    <t>2120CITYSPOK</t>
  </si>
  <si>
    <t>CITY OF SPOKANE</t>
  </si>
  <si>
    <t>WASTE TO ENERGY</t>
  </si>
  <si>
    <t>73198 1-17</t>
  </si>
  <si>
    <t>PO-2120-17-00040</t>
  </si>
  <si>
    <t>VO04190431</t>
  </si>
  <si>
    <t>JRNL00829807</t>
  </si>
  <si>
    <t>2120CITYSPOK : WASTE TO ENERGY</t>
  </si>
  <si>
    <t>73198 2-17</t>
  </si>
  <si>
    <t>VO04224884</t>
  </si>
  <si>
    <t>73198 3-17</t>
  </si>
  <si>
    <t>VO04250218</t>
  </si>
  <si>
    <t>73198 4-17</t>
  </si>
  <si>
    <t>VO04280800</t>
  </si>
  <si>
    <t>JRNLWA00354864</t>
  </si>
  <si>
    <t>73198 5-17</t>
  </si>
  <si>
    <t>VO04305539</t>
  </si>
  <si>
    <t>JRNL00845059</t>
  </si>
  <si>
    <t>JRNLWA00356477</t>
  </si>
  <si>
    <t>073198 6-17</t>
  </si>
  <si>
    <t>VO04338645</t>
  </si>
  <si>
    <t>JRNL00849458</t>
  </si>
  <si>
    <t>073198 7-17</t>
  </si>
  <si>
    <t>VO04371774</t>
  </si>
  <si>
    <t>JRNLWA00359671</t>
  </si>
  <si>
    <t>073198 8-17</t>
  </si>
  <si>
    <t>VO04399804</t>
  </si>
  <si>
    <t>JRNL00856835</t>
  </si>
  <si>
    <t>JRNLWA00361176</t>
  </si>
  <si>
    <t>073198 9-17</t>
  </si>
  <si>
    <t>VO04429959</t>
  </si>
  <si>
    <t>JRNL00860500</t>
  </si>
  <si>
    <t>073198 10-17</t>
  </si>
  <si>
    <t>VO04469589</t>
  </si>
  <si>
    <t>VUS000019834 : WASTE TO ENERGY</t>
  </si>
  <si>
    <t>JRNLWA00364878</t>
  </si>
  <si>
    <t>VUS000019834</t>
  </si>
  <si>
    <t>073198 11-17</t>
  </si>
  <si>
    <t>PO-2120-17-01082</t>
  </si>
  <si>
    <t>VO04497690</t>
  </si>
  <si>
    <t>JRNL00868841</t>
  </si>
  <si>
    <t>GL 40131 Less Med Waste</t>
  </si>
  <si>
    <t>GL 40131 Total</t>
  </si>
  <si>
    <t>Tons</t>
  </si>
  <si>
    <t>$</t>
  </si>
  <si>
    <t>MSW</t>
  </si>
  <si>
    <t>Roll Off</t>
  </si>
  <si>
    <t>Transfer Station</t>
  </si>
  <si>
    <t>UTC Disposal Log</t>
  </si>
  <si>
    <t>City of Spokane Transfer Stations Disposal Data</t>
  </si>
  <si>
    <t>Per GL 40131</t>
  </si>
  <si>
    <t>Less Med Waste</t>
  </si>
  <si>
    <t>Spokane County</t>
  </si>
  <si>
    <t>Lbs</t>
  </si>
  <si>
    <t>%</t>
  </si>
  <si>
    <t>Whitman County</t>
  </si>
  <si>
    <t>Dump Fee Allocation 2017</t>
  </si>
  <si>
    <t>PACKER/RO</t>
  </si>
  <si>
    <t>District:</t>
  </si>
  <si>
    <t>Types:</t>
  </si>
  <si>
    <t>Period 1</t>
  </si>
  <si>
    <t>Currency</t>
  </si>
  <si>
    <t>Closed Year Balance Sheet Period:</t>
  </si>
  <si>
    <t>Current Year Balance Sheet Period:</t>
  </si>
  <si>
    <t>12 Months</t>
  </si>
  <si>
    <t>12/31/2017</t>
  </si>
  <si>
    <t>IS SECELIM Revenue</t>
  </si>
  <si>
    <t>Operating expenses:</t>
  </si>
  <si>
    <t>IS SECELIM CostOps</t>
  </si>
  <si>
    <t xml:space="preserve">     Cost of operations</t>
  </si>
  <si>
    <t>IS SECELIM SG&amp;A</t>
  </si>
  <si>
    <t xml:space="preserve">     Selling, general and administrative</t>
  </si>
  <si>
    <t>IS SECELIM Depreciation</t>
  </si>
  <si>
    <t xml:space="preserve">     Depreciation </t>
  </si>
  <si>
    <t>IS amort</t>
  </si>
  <si>
    <t xml:space="preserve">     Amortization</t>
  </si>
  <si>
    <t>IS OpDisposal,!91005</t>
  </si>
  <si>
    <t xml:space="preserve">     Loss on sale of operations/assets</t>
  </si>
  <si>
    <t xml:space="preserve">     Loss on prior office leases</t>
  </si>
  <si>
    <t>Income from operations</t>
  </si>
  <si>
    <t>Interest expense</t>
  </si>
  <si>
    <t>Interest income</t>
  </si>
  <si>
    <t>Other income (expense), net</t>
  </si>
  <si>
    <t>IS FX Gain Loss</t>
  </si>
  <si>
    <t>Foreign Transaction Exchange (Gain) and Loss</t>
  </si>
  <si>
    <t>Income before tax provision</t>
  </si>
  <si>
    <t>Income tax provision</t>
  </si>
  <si>
    <t>Net income</t>
  </si>
  <si>
    <t xml:space="preserve">Less: net income attributable to </t>
  </si>
  <si>
    <t xml:space="preserve">   noncontrolling interests</t>
  </si>
  <si>
    <t>Net income attributable to WCN</t>
  </si>
  <si>
    <t>Balance Sheet Summary</t>
  </si>
  <si>
    <t>Assets</t>
  </si>
  <si>
    <t>Current assets:</t>
  </si>
  <si>
    <t>Cash and equivalents</t>
  </si>
  <si>
    <t>Accounts receivable</t>
  </si>
  <si>
    <t>Current deferred tax assets</t>
  </si>
  <si>
    <t>Current assets held for sale</t>
  </si>
  <si>
    <t>Prepaid expenses &amp; other current assetes</t>
  </si>
  <si>
    <t>Total current assets</t>
  </si>
  <si>
    <t>Restricted cash and investments</t>
  </si>
  <si>
    <t>Property and equipment</t>
  </si>
  <si>
    <t>Goodwill</t>
  </si>
  <si>
    <t>Intangible assets</t>
  </si>
  <si>
    <t>Long-term assets held for sale</t>
  </si>
  <si>
    <t>Other assets</t>
  </si>
  <si>
    <t>Liabilities and Equity</t>
  </si>
  <si>
    <t>Current liabilities:</t>
  </si>
  <si>
    <t>Accounts payable</t>
  </si>
  <si>
    <t>Book overdraft</t>
  </si>
  <si>
    <t>Accrued liabilities</t>
  </si>
  <si>
    <t>Deferred revenue</t>
  </si>
  <si>
    <t>Current portion of contingent consideration</t>
  </si>
  <si>
    <t>Current liabilities held for sale</t>
  </si>
  <si>
    <t>Current portion of long-term debt</t>
  </si>
  <si>
    <t>Total current liabilities</t>
  </si>
  <si>
    <t>Long-term debt</t>
  </si>
  <si>
    <t>Long-term portion of contingent consideration</t>
  </si>
  <si>
    <t>Long-term liabilities held for sale</t>
  </si>
  <si>
    <t>Other long-term liabilities</t>
  </si>
  <si>
    <t>Deferred income taxes</t>
  </si>
  <si>
    <t>Total liabilities</t>
  </si>
  <si>
    <t>Equity:</t>
  </si>
  <si>
    <t>Common stock</t>
  </si>
  <si>
    <t>Additional paid-in capital</t>
  </si>
  <si>
    <t>Accumulated other comprehensive income</t>
  </si>
  <si>
    <t>Treasury stock</t>
  </si>
  <si>
    <t>Retained earnings</t>
  </si>
  <si>
    <t>Total Waste Connections' equity</t>
  </si>
  <si>
    <t>Noncontrolling interests</t>
  </si>
  <si>
    <t>Total equity</t>
  </si>
  <si>
    <t>Debt to Equity Ratio</t>
  </si>
  <si>
    <t>Allowable In LG</t>
  </si>
  <si>
    <t>Debt</t>
  </si>
  <si>
    <t>Equity</t>
  </si>
  <si>
    <t>Total Debt &amp; Equity</t>
  </si>
  <si>
    <t>Interest as a % of Debt</t>
  </si>
  <si>
    <t>Interest Expense</t>
  </si>
  <si>
    <t>NEW IMPROVED LURITO - GALLAGHER FORMULA - Total Regulated</t>
  </si>
  <si>
    <t>Recyc Rt Hrs.</t>
  </si>
  <si>
    <t>Disposal Incineration - Spokane</t>
  </si>
  <si>
    <t>Reg/Non-Reg Disposal Allocation</t>
  </si>
  <si>
    <t>Whitman County Transfer Station Disposal Data - Booked to GL 40101</t>
  </si>
  <si>
    <t>Transfer Station - Booked to GL 40131</t>
  </si>
  <si>
    <t>Incinerator - Booked to GL 40121</t>
  </si>
  <si>
    <t>Reclass City of Harrington</t>
  </si>
  <si>
    <t>Disposal Landfill - Whitman/Lincoln</t>
  </si>
  <si>
    <t>City of Harrington</t>
  </si>
  <si>
    <t>DF Alloc</t>
  </si>
  <si>
    <t>Billing</t>
  </si>
  <si>
    <t>Reclass Medical Waste</t>
  </si>
  <si>
    <t>RS-2: Reclass Disposal Into Correct Allocation Groups</t>
  </si>
  <si>
    <t>Net $0 Impact to Disposal Expense, Only to Reclass into appropriate allocation lines.</t>
  </si>
  <si>
    <t>General Rate Filing YE 12/31/2017</t>
  </si>
  <si>
    <t>Adjusted Out City Billed Customers</t>
  </si>
  <si>
    <t>TG-171140</t>
  </si>
  <si>
    <t>Act_Unposted</t>
  </si>
  <si>
    <t>Staged</t>
  </si>
  <si>
    <t>Posted</t>
  </si>
  <si>
    <t>Unposted</t>
  </si>
  <si>
    <t>BS Close Report</t>
  </si>
  <si>
    <t>(drill)</t>
  </si>
  <si>
    <t>From Epicor - Current Mth Actual BS</t>
  </si>
  <si>
    <t>Three Month BS Trend (from Epicor)</t>
  </si>
  <si>
    <t>Current Mth</t>
  </si>
  <si>
    <t>Change from</t>
  </si>
  <si>
    <t>Prior Period</t>
  </si>
  <si>
    <t>BS Cash</t>
  </si>
  <si>
    <t>Local Depository Account</t>
  </si>
  <si>
    <t>Proceeds from Sale of Assets</t>
  </si>
  <si>
    <t>Contra Proceeds from Sale of Assets</t>
  </si>
  <si>
    <t>Pay IC - KUBRA Payments</t>
  </si>
  <si>
    <t>Pay ICT Inter District Receipts</t>
  </si>
  <si>
    <t>Refunds - Customer</t>
  </si>
  <si>
    <t>EFT Pymt Clearing</t>
  </si>
  <si>
    <t>Credit Card Pymt Clearing</t>
  </si>
  <si>
    <t>Check &amp; Cash Pymt Clearing</t>
  </si>
  <si>
    <t>Cash</t>
  </si>
  <si>
    <t>BS AR</t>
  </si>
  <si>
    <t>Trade A/R Desert Micro</t>
  </si>
  <si>
    <t>Trade A/R Desert Micro Receipts</t>
  </si>
  <si>
    <t>Other A/R</t>
  </si>
  <si>
    <t>Provision for Bad Debts</t>
  </si>
  <si>
    <t>Bad Debt Write Offs</t>
  </si>
  <si>
    <t>Bad Debt Collected</t>
  </si>
  <si>
    <t>A/R</t>
  </si>
  <si>
    <t>BS Inventory</t>
  </si>
  <si>
    <t>Inventory</t>
  </si>
  <si>
    <t>BS Prepaid</t>
  </si>
  <si>
    <t>Prepaid Licenses and Permits</t>
  </si>
  <si>
    <t>Prepaid Vehicle Use Tax</t>
  </si>
  <si>
    <t>Prepaid Property Tax</t>
  </si>
  <si>
    <t>Prepaid Other</t>
  </si>
  <si>
    <t>Prepaids</t>
  </si>
  <si>
    <t>BS Current Def Asset</t>
  </si>
  <si>
    <t>Curr Deferred</t>
  </si>
  <si>
    <t>Current Assets</t>
  </si>
  <si>
    <t>BS Fixed Asset</t>
  </si>
  <si>
    <t>Cap Ex Trucks</t>
  </si>
  <si>
    <t>Acquisitions Trucks</t>
  </si>
  <si>
    <t>Transfer/Reclass Trucks</t>
  </si>
  <si>
    <t>Sale/Disposition Trucks</t>
  </si>
  <si>
    <t>Depre Exp Trucks</t>
  </si>
  <si>
    <t>Cap Ex Container</t>
  </si>
  <si>
    <t>Acquisition Container</t>
  </si>
  <si>
    <t>Depre Exp Container</t>
  </si>
  <si>
    <t>Depre Exp Shop Equipment</t>
  </si>
  <si>
    <t>Cap Ex Office Equipment</t>
  </si>
  <si>
    <t>Depre Exp Office Equipment</t>
  </si>
  <si>
    <t>Cap Ex Computer Equipment</t>
  </si>
  <si>
    <t>Depre Exp Computer Equipment</t>
  </si>
  <si>
    <t>Cap Ex Accruals</t>
  </si>
  <si>
    <t>Fixed Assets</t>
  </si>
  <si>
    <t>BS Notes</t>
  </si>
  <si>
    <t>Notes Rec.</t>
  </si>
  <si>
    <t>BS Goodwill</t>
  </si>
  <si>
    <t>Acquisition Goodwill</t>
  </si>
  <si>
    <t>BS Intangible</t>
  </si>
  <si>
    <t>Acquisition Indefinite Lived Intangibles</t>
  </si>
  <si>
    <t>Intangibles</t>
  </si>
  <si>
    <t>BS Deposits</t>
  </si>
  <si>
    <t>Deposits</t>
  </si>
  <si>
    <t>BS Restricted</t>
  </si>
  <si>
    <t>Restricted Funds</t>
  </si>
  <si>
    <t>BS Other Assets</t>
  </si>
  <si>
    <t>Other Assets</t>
  </si>
  <si>
    <t>BS LOC Loan Fees</t>
  </si>
  <si>
    <t>LOC Loan Fees</t>
  </si>
  <si>
    <t>BS Intercompany</t>
  </si>
  <si>
    <t>Intercompany Corporate</t>
  </si>
  <si>
    <t>Investment Corporate</t>
  </si>
  <si>
    <t>Intercompany</t>
  </si>
  <si>
    <t>Total Assets</t>
  </si>
  <si>
    <t>BS ST Contengent Considerations</t>
  </si>
  <si>
    <t>ST Contingent</t>
  </si>
  <si>
    <t>BS Current LTD</t>
  </si>
  <si>
    <t>Curr Portion LTD</t>
  </si>
  <si>
    <t>BS AP</t>
  </si>
  <si>
    <t>AP - Accrued</t>
  </si>
  <si>
    <t>AP - Accrued CAPEX</t>
  </si>
  <si>
    <t>AP - Accrued Procurement Card</t>
  </si>
  <si>
    <t>AP - Sales Tax</t>
  </si>
  <si>
    <t>Pass Thru Taxes</t>
  </si>
  <si>
    <t>WUTC Tax Payable</t>
  </si>
  <si>
    <t>AP - Other Taxes</t>
  </si>
  <si>
    <t>A/P</t>
  </si>
  <si>
    <t>BS Unearned Revenue</t>
  </si>
  <si>
    <t>Unearned Revenue</t>
  </si>
  <si>
    <t>Unearned Rev</t>
  </si>
  <si>
    <t>BS Accrued Liabilities</t>
  </si>
  <si>
    <t>Accrued Liabilities Wages Commissions</t>
  </si>
  <si>
    <t>Vacation Accrual</t>
  </si>
  <si>
    <t>Accrued Liabilities Safety Bonus</t>
  </si>
  <si>
    <t>Accrued Liabilities Ins. - Workers Comp</t>
  </si>
  <si>
    <t>Accrued Liabilities - Property Tax</t>
  </si>
  <si>
    <t>Accrued Liab</t>
  </si>
  <si>
    <t>Current Liab</t>
  </si>
  <si>
    <t>BS LTD</t>
  </si>
  <si>
    <t>LTD</t>
  </si>
  <si>
    <t>BS Overdraft</t>
  </si>
  <si>
    <t>Overdraft</t>
  </si>
  <si>
    <t>BS Other LTD</t>
  </si>
  <si>
    <t>Other LTD</t>
  </si>
  <si>
    <t>BS LT Contengent Considerations</t>
  </si>
  <si>
    <t>LT Contingent</t>
  </si>
  <si>
    <t>BS Deferred Taxes</t>
  </si>
  <si>
    <t>Deferred Taxes</t>
  </si>
  <si>
    <t>BS NonControlling</t>
  </si>
  <si>
    <t>Minority Int</t>
  </si>
  <si>
    <t>BS Loan Fees</t>
  </si>
  <si>
    <t>Loan Fees</t>
  </si>
  <si>
    <t>Total Liabilities</t>
  </si>
  <si>
    <t>BS Common Stock</t>
  </si>
  <si>
    <t>Common Stock</t>
  </si>
  <si>
    <t>BS Other Equity</t>
  </si>
  <si>
    <t>Other Equity</t>
  </si>
  <si>
    <t>BS Deferred Comp</t>
  </si>
  <si>
    <t>Deferred Comp</t>
  </si>
  <si>
    <t>BS Unrealized Swap Value</t>
  </si>
  <si>
    <t>Unrealized Swap Val</t>
  </si>
  <si>
    <t>BS APIC</t>
  </si>
  <si>
    <t>APIC</t>
  </si>
  <si>
    <t>BS Treasury</t>
  </si>
  <si>
    <t>Treasury</t>
  </si>
  <si>
    <t>BS CTA</t>
  </si>
  <si>
    <t>Cumulative translation adjustment</t>
  </si>
  <si>
    <t>BS RE</t>
  </si>
  <si>
    <t>Retained Earnings</t>
  </si>
  <si>
    <t>Total Liab &amp; Equity</t>
  </si>
  <si>
    <t>BS Balance</t>
  </si>
  <si>
    <t>2016-12</t>
  </si>
  <si>
    <t>Cap Ex Construction in Process</t>
  </si>
  <si>
    <t>AP - Other</t>
  </si>
  <si>
    <t>Acquisition - Non Compete</t>
  </si>
  <si>
    <t>Amort Exp Non Compete</t>
  </si>
  <si>
    <t>Acquisition Long Term Contracts</t>
  </si>
  <si>
    <t>Sale/Disposition Long Term Contracts</t>
  </si>
  <si>
    <t>Amort Expense Long Term Contracts</t>
  </si>
  <si>
    <t>Sale/Disposition Amort Long Term Contrac</t>
  </si>
  <si>
    <t>Transfer/Reclass Goodwill</t>
  </si>
  <si>
    <t>Acquisition Land</t>
  </si>
  <si>
    <t>Cap Ex Land Improvement</t>
  </si>
  <si>
    <t>Depre Expense Land Improv</t>
  </si>
  <si>
    <t>Transfer/Reclass Container</t>
  </si>
  <si>
    <t>Sale/Disposition Container</t>
  </si>
  <si>
    <t>Transfer/Reclass AD Container</t>
  </si>
  <si>
    <t>Sale/Disposition AD Container</t>
  </si>
  <si>
    <t>Cap Ex Shop Equipment</t>
  </si>
  <si>
    <t>Transfer/Reclass Shop Equipment</t>
  </si>
  <si>
    <t>Transfer/Reclass AD Shop Equipment</t>
  </si>
  <si>
    <t>Cap Ex Building</t>
  </si>
  <si>
    <t>Acquisition Building</t>
  </si>
  <si>
    <t>Depre Exp Building</t>
  </si>
  <si>
    <t>Transfer/Reclass Office Equipment</t>
  </si>
  <si>
    <t>Transfer/Reclass AD Office Equipment</t>
  </si>
  <si>
    <t>Transfer/Reclass Computer Equipment</t>
  </si>
  <si>
    <t>Transfer/Reclass AD Computer Equipment</t>
  </si>
  <si>
    <t>Inventory Parts</t>
  </si>
  <si>
    <t>Inventory Oil and Lube</t>
  </si>
  <si>
    <t>Inventory Container</t>
  </si>
  <si>
    <t>Other Trade A/R</t>
  </si>
  <si>
    <t>Allow For Doubtful Accounts</t>
  </si>
  <si>
    <t>Local Petty Cash Account</t>
  </si>
  <si>
    <t>Accrued Liabilities - UP Tracker</t>
  </si>
  <si>
    <t>Prepaid Insurance</t>
  </si>
  <si>
    <t>employee recognition</t>
  </si>
  <si>
    <t>care package for corp meeting</t>
  </si>
  <si>
    <t>food for safety meeting</t>
  </si>
  <si>
    <t>employee recognition for perfect safety record</t>
  </si>
  <si>
    <t>Disallow 16% of WRRA Dues Related to Lobbying</t>
  </si>
  <si>
    <t>Allocate INTO Empire</t>
  </si>
  <si>
    <r>
      <rPr>
        <b/>
        <sz val="11"/>
        <rFont val="Calibri"/>
        <family val="2"/>
        <scheme val="minor"/>
      </rPr>
      <t>Note:</t>
    </r>
    <r>
      <rPr>
        <sz val="11"/>
        <rFont val="Calibri"/>
        <family val="2"/>
        <scheme val="minor"/>
      </rPr>
      <t xml:space="preserve"> The Division Vice President and Division Controller's home district for payroll purposes is 2010, and the Distric Controller's is 2195.  During the year their regular compensation is coded to district 2010/2011 and then allocated out to each of their districts based on the percentages of revenue shown below via a Journal Entry.  Their other compensation is not allocated out to each of the districts during the year therefore that must be done manually for this rate filing.  The calculation below represents this allocation out to the other districts they manage..</t>
    </r>
  </si>
  <si>
    <t>Amortize over 24 Months</t>
  </si>
  <si>
    <t>UPDATE FUEL EXPENSE TO MOST RECENT 12 MONTHS</t>
  </si>
  <si>
    <t>P-3</t>
  </si>
  <si>
    <t>Test Period Fuel Exp.</t>
  </si>
  <si>
    <t>Updated 12 Mo Ending 1/31/2018</t>
  </si>
  <si>
    <t>Ending 1-31-2018</t>
  </si>
  <si>
    <t>Pro forma Adjust</t>
  </si>
  <si>
    <t>PR-2</t>
  </si>
  <si>
    <t>PR-3</t>
  </si>
  <si>
    <t>Spokane Co</t>
  </si>
  <si>
    <t>Whitman Co</t>
  </si>
  <si>
    <t>Garbage Check</t>
  </si>
  <si>
    <t>Plug to Match LG</t>
  </si>
  <si>
    <t>LG Check</t>
  </si>
  <si>
    <t xml:space="preserve">Disposal Reclass </t>
  </si>
  <si>
    <t>Fuel</t>
  </si>
  <si>
    <t>Workers Comp</t>
  </si>
  <si>
    <t>Risks</t>
  </si>
  <si>
    <t>Bonuses</t>
  </si>
  <si>
    <t>RS-6: Adjust WUTC Fees to actual</t>
  </si>
  <si>
    <t>RS-7: Adjust depreciation to UTC methodology</t>
  </si>
  <si>
    <t>RS-8: Adjust Bad Debt to Actual</t>
  </si>
  <si>
    <t>RS-9: Restate in division management compensation</t>
  </si>
  <si>
    <t>Note:  To avoid rate shock on the very small customer base in this line of business we will not request an increase in residential recycling.</t>
  </si>
  <si>
    <t>Company Requested PI</t>
  </si>
  <si>
    <t>Note:  The company is not requesting a medical waste rate increase at this time.  The medical waste filing will be filed after the audit of the garbage general rate increase.</t>
  </si>
  <si>
    <t>Current Tariff Rate</t>
  </si>
  <si>
    <t>Ref.</t>
  </si>
  <si>
    <t>Customer Count %</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</si>
</sst>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General_)"/>
    <numFmt numFmtId="167" formatCode="&quot;$&quot;#,##0\ ;\(&quot;$&quot;#,##0\)"/>
    <numFmt numFmtId="168" formatCode="0.0%"/>
    <numFmt numFmtId="169" formatCode="mm\-yy;\-0;;@"/>
    <numFmt numFmtId="170" formatCode=".00#####;\-.00####;;@"/>
    <numFmt numFmtId="171" formatCode="0%;\(0%\);&quot;&quot;"/>
    <numFmt numFmtId="172" formatCode="m/d/yy\ h:mm\ AM/PM"/>
    <numFmt numFmtId="173" formatCode="_(* #,##0,_);_(* \(#,##0,\);_(* &quot;-&quot;??_);_(@_)"/>
    <numFmt numFmtId="174" formatCode="&quot;$&quot;#,##0"/>
    <numFmt numFmtId="175" formatCode="#,##0.0000"/>
    <numFmt numFmtId="176" formatCode="#,##0.000"/>
    <numFmt numFmtId="177" formatCode="0.0000%"/>
    <numFmt numFmtId="178" formatCode="#,##0.000000"/>
    <numFmt numFmtId="179" formatCode="0.000%"/>
    <numFmt numFmtId="180" formatCode="_(* #,##0.000000_);_(* \(#,##0.000000\);_(* &quot;-&quot;??_);_(@_)"/>
    <numFmt numFmtId="181" formatCode="0.000000"/>
    <numFmt numFmtId="182" formatCode="&quot;$&quot;#,##0.00"/>
    <numFmt numFmtId="183" formatCode="m/d/yy;@"/>
    <numFmt numFmtId="184" formatCode="_(* #,##0.0_);_(* \(#,##0.0\);_(* &quot;-&quot;??_);_(@_)"/>
    <numFmt numFmtId="185" formatCode="m/d/yy"/>
    <numFmt numFmtId="186" formatCode="[$-409]mmm\-yy;@"/>
  </numFmts>
  <fonts count="202">
    <font>
      <sz val="11"/>
      <color theme="1"/>
      <name val="Calibri"/>
      <family val="2"/>
      <scheme val="minor"/>
    </font>
    <font>
      <sz val="11"/>
      <color theme="1"/>
      <name val="Calibri"/>
      <family val="2"/>
      <scheme val="minor"/>
    </font>
    <font>
      <sz val="11"/>
      <color rgb="FF006100"/>
      <name val="Calibri"/>
      <family val="2"/>
      <scheme val="minor"/>
    </font>
    <font>
      <sz val="10"/>
      <name val="Arial"/>
      <family val="2"/>
    </font>
    <font>
      <b/>
      <sz val="8"/>
      <name val="Arial"/>
      <family val="2"/>
    </font>
    <font>
      <sz val="8"/>
      <name val="Arial"/>
      <family val="2"/>
    </font>
    <font>
      <b/>
      <sz val="8"/>
      <color theme="0"/>
      <name val="Arial"/>
      <family val="2"/>
    </font>
    <font>
      <i/>
      <sz val="8"/>
      <color theme="0"/>
      <name val="Arial"/>
      <family val="2"/>
    </font>
    <font>
      <b/>
      <i/>
      <sz val="8"/>
      <color theme="0"/>
      <name val="Arial"/>
      <family val="2"/>
    </font>
    <font>
      <sz val="8"/>
      <color theme="0"/>
      <name val="Arial"/>
      <family val="2"/>
    </font>
    <font>
      <b/>
      <i/>
      <sz val="8"/>
      <name val="Arial"/>
      <family val="2"/>
    </font>
    <font>
      <sz val="12"/>
      <name val="Helv"/>
    </font>
    <font>
      <sz val="8"/>
      <color indexed="8"/>
      <name val="Arial"/>
      <family val="2"/>
    </font>
    <font>
      <b/>
      <sz val="8"/>
      <color indexed="8"/>
      <name val="ARIAL"/>
      <family val="2"/>
    </font>
    <font>
      <i/>
      <sz val="8"/>
      <name val="Arial"/>
      <family val="2"/>
    </font>
    <font>
      <sz val="11"/>
      <color indexed="8"/>
      <name val="Calibri"/>
      <family val="2"/>
    </font>
    <font>
      <b/>
      <sz val="9"/>
      <color indexed="81"/>
      <name val="Tahoma"/>
      <family val="2"/>
    </font>
    <font>
      <sz val="9"/>
      <color indexed="81"/>
      <name val="Tahoma"/>
      <family val="2"/>
    </font>
    <font>
      <sz val="11"/>
      <color indexed="9"/>
      <name val="Calibri"/>
      <family val="2"/>
    </font>
    <font>
      <b/>
      <sz val="10"/>
      <color indexed="10"/>
      <name val="Arial"/>
      <family val="2"/>
    </font>
    <font>
      <b/>
      <sz val="12"/>
      <color indexed="12"/>
      <name val="Times New Roman"/>
      <family val="1"/>
    </font>
    <font>
      <sz val="11"/>
      <color indexed="20"/>
      <name val="Calibri"/>
      <family val="2"/>
    </font>
    <font>
      <b/>
      <sz val="11"/>
      <color indexed="52"/>
      <name val="Calibri"/>
      <family val="2"/>
    </font>
    <font>
      <b/>
      <sz val="11"/>
      <color indexed="51"/>
      <name val="Calibri"/>
      <family val="2"/>
    </font>
    <font>
      <b/>
      <sz val="11"/>
      <color indexed="10"/>
      <name val="Calibri"/>
      <family val="2"/>
    </font>
    <font>
      <b/>
      <sz val="11"/>
      <color indexed="9"/>
      <name val="Calibri"/>
      <family val="2"/>
    </font>
    <font>
      <b/>
      <sz val="11"/>
      <color indexed="18"/>
      <name val="Britannic Bold"/>
      <family val="2"/>
    </font>
    <font>
      <sz val="11"/>
      <color indexed="8"/>
      <name val="Arial"/>
      <family val="2"/>
    </font>
    <font>
      <sz val="12"/>
      <name val="CG Omega"/>
    </font>
    <font>
      <sz val="10"/>
      <color indexed="8"/>
      <name val="Arial"/>
      <family val="2"/>
    </font>
    <font>
      <sz val="12"/>
      <color theme="1"/>
      <name val="Calibri"/>
      <family val="2"/>
      <scheme val="minor"/>
    </font>
    <font>
      <sz val="10"/>
      <name val="MS Sans Serif"/>
      <family val="2"/>
    </font>
    <font>
      <sz val="12"/>
      <name val="Courier"/>
      <family val="3"/>
    </font>
    <font>
      <sz val="9"/>
      <color indexed="8"/>
      <name val="Arial"/>
      <family val="2"/>
    </font>
    <font>
      <sz val="10"/>
      <name val="Times New Roman"/>
      <family val="1"/>
    </font>
    <font>
      <b/>
      <sz val="10"/>
      <color indexed="12"/>
      <name val="Arial"/>
      <family val="2"/>
    </font>
    <font>
      <i/>
      <sz val="11"/>
      <color indexed="23"/>
      <name val="Calibri"/>
      <family val="2"/>
    </font>
    <font>
      <sz val="11"/>
      <color indexed="17"/>
      <name val="Calibri"/>
      <family val="2"/>
    </font>
    <font>
      <b/>
      <sz val="15"/>
      <color indexed="62"/>
      <name val="Calibri"/>
      <family val="2"/>
    </font>
    <font>
      <b/>
      <sz val="15"/>
      <color indexed="61"/>
      <name val="Calibri"/>
      <family val="2"/>
    </font>
    <font>
      <b/>
      <sz val="15"/>
      <color indexed="56"/>
      <name val="Calibri"/>
      <family val="2"/>
    </font>
    <font>
      <b/>
      <sz val="13"/>
      <color indexed="62"/>
      <name val="Calibri"/>
      <family val="2"/>
    </font>
    <font>
      <b/>
      <sz val="13"/>
      <color indexed="61"/>
      <name val="Calibri"/>
      <family val="2"/>
    </font>
    <font>
      <b/>
      <sz val="13"/>
      <color indexed="56"/>
      <name val="Calibri"/>
      <family val="2"/>
    </font>
    <font>
      <b/>
      <sz val="11"/>
      <color indexed="62"/>
      <name val="Calibri"/>
      <family val="2"/>
    </font>
    <font>
      <b/>
      <sz val="11"/>
      <color indexed="61"/>
      <name val="Calibri"/>
      <family val="2"/>
    </font>
    <font>
      <b/>
      <sz val="11"/>
      <color indexed="56"/>
      <name val="Calibri"/>
      <family val="2"/>
    </font>
    <font>
      <u/>
      <sz val="10"/>
      <color indexed="12"/>
      <name val="Arial"/>
      <family val="2"/>
    </font>
    <font>
      <u/>
      <sz val="11"/>
      <color indexed="12"/>
      <name val="Calibri"/>
      <family val="2"/>
    </font>
    <font>
      <u/>
      <sz val="11"/>
      <color theme="10"/>
      <name val="Calibri"/>
      <family val="2"/>
    </font>
    <font>
      <sz val="11"/>
      <color indexed="61"/>
      <name val="Calibri"/>
      <family val="2"/>
    </font>
    <font>
      <sz val="11"/>
      <color indexed="62"/>
      <name val="Calibri"/>
      <family val="2"/>
    </font>
    <font>
      <sz val="10"/>
      <color indexed="12"/>
      <name val="Arial"/>
      <family val="2"/>
    </font>
    <font>
      <sz val="11"/>
      <color indexed="52"/>
      <name val="Calibri"/>
      <family val="2"/>
    </font>
    <font>
      <sz val="11"/>
      <color indexed="51"/>
      <name val="Calibri"/>
      <family val="2"/>
    </font>
    <font>
      <sz val="11"/>
      <color indexed="10"/>
      <name val="Calibri"/>
      <family val="2"/>
    </font>
    <font>
      <sz val="11"/>
      <color indexed="60"/>
      <name val="Calibri"/>
      <family val="2"/>
    </font>
    <font>
      <sz val="11"/>
      <color indexed="59"/>
      <name val="Calibri"/>
      <family val="2"/>
    </font>
    <font>
      <sz val="11"/>
      <color indexed="19"/>
      <name val="Calibri"/>
      <family val="2"/>
    </font>
    <font>
      <sz val="11"/>
      <color theme="1"/>
      <name val="Arial"/>
      <family val="2"/>
    </font>
    <font>
      <sz val="12"/>
      <name val="Arial"/>
      <family val="2"/>
    </font>
    <font>
      <i/>
      <sz val="10"/>
      <color indexed="10"/>
      <name val="Arial"/>
      <family val="2"/>
    </font>
    <font>
      <b/>
      <sz val="11"/>
      <color indexed="63"/>
      <name val="Calibri"/>
      <family val="2"/>
    </font>
    <font>
      <sz val="8"/>
      <color indexed="56"/>
      <name val="Arial"/>
      <family val="2"/>
    </font>
    <font>
      <b/>
      <sz val="10"/>
      <name val="MS Sans Serif"/>
      <family val="2"/>
    </font>
    <font>
      <sz val="12"/>
      <name val="Arial MT"/>
    </font>
    <font>
      <b/>
      <u/>
      <sz val="11"/>
      <name val="Arial"/>
      <family val="2"/>
    </font>
    <font>
      <b/>
      <sz val="10"/>
      <name val="Times New Roman"/>
      <family val="1"/>
    </font>
    <font>
      <b/>
      <sz val="18"/>
      <color indexed="61"/>
      <name val="Cambria"/>
      <family val="2"/>
    </font>
    <font>
      <b/>
      <sz val="18"/>
      <color indexed="56"/>
      <name val="Cambria"/>
      <family val="2"/>
    </font>
    <font>
      <b/>
      <sz val="18"/>
      <color indexed="62"/>
      <name val="Cambria"/>
      <family val="2"/>
    </font>
    <font>
      <b/>
      <sz val="11"/>
      <color indexed="8"/>
      <name val="Calibri"/>
      <family val="2"/>
    </font>
    <font>
      <sz val="10"/>
      <color indexed="10"/>
      <name val="Arial"/>
      <family val="2"/>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color indexed="16"/>
      <name val="Arial"/>
      <family val="2"/>
    </font>
    <font>
      <b/>
      <sz val="10"/>
      <name val="Arial"/>
      <family val="2"/>
    </font>
    <font>
      <b/>
      <sz val="10"/>
      <color indexed="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b/>
      <sz val="11"/>
      <color theme="1"/>
      <name val="Calibri"/>
      <family val="2"/>
      <scheme val="minor"/>
    </font>
    <font>
      <sz val="8"/>
      <name val="Comic Sans MS"/>
      <family val="4"/>
    </font>
    <font>
      <sz val="8"/>
      <color indexed="8"/>
      <name val="Calibri"/>
      <family val="2"/>
    </font>
    <font>
      <b/>
      <sz val="8"/>
      <name val="Comic Sans MS"/>
      <family val="4"/>
    </font>
    <font>
      <b/>
      <sz val="8"/>
      <color indexed="81"/>
      <name val="Tahoma"/>
      <family val="2"/>
    </font>
    <font>
      <u/>
      <sz val="10"/>
      <name val="Arial"/>
      <family val="2"/>
    </font>
    <font>
      <u/>
      <sz val="9.35"/>
      <color theme="10"/>
      <name val="Calibri"/>
      <family val="2"/>
    </font>
    <font>
      <b/>
      <sz val="11"/>
      <color rgb="FF0000FF"/>
      <name val="Calibri"/>
      <family val="2"/>
      <scheme val="minor"/>
    </font>
    <font>
      <i/>
      <sz val="11"/>
      <color theme="1"/>
      <name val="Calibri"/>
      <family val="2"/>
      <scheme val="minor"/>
    </font>
    <font>
      <b/>
      <u/>
      <sz val="11"/>
      <color theme="1"/>
      <name val="Calibri"/>
      <family val="2"/>
      <scheme val="minor"/>
    </font>
    <font>
      <b/>
      <sz val="10"/>
      <name val="Calibri"/>
      <family val="2"/>
      <scheme val="minor"/>
    </font>
    <font>
      <sz val="10"/>
      <name val="Calibri"/>
      <family val="2"/>
      <scheme val="minor"/>
    </font>
    <font>
      <sz val="10"/>
      <color indexed="8"/>
      <name val="Calibri"/>
      <family val="2"/>
      <scheme val="minor"/>
    </font>
    <font>
      <b/>
      <u/>
      <sz val="10"/>
      <color indexed="8"/>
      <name val="Calibri"/>
      <family val="2"/>
      <scheme val="minor"/>
    </font>
    <font>
      <b/>
      <sz val="10"/>
      <color theme="1"/>
      <name val="Calibri"/>
      <family val="2"/>
      <scheme val="minor"/>
    </font>
    <font>
      <sz val="10"/>
      <color theme="1"/>
      <name val="Calibri"/>
      <family val="2"/>
      <scheme val="minor"/>
    </font>
    <font>
      <sz val="10"/>
      <color rgb="FFFF0000"/>
      <name val="Calibri"/>
      <family val="2"/>
      <scheme val="minor"/>
    </font>
    <font>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b/>
      <sz val="9"/>
      <color indexed="8"/>
      <name val="Calibri"/>
      <family val="2"/>
      <scheme val="minor"/>
    </font>
    <font>
      <sz val="11"/>
      <color indexed="8"/>
      <name val="Calibri"/>
      <family val="2"/>
      <scheme val="minor"/>
    </font>
    <font>
      <sz val="11"/>
      <color indexed="10"/>
      <name val="Calibri"/>
      <family val="2"/>
      <scheme val="minor"/>
    </font>
    <font>
      <sz val="9"/>
      <color indexed="8"/>
      <name val="Calibri"/>
      <family val="2"/>
      <scheme val="minor"/>
    </font>
    <font>
      <b/>
      <sz val="9"/>
      <color theme="0"/>
      <name val="Calibri"/>
      <family val="2"/>
      <scheme val="minor"/>
    </font>
    <font>
      <b/>
      <sz val="9"/>
      <name val="Calibri"/>
      <family val="2"/>
      <scheme val="minor"/>
    </font>
    <font>
      <i/>
      <sz val="9"/>
      <name val="Calibri"/>
      <family val="2"/>
      <scheme val="minor"/>
    </font>
    <font>
      <sz val="9"/>
      <name val="Calibri"/>
      <family val="2"/>
      <scheme val="minor"/>
    </font>
    <font>
      <b/>
      <sz val="9"/>
      <color rgb="FF0070C0"/>
      <name val="Calibri"/>
      <family val="2"/>
      <scheme val="minor"/>
    </font>
    <font>
      <i/>
      <sz val="9"/>
      <color indexed="8"/>
      <name val="Calibri"/>
      <family val="2"/>
      <scheme val="minor"/>
    </font>
    <font>
      <b/>
      <sz val="9"/>
      <color rgb="FF0000FF"/>
      <name val="Calibri"/>
      <family val="2"/>
      <scheme val="minor"/>
    </font>
    <font>
      <i/>
      <sz val="9"/>
      <color theme="0"/>
      <name val="Calibri"/>
      <family val="2"/>
      <scheme val="minor"/>
    </font>
    <font>
      <i/>
      <u/>
      <sz val="9"/>
      <color indexed="8"/>
      <name val="Calibri"/>
      <family val="2"/>
      <scheme val="minor"/>
    </font>
    <font>
      <sz val="9"/>
      <color theme="1"/>
      <name val="Calibri"/>
      <family val="2"/>
      <scheme val="minor"/>
    </font>
    <font>
      <b/>
      <sz val="9"/>
      <color theme="1"/>
      <name val="Calibri"/>
      <family val="2"/>
      <scheme val="minor"/>
    </font>
    <font>
      <b/>
      <sz val="11"/>
      <color indexed="62"/>
      <name val="Calibri"/>
      <family val="2"/>
      <scheme val="minor"/>
    </font>
    <font>
      <b/>
      <sz val="10"/>
      <color indexed="8"/>
      <name val="Calibri"/>
      <family val="2"/>
      <scheme val="minor"/>
    </font>
    <font>
      <i/>
      <sz val="10"/>
      <color rgb="FFFF0000"/>
      <name val="Calibri"/>
      <family val="2"/>
      <scheme val="minor"/>
    </font>
    <font>
      <i/>
      <sz val="10"/>
      <color theme="1"/>
      <name val="Calibri"/>
      <family val="2"/>
      <scheme val="minor"/>
    </font>
    <font>
      <b/>
      <sz val="9.5"/>
      <color indexed="8"/>
      <name val="Calibri"/>
      <family val="2"/>
      <scheme val="minor"/>
    </font>
    <font>
      <b/>
      <i/>
      <sz val="10"/>
      <color rgb="FFFF0000"/>
      <name val="Calibri"/>
      <family val="2"/>
      <scheme val="minor"/>
    </font>
    <font>
      <b/>
      <sz val="10"/>
      <color rgb="FFFF0000"/>
      <name val="Calibri"/>
      <family val="2"/>
      <scheme val="minor"/>
    </font>
    <font>
      <sz val="10"/>
      <color rgb="FF3366F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4"/>
      <name val="Arial"/>
      <family val="2"/>
    </font>
    <font>
      <b/>
      <sz val="11"/>
      <color indexed="60"/>
      <name val="Arial"/>
      <family val="2"/>
    </font>
    <font>
      <i/>
      <sz val="10"/>
      <name val="Arial"/>
      <family val="2"/>
    </font>
    <font>
      <b/>
      <i/>
      <sz val="11"/>
      <color indexed="60"/>
      <name val="Arial"/>
      <family val="2"/>
    </font>
    <font>
      <sz val="10"/>
      <color indexed="30"/>
      <name val="Arial"/>
      <family val="2"/>
    </font>
    <font>
      <sz val="10"/>
      <color indexed="61"/>
      <name val="Arial"/>
      <family val="2"/>
    </font>
    <font>
      <b/>
      <u/>
      <sz val="8"/>
      <name val="Comic Sans MS"/>
      <family val="4"/>
    </font>
    <font>
      <i/>
      <sz val="8"/>
      <color rgb="FFFF0000"/>
      <name val="Comic Sans MS"/>
      <family val="4"/>
    </font>
    <font>
      <b/>
      <u/>
      <sz val="10"/>
      <color theme="1"/>
      <name val="Calibri"/>
      <family val="2"/>
      <scheme val="minor"/>
    </font>
    <font>
      <u/>
      <sz val="7.5"/>
      <color indexed="12"/>
      <name val="Arial"/>
      <family val="2"/>
    </font>
    <font>
      <sz val="11"/>
      <name val="Bookman Old Style"/>
      <family val="1"/>
    </font>
    <font>
      <u/>
      <sz val="8.8000000000000007"/>
      <color theme="10"/>
      <name val="Calibri"/>
      <family val="2"/>
    </font>
    <font>
      <sz val="11"/>
      <color rgb="FF000000"/>
      <name val="Calibri"/>
      <family val="2"/>
    </font>
    <font>
      <sz val="10"/>
      <name val="Arial"/>
      <family val="2"/>
    </font>
    <font>
      <b/>
      <sz val="9"/>
      <name val="Arial"/>
      <family val="2"/>
    </font>
    <font>
      <sz val="9"/>
      <name val="Arial"/>
      <family val="2"/>
    </font>
    <font>
      <b/>
      <u/>
      <sz val="9"/>
      <name val="Arial"/>
      <family val="2"/>
    </font>
    <font>
      <sz val="8"/>
      <color rgb="FFFF0000"/>
      <name val="Arial"/>
      <family val="2"/>
    </font>
    <font>
      <i/>
      <sz val="7"/>
      <color rgb="FFFF0000"/>
      <name val="Arial"/>
      <family val="2"/>
    </font>
    <font>
      <b/>
      <sz val="8"/>
      <color indexed="10"/>
      <name val="Arial"/>
      <family val="2"/>
    </font>
    <font>
      <b/>
      <sz val="8"/>
      <color rgb="FFFF0000"/>
      <name val="Arial"/>
      <family val="2"/>
    </font>
    <font>
      <b/>
      <sz val="8"/>
      <color indexed="12"/>
      <name val="Arial"/>
      <family val="2"/>
    </font>
    <font>
      <b/>
      <u/>
      <sz val="8"/>
      <name val="Arial"/>
      <family val="2"/>
    </font>
    <font>
      <b/>
      <sz val="9"/>
      <color rgb="FFFF0000"/>
      <name val="Arial"/>
      <family val="2"/>
    </font>
    <font>
      <u val="singleAccounting"/>
      <sz val="10"/>
      <name val="Arial"/>
      <family val="2"/>
    </font>
    <font>
      <sz val="10"/>
      <name val="Arial"/>
      <family val="2"/>
    </font>
    <font>
      <b/>
      <u/>
      <sz val="10"/>
      <name val="Arial"/>
      <family val="2"/>
    </font>
    <font>
      <b/>
      <u/>
      <sz val="11"/>
      <name val="Calibri"/>
      <family val="2"/>
      <scheme val="minor"/>
    </font>
    <font>
      <b/>
      <sz val="11"/>
      <color rgb="FFFF0000"/>
      <name val="Calibri"/>
      <family val="2"/>
      <scheme val="minor"/>
    </font>
    <font>
      <strike/>
      <sz val="11"/>
      <name val="Calibri"/>
      <family val="2"/>
      <scheme val="minor"/>
    </font>
    <font>
      <b/>
      <sz val="8"/>
      <color rgb="FF0000FF"/>
      <name val="Arial"/>
      <family val="2"/>
    </font>
    <font>
      <sz val="11"/>
      <color rgb="FF0000FF"/>
      <name val="Calibri"/>
      <family val="2"/>
      <scheme val="minor"/>
    </font>
    <font>
      <b/>
      <sz val="10"/>
      <color rgb="FF3333FF"/>
      <name val="Arial"/>
      <family val="2"/>
    </font>
    <font>
      <sz val="12"/>
      <color rgb="FFFF0000"/>
      <name val="Arial"/>
      <family val="2"/>
    </font>
    <font>
      <b/>
      <sz val="9"/>
      <color indexed="16"/>
      <name val="Arial"/>
      <family val="2"/>
    </font>
    <font>
      <b/>
      <sz val="9"/>
      <color indexed="8"/>
      <name val="Arial"/>
      <family val="2"/>
    </font>
    <font>
      <i/>
      <sz val="9"/>
      <color indexed="8"/>
      <name val="Arial"/>
      <family val="2"/>
    </font>
    <font>
      <b/>
      <sz val="10"/>
      <color rgb="FF0000FF"/>
      <name val="Calibri"/>
      <family val="2"/>
      <scheme val="minor"/>
    </font>
    <font>
      <sz val="10"/>
      <color rgb="FF0000FF"/>
      <name val="Calibri"/>
      <family val="2"/>
      <scheme val="minor"/>
    </font>
    <font>
      <b/>
      <u val="singleAccounting"/>
      <sz val="10"/>
      <color theme="1"/>
      <name val="Calibri"/>
      <family val="2"/>
      <scheme val="minor"/>
    </font>
    <font>
      <sz val="10"/>
      <color theme="0" tint="-0.499984740745262"/>
      <name val="Calibri"/>
      <family val="2"/>
      <scheme val="minor"/>
    </font>
    <font>
      <i/>
      <sz val="10"/>
      <color theme="0" tint="-0.499984740745262"/>
      <name val="Calibri"/>
      <family val="2"/>
      <scheme val="minor"/>
    </font>
    <font>
      <b/>
      <sz val="8"/>
      <color rgb="FFFF0000"/>
      <name val="Comic Sans MS"/>
      <family val="4"/>
    </font>
    <font>
      <b/>
      <sz val="6"/>
      <color rgb="FF0000FF"/>
      <name val="Arial"/>
      <family val="2"/>
    </font>
    <font>
      <i/>
      <sz val="7.25"/>
      <color theme="0"/>
      <name val="Arial"/>
      <family val="2"/>
    </font>
    <font>
      <b/>
      <sz val="7.25"/>
      <color theme="0"/>
      <name val="Arial"/>
      <family val="2"/>
    </font>
    <font>
      <b/>
      <sz val="8"/>
      <color indexed="8"/>
      <name val="Calibri"/>
      <family val="2"/>
      <scheme val="minor"/>
    </font>
    <font>
      <sz val="10"/>
      <name val="Calibri"/>
      <family val="2"/>
    </font>
    <font>
      <b/>
      <sz val="10"/>
      <color indexed="62"/>
      <name val="Calibri"/>
      <family val="2"/>
      <scheme val="minor"/>
    </font>
    <font>
      <sz val="10"/>
      <color indexed="62"/>
      <name val="Calibri"/>
      <family val="2"/>
      <scheme val="minor"/>
    </font>
    <font>
      <b/>
      <u/>
      <sz val="10"/>
      <color indexed="62"/>
      <name val="Calibri"/>
      <family val="2"/>
      <scheme val="minor"/>
    </font>
    <font>
      <sz val="8"/>
      <color theme="1"/>
      <name val="Calibri"/>
      <family val="2"/>
      <scheme val="minor"/>
    </font>
    <font>
      <b/>
      <u/>
      <sz val="11"/>
      <color indexed="8"/>
      <name val="Calibri"/>
      <family val="2"/>
      <scheme val="minor"/>
    </font>
    <font>
      <b/>
      <i/>
      <sz val="11"/>
      <name val="Calibri"/>
      <family val="2"/>
      <scheme val="minor"/>
    </font>
    <font>
      <b/>
      <sz val="12"/>
      <name val="Calibri"/>
      <family val="2"/>
      <scheme val="minor"/>
    </font>
    <font>
      <sz val="12"/>
      <name val="Calibri"/>
      <family val="2"/>
      <scheme val="minor"/>
    </font>
    <font>
      <sz val="12"/>
      <color rgb="FFFF0000"/>
      <name val="Calibri"/>
      <family val="2"/>
      <scheme val="minor"/>
    </font>
    <font>
      <b/>
      <sz val="10"/>
      <color indexed="60"/>
      <name val="Arial"/>
      <family val="2"/>
    </font>
    <font>
      <b/>
      <i/>
      <sz val="10"/>
      <color indexed="60"/>
      <name val="Arial"/>
      <family val="2"/>
    </font>
  </fonts>
  <fills count="96">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00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indexed="22"/>
      </patternFill>
    </fill>
    <fill>
      <patternFill patternType="solid">
        <fgColor indexed="47"/>
      </patternFill>
    </fill>
    <fill>
      <patternFill patternType="solid">
        <fgColor indexed="31"/>
      </patternFill>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48"/>
      </patternFill>
    </fill>
    <fill>
      <patternFill patternType="solid">
        <fgColor indexed="30"/>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patternFill>
    </fill>
    <fill>
      <patternFill patternType="solid">
        <fgColor indexed="55"/>
      </patternFill>
    </fill>
    <fill>
      <patternFill patternType="solid">
        <fgColor indexed="42"/>
        <bgColor indexed="29"/>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9"/>
        <bgColor indexed="64"/>
      </patternFill>
    </fill>
    <fill>
      <patternFill patternType="mediumGray">
        <fgColor indexed="22"/>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rgb="FF00B0F0"/>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C9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indexed="40"/>
        <bgColor indexed="64"/>
      </patternFill>
    </fill>
    <fill>
      <patternFill patternType="solid">
        <fgColor rgb="FF92D050"/>
        <bgColor indexed="64"/>
      </patternFill>
    </fill>
    <fill>
      <patternFill patternType="solid">
        <fgColor indexed="41"/>
        <bgColor indexed="64"/>
      </patternFill>
    </fill>
    <fill>
      <patternFill patternType="solid">
        <fgColor indexed="15"/>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4" tint="0.79998168889431442"/>
        <bgColor theme="4" tint="0.79998168889431442"/>
      </patternFill>
    </fill>
  </fills>
  <borders count="68">
    <border>
      <left/>
      <right/>
      <top/>
      <bottom/>
      <diagonal/>
    </border>
    <border>
      <left style="medium">
        <color theme="0"/>
      </left>
      <right/>
      <top style="medium">
        <color theme="0"/>
      </top>
      <bottom/>
      <diagonal/>
    </border>
    <border>
      <left/>
      <right style="medium">
        <color theme="0"/>
      </right>
      <top style="medium">
        <color theme="0"/>
      </top>
      <bottom/>
      <diagonal/>
    </border>
    <border>
      <left/>
      <right/>
      <top style="medium">
        <color theme="0"/>
      </top>
      <bottom/>
      <diagonal/>
    </border>
    <border>
      <left style="medium">
        <color theme="0"/>
      </left>
      <right/>
      <top/>
      <bottom/>
      <diagonal/>
    </border>
    <border>
      <left/>
      <right style="medium">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bottom style="thick">
        <color indexed="49"/>
      </bottom>
      <diagonal/>
    </border>
    <border>
      <left/>
      <right/>
      <top/>
      <bottom style="thick">
        <color indexed="4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48"/>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2"/>
      </left>
      <right style="medium">
        <color indexed="62"/>
      </right>
      <top style="medium">
        <color indexed="62"/>
      </top>
      <bottom style="medium">
        <color indexed="62"/>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127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166" fontId="11" fillId="0" borderId="0"/>
    <xf numFmtId="43" fontId="3" fillId="0" borderId="0" applyFont="0" applyFill="0" applyBorder="0" applyAlignment="0" applyProtection="0"/>
    <xf numFmtId="0" fontId="3" fillId="0" borderId="0"/>
    <xf numFmtId="9" fontId="15"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11"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27"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11"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29" borderId="0" applyNumberFormat="0" applyBorder="0" applyAlignment="0" applyProtection="0"/>
    <xf numFmtId="0" fontId="18" fillId="1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27"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4"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27" borderId="0" applyNumberFormat="0" applyBorder="0" applyAlignment="0" applyProtection="0"/>
    <xf numFmtId="0" fontId="18" fillId="32" borderId="0" applyNumberFormat="0" applyBorder="0" applyAlignment="0" applyProtection="0"/>
    <xf numFmtId="41" fontId="3" fillId="0" borderId="0"/>
    <xf numFmtId="41" fontId="3" fillId="0" borderId="0"/>
    <xf numFmtId="41" fontId="3" fillId="0" borderId="0"/>
    <xf numFmtId="41" fontId="3" fillId="0" borderId="0"/>
    <xf numFmtId="49" fontId="19" fillId="0" borderId="0" applyFill="0" applyBorder="0" applyAlignment="0" applyProtection="0"/>
    <xf numFmtId="0" fontId="20" fillId="0" borderId="6" applyBorder="0">
      <alignment horizontal="center" vertical="center" wrapText="1"/>
    </xf>
    <xf numFmtId="0" fontId="21" fillId="16"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3" fontId="3" fillId="0" borderId="0"/>
    <xf numFmtId="3" fontId="3" fillId="0" borderId="0"/>
    <xf numFmtId="3" fontId="3" fillId="0" borderId="0"/>
    <xf numFmtId="3" fontId="3" fillId="0" borderId="0"/>
    <xf numFmtId="0" fontId="22" fillId="35" borderId="9" applyNumberFormat="0" applyAlignment="0" applyProtection="0"/>
    <xf numFmtId="0" fontId="22" fillId="35" borderId="9" applyNumberFormat="0" applyAlignment="0" applyProtection="0"/>
    <xf numFmtId="0" fontId="23" fillId="35" borderId="9" applyNumberFormat="0" applyAlignment="0" applyProtection="0"/>
    <xf numFmtId="0" fontId="22" fillId="11" borderId="9" applyNumberFormat="0" applyAlignment="0" applyProtection="0"/>
    <xf numFmtId="0" fontId="22" fillId="11" borderId="9" applyNumberFormat="0" applyAlignment="0" applyProtection="0"/>
    <xf numFmtId="0" fontId="24" fillId="35" borderId="9" applyNumberFormat="0" applyAlignment="0" applyProtection="0"/>
    <xf numFmtId="0" fontId="24" fillId="35" borderId="9" applyNumberFormat="0" applyAlignment="0" applyProtection="0"/>
    <xf numFmtId="0" fontId="25" fillId="36" borderId="10" applyNumberFormat="0" applyAlignment="0" applyProtection="0"/>
    <xf numFmtId="0" fontId="25" fillId="37" borderId="11" applyNumberFormat="0" applyAlignment="0" applyProtection="0"/>
    <xf numFmtId="0" fontId="26" fillId="38" borderId="0" applyNumberFormat="0" applyBorder="0" applyAlignment="0" applyProtection="0">
      <alignment horizontal="center"/>
      <protection hidden="1"/>
    </xf>
    <xf numFmtId="0" fontId="3" fillId="39" borderId="0">
      <alignment horizont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alignment vertical="top"/>
    </xf>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9" fillId="0" borderId="0"/>
    <xf numFmtId="3" fontId="31" fillId="0" borderId="0" applyFont="0" applyFill="0" applyBorder="0" applyAlignment="0" applyProtection="0"/>
    <xf numFmtId="0" fontId="32" fillId="0" borderId="0"/>
    <xf numFmtId="0" fontId="32" fillId="0" borderId="0"/>
    <xf numFmtId="0" fontId="33" fillId="40" borderId="12" applyAlignment="0">
      <alignment horizontal="right"/>
      <protection locked="0"/>
    </xf>
    <xf numFmtId="44" fontId="1" fillId="0" borderId="0" applyFont="0" applyFill="0" applyBorder="0" applyAlignment="0" applyProtection="0"/>
    <xf numFmtId="44" fontId="3" fillId="0" borderId="0" applyFont="0" applyFill="0" applyBorder="0" applyAlignment="0" applyProtection="0"/>
    <xf numFmtId="44" fontId="1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7"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15" fillId="0" borderId="0" applyFont="0" applyFill="0" applyBorder="0" applyAlignment="0" applyProtection="0"/>
    <xf numFmtId="167" fontId="31" fillId="0" borderId="0" applyFont="0" applyFill="0" applyBorder="0" applyAlignment="0" applyProtection="0"/>
    <xf numFmtId="0" fontId="35" fillId="41" borderId="0">
      <alignment horizontal="right"/>
      <protection locked="0"/>
    </xf>
    <xf numFmtId="14" fontId="3" fillId="0" borderId="0"/>
    <xf numFmtId="0" fontId="36" fillId="0" borderId="0" applyNumberFormat="0" applyFill="0" applyBorder="0" applyAlignment="0" applyProtection="0"/>
    <xf numFmtId="0" fontId="36" fillId="0" borderId="0" applyNumberFormat="0" applyFill="0" applyBorder="0" applyAlignment="0" applyProtection="0"/>
    <xf numFmtId="0" fontId="3" fillId="0" borderId="0"/>
    <xf numFmtId="2" fontId="35" fillId="41" borderId="0">
      <alignment horizontal="right"/>
      <protection locked="0"/>
    </xf>
    <xf numFmtId="1" fontId="3" fillId="0" borderId="0">
      <alignment horizontal="center"/>
    </xf>
    <xf numFmtId="0" fontId="37" fillId="18"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2" fillId="2" borderId="0" applyNumberFormat="0" applyBorder="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14" applyNumberFormat="0" applyFill="0" applyAlignment="0" applyProtection="0"/>
    <xf numFmtId="0" fontId="40" fillId="0" borderId="15" applyNumberFormat="0" applyFill="0" applyAlignment="0" applyProtection="0"/>
    <xf numFmtId="0" fontId="40" fillId="0" borderId="15"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2" fillId="0" borderId="17" applyNumberFormat="0" applyFill="0" applyAlignment="0" applyProtection="0"/>
    <xf numFmtId="0" fontId="43" fillId="0" borderId="17" applyNumberFormat="0" applyFill="0" applyAlignment="0" applyProtection="0"/>
    <xf numFmtId="0" fontId="43" fillId="0" borderId="17"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5" fillId="0" borderId="20"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4"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21" borderId="9" applyNumberFormat="0" applyAlignment="0" applyProtection="0"/>
    <xf numFmtId="0" fontId="51" fillId="12" borderId="9" applyNumberFormat="0" applyAlignment="0" applyProtection="0"/>
    <xf numFmtId="0" fontId="51" fillId="21" borderId="9" applyNumberFormat="0" applyAlignment="0" applyProtection="0"/>
    <xf numFmtId="3" fontId="52" fillId="42" borderId="0">
      <protection locked="0"/>
    </xf>
    <xf numFmtId="4" fontId="52" fillId="42" borderId="0">
      <protection locked="0"/>
    </xf>
    <xf numFmtId="0" fontId="20" fillId="0" borderId="6" applyBorder="0">
      <alignment horizontal="center" vertical="center" wrapText="1"/>
    </xf>
    <xf numFmtId="0" fontId="53" fillId="0" borderId="23"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3" fillId="0" borderId="23" applyNumberFormat="0" applyFill="0" applyAlignment="0" applyProtection="0"/>
    <xf numFmtId="0" fontId="55" fillId="0" borderId="25" applyNumberFormat="0" applyFill="0" applyAlignment="0" applyProtection="0"/>
    <xf numFmtId="0" fontId="56" fillId="21" borderId="0" applyNumberFormat="0" applyBorder="0" applyAlignment="0" applyProtection="0"/>
    <xf numFmtId="0" fontId="56" fillId="21" borderId="0" applyNumberFormat="0" applyBorder="0" applyAlignment="0" applyProtection="0"/>
    <xf numFmtId="0" fontId="57" fillId="21" borderId="0" applyNumberFormat="0" applyBorder="0" applyAlignment="0" applyProtection="0"/>
    <xf numFmtId="0" fontId="56" fillId="21" borderId="0" applyNumberFormat="0" applyBorder="0" applyAlignment="0" applyProtection="0"/>
    <xf numFmtId="0" fontId="58" fillId="21" borderId="0" applyNumberFormat="0" applyBorder="0" applyAlignment="0" applyProtection="0"/>
    <xf numFmtId="43"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 fillId="0" borderId="0"/>
    <xf numFmtId="0" fontId="15" fillId="0" borderId="0"/>
    <xf numFmtId="0" fontId="15" fillId="0" borderId="0"/>
    <xf numFmtId="0" fontId="3" fillId="0" borderId="0"/>
    <xf numFmtId="0" fontId="3" fillId="0" borderId="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 fillId="0" borderId="0"/>
    <xf numFmtId="0" fontId="3" fillId="0" borderId="0"/>
    <xf numFmtId="0" fontId="3" fillId="0" borderId="0"/>
    <xf numFmtId="0" fontId="3" fillId="0" borderId="0"/>
    <xf numFmtId="0" fontId="59" fillId="0" borderId="0"/>
    <xf numFmtId="0" fontId="15" fillId="0" borderId="0"/>
    <xf numFmtId="0" fontId="1" fillId="0" borderId="0"/>
    <xf numFmtId="0" fontId="59" fillId="0" borderId="0"/>
    <xf numFmtId="0" fontId="3" fillId="0" borderId="0"/>
    <xf numFmtId="0" fontId="1" fillId="0" borderId="0"/>
    <xf numFmtId="0" fontId="59" fillId="0" borderId="0"/>
    <xf numFmtId="0" fontId="28" fillId="0" borderId="0"/>
    <xf numFmtId="0" fontId="15" fillId="0" borderId="0"/>
    <xf numFmtId="0" fontId="1" fillId="0" borderId="0"/>
    <xf numFmtId="0" fontId="28" fillId="0" borderId="0"/>
    <xf numFmtId="0" fontId="3" fillId="0" borderId="0"/>
    <xf numFmtId="0" fontId="1" fillId="0" borderId="0"/>
    <xf numFmtId="0" fontId="28" fillId="0" borderId="0"/>
    <xf numFmtId="0" fontId="1" fillId="0" borderId="0"/>
    <xf numFmtId="0" fontId="15" fillId="0" borderId="0"/>
    <xf numFmtId="0" fontId="1" fillId="0" borderId="0"/>
    <xf numFmtId="0" fontId="3" fillId="0" borderId="0"/>
    <xf numFmtId="0" fontId="1" fillId="0" borderId="0"/>
    <xf numFmtId="0" fontId="15" fillId="0" borderId="0"/>
    <xf numFmtId="0" fontId="15" fillId="0" borderId="0"/>
    <xf numFmtId="0" fontId="3" fillId="0" borderId="0"/>
    <xf numFmtId="0" fontId="1"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1" fillId="0" borderId="0"/>
    <xf numFmtId="166" fontId="11"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alignment wrapText="1"/>
    </xf>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alignment wrapText="1"/>
    </xf>
    <xf numFmtId="0" fontId="29" fillId="0" borderId="0">
      <alignment vertical="top"/>
    </xf>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1" fillId="0" borderId="0"/>
    <xf numFmtId="0" fontId="3" fillId="0" borderId="0"/>
    <xf numFmtId="0" fontId="1" fillId="0" borderId="0"/>
    <xf numFmtId="0" fontId="15" fillId="0" borderId="0"/>
    <xf numFmtId="0" fontId="15" fillId="0" borderId="0"/>
    <xf numFmtId="0" fontId="11" fillId="0" borderId="0"/>
    <xf numFmtId="166" fontId="11" fillId="0" borderId="0"/>
    <xf numFmtId="0" fontId="29" fillId="0" borderId="0">
      <alignment vertical="top"/>
    </xf>
    <xf numFmtId="0" fontId="3" fillId="0" borderId="0"/>
    <xf numFmtId="0" fontId="3" fillId="0" borderId="0"/>
    <xf numFmtId="0" fontId="3" fillId="0" borderId="0"/>
    <xf numFmtId="0" fontId="3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 fillId="0" borderId="0"/>
    <xf numFmtId="0" fontId="3" fillId="0" borderId="0"/>
    <xf numFmtId="0" fontId="1" fillId="0" borderId="0"/>
    <xf numFmtId="0" fontId="1"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59" fillId="0" borderId="0"/>
    <xf numFmtId="0" fontId="15" fillId="0" borderId="0"/>
    <xf numFmtId="0" fontId="29" fillId="0" borderId="0">
      <alignment vertical="top"/>
    </xf>
    <xf numFmtId="0" fontId="29" fillId="0" borderId="0">
      <alignment vertical="top"/>
    </xf>
    <xf numFmtId="0" fontId="29" fillId="0" borderId="0">
      <alignment vertical="top"/>
    </xf>
    <xf numFmtId="0" fontId="15" fillId="0" borderId="0"/>
    <xf numFmtId="0" fontId="3"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17" borderId="26" applyNumberFormat="0" applyFont="0" applyAlignment="0" applyProtection="0"/>
    <xf numFmtId="0" fontId="15" fillId="17" borderId="26" applyNumberFormat="0" applyFont="0" applyAlignment="0" applyProtection="0"/>
    <xf numFmtId="0" fontId="29" fillId="17" borderId="26" applyNumberFormat="0" applyFont="0" applyAlignment="0" applyProtection="0"/>
    <xf numFmtId="0" fontId="5" fillId="17" borderId="26" applyNumberFormat="0" applyFont="0" applyAlignment="0" applyProtection="0"/>
    <xf numFmtId="0" fontId="5" fillId="17" borderId="26" applyNumberFormat="0" applyFont="0" applyAlignment="0" applyProtection="0"/>
    <xf numFmtId="0" fontId="11" fillId="17" borderId="26" applyNumberFormat="0" applyFont="0" applyAlignment="0" applyProtection="0"/>
    <xf numFmtId="0" fontId="11" fillId="17" borderId="26" applyNumberFormat="0" applyFont="0" applyAlignment="0" applyProtection="0"/>
    <xf numFmtId="168" fontId="61" fillId="0" borderId="0" applyNumberFormat="0"/>
    <xf numFmtId="0" fontId="44" fillId="35" borderId="27" applyNumberFormat="0" applyAlignment="0" applyProtection="0"/>
    <xf numFmtId="0" fontId="62" fillId="11" borderId="28" applyNumberFormat="0" applyAlignment="0" applyProtection="0"/>
    <xf numFmtId="0" fontId="62" fillId="35" borderId="28" applyNumberFormat="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8" fontId="3" fillId="0" borderId="0" applyFont="0" applyFill="0" applyBorder="0" applyAlignment="0" applyProtection="0"/>
    <xf numFmtId="10" fontId="3" fillId="0" borderId="0" applyFont="0" applyFill="0" applyBorder="0" applyAlignment="0" applyProtection="0"/>
    <xf numFmtId="169" fontId="34" fillId="0" borderId="0">
      <alignment horizontal="center"/>
    </xf>
    <xf numFmtId="0" fontId="3" fillId="0" borderId="0"/>
    <xf numFmtId="0" fontId="3" fillId="0" borderId="0"/>
    <xf numFmtId="0" fontId="3" fillId="0" borderId="0"/>
    <xf numFmtId="0" fontId="3" fillId="0" borderId="0"/>
    <xf numFmtId="38" fontId="63" fillId="0" borderId="0" applyNumberFormat="0" applyFont="0" applyFill="0" applyBorder="0">
      <alignment horizontal="left" indent="4"/>
      <protection locked="0"/>
    </xf>
    <xf numFmtId="0" fontId="31" fillId="0" borderId="0" applyNumberFormat="0" applyFont="0" applyFill="0" applyBorder="0" applyAlignment="0" applyProtection="0">
      <alignment horizontal="left"/>
    </xf>
    <xf numFmtId="15" fontId="31" fillId="0" borderId="0" applyFont="0" applyFill="0" applyBorder="0" applyAlignment="0" applyProtection="0"/>
    <xf numFmtId="4" fontId="31" fillId="0" borderId="0" applyFont="0" applyFill="0" applyBorder="0" applyAlignment="0" applyProtection="0"/>
    <xf numFmtId="0" fontId="64" fillId="0" borderId="29">
      <alignment horizontal="center"/>
    </xf>
    <xf numFmtId="3" fontId="31" fillId="0" borderId="0" applyFont="0" applyFill="0" applyBorder="0" applyAlignment="0" applyProtection="0"/>
    <xf numFmtId="0" fontId="31" fillId="44" borderId="0" applyNumberFormat="0" applyFon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9" fillId="0" borderId="0">
      <alignment vertical="top"/>
    </xf>
    <xf numFmtId="0" fontId="29" fillId="0" borderId="0">
      <alignment vertical="top"/>
    </xf>
    <xf numFmtId="0" fontId="29" fillId="0" borderId="0" applyNumberFormat="0" applyBorder="0" applyAlignment="0"/>
    <xf numFmtId="37" fontId="66" fillId="0" borderId="0"/>
    <xf numFmtId="170" fontId="67" fillId="43" borderId="0" applyFill="0" applyBorder="0" applyProtection="0">
      <alignment horizontal="center"/>
      <protection hidden="1"/>
    </xf>
    <xf numFmtId="0" fontId="68"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1" applyNumberFormat="0" applyFill="0" applyAlignment="0" applyProtection="0"/>
    <xf numFmtId="0" fontId="71" fillId="0" borderId="32" applyNumberFormat="0" applyFill="0" applyAlignment="0" applyProtection="0"/>
    <xf numFmtId="0" fontId="71" fillId="0" borderId="32"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72" fillId="0" borderId="0">
      <alignment horizontal="center"/>
    </xf>
    <xf numFmtId="0" fontId="55" fillId="0" borderId="0" applyNumberFormat="0" applyFill="0" applyBorder="0" applyAlignment="0" applyProtection="0"/>
    <xf numFmtId="0" fontId="55" fillId="0" borderId="0" applyNumberFormat="0" applyFill="0" applyBorder="0" applyAlignment="0" applyProtection="0"/>
    <xf numFmtId="165" fontId="60" fillId="45" borderId="0" applyFont="0" applyFill="0" applyBorder="0" applyAlignment="0" applyProtection="0">
      <alignment wrapText="1"/>
    </xf>
    <xf numFmtId="37" fontId="60" fillId="43" borderId="0" applyFill="0"/>
    <xf numFmtId="43" fontId="15" fillId="0" borderId="0" applyFont="0" applyFill="0" applyBorder="0" applyAlignment="0" applyProtection="0"/>
    <xf numFmtId="43" fontId="15" fillId="0" borderId="0" applyFont="0" applyFill="0" applyBorder="0" applyAlignment="0" applyProtection="0"/>
    <xf numFmtId="0" fontId="37" fillId="20" borderId="0" applyNumberFormat="0" applyBorder="0" applyAlignment="0" applyProtection="0"/>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1" fillId="0" borderId="0"/>
    <xf numFmtId="166" fontId="11" fillId="0" borderId="0"/>
    <xf numFmtId="0" fontId="2" fillId="2" borderId="0" applyNumberFormat="0" applyBorder="0" applyAlignment="0" applyProtection="0"/>
    <xf numFmtId="0" fontId="3" fillId="0" borderId="0">
      <alignment vertical="top"/>
    </xf>
    <xf numFmtId="44" fontId="27" fillId="0" borderId="0" applyFont="0" applyFill="0" applyBorder="0" applyAlignment="0" applyProtection="0"/>
    <xf numFmtId="43" fontId="15" fillId="0" borderId="0" applyFont="0" applyFill="0" applyBorder="0" applyAlignment="0" applyProtection="0"/>
    <xf numFmtId="0" fontId="3" fillId="0" borderId="0"/>
    <xf numFmtId="43" fontId="27" fillId="0" borderId="0" applyFont="0" applyFill="0" applyBorder="0" applyAlignment="0" applyProtection="0"/>
    <xf numFmtId="0" fontId="3" fillId="0" borderId="0"/>
    <xf numFmtId="0" fontId="3" fillId="0" borderId="0"/>
    <xf numFmtId="0" fontId="1" fillId="0" borderId="0"/>
    <xf numFmtId="0" fontId="3" fillId="0" borderId="0"/>
    <xf numFmtId="0" fontId="1" fillId="0" borderId="0"/>
    <xf numFmtId="0" fontId="31" fillId="0" borderId="0"/>
    <xf numFmtId="0" fontId="5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9" fontId="27" fillId="0" borderId="0" applyFont="0" applyFill="0" applyBorder="0" applyAlignment="0" applyProtection="0"/>
    <xf numFmtId="0" fontId="3" fillId="0" borderId="0"/>
    <xf numFmtId="0" fontId="3" fillId="0" borderId="0"/>
    <xf numFmtId="0" fontId="27" fillId="0" borderId="0"/>
    <xf numFmtId="0" fontId="3" fillId="0" borderId="0"/>
    <xf numFmtId="0" fontId="3" fillId="0" borderId="0"/>
    <xf numFmtId="0" fontId="5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alignment wrapText="1"/>
    </xf>
    <xf numFmtId="44" fontId="1"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 fillId="0" borderId="0"/>
    <xf numFmtId="0" fontId="11" fillId="0" borderId="0"/>
    <xf numFmtId="43" fontId="15" fillId="0" borderId="0" applyFont="0" applyFill="0" applyBorder="0" applyAlignment="0" applyProtection="0"/>
    <xf numFmtId="0" fontId="11" fillId="0" borderId="0"/>
    <xf numFmtId="0" fontId="11" fillId="0" borderId="0"/>
    <xf numFmtId="0" fontId="11" fillId="0" borderId="0"/>
    <xf numFmtId="9" fontId="1" fillId="0" borderId="0" applyFont="0" applyFill="0" applyBorder="0" applyAlignment="0" applyProtection="0"/>
    <xf numFmtId="0" fontId="156"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0" fontId="3" fillId="0" borderId="0">
      <alignment wrapText="1"/>
    </xf>
    <xf numFmtId="9" fontId="3" fillId="0" borderId="0" applyFont="0" applyFill="0" applyBorder="0" applyAlignment="0" applyProtection="0">
      <alignment wrapText="1"/>
    </xf>
    <xf numFmtId="0" fontId="3" fillId="0" borderId="0">
      <alignment wrapText="1"/>
    </xf>
    <xf numFmtId="0" fontId="70" fillId="0" borderId="0" applyNumberFormat="0" applyFill="0" applyBorder="0" applyAlignment="0" applyProtection="0"/>
    <xf numFmtId="0" fontId="11" fillId="0" borderId="0"/>
    <xf numFmtId="0" fontId="11" fillId="0" borderId="0"/>
    <xf numFmtId="44" fontId="3" fillId="0" borderId="0" applyFont="0" applyFill="0" applyBorder="0" applyAlignment="0" applyProtection="0"/>
    <xf numFmtId="0" fontId="1" fillId="0" borderId="0"/>
    <xf numFmtId="0" fontId="15" fillId="0" borderId="0"/>
    <xf numFmtId="0" fontId="3" fillId="0" borderId="0">
      <alignment wrapText="1"/>
    </xf>
    <xf numFmtId="0" fontId="1" fillId="0" borderId="0"/>
    <xf numFmtId="44" fontId="1" fillId="0" borderId="0" applyFont="0" applyFill="0" applyBorder="0" applyAlignment="0" applyProtection="0"/>
    <xf numFmtId="0" fontId="1" fillId="0" borderId="0"/>
    <xf numFmtId="0" fontId="1" fillId="0" borderId="0"/>
    <xf numFmtId="0" fontId="11" fillId="0" borderId="0"/>
    <xf numFmtId="43" fontId="15" fillId="0" borderId="0" applyFont="0" applyFill="0" applyBorder="0" applyAlignment="0" applyProtection="0"/>
    <xf numFmtId="43" fontId="3" fillId="0" borderId="0" applyFont="0" applyFill="0" applyBorder="0" applyAlignment="0" applyProtection="0"/>
    <xf numFmtId="0" fontId="3" fillId="0" borderId="0"/>
    <xf numFmtId="9" fontId="1" fillId="0" borderId="0" applyFont="0" applyFill="0" applyBorder="0" applyAlignment="0" applyProtection="0"/>
    <xf numFmtId="0" fontId="11" fillId="0" borderId="0"/>
    <xf numFmtId="0" fontId="44" fillId="0" borderId="0" applyNumberFormat="0" applyFill="0" applyBorder="0" applyAlignment="0" applyProtection="0"/>
    <xf numFmtId="0" fontId="62" fillId="35" borderId="28" applyNumberFormat="0" applyAlignment="0" applyProtection="0"/>
    <xf numFmtId="43" fontId="1" fillId="0" borderId="0" applyFont="0" applyFill="0" applyBorder="0" applyAlignment="0" applyProtection="0"/>
    <xf numFmtId="0" fontId="3" fillId="0" borderId="0"/>
    <xf numFmtId="0" fontId="29" fillId="0" borderId="0">
      <alignment vertical="top"/>
    </xf>
    <xf numFmtId="0" fontId="11" fillId="0" borderId="0"/>
    <xf numFmtId="0" fontId="15" fillId="11"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21" borderId="0" applyNumberFormat="0" applyBorder="0" applyAlignment="0" applyProtection="0"/>
    <xf numFmtId="0" fontId="18" fillId="15" borderId="0" applyNumberFormat="0" applyBorder="0" applyAlignment="0" applyProtection="0"/>
    <xf numFmtId="0" fontId="18" fillId="21" borderId="0" applyNumberFormat="0" applyBorder="0" applyAlignment="0" applyProtection="0"/>
    <xf numFmtId="0" fontId="18" fillId="11" borderId="0" applyNumberFormat="0" applyBorder="0" applyAlignment="0" applyProtection="0"/>
    <xf numFmtId="0" fontId="18" fillId="32" borderId="0" applyNumberFormat="0" applyBorder="0" applyAlignment="0" applyProtection="0"/>
    <xf numFmtId="0" fontId="21" fillId="16" borderId="0" applyNumberFormat="0" applyBorder="0" applyAlignment="0" applyProtection="0"/>
    <xf numFmtId="43" fontId="15" fillId="0" borderId="0" applyFont="0" applyFill="0" applyBorder="0" applyAlignment="0" applyProtection="0"/>
    <xf numFmtId="43" fontId="1" fillId="0" borderId="0" applyFont="0" applyFill="0" applyBorder="0" applyAlignment="0" applyProtection="0"/>
    <xf numFmtId="44" fontId="15" fillId="0" borderId="0" applyFont="0" applyFill="0" applyBorder="0" applyAlignment="0" applyProtection="0"/>
    <xf numFmtId="0" fontId="37" fillId="18" borderId="0" applyNumberFormat="0" applyBorder="0" applyAlignment="0" applyProtection="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29" fillId="0" borderId="0" applyNumberFormat="0" applyBorder="0" applyAlignment="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15" fillId="14"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5" fillId="20"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5" fillId="1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5" fillId="20"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5" fillId="17"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8" fillId="20" borderId="0" applyNumberFormat="0" applyBorder="0" applyAlignment="0" applyProtection="0"/>
    <xf numFmtId="0" fontId="142" fillId="64" borderId="0" applyNumberFormat="0" applyBorder="0" applyAlignment="0" applyProtection="0"/>
    <xf numFmtId="0" fontId="18" fillId="27" borderId="0" applyNumberFormat="0" applyBorder="0" applyAlignment="0" applyProtection="0"/>
    <xf numFmtId="0" fontId="142" fillId="68" borderId="0" applyNumberFormat="0" applyBorder="0" applyAlignment="0" applyProtection="0"/>
    <xf numFmtId="0" fontId="18" fillId="23" borderId="0" applyNumberFormat="0" applyBorder="0" applyAlignment="0" applyProtection="0"/>
    <xf numFmtId="0" fontId="142" fillId="72" borderId="0" applyNumberFormat="0" applyBorder="0" applyAlignment="0" applyProtection="0"/>
    <xf numFmtId="0" fontId="18" fillId="16" borderId="0" applyNumberFormat="0" applyBorder="0" applyAlignment="0" applyProtection="0"/>
    <xf numFmtId="0" fontId="142" fillId="76" borderId="0" applyNumberFormat="0" applyBorder="0" applyAlignment="0" applyProtection="0"/>
    <xf numFmtId="0" fontId="18" fillId="20" borderId="0" applyNumberFormat="0" applyBorder="0" applyAlignment="0" applyProtection="0"/>
    <xf numFmtId="0" fontId="142" fillId="80" borderId="0" applyNumberFormat="0" applyBorder="0" applyAlignment="0" applyProtection="0"/>
    <xf numFmtId="0" fontId="142" fillId="84" borderId="0" applyNumberFormat="0" applyBorder="0" applyAlignment="0" applyProtection="0"/>
    <xf numFmtId="0" fontId="18" fillId="31" borderId="0" applyNumberFormat="0" applyBorder="0" applyAlignment="0" applyProtection="0"/>
    <xf numFmtId="0" fontId="142" fillId="61" borderId="0" applyNumberFormat="0" applyBorder="0" applyAlignment="0" applyProtection="0"/>
    <xf numFmtId="0" fontId="18" fillId="27" borderId="0" applyNumberFormat="0" applyBorder="0" applyAlignment="0" applyProtection="0"/>
    <xf numFmtId="0" fontId="142" fillId="65" borderId="0" applyNumberFormat="0" applyBorder="0" applyAlignment="0" applyProtection="0"/>
    <xf numFmtId="0" fontId="18" fillId="23" borderId="0" applyNumberFormat="0" applyBorder="0" applyAlignment="0" applyProtection="0"/>
    <xf numFmtId="0" fontId="142" fillId="69" borderId="0" applyNumberFormat="0" applyBorder="0" applyAlignment="0" applyProtection="0"/>
    <xf numFmtId="0" fontId="18" fillId="34" borderId="0" applyNumberFormat="0" applyBorder="0" applyAlignment="0" applyProtection="0"/>
    <xf numFmtId="0" fontId="18" fillId="27" borderId="0" applyNumberFormat="0" applyBorder="0" applyAlignment="0" applyProtection="0"/>
    <xf numFmtId="0" fontId="142" fillId="7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42" fillId="77" borderId="0" applyNumberFormat="0" applyBorder="0" applyAlignment="0" applyProtection="0"/>
    <xf numFmtId="0" fontId="18" fillId="32" borderId="0" applyNumberFormat="0" applyBorder="0" applyAlignment="0" applyProtection="0"/>
    <xf numFmtId="0" fontId="142" fillId="81" borderId="0" applyNumberFormat="0" applyBorder="0" applyAlignment="0" applyProtection="0"/>
    <xf numFmtId="0" fontId="21" fillId="19" borderId="0" applyNumberFormat="0" applyBorder="0" applyAlignment="0" applyProtection="0"/>
    <xf numFmtId="0" fontId="134" fillId="55" borderId="0" applyNumberFormat="0" applyBorder="0" applyAlignment="0" applyProtection="0"/>
    <xf numFmtId="0" fontId="24" fillId="35" borderId="9" applyNumberFormat="0" applyAlignment="0" applyProtection="0"/>
    <xf numFmtId="0" fontId="138" fillId="58" borderId="47" applyNumberFormat="0" applyAlignment="0" applyProtection="0"/>
    <xf numFmtId="0" fontId="25" fillId="37" borderId="11" applyNumberFormat="0" applyAlignment="0" applyProtection="0"/>
    <xf numFmtId="0" fontId="25" fillId="36" borderId="10" applyNumberFormat="0" applyAlignment="0" applyProtection="0"/>
    <xf numFmtId="0" fontId="140" fillId="59" borderId="50"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 fillId="0" borderId="0" applyFont="0" applyFill="0" applyBorder="0" applyAlignment="0" applyProtection="0"/>
    <xf numFmtId="44" fontId="15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0" fontId="141" fillId="0" borderId="0" applyNumberFormat="0" applyFill="0" applyBorder="0" applyAlignment="0" applyProtection="0"/>
    <xf numFmtId="0" fontId="37" fillId="20" borderId="0" applyNumberFormat="0" applyBorder="0" applyAlignment="0" applyProtection="0"/>
    <xf numFmtId="0" fontId="2" fillId="2" borderId="0" applyNumberFormat="0" applyBorder="0" applyAlignment="0" applyProtection="0"/>
    <xf numFmtId="0" fontId="38" fillId="0" borderId="16" applyNumberFormat="0" applyFill="0" applyAlignment="0" applyProtection="0"/>
    <xf numFmtId="0" fontId="131" fillId="0" borderId="44" applyNumberFormat="0" applyFill="0" applyAlignment="0" applyProtection="0"/>
    <xf numFmtId="0" fontId="41" fillId="0" borderId="18" applyNumberFormat="0" applyFill="0" applyAlignment="0" applyProtection="0"/>
    <xf numFmtId="0" fontId="132" fillId="0" borderId="45" applyNumberFormat="0" applyFill="0" applyAlignment="0" applyProtection="0"/>
    <xf numFmtId="0" fontId="44" fillId="0" borderId="22" applyNumberFormat="0" applyFill="0" applyAlignment="0" applyProtection="0"/>
    <xf numFmtId="0" fontId="133" fillId="0" borderId="46" applyNumberFormat="0" applyFill="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133" fillId="0" borderId="0" applyNumberFormat="0" applyFill="0" applyBorder="0" applyAlignment="0" applyProtection="0"/>
    <xf numFmtId="0" fontId="154"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1" fillId="21" borderId="9" applyNumberFormat="0" applyAlignment="0" applyProtection="0"/>
    <xf numFmtId="0" fontId="50" fillId="21" borderId="9" applyNumberFormat="0" applyAlignment="0" applyProtection="0"/>
    <xf numFmtId="0" fontId="136" fillId="57" borderId="47" applyNumberFormat="0" applyAlignment="0" applyProtection="0"/>
    <xf numFmtId="0" fontId="55" fillId="0" borderId="25" applyNumberFormat="0" applyFill="0" applyAlignment="0" applyProtection="0"/>
    <xf numFmtId="0" fontId="139" fillId="0" borderId="49" applyNumberFormat="0" applyFill="0" applyAlignment="0" applyProtection="0"/>
    <xf numFmtId="0" fontId="58" fillId="21" borderId="0" applyNumberFormat="0" applyBorder="0" applyAlignment="0" applyProtection="0"/>
    <xf numFmtId="0" fontId="135"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0" fontId="153" fillId="0" borderId="0"/>
    <xf numFmtId="0" fontId="3" fillId="0" borderId="0"/>
    <xf numFmtId="0" fontId="1" fillId="0" borderId="0"/>
    <xf numFmtId="0" fontId="3" fillId="0" borderId="0"/>
    <xf numFmtId="0" fontId="1" fillId="0" borderId="0"/>
    <xf numFmtId="0" fontId="11" fillId="0" borderId="0"/>
    <xf numFmtId="0" fontId="11" fillId="0" borderId="0"/>
    <xf numFmtId="0" fontId="11" fillId="0" borderId="0"/>
    <xf numFmtId="0" fontId="11" fillId="0" borderId="0"/>
    <xf numFmtId="0" fontId="1" fillId="0" borderId="0"/>
    <xf numFmtId="0" fontId="11" fillId="0" borderId="0"/>
    <xf numFmtId="0" fontId="1" fillId="0" borderId="0"/>
    <xf numFmtId="0" fontId="3" fillId="0" borderId="0"/>
    <xf numFmtId="0" fontId="11" fillId="0" borderId="0"/>
    <xf numFmtId="0" fontId="1" fillId="0" borderId="0"/>
    <xf numFmtId="0" fontId="3" fillId="0" borderId="0"/>
    <xf numFmtId="0" fontId="11" fillId="0" borderId="0"/>
    <xf numFmtId="0" fontId="3" fillId="0" borderId="0"/>
    <xf numFmtId="0" fontId="3" fillId="0" borderId="0"/>
    <xf numFmtId="0" fontId="1" fillId="0" borderId="0"/>
    <xf numFmtId="0" fontId="3" fillId="0" borderId="0"/>
    <xf numFmtId="0" fontId="11" fillId="0" borderId="0"/>
    <xf numFmtId="0" fontId="1" fillId="0" borderId="0"/>
    <xf numFmtId="0" fontId="3" fillId="0" borderId="0"/>
    <xf numFmtId="0" fontId="11" fillId="0" borderId="0"/>
    <xf numFmtId="0" fontId="3" fillId="0" borderId="0"/>
    <xf numFmtId="0" fontId="15" fillId="0" borderId="0"/>
    <xf numFmtId="0" fontId="3" fillId="0" borderId="0"/>
    <xf numFmtId="0" fontId="1" fillId="0" borderId="0"/>
    <xf numFmtId="0" fontId="11" fillId="0" borderId="0"/>
    <xf numFmtId="0" fontId="3" fillId="0" borderId="0"/>
    <xf numFmtId="0" fontId="11" fillId="0" borderId="0"/>
    <xf numFmtId="0" fontId="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5" fillId="0" borderId="0"/>
    <xf numFmtId="0" fontId="3" fillId="0" borderId="0"/>
    <xf numFmtId="0" fontId="11" fillId="0" borderId="0"/>
    <xf numFmtId="0" fontId="3" fillId="0" borderId="0"/>
    <xf numFmtId="0" fontId="11" fillId="0" borderId="0"/>
    <xf numFmtId="0" fontId="3" fillId="0" borderId="0"/>
    <xf numFmtId="0" fontId="1" fillId="0" borderId="0"/>
    <xf numFmtId="0" fontId="29" fillId="0" borderId="0">
      <alignment vertical="top"/>
    </xf>
    <xf numFmtId="0" fontId="1" fillId="0" borderId="0"/>
    <xf numFmtId="43" fontId="15" fillId="0" borderId="0" applyFont="0" applyFill="0" applyBorder="0" applyAlignment="0" applyProtection="0"/>
    <xf numFmtId="43" fontId="29" fillId="0" borderId="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1" fillId="17" borderId="26" applyNumberFormat="0" applyFont="0" applyAlignment="0" applyProtection="0"/>
    <xf numFmtId="0" fontId="15" fillId="17" borderId="26" applyNumberFormat="0" applyFont="0" applyAlignment="0" applyProtection="0"/>
    <xf numFmtId="0" fontId="1" fillId="60" borderId="51" applyNumberFormat="0" applyFont="0" applyAlignment="0" applyProtection="0"/>
    <xf numFmtId="0" fontId="1" fillId="60" borderId="51" applyNumberFormat="0" applyFont="0" applyAlignment="0" applyProtection="0"/>
    <xf numFmtId="0" fontId="62" fillId="35" borderId="28" applyNumberFormat="0" applyAlignment="0" applyProtection="0"/>
    <xf numFmtId="0" fontId="44" fillId="35" borderId="27" applyNumberFormat="0" applyAlignment="0" applyProtection="0"/>
    <xf numFmtId="0" fontId="137" fillId="58" borderId="48" applyNumberFormat="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68" fillId="0" borderId="0" applyNumberFormat="0" applyFill="0" applyBorder="0" applyAlignment="0" applyProtection="0"/>
    <xf numFmtId="0" fontId="130" fillId="0" borderId="0" applyNumberFormat="0" applyFill="0" applyBorder="0" applyAlignment="0" applyProtection="0"/>
    <xf numFmtId="0" fontId="71" fillId="0" borderId="33" applyNumberFormat="0" applyFill="0" applyAlignment="0" applyProtection="0"/>
    <xf numFmtId="0" fontId="86" fillId="0" borderId="52" applyNumberFormat="0" applyFill="0" applyAlignment="0" applyProtection="0"/>
    <xf numFmtId="0" fontId="103" fillId="0" borderId="0" applyNumberFormat="0" applyFill="0" applyBorder="0" applyAlignment="0" applyProtection="0"/>
    <xf numFmtId="40" fontId="15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9" fillId="0" borderId="0">
      <alignment vertical="top"/>
    </xf>
    <xf numFmtId="0" fontId="3" fillId="0" borderId="0">
      <alignment wrapText="1"/>
    </xf>
    <xf numFmtId="0" fontId="18" fillId="34" borderId="0" applyNumberFormat="0" applyBorder="0" applyAlignment="0" applyProtection="0"/>
    <xf numFmtId="0" fontId="51" fillId="21" borderId="9" applyNumberFormat="0" applyAlignment="0" applyProtection="0"/>
    <xf numFmtId="0" fontId="11" fillId="0" borderId="0"/>
    <xf numFmtId="0" fontId="1" fillId="0" borderId="0"/>
    <xf numFmtId="43" fontId="1" fillId="0" borderId="0" applyFont="0" applyFill="0" applyBorder="0" applyAlignment="0" applyProtection="0"/>
    <xf numFmtId="0" fontId="1" fillId="0" borderId="0"/>
    <xf numFmtId="0" fontId="11" fillId="0" borderId="0"/>
    <xf numFmtId="0" fontId="11" fillId="0" borderId="0"/>
    <xf numFmtId="0" fontId="15" fillId="0" borderId="0"/>
    <xf numFmtId="0" fontId="3" fillId="0" borderId="0">
      <alignment wrapText="1"/>
    </xf>
    <xf numFmtId="9" fontId="3" fillId="0" borderId="0" applyFont="0" applyFill="0" applyBorder="0" applyAlignment="0" applyProtection="0">
      <alignment wrapText="1"/>
    </xf>
    <xf numFmtId="0" fontId="11" fillId="0" borderId="0"/>
    <xf numFmtId="0" fontId="1" fillId="0" borderId="0"/>
    <xf numFmtId="0" fontId="11" fillId="0" borderId="0"/>
    <xf numFmtId="0" fontId="154" fillId="0" borderId="0" applyNumberFormat="0" applyFill="0" applyBorder="0" applyAlignment="0" applyProtection="0">
      <alignment vertical="top"/>
      <protection locked="0"/>
    </xf>
    <xf numFmtId="0" fontId="1" fillId="0" borderId="0"/>
    <xf numFmtId="0" fontId="1" fillId="0" borderId="0"/>
    <xf numFmtId="0" fontId="11"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3" fillId="0" borderId="0"/>
    <xf numFmtId="0" fontId="168" fillId="0" borderId="0"/>
    <xf numFmtId="0" fontId="1" fillId="0" borderId="0"/>
    <xf numFmtId="0" fontId="1" fillId="0" borderId="0"/>
    <xf numFmtId="0" fontId="3" fillId="0" borderId="0"/>
    <xf numFmtId="43" fontId="15" fillId="0" borderId="0" applyFont="0" applyFill="0" applyBorder="0" applyAlignment="0" applyProtection="0"/>
    <xf numFmtId="37" fontId="60" fillId="43" borderId="0" applyFill="0"/>
    <xf numFmtId="0" fontId="3" fillId="0" borderId="0"/>
  </cellStyleXfs>
  <cellXfs count="1685">
    <xf numFmtId="0" fontId="0" fillId="0" borderId="0" xfId="0"/>
    <xf numFmtId="1" fontId="4" fillId="3" borderId="0" xfId="4" applyNumberFormat="1" applyFont="1" applyFill="1" applyBorder="1" applyAlignment="1">
      <alignment horizontal="left"/>
    </xf>
    <xf numFmtId="0" fontId="4" fillId="3" borderId="0" xfId="4" applyFont="1" applyFill="1" applyBorder="1"/>
    <xf numFmtId="3" fontId="5" fillId="3" borderId="0" xfId="4" applyNumberFormat="1" applyFont="1" applyFill="1" applyBorder="1"/>
    <xf numFmtId="37" fontId="4" fillId="3" borderId="0" xfId="4" applyNumberFormat="1" applyFont="1" applyFill="1" applyBorder="1" applyAlignment="1">
      <alignment horizontal="center"/>
    </xf>
    <xf numFmtId="37" fontId="5" fillId="3" borderId="0" xfId="4" applyNumberFormat="1" applyFont="1" applyFill="1" applyBorder="1" applyAlignment="1">
      <alignment horizontal="center"/>
    </xf>
    <xf numFmtId="37" fontId="5" fillId="3" borderId="0" xfId="4" applyNumberFormat="1" applyFont="1" applyFill="1" applyBorder="1"/>
    <xf numFmtId="0" fontId="5" fillId="3" borderId="0" xfId="4" applyFont="1" applyFill="1" applyBorder="1"/>
    <xf numFmtId="43" fontId="5" fillId="3" borderId="0" xfId="1" applyFont="1" applyFill="1" applyBorder="1"/>
    <xf numFmtId="0" fontId="4" fillId="3" borderId="0" xfId="4" applyFont="1" applyFill="1" applyBorder="1" applyAlignment="1"/>
    <xf numFmtId="3" fontId="4" fillId="3" borderId="0" xfId="0" applyNumberFormat="1" applyFont="1" applyFill="1" applyBorder="1" applyAlignment="1">
      <alignment horizontal="center"/>
    </xf>
    <xf numFmtId="37" fontId="4" fillId="3" borderId="0" xfId="0" applyNumberFormat="1" applyFont="1" applyFill="1" applyBorder="1" applyAlignment="1">
      <alignment horizontal="center"/>
    </xf>
    <xf numFmtId="0" fontId="4" fillId="3" borderId="0" xfId="4" applyFont="1" applyFill="1" applyBorder="1" applyAlignment="1">
      <alignment horizontal="center"/>
    </xf>
    <xf numFmtId="10" fontId="5" fillId="3" borderId="0" xfId="3" applyNumberFormat="1" applyFont="1" applyFill="1" applyBorder="1"/>
    <xf numFmtId="1" fontId="6" fillId="4" borderId="1" xfId="4" applyNumberFormat="1" applyFont="1" applyFill="1" applyBorder="1" applyAlignment="1">
      <alignment horizontal="left"/>
    </xf>
    <xf numFmtId="0" fontId="6" fillId="4" borderId="2" xfId="4" applyFont="1" applyFill="1" applyBorder="1"/>
    <xf numFmtId="37" fontId="8" fillId="5" borderId="1" xfId="4" applyNumberFormat="1" applyFont="1" applyFill="1" applyBorder="1" applyAlignment="1">
      <alignment horizontal="center"/>
    </xf>
    <xf numFmtId="3" fontId="6" fillId="6" borderId="0" xfId="4" applyNumberFormat="1" applyFont="1" applyFill="1" applyBorder="1" applyAlignment="1">
      <alignment horizontal="center"/>
    </xf>
    <xf numFmtId="43" fontId="9" fillId="6" borderId="0" xfId="1" applyFont="1" applyFill="1" applyBorder="1"/>
    <xf numFmtId="0" fontId="9" fillId="6" borderId="0" xfId="4" applyFont="1" applyFill="1" applyBorder="1"/>
    <xf numFmtId="1" fontId="9" fillId="4" borderId="4" xfId="4" applyNumberFormat="1" applyFont="1" applyFill="1" applyBorder="1" applyAlignment="1">
      <alignment horizontal="right"/>
    </xf>
    <xf numFmtId="0" fontId="9" fillId="4" borderId="5" xfId="4" applyFont="1" applyFill="1" applyBorder="1"/>
    <xf numFmtId="0" fontId="8" fillId="5" borderId="4" xfId="4" applyNumberFormat="1" applyFont="1" applyFill="1" applyBorder="1" applyAlignment="1">
      <alignment horizontal="center"/>
    </xf>
    <xf numFmtId="43" fontId="7" fillId="6" borderId="0" xfId="1" applyFont="1" applyFill="1" applyBorder="1"/>
    <xf numFmtId="0" fontId="7" fillId="6" borderId="0" xfId="4" applyFont="1" applyFill="1" applyBorder="1"/>
    <xf numFmtId="0" fontId="4" fillId="7" borderId="6" xfId="4" applyFont="1" applyFill="1" applyBorder="1"/>
    <xf numFmtId="0" fontId="4" fillId="7" borderId="7" xfId="4" applyFont="1" applyFill="1" applyBorder="1"/>
    <xf numFmtId="3" fontId="5" fillId="7" borderId="7" xfId="4" applyNumberFormat="1" applyFont="1" applyFill="1" applyBorder="1"/>
    <xf numFmtId="37" fontId="4" fillId="7" borderId="7" xfId="4" applyNumberFormat="1" applyFont="1" applyFill="1" applyBorder="1" applyAlignment="1">
      <alignment horizontal="center"/>
    </xf>
    <xf numFmtId="37" fontId="5" fillId="7" borderId="7" xfId="4" applyNumberFormat="1" applyFont="1" applyFill="1" applyBorder="1" applyAlignment="1">
      <alignment horizontal="center"/>
    </xf>
    <xf numFmtId="37" fontId="5" fillId="7" borderId="7" xfId="4" applyNumberFormat="1" applyFont="1" applyFill="1" applyBorder="1"/>
    <xf numFmtId="0" fontId="5" fillId="7" borderId="7" xfId="4" applyFont="1" applyFill="1" applyBorder="1"/>
    <xf numFmtId="0" fontId="4" fillId="7" borderId="7" xfId="4" applyFont="1" applyFill="1" applyBorder="1" applyAlignment="1">
      <alignment horizontal="center"/>
    </xf>
    <xf numFmtId="43" fontId="4" fillId="7" borderId="0" xfId="1" applyFont="1" applyFill="1" applyBorder="1" applyAlignment="1">
      <alignment horizontal="center"/>
    </xf>
    <xf numFmtId="0" fontId="5" fillId="7" borderId="0" xfId="4" applyFont="1" applyFill="1" applyBorder="1"/>
    <xf numFmtId="1" fontId="5" fillId="3" borderId="0" xfId="4" applyNumberFormat="1" applyFont="1" applyFill="1" applyBorder="1" applyAlignment="1">
      <alignment horizontal="right"/>
    </xf>
    <xf numFmtId="164" fontId="5" fillId="3" borderId="0" xfId="2" applyNumberFormat="1" applyFont="1" applyFill="1" applyBorder="1"/>
    <xf numFmtId="164" fontId="5" fillId="3" borderId="0" xfId="2" applyNumberFormat="1" applyFont="1" applyFill="1" applyBorder="1" applyAlignment="1">
      <alignment horizontal="right"/>
    </xf>
    <xf numFmtId="165" fontId="5" fillId="3" borderId="0" xfId="1" applyNumberFormat="1" applyFont="1" applyFill="1" applyBorder="1"/>
    <xf numFmtId="165" fontId="5" fillId="3" borderId="0" xfId="1" applyNumberFormat="1" applyFont="1" applyFill="1" applyBorder="1" applyAlignment="1">
      <alignment horizontal="right"/>
    </xf>
    <xf numFmtId="165" fontId="5" fillId="3" borderId="0" xfId="1" applyNumberFormat="1" applyFont="1" applyFill="1" applyBorder="1" applyAlignment="1">
      <alignment horizontal="center"/>
    </xf>
    <xf numFmtId="165" fontId="5" fillId="0" borderId="0" xfId="1" applyNumberFormat="1" applyFont="1" applyFill="1" applyBorder="1"/>
    <xf numFmtId="165" fontId="4" fillId="3" borderId="0" xfId="1" applyNumberFormat="1" applyFont="1" applyFill="1" applyBorder="1" applyAlignment="1">
      <alignment horizontal="center"/>
    </xf>
    <xf numFmtId="165" fontId="4" fillId="3" borderId="7" xfId="1" applyNumberFormat="1" applyFont="1" applyFill="1" applyBorder="1"/>
    <xf numFmtId="165" fontId="5" fillId="3" borderId="7" xfId="1" applyNumberFormat="1" applyFont="1" applyFill="1" applyBorder="1" applyAlignment="1">
      <alignment horizontal="center"/>
    </xf>
    <xf numFmtId="165" fontId="5" fillId="3" borderId="7" xfId="1" applyNumberFormat="1" applyFont="1" applyFill="1" applyBorder="1"/>
    <xf numFmtId="10" fontId="5" fillId="3" borderId="0" xfId="1" applyNumberFormat="1" applyFont="1" applyFill="1" applyBorder="1"/>
    <xf numFmtId="165" fontId="5" fillId="3" borderId="0" xfId="4" applyNumberFormat="1" applyFont="1" applyFill="1" applyBorder="1"/>
    <xf numFmtId="165" fontId="5" fillId="7" borderId="7" xfId="1" applyNumberFormat="1" applyFont="1" applyFill="1" applyBorder="1"/>
    <xf numFmtId="165" fontId="4" fillId="7" borderId="7" xfId="1" applyNumberFormat="1" applyFont="1" applyFill="1" applyBorder="1" applyAlignment="1">
      <alignment horizontal="center"/>
    </xf>
    <xf numFmtId="43" fontId="5" fillId="7" borderId="0" xfId="1" applyFont="1" applyFill="1" applyBorder="1"/>
    <xf numFmtId="165" fontId="5" fillId="7" borderId="0" xfId="4" applyNumberFormat="1" applyFont="1" applyFill="1" applyBorder="1"/>
    <xf numFmtId="0" fontId="10" fillId="8" borderId="0" xfId="4" applyFont="1" applyFill="1" applyBorder="1"/>
    <xf numFmtId="0" fontId="10" fillId="8" borderId="0" xfId="4" applyFont="1" applyFill="1" applyBorder="1" applyAlignment="1">
      <alignment horizontal="left"/>
    </xf>
    <xf numFmtId="165" fontId="5" fillId="8" borderId="0" xfId="1" applyNumberFormat="1" applyFont="1" applyFill="1" applyBorder="1"/>
    <xf numFmtId="165" fontId="4" fillId="8" borderId="0" xfId="1" applyNumberFormat="1" applyFont="1" applyFill="1" applyBorder="1" applyAlignment="1">
      <alignment horizontal="center"/>
    </xf>
    <xf numFmtId="37" fontId="5" fillId="8" borderId="0" xfId="4" applyNumberFormat="1" applyFont="1" applyFill="1" applyBorder="1" applyAlignment="1">
      <alignment horizontal="center"/>
    </xf>
    <xf numFmtId="0" fontId="5" fillId="8" borderId="0" xfId="4" applyFont="1" applyFill="1" applyBorder="1"/>
    <xf numFmtId="43" fontId="5" fillId="8" borderId="0" xfId="1" applyFont="1" applyFill="1" applyBorder="1"/>
    <xf numFmtId="165" fontId="5" fillId="8" borderId="0" xfId="4" applyNumberFormat="1" applyFont="1" applyFill="1" applyBorder="1"/>
    <xf numFmtId="1" fontId="5" fillId="3" borderId="0" xfId="5" applyNumberFormat="1" applyFont="1" applyFill="1" applyBorder="1" applyAlignment="1">
      <alignment horizontal="right"/>
    </xf>
    <xf numFmtId="166" fontId="5" fillId="3" borderId="0" xfId="5" applyFont="1" applyFill="1" applyBorder="1"/>
    <xf numFmtId="165" fontId="5" fillId="9" borderId="0" xfId="1" applyNumberFormat="1" applyFont="1" applyFill="1" applyBorder="1"/>
    <xf numFmtId="1" fontId="4" fillId="3" borderId="0" xfId="5" applyNumberFormat="1" applyFont="1" applyFill="1" applyBorder="1" applyAlignment="1">
      <alignment horizontal="right"/>
    </xf>
    <xf numFmtId="43" fontId="5" fillId="3" borderId="7" xfId="1" applyFont="1" applyFill="1" applyBorder="1"/>
    <xf numFmtId="165" fontId="5" fillId="3" borderId="7" xfId="4" applyNumberFormat="1" applyFont="1" applyFill="1" applyBorder="1"/>
    <xf numFmtId="165" fontId="4" fillId="3" borderId="0" xfId="1" applyNumberFormat="1" applyFont="1" applyFill="1" applyBorder="1"/>
    <xf numFmtId="165" fontId="5" fillId="3" borderId="0" xfId="6" applyNumberFormat="1" applyFont="1" applyFill="1" applyBorder="1" applyAlignment="1">
      <alignment horizontal="center"/>
    </xf>
    <xf numFmtId="1" fontId="10" fillId="8" borderId="0" xfId="4" applyNumberFormat="1" applyFont="1" applyFill="1" applyBorder="1" applyAlignment="1">
      <alignment horizontal="right"/>
    </xf>
    <xf numFmtId="1" fontId="12" fillId="3" borderId="0" xfId="7" quotePrefix="1" applyNumberFormat="1" applyFont="1" applyFill="1" applyBorder="1" applyAlignment="1">
      <alignment horizontal="right"/>
    </xf>
    <xf numFmtId="165" fontId="4" fillId="3" borderId="0" xfId="1" applyNumberFormat="1" applyFont="1" applyFill="1" applyBorder="1" applyAlignment="1">
      <alignment horizontal="right"/>
    </xf>
    <xf numFmtId="1" fontId="4" fillId="3" borderId="0" xfId="4" applyNumberFormat="1" applyFont="1" applyFill="1" applyBorder="1" applyAlignment="1">
      <alignment horizontal="right"/>
    </xf>
    <xf numFmtId="165" fontId="4" fillId="3" borderId="7" xfId="1" applyNumberFormat="1" applyFont="1" applyFill="1" applyBorder="1" applyAlignment="1">
      <alignment horizontal="right"/>
    </xf>
    <xf numFmtId="165" fontId="4" fillId="8" borderId="0" xfId="1" applyNumberFormat="1" applyFont="1" applyFill="1" applyBorder="1"/>
    <xf numFmtId="165" fontId="5" fillId="8" borderId="0" xfId="1" applyNumberFormat="1" applyFont="1" applyFill="1" applyBorder="1" applyAlignment="1">
      <alignment horizontal="right"/>
    </xf>
    <xf numFmtId="165" fontId="4" fillId="8" borderId="0" xfId="1" applyNumberFormat="1" applyFont="1" applyFill="1" applyBorder="1" applyAlignment="1">
      <alignment horizontal="right"/>
    </xf>
    <xf numFmtId="0" fontId="5" fillId="3" borderId="7" xfId="4" applyFont="1" applyFill="1" applyBorder="1"/>
    <xf numFmtId="166" fontId="4" fillId="3" borderId="0" xfId="5" applyFont="1" applyFill="1" applyBorder="1"/>
    <xf numFmtId="1" fontId="12" fillId="3" borderId="0" xfId="7" applyNumberFormat="1" applyFont="1" applyFill="1" applyBorder="1" applyAlignment="1">
      <alignment horizontal="right"/>
    </xf>
    <xf numFmtId="165" fontId="5" fillId="3" borderId="0" xfId="3" applyNumberFormat="1" applyFont="1" applyFill="1" applyBorder="1"/>
    <xf numFmtId="1" fontId="10" fillId="8" borderId="0" xfId="5" applyNumberFormat="1" applyFont="1" applyFill="1" applyBorder="1" applyAlignment="1">
      <alignment horizontal="right"/>
    </xf>
    <xf numFmtId="1" fontId="5" fillId="8" borderId="0" xfId="4" applyNumberFormat="1" applyFont="1" applyFill="1" applyBorder="1" applyAlignment="1">
      <alignment horizontal="right"/>
    </xf>
    <xf numFmtId="1" fontId="5" fillId="0" borderId="0" xfId="4" applyNumberFormat="1" applyFont="1" applyFill="1" applyBorder="1" applyAlignment="1">
      <alignment horizontal="right"/>
    </xf>
    <xf numFmtId="0" fontId="5" fillId="0" borderId="0" xfId="4" applyFont="1" applyFill="1" applyBorder="1"/>
    <xf numFmtId="165" fontId="5" fillId="0" borderId="0" xfId="1" applyNumberFormat="1" applyFont="1" applyFill="1" applyBorder="1" applyAlignment="1">
      <alignment horizontal="right"/>
    </xf>
    <xf numFmtId="165" fontId="5" fillId="0" borderId="0" xfId="1" applyNumberFormat="1" applyFont="1" applyFill="1" applyBorder="1" applyAlignment="1">
      <alignment horizontal="center"/>
    </xf>
    <xf numFmtId="165" fontId="4" fillId="0" borderId="0" xfId="1" applyNumberFormat="1" applyFont="1" applyFill="1" applyBorder="1" applyAlignment="1">
      <alignment horizontal="center"/>
    </xf>
    <xf numFmtId="1" fontId="12" fillId="0" borderId="0" xfId="7" quotePrefix="1" applyNumberFormat="1" applyFont="1" applyFill="1" applyBorder="1" applyAlignment="1">
      <alignment horizontal="right"/>
    </xf>
    <xf numFmtId="165" fontId="4" fillId="3" borderId="0" xfId="6" applyNumberFormat="1" applyFont="1" applyFill="1" applyBorder="1"/>
    <xf numFmtId="1" fontId="13" fillId="3" borderId="0" xfId="7" quotePrefix="1" applyNumberFormat="1" applyFont="1" applyFill="1" applyBorder="1" applyAlignment="1">
      <alignment horizontal="right"/>
    </xf>
    <xf numFmtId="165" fontId="5" fillId="3" borderId="7" xfId="1" applyNumberFormat="1" applyFont="1" applyFill="1" applyBorder="1" applyAlignment="1">
      <alignment horizontal="right"/>
    </xf>
    <xf numFmtId="165" fontId="4" fillId="3" borderId="7" xfId="1" applyNumberFormat="1" applyFont="1" applyFill="1" applyBorder="1" applyAlignment="1">
      <alignment horizontal="center"/>
    </xf>
    <xf numFmtId="165" fontId="5" fillId="3" borderId="7" xfId="6" applyNumberFormat="1" applyFont="1" applyFill="1" applyBorder="1" applyAlignment="1">
      <alignment horizontal="center"/>
    </xf>
    <xf numFmtId="3" fontId="5" fillId="3" borderId="7" xfId="4" applyNumberFormat="1" applyFont="1" applyFill="1" applyBorder="1"/>
    <xf numFmtId="165" fontId="4" fillId="3" borderId="7" xfId="6" applyNumberFormat="1" applyFont="1" applyFill="1" applyBorder="1"/>
    <xf numFmtId="1" fontId="14" fillId="3" borderId="0" xfId="4" applyNumberFormat="1" applyFont="1" applyFill="1" applyBorder="1" applyAlignment="1">
      <alignment horizontal="right"/>
    </xf>
    <xf numFmtId="37" fontId="5" fillId="0" borderId="0" xfId="4" applyNumberFormat="1" applyFont="1" applyFill="1" applyBorder="1" applyAlignment="1">
      <alignment horizontal="center"/>
    </xf>
    <xf numFmtId="10" fontId="4" fillId="3" borderId="7" xfId="4" applyNumberFormat="1" applyFont="1" applyFill="1" applyBorder="1"/>
    <xf numFmtId="37" fontId="4" fillId="3" borderId="7" xfId="4" applyNumberFormat="1" applyFont="1" applyFill="1" applyBorder="1" applyAlignment="1">
      <alignment horizontal="center"/>
    </xf>
    <xf numFmtId="37" fontId="5" fillId="3" borderId="7" xfId="4" applyNumberFormat="1" applyFont="1" applyFill="1" applyBorder="1" applyAlignment="1">
      <alignment horizontal="center"/>
    </xf>
    <xf numFmtId="10" fontId="5" fillId="3" borderId="0" xfId="4" applyNumberFormat="1" applyFont="1" applyFill="1" applyBorder="1"/>
    <xf numFmtId="164" fontId="4" fillId="3" borderId="7" xfId="2" applyNumberFormat="1" applyFont="1" applyFill="1" applyBorder="1"/>
    <xf numFmtId="164" fontId="5" fillId="3" borderId="7" xfId="2" applyNumberFormat="1" applyFont="1" applyFill="1" applyBorder="1" applyAlignment="1">
      <alignment horizontal="center"/>
    </xf>
    <xf numFmtId="164" fontId="4" fillId="3" borderId="7" xfId="2" applyNumberFormat="1" applyFont="1" applyFill="1" applyBorder="1" applyAlignment="1">
      <alignment horizontal="center"/>
    </xf>
    <xf numFmtId="9" fontId="5" fillId="3" borderId="0" xfId="8" applyFont="1" applyFill="1" applyBorder="1"/>
    <xf numFmtId="37" fontId="5" fillId="3" borderId="0" xfId="8" applyNumberFormat="1" applyFont="1" applyFill="1" applyBorder="1"/>
    <xf numFmtId="37" fontId="5" fillId="3" borderId="0" xfId="4" applyNumberFormat="1" applyFont="1" applyFill="1" applyBorder="1" applyAlignment="1">
      <alignment horizontal="right"/>
    </xf>
    <xf numFmtId="37" fontId="4" fillId="3" borderId="0" xfId="4" applyNumberFormat="1" applyFont="1" applyFill="1" applyBorder="1" applyAlignment="1">
      <alignment horizontal="right"/>
    </xf>
    <xf numFmtId="37" fontId="3" fillId="0" borderId="0" xfId="627" applyFont="1" applyFill="1"/>
    <xf numFmtId="49" fontId="3" fillId="0" borderId="0" xfId="627" applyNumberFormat="1" applyFont="1" applyFill="1"/>
    <xf numFmtId="14" fontId="3" fillId="0" borderId="0" xfId="627" applyNumberFormat="1" applyFont="1" applyFill="1"/>
    <xf numFmtId="165" fontId="3" fillId="0" borderId="0" xfId="6" applyNumberFormat="1" applyFont="1" applyFill="1"/>
    <xf numFmtId="37" fontId="3" fillId="46" borderId="0" xfId="627" applyFont="1" applyFill="1"/>
    <xf numFmtId="0" fontId="29" fillId="0" borderId="0" xfId="7" applyFont="1" applyAlignment="1">
      <alignment horizontal="left"/>
    </xf>
    <xf numFmtId="0" fontId="29" fillId="0" borderId="0" xfId="7" quotePrefix="1" applyFont="1" applyAlignment="1">
      <alignment horizontal="left"/>
    </xf>
    <xf numFmtId="0" fontId="29" fillId="0" borderId="0" xfId="7" applyFont="1"/>
    <xf numFmtId="165" fontId="29" fillId="0" borderId="0" xfId="173" applyNumberFormat="1" applyFont="1"/>
    <xf numFmtId="165" fontId="3" fillId="46" borderId="0" xfId="173" applyNumberFormat="1" applyFont="1" applyFill="1" applyBorder="1"/>
    <xf numFmtId="171" fontId="73" fillId="0" borderId="0" xfId="567" applyNumberFormat="1" applyFont="1" applyFill="1" applyBorder="1"/>
    <xf numFmtId="165" fontId="3" fillId="0" borderId="0" xfId="173" applyNumberFormat="1" applyFont="1" applyBorder="1"/>
    <xf numFmtId="0" fontId="3" fillId="0" borderId="0" xfId="379"/>
    <xf numFmtId="37" fontId="3" fillId="0" borderId="0" xfId="627" quotePrefix="1" applyFont="1" applyFill="1"/>
    <xf numFmtId="14" fontId="74" fillId="0" borderId="0" xfId="7" applyNumberFormat="1" applyFont="1"/>
    <xf numFmtId="0" fontId="74" fillId="0" borderId="0" xfId="7" applyNumberFormat="1" applyFont="1"/>
    <xf numFmtId="0" fontId="75" fillId="0" borderId="0" xfId="7" applyNumberFormat="1" applyFont="1" applyAlignment="1">
      <alignment horizontal="right"/>
    </xf>
    <xf numFmtId="49" fontId="76" fillId="0" borderId="0" xfId="7" applyNumberFormat="1" applyFont="1" applyAlignment="1">
      <alignment horizontal="right"/>
    </xf>
    <xf numFmtId="0" fontId="76" fillId="0" borderId="0" xfId="7" applyNumberFormat="1" applyFont="1" applyAlignment="1">
      <alignment horizontal="left"/>
    </xf>
    <xf numFmtId="0" fontId="77" fillId="0" borderId="0" xfId="7" applyNumberFormat="1" applyFont="1"/>
    <xf numFmtId="49" fontId="76" fillId="0" borderId="0" xfId="7" applyNumberFormat="1" applyFont="1" applyAlignment="1">
      <alignment horizontal="left"/>
    </xf>
    <xf numFmtId="172" fontId="79" fillId="0" borderId="0" xfId="7" quotePrefix="1" applyNumberFormat="1" applyFont="1" applyAlignment="1">
      <alignment horizontal="left"/>
    </xf>
    <xf numFmtId="0" fontId="29" fillId="0" borderId="0" xfId="7" applyNumberFormat="1" applyFont="1"/>
    <xf numFmtId="165" fontId="80" fillId="0" borderId="12" xfId="173" applyNumberFormat="1" applyFont="1" applyFill="1" applyBorder="1" applyAlignment="1">
      <alignment horizontal="centerContinuous"/>
    </xf>
    <xf numFmtId="0" fontId="80" fillId="0" borderId="12" xfId="7" applyFont="1" applyFill="1" applyBorder="1" applyAlignment="1">
      <alignment horizontal="centerContinuous"/>
    </xf>
    <xf numFmtId="165" fontId="80" fillId="0" borderId="12" xfId="173" quotePrefix="1" applyNumberFormat="1" applyFont="1" applyFill="1" applyBorder="1" applyAlignment="1">
      <alignment horizontal="centerContinuous"/>
    </xf>
    <xf numFmtId="0" fontId="81" fillId="0" borderId="12" xfId="7" applyNumberFormat="1" applyFont="1" applyBorder="1"/>
    <xf numFmtId="17" fontId="80" fillId="0" borderId="29" xfId="173" applyNumberFormat="1" applyFont="1" applyFill="1" applyBorder="1" applyAlignment="1">
      <alignment horizontal="centerContinuous"/>
    </xf>
    <xf numFmtId="0" fontId="80" fillId="0" borderId="0" xfId="7" applyFont="1" applyBorder="1"/>
    <xf numFmtId="0" fontId="80" fillId="0" borderId="0" xfId="7" applyFont="1"/>
    <xf numFmtId="17" fontId="80" fillId="0" borderId="29" xfId="173" applyNumberFormat="1" applyFont="1" applyBorder="1" applyAlignment="1">
      <alignment horizontal="centerContinuous"/>
    </xf>
    <xf numFmtId="17" fontId="4" fillId="0" borderId="29" xfId="173" applyNumberFormat="1" applyFont="1" applyFill="1" applyBorder="1" applyAlignment="1">
      <alignment horizontal="centerContinuous"/>
    </xf>
    <xf numFmtId="0" fontId="82" fillId="0" borderId="0" xfId="7" applyFont="1"/>
    <xf numFmtId="165" fontId="82" fillId="0" borderId="0" xfId="173" applyNumberFormat="1" applyFont="1"/>
    <xf numFmtId="37" fontId="3" fillId="0" borderId="0" xfId="627" applyFont="1" applyFill="1" applyBorder="1"/>
    <xf numFmtId="165" fontId="29" fillId="0" borderId="12" xfId="173" applyNumberFormat="1" applyFont="1" applyBorder="1"/>
    <xf numFmtId="165" fontId="29" fillId="45" borderId="0" xfId="6" applyNumberFormat="1" applyFont="1" applyFill="1" applyBorder="1"/>
    <xf numFmtId="165" fontId="74" fillId="0" borderId="0" xfId="6" applyNumberFormat="1" applyFont="1"/>
    <xf numFmtId="165" fontId="29" fillId="0" borderId="0" xfId="6" applyNumberFormat="1" applyFont="1"/>
    <xf numFmtId="165" fontId="29" fillId="0" borderId="12" xfId="6" applyNumberFormat="1" applyFont="1" applyBorder="1"/>
    <xf numFmtId="0" fontId="29" fillId="0" borderId="0" xfId="7" quotePrefix="1" applyFont="1"/>
    <xf numFmtId="0" fontId="81" fillId="0" borderId="0" xfId="7" applyFont="1" applyAlignment="1">
      <alignment horizontal="left"/>
    </xf>
    <xf numFmtId="165" fontId="29" fillId="45" borderId="7" xfId="6" applyNumberFormat="1" applyFont="1" applyFill="1" applyBorder="1"/>
    <xf numFmtId="0" fontId="81" fillId="0" borderId="0" xfId="7" applyFont="1"/>
    <xf numFmtId="0" fontId="81" fillId="0" borderId="0" xfId="7" quotePrefix="1" applyFont="1" applyAlignment="1">
      <alignment horizontal="left"/>
    </xf>
    <xf numFmtId="0" fontId="3" fillId="0" borderId="0" xfId="4"/>
    <xf numFmtId="165" fontId="3" fillId="0" borderId="0" xfId="6" applyNumberFormat="1" applyFont="1"/>
    <xf numFmtId="165" fontId="1" fillId="0" borderId="0" xfId="6" applyNumberFormat="1" applyFont="1"/>
    <xf numFmtId="0" fontId="3" fillId="0" borderId="0" xfId="4" applyFont="1"/>
    <xf numFmtId="0" fontId="81" fillId="47" borderId="0" xfId="7" quotePrefix="1" applyFont="1" applyFill="1" applyAlignment="1">
      <alignment horizontal="left"/>
    </xf>
    <xf numFmtId="0" fontId="29" fillId="47" borderId="0" xfId="7" applyFont="1" applyFill="1"/>
    <xf numFmtId="165" fontId="29" fillId="47" borderId="7" xfId="6" applyNumberFormat="1" applyFont="1" applyFill="1" applyBorder="1"/>
    <xf numFmtId="165" fontId="74" fillId="0" borderId="0" xfId="6" applyNumberFormat="1" applyFont="1" applyFill="1"/>
    <xf numFmtId="165" fontId="74" fillId="0" borderId="0" xfId="6" applyNumberFormat="1" applyFont="1" applyFill="1" applyBorder="1"/>
    <xf numFmtId="0" fontId="74" fillId="0" borderId="0" xfId="7" applyNumberFormat="1" applyFont="1" applyFill="1"/>
    <xf numFmtId="0" fontId="3" fillId="0" borderId="0" xfId="386"/>
    <xf numFmtId="0" fontId="3" fillId="0" borderId="0" xfId="386" applyFont="1"/>
    <xf numFmtId="173" fontId="3" fillId="0" borderId="0" xfId="386" applyNumberFormat="1" applyFont="1"/>
    <xf numFmtId="165" fontId="82" fillId="0" borderId="0" xfId="6" applyNumberFormat="1" applyFont="1"/>
    <xf numFmtId="0" fontId="81" fillId="7" borderId="0" xfId="7" applyFont="1" applyFill="1" applyAlignment="1">
      <alignment horizontal="left"/>
    </xf>
    <xf numFmtId="0" fontId="29" fillId="7" borderId="0" xfId="7" applyFont="1" applyFill="1"/>
    <xf numFmtId="173" fontId="29" fillId="7" borderId="7" xfId="6" quotePrefix="1" applyNumberFormat="1" applyFont="1" applyFill="1" applyBorder="1"/>
    <xf numFmtId="165" fontId="73" fillId="0" borderId="0" xfId="6" applyNumberFormat="1" applyFont="1" applyFill="1" applyBorder="1"/>
    <xf numFmtId="165" fontId="29" fillId="45" borderId="8" xfId="6" applyNumberFormat="1" applyFont="1" applyFill="1" applyBorder="1"/>
    <xf numFmtId="165" fontId="3" fillId="0" borderId="0" xfId="173" applyNumberFormat="1" applyFont="1" applyFill="1"/>
    <xf numFmtId="165" fontId="3" fillId="0" borderId="0" xfId="6" applyNumberFormat="1"/>
    <xf numFmtId="165" fontId="29" fillId="3" borderId="0" xfId="6" applyNumberFormat="1" applyFont="1" applyFill="1" applyBorder="1"/>
    <xf numFmtId="165" fontId="29" fillId="3" borderId="0" xfId="6" applyNumberFormat="1" applyFont="1" applyFill="1"/>
    <xf numFmtId="165" fontId="73" fillId="3" borderId="0" xfId="6" applyNumberFormat="1" applyFont="1" applyFill="1" applyBorder="1"/>
    <xf numFmtId="165" fontId="83" fillId="0" borderId="0" xfId="173" applyNumberFormat="1" applyFont="1" applyFill="1" applyAlignment="1">
      <alignment horizontal="right"/>
    </xf>
    <xf numFmtId="0" fontId="84" fillId="0" borderId="0" xfId="7" applyNumberFormat="1" applyFont="1"/>
    <xf numFmtId="165" fontId="85" fillId="0" borderId="0" xfId="173" applyNumberFormat="1" applyFont="1" applyFill="1"/>
    <xf numFmtId="168" fontId="80" fillId="0" borderId="0" xfId="3" applyNumberFormat="1" applyFont="1" applyFill="1"/>
    <xf numFmtId="0" fontId="3" fillId="0" borderId="0" xfId="379" applyFont="1"/>
    <xf numFmtId="0" fontId="76" fillId="0" borderId="0" xfId="7" applyNumberFormat="1" applyFont="1"/>
    <xf numFmtId="37" fontId="5" fillId="7" borderId="12" xfId="4" applyNumberFormat="1" applyFont="1" applyFill="1" applyBorder="1"/>
    <xf numFmtId="0" fontId="0" fillId="0" borderId="0" xfId="0" applyBorder="1"/>
    <xf numFmtId="0" fontId="0" fillId="0" borderId="0" xfId="0" applyFill="1"/>
    <xf numFmtId="0" fontId="86" fillId="0" borderId="12" xfId="0" applyFont="1" applyBorder="1" applyAlignment="1">
      <alignment horizontal="center"/>
    </xf>
    <xf numFmtId="165" fontId="0" fillId="0" borderId="0" xfId="1" applyNumberFormat="1" applyFont="1"/>
    <xf numFmtId="0" fontId="86" fillId="0" borderId="12" xfId="0" applyFont="1" applyBorder="1" applyAlignment="1">
      <alignment horizontal="center" wrapText="1"/>
    </xf>
    <xf numFmtId="9" fontId="0" fillId="0" borderId="0" xfId="3" applyFont="1"/>
    <xf numFmtId="165" fontId="86" fillId="0" borderId="0" xfId="1" applyNumberFormat="1" applyFont="1"/>
    <xf numFmtId="0" fontId="86" fillId="0" borderId="0" xfId="0" applyFont="1"/>
    <xf numFmtId="0" fontId="5" fillId="9" borderId="0" xfId="4" applyFont="1" applyFill="1" applyBorder="1"/>
    <xf numFmtId="43" fontId="5" fillId="3" borderId="0" xfId="1" applyFont="1" applyFill="1" applyBorder="1" applyAlignment="1">
      <alignment horizontal="center"/>
    </xf>
    <xf numFmtId="43" fontId="7" fillId="5" borderId="2" xfId="1" applyFont="1" applyFill="1" applyBorder="1" applyAlignment="1">
      <alignment horizontal="center"/>
    </xf>
    <xf numFmtId="43" fontId="7" fillId="5" borderId="5" xfId="1" applyFont="1" applyFill="1" applyBorder="1" applyAlignment="1">
      <alignment horizontal="center"/>
    </xf>
    <xf numFmtId="43" fontId="5" fillId="7" borderId="7" xfId="1" applyFont="1" applyFill="1" applyBorder="1"/>
    <xf numFmtId="43" fontId="4" fillId="3" borderId="7" xfId="1" applyFont="1" applyFill="1" applyBorder="1"/>
    <xf numFmtId="43" fontId="4" fillId="3" borderId="0" xfId="1" applyFont="1" applyFill="1" applyBorder="1"/>
    <xf numFmtId="0" fontId="5" fillId="3" borderId="0" xfId="0" applyFont="1" applyFill="1" applyBorder="1"/>
    <xf numFmtId="165" fontId="5" fillId="3" borderId="0" xfId="1" applyNumberFormat="1" applyFont="1" applyFill="1" applyBorder="1"/>
    <xf numFmtId="0" fontId="25" fillId="25" borderId="0" xfId="103" applyFont="1"/>
    <xf numFmtId="0" fontId="86" fillId="0" borderId="12" xfId="0" applyFont="1" applyFill="1" applyBorder="1" applyAlignment="1">
      <alignment horizontal="center" wrapText="1"/>
    </xf>
    <xf numFmtId="0" fontId="0" fillId="0" borderId="0" xfId="0" applyAlignment="1">
      <alignment horizontal="right"/>
    </xf>
    <xf numFmtId="165" fontId="0" fillId="0" borderId="12" xfId="1" applyNumberFormat="1" applyFont="1" applyBorder="1"/>
    <xf numFmtId="168" fontId="93" fillId="0" borderId="0" xfId="3" applyNumberFormat="1" applyFont="1"/>
    <xf numFmtId="168" fontId="93" fillId="0" borderId="0" xfId="0" applyNumberFormat="1" applyFont="1"/>
    <xf numFmtId="0" fontId="86" fillId="0" borderId="12" xfId="0" applyFont="1" applyBorder="1" applyAlignment="1"/>
    <xf numFmtId="0" fontId="0" fillId="0" borderId="0" xfId="0" applyAlignment="1">
      <alignment horizontal="center"/>
    </xf>
    <xf numFmtId="165" fontId="0" fillId="0" borderId="0" xfId="134" applyNumberFormat="1" applyFont="1"/>
    <xf numFmtId="165" fontId="0" fillId="0" borderId="0" xfId="0" applyNumberFormat="1"/>
    <xf numFmtId="165" fontId="0" fillId="0" borderId="12" xfId="134" applyNumberFormat="1" applyFont="1" applyFill="1" applyBorder="1"/>
    <xf numFmtId="165" fontId="0" fillId="0" borderId="12" xfId="0" applyNumberFormat="1" applyBorder="1"/>
    <xf numFmtId="165" fontId="86" fillId="0" borderId="0" xfId="0" applyNumberFormat="1" applyFont="1"/>
    <xf numFmtId="9" fontId="93" fillId="0" borderId="0" xfId="3" applyFont="1" applyFill="1" applyBorder="1"/>
    <xf numFmtId="10" fontId="93" fillId="0" borderId="0" xfId="3" applyNumberFormat="1" applyFont="1" applyFill="1" applyBorder="1"/>
    <xf numFmtId="0" fontId="95" fillId="0" borderId="0" xfId="0" applyFont="1" applyAlignment="1"/>
    <xf numFmtId="0" fontId="86" fillId="0" borderId="0" xfId="0" applyFont="1" applyFill="1" applyBorder="1" applyAlignment="1">
      <alignment horizontal="center" wrapText="1"/>
    </xf>
    <xf numFmtId="0" fontId="86" fillId="0" borderId="0" xfId="0" applyFont="1" applyAlignment="1">
      <alignment horizontal="right"/>
    </xf>
    <xf numFmtId="10" fontId="0" fillId="0" borderId="0" xfId="3" applyNumberFormat="1" applyFont="1"/>
    <xf numFmtId="43" fontId="0" fillId="0" borderId="12" xfId="0" applyNumberFormat="1" applyBorder="1"/>
    <xf numFmtId="0" fontId="94" fillId="0" borderId="0" xfId="0" applyFont="1" applyFill="1"/>
    <xf numFmtId="0" fontId="86" fillId="0" borderId="0" xfId="0" applyFont="1" applyBorder="1" applyAlignment="1">
      <alignment horizontal="right"/>
    </xf>
    <xf numFmtId="43" fontId="86" fillId="0" borderId="0" xfId="0" applyNumberFormat="1" applyFont="1" applyBorder="1"/>
    <xf numFmtId="9" fontId="0" fillId="0" borderId="0" xfId="0" applyNumberFormat="1"/>
    <xf numFmtId="43" fontId="86" fillId="0" borderId="0" xfId="1" applyFont="1" applyBorder="1"/>
    <xf numFmtId="10" fontId="93" fillId="0" borderId="0" xfId="3" applyNumberFormat="1" applyFont="1" applyBorder="1"/>
    <xf numFmtId="165" fontId="86" fillId="0" borderId="0" xfId="0" applyNumberFormat="1" applyFont="1" applyBorder="1"/>
    <xf numFmtId="0" fontId="97" fillId="0" borderId="0" xfId="665" applyFont="1" applyBorder="1"/>
    <xf numFmtId="0" fontId="98" fillId="0" borderId="0" xfId="666" applyFont="1" applyBorder="1"/>
    <xf numFmtId="4" fontId="97" fillId="0" borderId="0" xfId="665" applyNumberFormat="1" applyFont="1" applyFill="1" applyBorder="1" applyAlignment="1">
      <alignment horizontal="right"/>
    </xf>
    <xf numFmtId="0" fontId="101" fillId="0" borderId="0" xfId="0" applyFont="1" applyBorder="1"/>
    <xf numFmtId="0" fontId="97" fillId="0" borderId="0" xfId="665" applyFont="1" applyFill="1" applyBorder="1" applyAlignment="1">
      <alignment horizontal="left"/>
    </xf>
    <xf numFmtId="0" fontId="101" fillId="0" borderId="0" xfId="0" applyFont="1" applyFill="1" applyBorder="1"/>
    <xf numFmtId="43" fontId="97" fillId="0" borderId="0" xfId="1" applyFont="1" applyBorder="1"/>
    <xf numFmtId="43" fontId="0" fillId="0" borderId="0" xfId="1" applyFont="1" applyFill="1" applyBorder="1"/>
    <xf numFmtId="43" fontId="0" fillId="0" borderId="29" xfId="1" applyFont="1" applyFill="1" applyBorder="1"/>
    <xf numFmtId="0" fontId="86" fillId="0" borderId="12" xfId="0" applyFont="1" applyBorder="1" applyAlignment="1">
      <alignment horizontal="center"/>
    </xf>
    <xf numFmtId="0" fontId="95" fillId="0" borderId="0" xfId="0" applyFont="1"/>
    <xf numFmtId="10" fontId="0" fillId="0" borderId="0" xfId="0" applyNumberFormat="1"/>
    <xf numFmtId="0" fontId="86" fillId="0" borderId="12" xfId="0" applyFont="1" applyBorder="1" applyAlignment="1">
      <alignment horizontal="left"/>
    </xf>
    <xf numFmtId="0" fontId="0" fillId="3" borderId="0" xfId="0" applyFill="1"/>
    <xf numFmtId="3" fontId="107" fillId="3" borderId="0" xfId="0" applyNumberFormat="1" applyFont="1" applyFill="1"/>
    <xf numFmtId="0" fontId="104" fillId="0" borderId="0" xfId="0" applyFont="1"/>
    <xf numFmtId="0" fontId="0" fillId="3" borderId="0" xfId="0" applyFont="1" applyFill="1"/>
    <xf numFmtId="0" fontId="1" fillId="0" borderId="0" xfId="0" applyFont="1"/>
    <xf numFmtId="0" fontId="100" fillId="0" borderId="0" xfId="0" applyFont="1"/>
    <xf numFmtId="0" fontId="110" fillId="3" borderId="0" xfId="0" applyFont="1" applyFill="1"/>
    <xf numFmtId="1" fontId="100" fillId="0" borderId="0" xfId="0" applyNumberFormat="1" applyFont="1"/>
    <xf numFmtId="0" fontId="111" fillId="6" borderId="0" xfId="0" applyFont="1" applyFill="1"/>
    <xf numFmtId="0" fontId="110" fillId="6" borderId="0" xfId="0" applyFont="1" applyFill="1"/>
    <xf numFmtId="0" fontId="112" fillId="7" borderId="0" xfId="0" applyFont="1" applyFill="1"/>
    <xf numFmtId="0" fontId="110" fillId="7" borderId="0" xfId="0" applyFont="1" applyFill="1"/>
    <xf numFmtId="0" fontId="113" fillId="8" borderId="0" xfId="4" applyFont="1" applyFill="1"/>
    <xf numFmtId="3" fontId="113" fillId="8" borderId="0" xfId="4" applyNumberFormat="1" applyFont="1" applyFill="1"/>
    <xf numFmtId="0" fontId="113" fillId="8" borderId="0" xfId="0" applyFont="1" applyFill="1"/>
    <xf numFmtId="0" fontId="114" fillId="3" borderId="0" xfId="4" applyFont="1" applyFill="1"/>
    <xf numFmtId="3" fontId="115" fillId="3" borderId="0" xfId="4" applyNumberFormat="1" applyFont="1" applyFill="1"/>
    <xf numFmtId="3" fontId="114" fillId="3" borderId="0" xfId="4" applyNumberFormat="1" applyFont="1" applyFill="1"/>
    <xf numFmtId="3" fontId="112" fillId="3" borderId="7" xfId="4" applyNumberFormat="1" applyFont="1" applyFill="1" applyBorder="1"/>
    <xf numFmtId="0" fontId="116" fillId="8" borderId="0" xfId="0" applyFont="1" applyFill="1"/>
    <xf numFmtId="0" fontId="117" fillId="3" borderId="0" xfId="0" applyFont="1" applyFill="1" applyAlignment="1">
      <alignment horizontal="left"/>
    </xf>
    <xf numFmtId="3" fontId="112" fillId="3" borderId="0" xfId="4" applyNumberFormat="1" applyFont="1" applyFill="1"/>
    <xf numFmtId="0" fontId="107" fillId="3" borderId="0" xfId="0" applyFont="1" applyFill="1" applyAlignment="1">
      <alignment horizontal="right"/>
    </xf>
    <xf numFmtId="3" fontId="107" fillId="3" borderId="8" xfId="0" applyNumberFormat="1" applyFont="1" applyFill="1" applyBorder="1"/>
    <xf numFmtId="0" fontId="107" fillId="3" borderId="0" xfId="0" applyFont="1" applyFill="1"/>
    <xf numFmtId="0" fontId="118" fillId="6" borderId="0" xfId="0" applyFont="1" applyFill="1"/>
    <xf numFmtId="0" fontId="107" fillId="7" borderId="0" xfId="0" applyFont="1" applyFill="1"/>
    <xf numFmtId="0" fontId="115" fillId="3" borderId="0" xfId="0" quotePrefix="1" applyFont="1" applyFill="1" applyAlignment="1">
      <alignment horizontal="left"/>
    </xf>
    <xf numFmtId="174" fontId="107" fillId="3" borderId="0" xfId="0" applyNumberFormat="1" applyFont="1" applyFill="1"/>
    <xf numFmtId="5" fontId="107" fillId="3" borderId="0" xfId="0" applyNumberFormat="1" applyFont="1" applyFill="1"/>
    <xf numFmtId="3" fontId="110" fillId="3" borderId="0" xfId="0" quotePrefix="1" applyNumberFormat="1" applyFont="1" applyFill="1" applyAlignment="1">
      <alignment horizontal="right"/>
    </xf>
    <xf numFmtId="174" fontId="107" fillId="3" borderId="0" xfId="0" quotePrefix="1" applyNumberFormat="1" applyFont="1" applyFill="1" applyAlignment="1">
      <alignment horizontal="right"/>
    </xf>
    <xf numFmtId="174" fontId="110" fillId="3" borderId="0" xfId="0" applyNumberFormat="1" applyFont="1" applyFill="1"/>
    <xf numFmtId="37" fontId="110" fillId="3" borderId="0" xfId="0" applyNumberFormat="1" applyFont="1" applyFill="1"/>
    <xf numFmtId="5" fontId="107" fillId="3" borderId="0" xfId="0" quotePrefix="1" applyNumberFormat="1" applyFont="1" applyFill="1" applyAlignment="1">
      <alignment horizontal="right"/>
    </xf>
    <xf numFmtId="0" fontId="1" fillId="0" borderId="0" xfId="0" applyFont="1" applyFill="1"/>
    <xf numFmtId="0" fontId="105" fillId="0" borderId="0" xfId="0" applyFont="1"/>
    <xf numFmtId="164" fontId="104" fillId="0" borderId="0" xfId="2" applyNumberFormat="1" applyFont="1" applyFill="1"/>
    <xf numFmtId="4" fontId="1" fillId="0" borderId="0" xfId="0" applyNumberFormat="1" applyFont="1"/>
    <xf numFmtId="0" fontId="86" fillId="3" borderId="0" xfId="0" applyFont="1" applyFill="1"/>
    <xf numFmtId="0" fontId="0" fillId="3" borderId="12" xfId="0" applyFont="1" applyFill="1" applyBorder="1" applyAlignment="1">
      <alignment horizontal="center"/>
    </xf>
    <xf numFmtId="43" fontId="0" fillId="3" borderId="0" xfId="158" applyFont="1" applyFill="1"/>
    <xf numFmtId="43" fontId="0" fillId="3" borderId="0" xfId="0" applyNumberFormat="1" applyFont="1" applyFill="1" applyBorder="1" applyAlignment="1">
      <alignment horizontal="center"/>
    </xf>
    <xf numFmtId="43" fontId="0" fillId="3" borderId="0" xfId="0" applyNumberFormat="1" applyFont="1" applyFill="1"/>
    <xf numFmtId="0" fontId="0" fillId="3" borderId="0" xfId="0" applyFont="1" applyFill="1" applyAlignment="1">
      <alignment horizontal="left" indent="1"/>
    </xf>
    <xf numFmtId="165" fontId="0" fillId="3" borderId="0" xfId="158" applyNumberFormat="1" applyFont="1" applyFill="1"/>
    <xf numFmtId="0" fontId="0" fillId="3" borderId="0" xfId="0" applyFont="1" applyFill="1" applyAlignment="1">
      <alignment horizontal="center"/>
    </xf>
    <xf numFmtId="0" fontId="103" fillId="3" borderId="0" xfId="0" applyFont="1" applyFill="1"/>
    <xf numFmtId="0" fontId="103" fillId="3" borderId="0" xfId="0" applyFont="1" applyFill="1" applyAlignment="1">
      <alignment horizontal="center"/>
    </xf>
    <xf numFmtId="0" fontId="101" fillId="0" borderId="0" xfId="0" applyFont="1"/>
    <xf numFmtId="165" fontId="101" fillId="0" borderId="0" xfId="0" applyNumberFormat="1" applyFont="1"/>
    <xf numFmtId="0" fontId="101" fillId="0" borderId="0" xfId="0" applyFont="1" applyFill="1"/>
    <xf numFmtId="0" fontId="124" fillId="0" borderId="0" xfId="0" applyFont="1"/>
    <xf numFmtId="44" fontId="101" fillId="0" borderId="0" xfId="0" applyNumberFormat="1" applyFont="1"/>
    <xf numFmtId="0" fontId="125" fillId="0" borderId="0" xfId="0" applyFont="1" applyAlignment="1">
      <alignment horizontal="right"/>
    </xf>
    <xf numFmtId="43" fontId="101" fillId="0" borderId="0" xfId="0" applyNumberFormat="1" applyFont="1"/>
    <xf numFmtId="0" fontId="123" fillId="0" borderId="0" xfId="666" applyFont="1" applyFill="1"/>
    <xf numFmtId="44" fontId="96" fillId="0" borderId="7" xfId="220" applyFont="1" applyFill="1" applyBorder="1"/>
    <xf numFmtId="0" fontId="123" fillId="0" borderId="0" xfId="666" applyFont="1" applyFill="1" applyAlignment="1">
      <alignment horizontal="right"/>
    </xf>
    <xf numFmtId="165" fontId="101" fillId="0" borderId="0" xfId="134" applyNumberFormat="1" applyFont="1"/>
    <xf numFmtId="0" fontId="123" fillId="0" borderId="0" xfId="666" applyFont="1" applyFill="1" applyBorder="1" applyAlignment="1">
      <alignment horizontal="right"/>
    </xf>
    <xf numFmtId="0" fontId="98" fillId="0" borderId="0" xfId="666" applyFont="1" applyFill="1" applyBorder="1"/>
    <xf numFmtId="0" fontId="98" fillId="0" borderId="0" xfId="666" applyFont="1"/>
    <xf numFmtId="165" fontId="98" fillId="0" borderId="0" xfId="134" applyNumberFormat="1" applyFont="1"/>
    <xf numFmtId="43" fontId="98" fillId="0" borderId="0" xfId="134" applyFont="1" applyFill="1" applyAlignment="1">
      <alignment horizontal="center"/>
    </xf>
    <xf numFmtId="0" fontId="123" fillId="0" borderId="0" xfId="666" applyFont="1" applyBorder="1" applyAlignment="1">
      <alignment horizontal="right"/>
    </xf>
    <xf numFmtId="43" fontId="98" fillId="0" borderId="0" xfId="666" applyNumberFormat="1" applyFont="1"/>
    <xf numFmtId="0" fontId="98" fillId="0" borderId="0" xfId="666" applyFont="1" applyFill="1"/>
    <xf numFmtId="0" fontId="97" fillId="0" borderId="0" xfId="0" applyFont="1"/>
    <xf numFmtId="165" fontId="98" fillId="0" borderId="0" xfId="134" applyNumberFormat="1" applyFont="1" applyFill="1"/>
    <xf numFmtId="0" fontId="99" fillId="0" borderId="0" xfId="666" applyFont="1" applyAlignment="1">
      <alignment horizontal="center"/>
    </xf>
    <xf numFmtId="44" fontId="96" fillId="0" borderId="0" xfId="220" applyFont="1" applyFill="1" applyBorder="1"/>
    <xf numFmtId="43" fontId="101" fillId="0" borderId="0" xfId="134" applyFont="1"/>
    <xf numFmtId="0" fontId="123" fillId="0" borderId="0" xfId="666" applyFont="1" applyFill="1" applyBorder="1"/>
    <xf numFmtId="0" fontId="98" fillId="0" borderId="0" xfId="666" applyFont="1" applyAlignment="1">
      <alignment horizontal="center"/>
    </xf>
    <xf numFmtId="0" fontId="123" fillId="0" borderId="0" xfId="666" applyFont="1" applyBorder="1" applyAlignment="1">
      <alignment horizontal="left"/>
    </xf>
    <xf numFmtId="165" fontId="100" fillId="0" borderId="0" xfId="134" applyNumberFormat="1" applyFont="1" applyBorder="1"/>
    <xf numFmtId="165" fontId="100" fillId="0" borderId="43" xfId="134" applyNumberFormat="1" applyFont="1" applyBorder="1"/>
    <xf numFmtId="2" fontId="101" fillId="0" borderId="0" xfId="0" applyNumberFormat="1" applyFont="1"/>
    <xf numFmtId="0" fontId="99" fillId="0" borderId="0" xfId="666" applyFont="1" applyFill="1" applyAlignment="1">
      <alignment horizontal="center"/>
    </xf>
    <xf numFmtId="0" fontId="99" fillId="0" borderId="0" xfId="666" applyFont="1" applyFill="1" applyAlignment="1">
      <alignment horizontal="left"/>
    </xf>
    <xf numFmtId="0" fontId="98" fillId="0" borderId="0" xfId="0" applyFont="1" applyFill="1" applyAlignment="1">
      <alignment vertical="top"/>
    </xf>
    <xf numFmtId="43" fontId="98" fillId="0" borderId="0" xfId="666" applyNumberFormat="1" applyFont="1" applyFill="1"/>
    <xf numFmtId="0" fontId="123" fillId="0" borderId="0" xfId="666" applyFont="1" applyAlignment="1">
      <alignment horizontal="left"/>
    </xf>
    <xf numFmtId="165" fontId="123" fillId="0" borderId="43" xfId="134" applyNumberFormat="1" applyFont="1" applyFill="1" applyBorder="1"/>
    <xf numFmtId="165" fontId="123" fillId="0" borderId="0" xfId="134" applyNumberFormat="1" applyFont="1" applyFill="1" applyBorder="1"/>
    <xf numFmtId="0" fontId="98" fillId="0" borderId="0" xfId="666" applyFont="1" applyFill="1" applyAlignment="1">
      <alignment horizontal="center"/>
    </xf>
    <xf numFmtId="0" fontId="99" fillId="0" borderId="0" xfId="666" applyFont="1" applyAlignment="1">
      <alignment horizontal="left"/>
    </xf>
    <xf numFmtId="0" fontId="100" fillId="52" borderId="0" xfId="0" applyFont="1" applyFill="1" applyAlignment="1">
      <alignment horizontal="center"/>
    </xf>
    <xf numFmtId="0" fontId="123" fillId="0" borderId="0" xfId="666" applyFont="1" applyFill="1" applyAlignment="1">
      <alignment horizontal="center" wrapText="1"/>
    </xf>
    <xf numFmtId="0" fontId="123" fillId="49" borderId="0" xfId="666" applyFont="1" applyFill="1" applyAlignment="1">
      <alignment horizontal="center" wrapText="1"/>
    </xf>
    <xf numFmtId="0" fontId="123" fillId="53" borderId="0" xfId="666" applyFont="1" applyFill="1" applyAlignment="1">
      <alignment horizontal="center" wrapText="1"/>
    </xf>
    <xf numFmtId="14" fontId="123" fillId="54" borderId="0" xfId="666" applyNumberFormat="1" applyFont="1" applyFill="1" applyAlignment="1">
      <alignment horizontal="center" wrapText="1"/>
    </xf>
    <xf numFmtId="0" fontId="123" fillId="0" borderId="0" xfId="666" applyFont="1" applyFill="1" applyAlignment="1">
      <alignment horizontal="center"/>
    </xf>
    <xf numFmtId="17" fontId="123" fillId="0" borderId="0" xfId="666" applyNumberFormat="1" applyFont="1" applyFill="1" applyAlignment="1">
      <alignment horizontal="center"/>
    </xf>
    <xf numFmtId="17" fontId="123" fillId="49" borderId="0" xfId="666" applyNumberFormat="1" applyFont="1" applyFill="1" applyAlignment="1">
      <alignment horizontal="center"/>
    </xf>
    <xf numFmtId="0" fontId="126" fillId="54" borderId="0" xfId="666" applyFont="1" applyFill="1" applyAlignment="1">
      <alignment horizontal="center"/>
    </xf>
    <xf numFmtId="2" fontId="98" fillId="0" borderId="0" xfId="666" applyNumberFormat="1" applyFont="1" applyFill="1"/>
    <xf numFmtId="0" fontId="123" fillId="0" borderId="0" xfId="666" applyFont="1" applyFill="1" applyAlignment="1">
      <alignment horizontal="left"/>
    </xf>
    <xf numFmtId="43" fontId="127" fillId="0" borderId="0" xfId="666" applyNumberFormat="1" applyFont="1" applyFill="1"/>
    <xf numFmtId="0" fontId="100" fillId="0" borderId="0" xfId="0" applyFont="1" applyFill="1"/>
    <xf numFmtId="0" fontId="128" fillId="0" borderId="0" xfId="666" applyFont="1" applyFill="1"/>
    <xf numFmtId="0" fontId="102" fillId="0" borderId="0" xfId="0" applyFont="1"/>
    <xf numFmtId="43" fontId="98" fillId="0" borderId="0" xfId="134" applyFont="1" applyFill="1"/>
    <xf numFmtId="165" fontId="101" fillId="0" borderId="43" xfId="0" applyNumberFormat="1" applyFont="1" applyBorder="1"/>
    <xf numFmtId="165" fontId="98" fillId="0" borderId="43" xfId="134" applyNumberFormat="1" applyFont="1" applyBorder="1"/>
    <xf numFmtId="0" fontId="129" fillId="0" borderId="0" xfId="666" applyFont="1"/>
    <xf numFmtId="0" fontId="102" fillId="0" borderId="0" xfId="0" applyFont="1" applyFill="1" applyBorder="1"/>
    <xf numFmtId="43" fontId="98" fillId="0" borderId="0" xfId="134" applyFont="1"/>
    <xf numFmtId="0" fontId="0" fillId="0" borderId="0" xfId="0" applyAlignment="1">
      <alignment horizontal="left"/>
    </xf>
    <xf numFmtId="1" fontId="123" fillId="49" borderId="0" xfId="666" applyNumberFormat="1" applyFont="1" applyFill="1" applyAlignment="1">
      <alignment horizontal="center"/>
    </xf>
    <xf numFmtId="1" fontId="123" fillId="53" borderId="0" xfId="666" applyNumberFormat="1" applyFont="1" applyFill="1" applyAlignment="1">
      <alignment horizontal="center"/>
    </xf>
    <xf numFmtId="0" fontId="123" fillId="54" borderId="0" xfId="666" applyFont="1" applyFill="1" applyAlignment="1">
      <alignment horizontal="center"/>
    </xf>
    <xf numFmtId="2" fontId="98" fillId="0" borderId="0" xfId="666" applyNumberFormat="1" applyFont="1"/>
    <xf numFmtId="0" fontId="127" fillId="0" borderId="0" xfId="666" applyFont="1"/>
    <xf numFmtId="0" fontId="80" fillId="0" borderId="0" xfId="759" applyFont="1" applyAlignment="1">
      <alignment horizontal="right"/>
    </xf>
    <xf numFmtId="165" fontId="98" fillId="0" borderId="7" xfId="1" applyNumberFormat="1" applyFont="1" applyBorder="1"/>
    <xf numFmtId="0" fontId="100" fillId="52" borderId="0" xfId="0" applyFont="1" applyFill="1" applyAlignment="1">
      <alignment horizontal="center" wrapText="1"/>
    </xf>
    <xf numFmtId="165" fontId="123" fillId="3" borderId="0" xfId="1" applyNumberFormat="1" applyFont="1" applyFill="1" applyAlignment="1">
      <alignment horizontal="center" wrapText="1"/>
    </xf>
    <xf numFmtId="165" fontId="0" fillId="0" borderId="29" xfId="1" applyNumberFormat="1" applyFont="1" applyFill="1" applyBorder="1"/>
    <xf numFmtId="0" fontId="86" fillId="0" borderId="0" xfId="0" applyFont="1" applyAlignment="1">
      <alignment horizontal="right"/>
    </xf>
    <xf numFmtId="165" fontId="0" fillId="0" borderId="12" xfId="134" applyNumberFormat="1" applyFont="1" applyBorder="1"/>
    <xf numFmtId="165" fontId="98" fillId="0" borderId="0" xfId="666" applyNumberFormat="1" applyFont="1"/>
    <xf numFmtId="165" fontId="98" fillId="0" borderId="0" xfId="134" applyNumberFormat="1" applyFont="1" applyBorder="1"/>
    <xf numFmtId="165" fontId="101" fillId="0" borderId="0" xfId="0" applyNumberFormat="1" applyFont="1" applyBorder="1"/>
    <xf numFmtId="43" fontId="98" fillId="0" borderId="0" xfId="666" applyNumberFormat="1" applyFont="1" applyBorder="1"/>
    <xf numFmtId="165" fontId="101" fillId="0" borderId="7" xfId="1" applyNumberFormat="1" applyFont="1" applyBorder="1"/>
    <xf numFmtId="165" fontId="98" fillId="0" borderId="7" xfId="1" applyNumberFormat="1" applyFont="1" applyFill="1" applyBorder="1"/>
    <xf numFmtId="165" fontId="98" fillId="0" borderId="0" xfId="1" applyNumberFormat="1" applyFont="1"/>
    <xf numFmtId="165" fontId="98" fillId="0" borderId="0" xfId="1" applyNumberFormat="1" applyFont="1" applyFill="1"/>
    <xf numFmtId="165" fontId="101" fillId="0" borderId="0" xfId="1" applyNumberFormat="1" applyFont="1"/>
    <xf numFmtId="165" fontId="98" fillId="3" borderId="0" xfId="1" applyNumberFormat="1" applyFont="1" applyFill="1"/>
    <xf numFmtId="165" fontId="100" fillId="52" borderId="0" xfId="1" applyNumberFormat="1" applyFont="1" applyFill="1" applyAlignment="1">
      <alignment horizontal="center" wrapText="1"/>
    </xf>
    <xf numFmtId="0" fontId="156" fillId="45" borderId="0" xfId="759" applyFill="1"/>
    <xf numFmtId="4" fontId="98" fillId="0" borderId="0" xfId="666" applyNumberFormat="1" applyFont="1" applyFill="1"/>
    <xf numFmtId="0" fontId="156" fillId="0" borderId="0" xfId="759" applyAlignment="1">
      <alignment horizontal="left"/>
    </xf>
    <xf numFmtId="0" fontId="156" fillId="45" borderId="29" xfId="759" applyFill="1" applyBorder="1" applyAlignment="1">
      <alignment horizontal="center" vertical="top"/>
    </xf>
    <xf numFmtId="0" fontId="106" fillId="3" borderId="0" xfId="666" applyFont="1" applyFill="1"/>
    <xf numFmtId="43" fontId="156" fillId="0" borderId="0" xfId="759" applyNumberFormat="1"/>
    <xf numFmtId="0" fontId="156" fillId="0" borderId="0" xfId="759" applyBorder="1"/>
    <xf numFmtId="183" fontId="156" fillId="0" borderId="0" xfId="759" applyNumberFormat="1"/>
    <xf numFmtId="40" fontId="80" fillId="0" borderId="0" xfId="759" applyNumberFormat="1" applyFont="1"/>
    <xf numFmtId="0" fontId="156" fillId="0" borderId="0" xfId="759" applyAlignment="1">
      <alignment vertical="top"/>
    </xf>
    <xf numFmtId="0" fontId="80" fillId="45" borderId="29" xfId="759" applyFont="1" applyFill="1" applyBorder="1" applyAlignment="1">
      <alignment horizontal="center" vertical="top" wrapText="1"/>
    </xf>
    <xf numFmtId="0" fontId="80" fillId="0" borderId="0" xfId="759" applyFont="1"/>
    <xf numFmtId="0" fontId="145" fillId="0" borderId="0" xfId="759" applyFont="1" applyAlignment="1">
      <alignment horizontal="right" vertical="top"/>
    </xf>
    <xf numFmtId="0" fontId="156" fillId="85" borderId="0" xfId="759" applyFill="1"/>
    <xf numFmtId="165" fontId="98" fillId="0" borderId="0" xfId="1" applyNumberFormat="1" applyFont="1" applyBorder="1"/>
    <xf numFmtId="165" fontId="123" fillId="0" borderId="7" xfId="1" applyNumberFormat="1" applyFont="1" applyBorder="1"/>
    <xf numFmtId="0" fontId="80" fillId="0" borderId="0" xfId="4" applyFont="1" applyFill="1" applyBorder="1" applyAlignment="1"/>
    <xf numFmtId="0" fontId="156" fillId="0" borderId="0" xfId="759" applyAlignment="1">
      <alignment horizontal="center"/>
    </xf>
    <xf numFmtId="0" fontId="156" fillId="45" borderId="29" xfId="759" applyFill="1" applyBorder="1" applyAlignment="1">
      <alignment horizontal="left" vertical="top" wrapText="1"/>
    </xf>
    <xf numFmtId="0" fontId="3" fillId="47" borderId="7" xfId="759" applyFont="1" applyFill="1" applyBorder="1" applyAlignment="1">
      <alignment horizontal="centerContinuous"/>
    </xf>
    <xf numFmtId="0" fontId="156" fillId="0" borderId="0" xfId="759" applyNumberFormat="1" applyAlignment="1">
      <alignment horizontal="left"/>
    </xf>
    <xf numFmtId="0" fontId="156" fillId="0" borderId="0" xfId="759" applyAlignment="1">
      <alignment horizontal="left" indent="1"/>
    </xf>
    <xf numFmtId="49" fontId="147" fillId="0" borderId="0" xfId="759" applyNumberFormat="1" applyFont="1" applyAlignment="1">
      <alignment horizontal="left"/>
    </xf>
    <xf numFmtId="0" fontId="3" fillId="0" borderId="0" xfId="759" applyFont="1" applyAlignment="1">
      <alignment horizontal="right"/>
    </xf>
    <xf numFmtId="0" fontId="144" fillId="0" borderId="0" xfId="759" applyFont="1"/>
    <xf numFmtId="164" fontId="155" fillId="87" borderId="0" xfId="2" applyNumberFormat="1" applyFont="1" applyFill="1" applyAlignment="1">
      <alignment vertical="center"/>
    </xf>
    <xf numFmtId="0" fontId="0" fillId="0" borderId="0" xfId="0" applyBorder="1"/>
    <xf numFmtId="0" fontId="147" fillId="0" borderId="0" xfId="759" applyFont="1"/>
    <xf numFmtId="0" fontId="156" fillId="0" borderId="41" xfId="759" applyBorder="1" applyAlignment="1">
      <alignment horizontal="right"/>
    </xf>
    <xf numFmtId="165" fontId="101" fillId="0" borderId="41" xfId="1" applyNumberFormat="1" applyFont="1" applyBorder="1"/>
    <xf numFmtId="165" fontId="123" fillId="0" borderId="7" xfId="1" applyNumberFormat="1" applyFont="1" applyFill="1" applyBorder="1"/>
    <xf numFmtId="0" fontId="98" fillId="3" borderId="0" xfId="666" applyFont="1" applyFill="1"/>
    <xf numFmtId="0" fontId="123" fillId="3" borderId="0" xfId="666" applyFont="1" applyFill="1" applyAlignment="1">
      <alignment horizontal="center" wrapText="1"/>
    </xf>
    <xf numFmtId="0" fontId="25" fillId="25" borderId="0" xfId="103" applyFont="1"/>
    <xf numFmtId="0" fontId="86" fillId="0" borderId="12" xfId="0" applyFont="1" applyBorder="1" applyAlignment="1">
      <alignment horizontal="center" wrapText="1"/>
    </xf>
    <xf numFmtId="0" fontId="86" fillId="0" borderId="12" xfId="0" applyFont="1" applyFill="1" applyBorder="1" applyAlignment="1">
      <alignment horizontal="center" wrapText="1"/>
    </xf>
    <xf numFmtId="1" fontId="104" fillId="0" borderId="0" xfId="4" applyNumberFormat="1" applyFont="1" applyFill="1" applyBorder="1" applyAlignment="1">
      <alignment horizontal="right"/>
    </xf>
    <xf numFmtId="0" fontId="105" fillId="0" borderId="0" xfId="4" applyFont="1" applyBorder="1" applyAlignment="1">
      <alignment horizontal="right"/>
    </xf>
    <xf numFmtId="44" fontId="0" fillId="0" borderId="0" xfId="0" applyNumberFormat="1"/>
    <xf numFmtId="44" fontId="0" fillId="0" borderId="0" xfId="2" applyFont="1"/>
    <xf numFmtId="168" fontId="0" fillId="0" borderId="0" xfId="3" applyNumberFormat="1" applyFont="1"/>
    <xf numFmtId="0" fontId="104" fillId="0" borderId="0" xfId="4" applyFont="1" applyBorder="1" applyAlignment="1">
      <alignment horizontal="right"/>
    </xf>
    <xf numFmtId="0" fontId="0" fillId="0" borderId="12" xfId="0" applyBorder="1"/>
    <xf numFmtId="44" fontId="0" fillId="0" borderId="12" xfId="0" applyNumberFormat="1" applyBorder="1"/>
    <xf numFmtId="44" fontId="86" fillId="0" borderId="0" xfId="0" applyNumberFormat="1" applyFont="1"/>
    <xf numFmtId="1" fontId="0" fillId="0" borderId="0" xfId="0" applyNumberFormat="1"/>
    <xf numFmtId="0" fontId="95" fillId="0" borderId="0" xfId="0" applyFont="1" applyFill="1"/>
    <xf numFmtId="0" fontId="0" fillId="0" borderId="0" xfId="0" applyFill="1"/>
    <xf numFmtId="44" fontId="0" fillId="0" borderId="0" xfId="2" applyFont="1" applyFill="1"/>
    <xf numFmtId="164" fontId="0" fillId="0" borderId="0" xfId="0" applyNumberFormat="1"/>
    <xf numFmtId="44" fontId="0" fillId="0" borderId="0" xfId="0" applyNumberFormat="1" applyFill="1"/>
    <xf numFmtId="164" fontId="0" fillId="0" borderId="0" xfId="2" applyNumberFormat="1" applyFont="1"/>
    <xf numFmtId="164" fontId="86" fillId="0" borderId="0" xfId="0" applyNumberFormat="1" applyFont="1"/>
    <xf numFmtId="0" fontId="93" fillId="0" borderId="0" xfId="0" applyFont="1" applyAlignment="1">
      <alignment horizontal="left"/>
    </xf>
    <xf numFmtId="0" fontId="86" fillId="0" borderId="12" xfId="0" applyFont="1" applyBorder="1" applyAlignment="1">
      <alignment horizontal="center"/>
    </xf>
    <xf numFmtId="43" fontId="0" fillId="0" borderId="0" xfId="1" quotePrefix="1" applyFont="1" applyBorder="1"/>
    <xf numFmtId="164" fontId="86" fillId="0" borderId="0" xfId="2" applyNumberFormat="1" applyFont="1"/>
    <xf numFmtId="177" fontId="0" fillId="0" borderId="12" xfId="3" applyNumberFormat="1" applyFont="1" applyBorder="1"/>
    <xf numFmtId="0" fontId="0" fillId="0" borderId="0" xfId="0" quotePrefix="1"/>
    <xf numFmtId="0" fontId="105" fillId="0" borderId="0" xfId="4" applyFont="1" applyBorder="1"/>
    <xf numFmtId="3" fontId="105" fillId="0" borderId="0" xfId="667" applyNumberFormat="1" applyFont="1" applyFill="1" applyBorder="1" applyAlignment="1">
      <alignment horizontal="center"/>
    </xf>
    <xf numFmtId="3" fontId="108" fillId="0" borderId="0" xfId="667" applyNumberFormat="1" applyFont="1" applyBorder="1"/>
    <xf numFmtId="0" fontId="105" fillId="0" borderId="0" xfId="4" applyFont="1" applyFill="1" applyBorder="1"/>
    <xf numFmtId="0" fontId="108" fillId="0" borderId="0" xfId="667" applyFont="1" applyBorder="1"/>
    <xf numFmtId="3" fontId="108" fillId="0" borderId="0" xfId="667" applyNumberFormat="1" applyFont="1" applyFill="1" applyBorder="1"/>
    <xf numFmtId="0" fontId="104" fillId="0" borderId="0" xfId="4" applyFont="1" applyBorder="1"/>
    <xf numFmtId="3" fontId="104" fillId="0" borderId="0" xfId="4" applyNumberFormat="1" applyFont="1" applyBorder="1"/>
    <xf numFmtId="3" fontId="105" fillId="0" borderId="0" xfId="139" applyNumberFormat="1" applyFont="1" applyBorder="1"/>
    <xf numFmtId="3" fontId="104" fillId="0" borderId="0" xfId="139" applyNumberFormat="1" applyFont="1" applyBorder="1"/>
    <xf numFmtId="37" fontId="105" fillId="0" borderId="0" xfId="139" applyNumberFormat="1" applyFont="1" applyBorder="1"/>
    <xf numFmtId="3" fontId="109" fillId="0" borderId="0" xfId="4" applyNumberFormat="1" applyFont="1" applyBorder="1"/>
    <xf numFmtId="0" fontId="105" fillId="0" borderId="0" xfId="667" applyFont="1" applyBorder="1"/>
    <xf numFmtId="3" fontId="105" fillId="0" borderId="0" xfId="667" quotePrefix="1" applyNumberFormat="1" applyFont="1" applyBorder="1"/>
    <xf numFmtId="165" fontId="0" fillId="0" borderId="0" xfId="1" applyNumberFormat="1" applyFont="1" applyFill="1"/>
    <xf numFmtId="0" fontId="0" fillId="0" borderId="12" xfId="0" applyFill="1" applyBorder="1"/>
    <xf numFmtId="165" fontId="0" fillId="0" borderId="12" xfId="1" applyNumberFormat="1" applyFont="1" applyFill="1" applyBorder="1"/>
    <xf numFmtId="44" fontId="0" fillId="0" borderId="12" xfId="2" applyFont="1" applyFill="1" applyBorder="1"/>
    <xf numFmtId="0" fontId="86" fillId="0" borderId="0" xfId="0" applyFont="1" applyBorder="1" applyAlignment="1">
      <alignment horizontal="center"/>
    </xf>
    <xf numFmtId="0" fontId="98" fillId="3" borderId="0" xfId="666" applyFont="1" applyFill="1"/>
    <xf numFmtId="0" fontId="123" fillId="3" borderId="0" xfId="666" applyFont="1" applyFill="1" applyAlignment="1">
      <alignment horizontal="center" wrapText="1"/>
    </xf>
    <xf numFmtId="4" fontId="101" fillId="0" borderId="0" xfId="0" applyNumberFormat="1" applyFont="1"/>
    <xf numFmtId="0" fontId="0" fillId="0" borderId="0" xfId="0"/>
    <xf numFmtId="0" fontId="80" fillId="85" borderId="12" xfId="759" applyFont="1" applyFill="1" applyBorder="1" applyAlignment="1">
      <alignment horizontal="centerContinuous"/>
    </xf>
    <xf numFmtId="0" fontId="156" fillId="47" borderId="12" xfId="759" applyFill="1" applyBorder="1" applyAlignment="1">
      <alignment horizontal="centerContinuous"/>
    </xf>
    <xf numFmtId="165" fontId="100" fillId="0" borderId="7" xfId="1" applyNumberFormat="1" applyFont="1" applyBorder="1"/>
    <xf numFmtId="44" fontId="123" fillId="0" borderId="7" xfId="1" applyNumberFormat="1" applyFont="1" applyBorder="1"/>
    <xf numFmtId="0" fontId="148" fillId="45" borderId="29" xfId="759" applyFont="1" applyFill="1" applyBorder="1" applyAlignment="1">
      <alignment vertical="top"/>
    </xf>
    <xf numFmtId="0" fontId="95" fillId="0" borderId="0" xfId="0" applyFont="1"/>
    <xf numFmtId="0" fontId="3" fillId="0" borderId="0" xfId="759" applyFont="1"/>
    <xf numFmtId="40" fontId="80" fillId="0" borderId="0" xfId="759" applyNumberFormat="1" applyFont="1" applyAlignment="1">
      <alignment horizontal="center"/>
    </xf>
    <xf numFmtId="0" fontId="3" fillId="45" borderId="54" xfId="759" applyFont="1" applyFill="1" applyBorder="1" applyAlignment="1">
      <alignment horizontal="center" vertical="top"/>
    </xf>
    <xf numFmtId="165" fontId="0" fillId="0" borderId="0" xfId="134" applyNumberFormat="1" applyFont="1" applyFill="1"/>
    <xf numFmtId="165" fontId="0" fillId="0" borderId="0" xfId="3" applyNumberFormat="1" applyFont="1"/>
    <xf numFmtId="0" fontId="95" fillId="0" borderId="0" xfId="0" applyFont="1" applyAlignment="1">
      <alignment horizontal="center"/>
    </xf>
    <xf numFmtId="165" fontId="101" fillId="0" borderId="0" xfId="1" applyNumberFormat="1" applyFont="1" applyBorder="1"/>
    <xf numFmtId="0" fontId="146" fillId="0" borderId="0" xfId="759" applyFont="1"/>
    <xf numFmtId="0" fontId="143" fillId="0" borderId="0" xfId="759" applyFont="1"/>
    <xf numFmtId="0" fontId="156" fillId="0" borderId="0" xfId="759" applyAlignment="1"/>
    <xf numFmtId="0" fontId="80" fillId="47" borderId="12" xfId="759" applyFont="1" applyFill="1" applyBorder="1" applyAlignment="1">
      <alignment horizontal="centerContinuous"/>
    </xf>
    <xf numFmtId="0" fontId="80" fillId="45" borderId="0" xfId="759" applyFont="1" applyFill="1"/>
    <xf numFmtId="0" fontId="147" fillId="0" borderId="0" xfId="759" applyFont="1" applyAlignment="1">
      <alignment horizontal="left"/>
    </xf>
    <xf numFmtId="0" fontId="3" fillId="47" borderId="53" xfId="759" applyFont="1" applyFill="1" applyBorder="1" applyAlignment="1">
      <alignment horizontal="centerContinuous"/>
    </xf>
    <xf numFmtId="0" fontId="3" fillId="47" borderId="6" xfId="759" applyFont="1" applyFill="1" applyBorder="1" applyAlignment="1">
      <alignment horizontal="centerContinuous"/>
    </xf>
    <xf numFmtId="0" fontId="156" fillId="45" borderId="29" xfId="759" applyFill="1" applyBorder="1" applyAlignment="1">
      <alignment vertical="top"/>
    </xf>
    <xf numFmtId="183" fontId="156" fillId="45" borderId="29" xfId="759" applyNumberFormat="1" applyFill="1" applyBorder="1" applyAlignment="1">
      <alignment vertical="top"/>
    </xf>
    <xf numFmtId="165" fontId="0" fillId="0" borderId="41" xfId="134" applyNumberFormat="1" applyFont="1" applyBorder="1"/>
    <xf numFmtId="0" fontId="0" fillId="0" borderId="0" xfId="0" applyAlignment="1">
      <alignment horizontal="right"/>
    </xf>
    <xf numFmtId="165" fontId="0" fillId="0" borderId="0" xfId="134" applyNumberFormat="1" applyFont="1" applyBorder="1"/>
    <xf numFmtId="1" fontId="0" fillId="0" borderId="0" xfId="0" applyNumberFormat="1" applyAlignment="1">
      <alignment horizontal="right"/>
    </xf>
    <xf numFmtId="0" fontId="80" fillId="0" borderId="0" xfId="4" applyFont="1" applyFill="1" applyBorder="1"/>
    <xf numFmtId="4" fontId="101" fillId="0" borderId="0" xfId="0" applyNumberFormat="1" applyFont="1" applyFill="1"/>
    <xf numFmtId="44" fontId="123" fillId="0" borderId="7" xfId="1" applyNumberFormat="1" applyFont="1" applyFill="1" applyBorder="1"/>
    <xf numFmtId="0" fontId="156" fillId="0" borderId="0" xfId="759" applyAlignment="1">
      <alignment horizontal="right"/>
    </xf>
    <xf numFmtId="1" fontId="80" fillId="0" borderId="0" xfId="4" applyNumberFormat="1" applyFont="1" applyFill="1" applyBorder="1" applyAlignment="1">
      <alignment horizontal="left"/>
    </xf>
    <xf numFmtId="14" fontId="156" fillId="0" borderId="0" xfId="759" applyNumberFormat="1"/>
    <xf numFmtId="0" fontId="156" fillId="0" borderId="41" xfId="759" applyBorder="1"/>
    <xf numFmtId="0" fontId="156" fillId="0" borderId="0" xfId="759" pivotButton="1"/>
    <xf numFmtId="0" fontId="156" fillId="0" borderId="0" xfId="759"/>
    <xf numFmtId="44" fontId="100" fillId="0" borderId="7" xfId="1" applyNumberFormat="1" applyFont="1" applyBorder="1"/>
    <xf numFmtId="165" fontId="98" fillId="0" borderId="0" xfId="1" applyNumberFormat="1" applyFont="1" applyFill="1" applyBorder="1"/>
    <xf numFmtId="4" fontId="98" fillId="0" borderId="0" xfId="666" applyNumberFormat="1" applyFont="1"/>
    <xf numFmtId="0" fontId="0" fillId="0" borderId="0" xfId="0" applyFill="1"/>
    <xf numFmtId="0" fontId="101" fillId="0" borderId="0" xfId="0" applyFont="1"/>
    <xf numFmtId="0" fontId="101" fillId="0" borderId="0" xfId="0" applyFont="1" applyBorder="1"/>
    <xf numFmtId="39" fontId="147" fillId="0" borderId="0" xfId="134" applyNumberFormat="1" applyFont="1" applyAlignment="1">
      <alignment horizontal="left"/>
    </xf>
    <xf numFmtId="40" fontId="80" fillId="45" borderId="0" xfId="134" applyNumberFormat="1" applyFont="1" applyFill="1"/>
    <xf numFmtId="38" fontId="80" fillId="45" borderId="0" xfId="134" applyNumberFormat="1" applyFont="1" applyFill="1"/>
    <xf numFmtId="40" fontId="3" fillId="0" borderId="0" xfId="134" applyNumberFormat="1"/>
    <xf numFmtId="40" fontId="3" fillId="0" borderId="41" xfId="134" applyNumberFormat="1" applyBorder="1"/>
    <xf numFmtId="0" fontId="86" fillId="3" borderId="0" xfId="0" applyFont="1" applyFill="1"/>
    <xf numFmtId="0" fontId="0" fillId="0" borderId="0" xfId="0" pivotButton="1"/>
    <xf numFmtId="0" fontId="0" fillId="0" borderId="0" xfId="0" applyAlignment="1">
      <alignment horizontal="left"/>
    </xf>
    <xf numFmtId="43" fontId="0" fillId="0" borderId="0" xfId="0" applyNumberFormat="1"/>
    <xf numFmtId="9" fontId="0" fillId="0" borderId="0" xfId="3" applyFont="1"/>
    <xf numFmtId="165" fontId="0" fillId="0" borderId="0" xfId="0" applyNumberFormat="1" applyFill="1"/>
    <xf numFmtId="0" fontId="93" fillId="0" borderId="0" xfId="0" applyFont="1" applyAlignment="1">
      <alignment horizontal="right"/>
    </xf>
    <xf numFmtId="0" fontId="0" fillId="87" borderId="57" xfId="0" applyFill="1" applyBorder="1"/>
    <xf numFmtId="9" fontId="0" fillId="87" borderId="0" xfId="3" applyFont="1" applyFill="1" applyBorder="1"/>
    <xf numFmtId="0" fontId="0" fillId="0" borderId="0" xfId="0"/>
    <xf numFmtId="165" fontId="104" fillId="0" borderId="0" xfId="1" applyNumberFormat="1" applyFont="1" applyFill="1"/>
    <xf numFmtId="0" fontId="1" fillId="0" borderId="0" xfId="0" applyFont="1"/>
    <xf numFmtId="0" fontId="86" fillId="0" borderId="0" xfId="0" applyFont="1"/>
    <xf numFmtId="9" fontId="0" fillId="0" borderId="0" xfId="3" applyFont="1"/>
    <xf numFmtId="0" fontId="0" fillId="0" borderId="0" xfId="0" applyFill="1"/>
    <xf numFmtId="0" fontId="0" fillId="3" borderId="0" xfId="0" applyFill="1"/>
    <xf numFmtId="0" fontId="0" fillId="3" borderId="0" xfId="0" applyFill="1" applyAlignment="1">
      <alignment horizontal="right"/>
    </xf>
    <xf numFmtId="0" fontId="93" fillId="0" borderId="0" xfId="0" applyFont="1" applyAlignment="1">
      <alignment horizontal="center"/>
    </xf>
    <xf numFmtId="43" fontId="0" fillId="0" borderId="0" xfId="1" applyFont="1"/>
    <xf numFmtId="0" fontId="155" fillId="0" borderId="0" xfId="0" applyFont="1" applyBorder="1" applyAlignment="1">
      <alignment vertical="center"/>
    </xf>
    <xf numFmtId="164" fontId="155" fillId="0" borderId="29" xfId="2" applyNumberFormat="1" applyFont="1" applyBorder="1" applyAlignment="1">
      <alignment vertical="center"/>
    </xf>
    <xf numFmtId="164" fontId="155" fillId="0" borderId="0" xfId="2" applyNumberFormat="1" applyFont="1" applyAlignment="1">
      <alignment vertical="center"/>
    </xf>
    <xf numFmtId="0" fontId="86" fillId="86" borderId="12" xfId="0" applyFont="1" applyFill="1" applyBorder="1" applyAlignment="1">
      <alignment horizontal="center"/>
    </xf>
    <xf numFmtId="0" fontId="86" fillId="86" borderId="6" xfId="0" applyFont="1" applyFill="1" applyBorder="1" applyAlignment="1">
      <alignment horizontal="center"/>
    </xf>
    <xf numFmtId="0" fontId="86" fillId="86" borderId="7" xfId="0" applyFont="1" applyFill="1" applyBorder="1" applyAlignment="1">
      <alignment horizontal="center"/>
    </xf>
    <xf numFmtId="0" fontId="86" fillId="3" borderId="0" xfId="0" applyFont="1" applyFill="1"/>
    <xf numFmtId="0" fontId="0" fillId="3" borderId="0" xfId="0" applyFill="1" applyBorder="1"/>
    <xf numFmtId="0" fontId="86" fillId="3" borderId="0" xfId="0" applyFont="1" applyFill="1" applyAlignment="1">
      <alignment horizontal="center"/>
    </xf>
    <xf numFmtId="0" fontId="0" fillId="3" borderId="12" xfId="0" applyFill="1" applyBorder="1" applyAlignment="1">
      <alignment horizontal="center"/>
    </xf>
    <xf numFmtId="0" fontId="0" fillId="3" borderId="0" xfId="0" applyFill="1" applyAlignment="1">
      <alignment horizontal="center"/>
    </xf>
    <xf numFmtId="0" fontId="0" fillId="3" borderId="55" xfId="0" applyFill="1" applyBorder="1"/>
    <xf numFmtId="9" fontId="0" fillId="3" borderId="41" xfId="3" applyFont="1" applyFill="1" applyBorder="1"/>
    <xf numFmtId="0" fontId="0" fillId="3" borderId="57" xfId="0" applyFill="1" applyBorder="1"/>
    <xf numFmtId="9" fontId="0" fillId="3" borderId="0" xfId="3" applyFont="1" applyFill="1" applyBorder="1"/>
    <xf numFmtId="0" fontId="0" fillId="3" borderId="56" xfId="0" applyFill="1" applyBorder="1"/>
    <xf numFmtId="9" fontId="0" fillId="3" borderId="12" xfId="3" applyFont="1" applyFill="1" applyBorder="1"/>
    <xf numFmtId="164" fontId="86" fillId="3" borderId="29" xfId="2" applyNumberFormat="1" applyFont="1" applyFill="1" applyBorder="1"/>
    <xf numFmtId="9" fontId="86" fillId="3" borderId="29" xfId="3" applyFont="1" applyFill="1" applyBorder="1"/>
    <xf numFmtId="44" fontId="0" fillId="3" borderId="0" xfId="2" applyFont="1" applyFill="1"/>
    <xf numFmtId="10" fontId="86" fillId="0" borderId="0" xfId="3" applyNumberFormat="1" applyFont="1"/>
    <xf numFmtId="0" fontId="0" fillId="0" borderId="0" xfId="0" applyAlignment="1">
      <alignment horizontal="left"/>
    </xf>
    <xf numFmtId="43" fontId="0" fillId="0" borderId="0" xfId="0" applyNumberFormat="1"/>
    <xf numFmtId="165" fontId="86" fillId="0" borderId="29" xfId="1" applyNumberFormat="1" applyFont="1" applyFill="1" applyBorder="1"/>
    <xf numFmtId="0" fontId="86" fillId="0" borderId="0" xfId="0" applyFont="1" applyFill="1"/>
    <xf numFmtId="164" fontId="5" fillId="0" borderId="0" xfId="2" applyNumberFormat="1" applyFont="1" applyFill="1" applyBorder="1"/>
    <xf numFmtId="9" fontId="81" fillId="0" borderId="0" xfId="7" quotePrefix="1" applyNumberFormat="1" applyFont="1" applyAlignment="1">
      <alignment horizontal="right"/>
    </xf>
    <xf numFmtId="177" fontId="81" fillId="0" borderId="0" xfId="7" applyNumberFormat="1" applyFont="1" applyFill="1" applyAlignment="1">
      <alignment horizontal="center"/>
    </xf>
    <xf numFmtId="10" fontId="100" fillId="52" borderId="0" xfId="3" applyNumberFormat="1" applyFont="1" applyFill="1" applyAlignment="1">
      <alignment horizontal="center" wrapText="1"/>
    </xf>
    <xf numFmtId="165" fontId="3" fillId="0" borderId="0" xfId="173" applyNumberFormat="1" applyFont="1" applyFill="1" applyAlignment="1">
      <alignment horizontal="right"/>
    </xf>
    <xf numFmtId="164" fontId="0" fillId="0" borderId="0" xfId="2" applyNumberFormat="1" applyFont="1" applyFill="1"/>
    <xf numFmtId="0" fontId="0" fillId="0" borderId="0" xfId="0"/>
    <xf numFmtId="165" fontId="5" fillId="0" borderId="0" xfId="1" applyNumberFormat="1" applyFont="1" applyFill="1" applyBorder="1"/>
    <xf numFmtId="37" fontId="3" fillId="0" borderId="0" xfId="627" applyFont="1" applyFill="1"/>
    <xf numFmtId="14" fontId="3" fillId="0" borderId="0" xfId="627" applyNumberFormat="1" applyFont="1" applyFill="1"/>
    <xf numFmtId="0" fontId="29" fillId="0" borderId="0" xfId="7" applyFont="1" applyAlignment="1">
      <alignment horizontal="left"/>
    </xf>
    <xf numFmtId="0" fontId="29" fillId="0" borderId="0" xfId="7" quotePrefix="1" applyFont="1" applyAlignment="1">
      <alignment horizontal="left"/>
    </xf>
    <xf numFmtId="0" fontId="29" fillId="0" borderId="0" xfId="7" applyFont="1"/>
    <xf numFmtId="165" fontId="29" fillId="0" borderId="0" xfId="173" applyNumberFormat="1" applyFont="1"/>
    <xf numFmtId="165" fontId="3" fillId="46" borderId="0" xfId="173" applyNumberFormat="1" applyFont="1" applyFill="1" applyBorder="1"/>
    <xf numFmtId="171" fontId="73" fillId="0" borderId="0" xfId="567" applyNumberFormat="1" applyFont="1" applyFill="1" applyBorder="1"/>
    <xf numFmtId="165" fontId="3" fillId="0" borderId="0" xfId="173" applyNumberFormat="1" applyFont="1" applyBorder="1"/>
    <xf numFmtId="0" fontId="3" fillId="0" borderId="0" xfId="379"/>
    <xf numFmtId="0" fontId="74" fillId="0" borderId="0" xfId="7" applyNumberFormat="1" applyFont="1"/>
    <xf numFmtId="0" fontId="75" fillId="0" borderId="0" xfId="7" applyNumberFormat="1" applyFont="1" applyAlignment="1">
      <alignment horizontal="right"/>
    </xf>
    <xf numFmtId="49" fontId="76" fillId="0" borderId="0" xfId="7" applyNumberFormat="1" applyFont="1" applyAlignment="1">
      <alignment horizontal="right"/>
    </xf>
    <xf numFmtId="0" fontId="76" fillId="0" borderId="0" xfId="7" applyNumberFormat="1" applyFont="1" applyAlignment="1">
      <alignment horizontal="left"/>
    </xf>
    <xf numFmtId="0" fontId="77" fillId="0" borderId="0" xfId="7" applyNumberFormat="1" applyFont="1"/>
    <xf numFmtId="49" fontId="76" fillId="0" borderId="0" xfId="7" applyNumberFormat="1" applyFont="1" applyAlignment="1">
      <alignment horizontal="left"/>
    </xf>
    <xf numFmtId="0" fontId="29" fillId="0" borderId="0" xfId="7" applyNumberFormat="1" applyFont="1"/>
    <xf numFmtId="17" fontId="80" fillId="0" borderId="29" xfId="173" applyNumberFormat="1" applyFont="1" applyFill="1" applyBorder="1" applyAlignment="1">
      <alignment horizontal="centerContinuous"/>
    </xf>
    <xf numFmtId="0" fontId="80" fillId="0" borderId="0" xfId="7" applyFont="1" applyBorder="1"/>
    <xf numFmtId="0" fontId="80" fillId="0" borderId="0" xfId="7" applyFont="1"/>
    <xf numFmtId="17" fontId="80" fillId="0" borderId="29" xfId="173" applyNumberFormat="1" applyFont="1" applyBorder="1" applyAlignment="1">
      <alignment horizontal="centerContinuous"/>
    </xf>
    <xf numFmtId="17" fontId="4" fillId="0" borderId="29" xfId="173" applyNumberFormat="1" applyFont="1" applyFill="1" applyBorder="1" applyAlignment="1">
      <alignment horizontal="centerContinuous"/>
    </xf>
    <xf numFmtId="165" fontId="82" fillId="0" borderId="0" xfId="173" applyNumberFormat="1" applyFont="1"/>
    <xf numFmtId="165" fontId="29" fillId="45" borderId="0" xfId="6" applyNumberFormat="1" applyFont="1" applyFill="1" applyBorder="1"/>
    <xf numFmtId="165" fontId="74" fillId="0" borderId="0" xfId="6" applyNumberFormat="1" applyFont="1"/>
    <xf numFmtId="165" fontId="29" fillId="0" borderId="0" xfId="6" applyNumberFormat="1" applyFont="1"/>
    <xf numFmtId="165" fontId="29" fillId="0" borderId="12" xfId="6" applyNumberFormat="1" applyFont="1" applyBorder="1"/>
    <xf numFmtId="0" fontId="81" fillId="0" borderId="0" xfId="7" applyFont="1" applyAlignment="1">
      <alignment horizontal="left"/>
    </xf>
    <xf numFmtId="165" fontId="3" fillId="0" borderId="0" xfId="173" applyNumberFormat="1" applyFont="1" applyFill="1"/>
    <xf numFmtId="165" fontId="85" fillId="0" borderId="0" xfId="173" applyNumberFormat="1" applyFont="1" applyFill="1"/>
    <xf numFmtId="0" fontId="123" fillId="0" borderId="0" xfId="666" applyFont="1" applyFill="1" applyAlignment="1">
      <alignment horizontal="left"/>
    </xf>
    <xf numFmtId="44" fontId="0" fillId="0" borderId="0" xfId="0" applyNumberFormat="1"/>
    <xf numFmtId="10" fontId="0" fillId="0" borderId="12" xfId="0" applyNumberFormat="1" applyFill="1" applyBorder="1"/>
    <xf numFmtId="1" fontId="104" fillId="0" borderId="0" xfId="4" applyNumberFormat="1" applyFont="1" applyFill="1" applyBorder="1" applyAlignment="1">
      <alignment horizontal="right"/>
    </xf>
    <xf numFmtId="0" fontId="104" fillId="0" borderId="0" xfId="4" applyFont="1" applyBorder="1" applyAlignment="1">
      <alignment horizontal="right"/>
    </xf>
    <xf numFmtId="0" fontId="87" fillId="0" borderId="0" xfId="0" applyFont="1"/>
    <xf numFmtId="0" fontId="88" fillId="0" borderId="0" xfId="0" applyFont="1"/>
    <xf numFmtId="0" fontId="87" fillId="0" borderId="0" xfId="0" applyFont="1" applyAlignment="1"/>
    <xf numFmtId="0" fontId="87" fillId="0" borderId="0" xfId="0" applyFont="1" applyAlignment="1">
      <alignment horizontal="center"/>
    </xf>
    <xf numFmtId="0" fontId="87" fillId="0" borderId="0" xfId="0" applyNumberFormat="1" applyFont="1"/>
    <xf numFmtId="174" fontId="87" fillId="0" borderId="0" xfId="0" applyNumberFormat="1" applyFont="1" applyAlignment="1"/>
    <xf numFmtId="3" fontId="87" fillId="0" borderId="0" xfId="0" applyNumberFormat="1" applyFont="1" applyAlignment="1"/>
    <xf numFmtId="0" fontId="87" fillId="0" borderId="0" xfId="0" applyNumberFormat="1" applyFont="1" applyAlignment="1"/>
    <xf numFmtId="10" fontId="87" fillId="0" borderId="0" xfId="0" applyNumberFormat="1" applyFont="1"/>
    <xf numFmtId="3" fontId="87" fillId="0" borderId="0" xfId="0" applyNumberFormat="1" applyFont="1"/>
    <xf numFmtId="4" fontId="87" fillId="0" borderId="0" xfId="0" applyNumberFormat="1" applyFont="1"/>
    <xf numFmtId="175" fontId="87" fillId="0" borderId="0" xfId="0" applyNumberFormat="1" applyFont="1"/>
    <xf numFmtId="1" fontId="87" fillId="0" borderId="0" xfId="0" applyNumberFormat="1" applyFont="1" applyAlignment="1"/>
    <xf numFmtId="182" fontId="87" fillId="0" borderId="0" xfId="0" applyNumberFormat="1" applyFont="1" applyAlignment="1"/>
    <xf numFmtId="10" fontId="87" fillId="0" borderId="0" xfId="573" applyNumberFormat="1" applyFont="1" applyAlignment="1"/>
    <xf numFmtId="0" fontId="87" fillId="0" borderId="0" xfId="0" applyNumberFormat="1" applyFont="1" applyAlignment="1">
      <alignment horizontal="right"/>
    </xf>
    <xf numFmtId="174" fontId="87" fillId="0" borderId="0" xfId="0" applyNumberFormat="1" applyFont="1" applyFill="1" applyAlignment="1"/>
    <xf numFmtId="0" fontId="150" fillId="0" borderId="0" xfId="0" applyFont="1" applyAlignment="1"/>
    <xf numFmtId="0" fontId="87" fillId="0" borderId="0" xfId="0" applyFont="1" applyFill="1" applyAlignment="1"/>
    <xf numFmtId="0" fontId="87" fillId="0" borderId="0" xfId="0" applyNumberFormat="1" applyFont="1" applyAlignment="1">
      <alignment horizontal="center"/>
    </xf>
    <xf numFmtId="176" fontId="87" fillId="0" borderId="0" xfId="0" applyNumberFormat="1" applyFont="1"/>
    <xf numFmtId="174" fontId="87" fillId="0" borderId="0" xfId="0" applyNumberFormat="1" applyFont="1" applyBorder="1" applyAlignment="1"/>
    <xf numFmtId="0" fontId="87" fillId="0" borderId="0" xfId="0" applyNumberFormat="1" applyFont="1" applyAlignment="1">
      <alignment horizontal="fill"/>
    </xf>
    <xf numFmtId="178" fontId="87" fillId="0" borderId="0" xfId="0" applyNumberFormat="1" applyFont="1"/>
    <xf numFmtId="10" fontId="87" fillId="0" borderId="0" xfId="0" applyNumberFormat="1" applyFont="1" applyFill="1"/>
    <xf numFmtId="177" fontId="87" fillId="0" borderId="0" xfId="0" applyNumberFormat="1" applyFont="1"/>
    <xf numFmtId="9" fontId="87" fillId="0" borderId="0" xfId="0" applyNumberFormat="1" applyFont="1"/>
    <xf numFmtId="165" fontId="87" fillId="0" borderId="0" xfId="1" applyNumberFormat="1" applyFont="1" applyAlignment="1"/>
    <xf numFmtId="165" fontId="87" fillId="0" borderId="0" xfId="0" applyNumberFormat="1" applyFont="1" applyAlignment="1"/>
    <xf numFmtId="43" fontId="87" fillId="0" borderId="0" xfId="0" applyNumberFormat="1" applyFont="1" applyAlignment="1"/>
    <xf numFmtId="3" fontId="149" fillId="0" borderId="0" xfId="0" applyNumberFormat="1" applyFont="1" applyAlignment="1">
      <alignment horizontal="center"/>
    </xf>
    <xf numFmtId="0" fontId="149" fillId="0" borderId="0" xfId="0" applyFont="1" applyAlignment="1">
      <alignment horizontal="center"/>
    </xf>
    <xf numFmtId="0" fontId="87" fillId="0" borderId="0" xfId="0" applyNumberFormat="1" applyFont="1" applyFill="1"/>
    <xf numFmtId="0" fontId="87" fillId="0" borderId="0" xfId="0" applyNumberFormat="1" applyFont="1" applyFill="1" applyAlignment="1">
      <alignment horizontal="right"/>
    </xf>
    <xf numFmtId="174" fontId="87" fillId="0" borderId="0" xfId="0" applyNumberFormat="1" applyFont="1" applyFill="1"/>
    <xf numFmtId="9" fontId="87" fillId="0" borderId="0" xfId="3" applyFont="1" applyFill="1"/>
    <xf numFmtId="174" fontId="87" fillId="0" borderId="0" xfId="0" applyNumberFormat="1" applyFont="1"/>
    <xf numFmtId="9" fontId="87" fillId="0" borderId="0" xfId="3" applyFont="1"/>
    <xf numFmtId="0" fontId="87" fillId="0" borderId="0" xfId="0" applyFont="1" applyBorder="1" applyAlignment="1">
      <alignment horizontal="right"/>
    </xf>
    <xf numFmtId="0" fontId="87" fillId="0" borderId="0" xfId="0" applyFont="1" applyBorder="1" applyAlignment="1"/>
    <xf numFmtId="10" fontId="87" fillId="0" borderId="0" xfId="0" applyNumberFormat="1" applyFont="1" applyAlignment="1"/>
    <xf numFmtId="10" fontId="87" fillId="0" borderId="0" xfId="573" applyNumberFormat="1" applyFont="1"/>
    <xf numFmtId="168" fontId="87" fillId="0" borderId="0" xfId="3" applyNumberFormat="1" applyFont="1" applyAlignment="1"/>
    <xf numFmtId="0" fontId="150" fillId="0" borderId="0" xfId="0" applyFont="1" applyBorder="1" applyAlignment="1"/>
    <xf numFmtId="44" fontId="0" fillId="0" borderId="0" xfId="2" applyFont="1" applyFill="1"/>
    <xf numFmtId="44" fontId="0" fillId="0" borderId="12" xfId="0" applyNumberFormat="1" applyFill="1" applyBorder="1"/>
    <xf numFmtId="0" fontId="86" fillId="0" borderId="0" xfId="0" applyFont="1" applyFill="1"/>
    <xf numFmtId="0" fontId="3" fillId="0" borderId="0" xfId="381" applyAlignment="1">
      <alignment horizontal="center"/>
    </xf>
    <xf numFmtId="165" fontId="0" fillId="0" borderId="0" xfId="6" applyNumberFormat="1" applyFont="1" applyAlignment="1">
      <alignment horizontal="center"/>
    </xf>
    <xf numFmtId="9" fontId="81" fillId="0" borderId="0" xfId="7" applyNumberFormat="1" applyFont="1" applyAlignment="1">
      <alignment horizontal="right"/>
    </xf>
    <xf numFmtId="177" fontId="81" fillId="48" borderId="0" xfId="7" applyNumberFormat="1" applyFont="1" applyFill="1" applyAlignment="1">
      <alignment horizontal="center"/>
    </xf>
    <xf numFmtId="0" fontId="3" fillId="7" borderId="0" xfId="381" applyFill="1" applyAlignment="1">
      <alignment horizontal="center"/>
    </xf>
    <xf numFmtId="165" fontId="0" fillId="7" borderId="0" xfId="6" applyNumberFormat="1" applyFont="1" applyFill="1" applyAlignment="1">
      <alignment horizontal="center"/>
    </xf>
    <xf numFmtId="165" fontId="80" fillId="7" borderId="0" xfId="6" quotePrefix="1" applyNumberFormat="1" applyFont="1" applyFill="1" applyAlignment="1">
      <alignment horizontal="center"/>
    </xf>
    <xf numFmtId="0" fontId="86" fillId="7" borderId="58" xfId="381" applyFont="1" applyFill="1" applyBorder="1" applyAlignment="1">
      <alignment horizontal="center"/>
    </xf>
    <xf numFmtId="165" fontId="86" fillId="7" borderId="6" xfId="6" applyNumberFormat="1" applyFont="1" applyFill="1" applyBorder="1" applyAlignment="1">
      <alignment horizontal="center" wrapText="1"/>
    </xf>
    <xf numFmtId="165" fontId="86" fillId="7" borderId="58" xfId="6" applyNumberFormat="1" applyFont="1" applyFill="1" applyBorder="1" applyAlignment="1">
      <alignment horizontal="center" wrapText="1"/>
    </xf>
    <xf numFmtId="172" fontId="79" fillId="0" borderId="0" xfId="7" quotePrefix="1" applyNumberFormat="1" applyFont="1" applyAlignment="1">
      <alignment horizontal="left"/>
    </xf>
    <xf numFmtId="0" fontId="74" fillId="0" borderId="29" xfId="7" applyNumberFormat="1" applyFont="1" applyBorder="1"/>
    <xf numFmtId="0" fontId="74" fillId="0" borderId="0" xfId="7" applyNumberFormat="1" applyFont="1" applyBorder="1"/>
    <xf numFmtId="0" fontId="3" fillId="7" borderId="0" xfId="381" applyFill="1" applyAlignment="1">
      <alignment horizontal="left"/>
    </xf>
    <xf numFmtId="165" fontId="0" fillId="7" borderId="0" xfId="6" applyNumberFormat="1" applyFont="1" applyFill="1"/>
    <xf numFmtId="10" fontId="0" fillId="7" borderId="0" xfId="560" applyNumberFormat="1" applyFont="1" applyFill="1"/>
    <xf numFmtId="165" fontId="80" fillId="0" borderId="12" xfId="173" applyNumberFormat="1" applyFont="1" applyFill="1" applyBorder="1" applyAlignment="1"/>
    <xf numFmtId="0" fontId="29" fillId="0" borderId="12" xfId="7" applyNumberFormat="1" applyFont="1" applyBorder="1"/>
    <xf numFmtId="0" fontId="74" fillId="0" borderId="12" xfId="7" applyNumberFormat="1" applyFont="1" applyBorder="1"/>
    <xf numFmtId="165" fontId="80" fillId="0" borderId="0" xfId="173" applyNumberFormat="1" applyFont="1" applyFill="1" applyBorder="1" applyAlignment="1"/>
    <xf numFmtId="17" fontId="80" fillId="0" borderId="0" xfId="173" applyNumberFormat="1" applyFont="1" applyFill="1" applyBorder="1" applyAlignment="1">
      <alignment horizontal="centerContinuous"/>
    </xf>
    <xf numFmtId="44" fontId="3" fillId="0" borderId="0" xfId="2" applyFont="1" applyFill="1"/>
    <xf numFmtId="0" fontId="3" fillId="48" borderId="0" xfId="381" applyFill="1" applyAlignment="1">
      <alignment horizontal="left"/>
    </xf>
    <xf numFmtId="165" fontId="0" fillId="48" borderId="0" xfId="6" applyNumberFormat="1" applyFont="1" applyFill="1"/>
    <xf numFmtId="10" fontId="0" fillId="48" borderId="0" xfId="560" applyNumberFormat="1" applyFont="1" applyFill="1"/>
    <xf numFmtId="0" fontId="29" fillId="0" borderId="12" xfId="7" applyFont="1" applyBorder="1"/>
    <xf numFmtId="0" fontId="29" fillId="0" borderId="0" xfId="7" applyFont="1" applyBorder="1"/>
    <xf numFmtId="44" fontId="80" fillId="0" borderId="42" xfId="2" applyFont="1" applyFill="1" applyBorder="1"/>
    <xf numFmtId="44" fontId="80" fillId="0" borderId="0" xfId="2" applyFont="1" applyFill="1" applyBorder="1"/>
    <xf numFmtId="165" fontId="80" fillId="0" borderId="0" xfId="173" applyNumberFormat="1" applyFont="1" applyFill="1"/>
    <xf numFmtId="165" fontId="3" fillId="0" borderId="12" xfId="173" applyNumberFormat="1" applyFont="1" applyFill="1" applyBorder="1"/>
    <xf numFmtId="5" fontId="87" fillId="0" borderId="0" xfId="0" applyNumberFormat="1" applyFont="1" applyBorder="1" applyAlignment="1"/>
    <xf numFmtId="174" fontId="87" fillId="0" borderId="0" xfId="573" applyNumberFormat="1" applyFont="1" applyBorder="1"/>
    <xf numFmtId="3" fontId="87" fillId="0" borderId="0" xfId="0" applyNumberFormat="1" applyFont="1" applyBorder="1"/>
    <xf numFmtId="174" fontId="87" fillId="0" borderId="0" xfId="0" applyNumberFormat="1" applyFont="1" applyBorder="1"/>
    <xf numFmtId="3" fontId="87" fillId="0" borderId="0" xfId="0" applyNumberFormat="1" applyFont="1" applyBorder="1" applyAlignment="1"/>
    <xf numFmtId="3" fontId="89" fillId="0" borderId="0" xfId="0" applyNumberFormat="1" applyFont="1" applyBorder="1" applyAlignment="1"/>
    <xf numFmtId="10" fontId="89" fillId="0" borderId="0" xfId="0" applyNumberFormat="1" applyFont="1" applyBorder="1" applyAlignment="1"/>
    <xf numFmtId="43" fontId="87" fillId="0" borderId="0" xfId="1" applyFont="1" applyAlignment="1"/>
    <xf numFmtId="44" fontId="87" fillId="0" borderId="0" xfId="2" applyFont="1" applyAlignment="1"/>
    <xf numFmtId="174" fontId="0" fillId="0" borderId="0" xfId="0" applyNumberFormat="1"/>
    <xf numFmtId="0" fontId="157" fillId="3" borderId="0" xfId="1157" applyFont="1" applyFill="1" applyBorder="1"/>
    <xf numFmtId="0" fontId="158" fillId="3" borderId="0" xfId="1157" applyFont="1" applyFill="1" applyBorder="1"/>
    <xf numFmtId="3" fontId="158" fillId="3" borderId="0" xfId="1157" applyNumberFormat="1" applyFont="1" applyFill="1" applyBorder="1"/>
    <xf numFmtId="0" fontId="157" fillId="3" borderId="0" xfId="1157" applyFont="1" applyFill="1" applyBorder="1" applyAlignment="1">
      <alignment horizontal="center"/>
    </xf>
    <xf numFmtId="0" fontId="157" fillId="3" borderId="0" xfId="1157" quotePrefix="1" applyFont="1" applyFill="1" applyBorder="1" applyAlignment="1">
      <alignment horizontal="center"/>
    </xf>
    <xf numFmtId="3" fontId="157" fillId="3" borderId="0" xfId="1157" applyNumberFormat="1" applyFont="1" applyFill="1" applyBorder="1"/>
    <xf numFmtId="0" fontId="157" fillId="53" borderId="0" xfId="1157" applyFont="1" applyFill="1" applyBorder="1"/>
    <xf numFmtId="0" fontId="158" fillId="53" borderId="0" xfId="1157" applyFont="1" applyFill="1" applyBorder="1"/>
    <xf numFmtId="3" fontId="158" fillId="53" borderId="0" xfId="1157" applyNumberFormat="1" applyFont="1" applyFill="1" applyBorder="1"/>
    <xf numFmtId="0" fontId="157" fillId="53" borderId="0" xfId="1157" applyFont="1" applyFill="1" applyBorder="1" applyAlignment="1">
      <alignment horizontal="center"/>
    </xf>
    <xf numFmtId="0" fontId="157" fillId="53" borderId="0" xfId="1157" applyFont="1" applyFill="1" applyBorder="1" applyAlignment="1">
      <alignment horizontal="left"/>
    </xf>
    <xf numFmtId="14" fontId="157" fillId="53" borderId="0" xfId="1157" quotePrefix="1" applyNumberFormat="1" applyFont="1" applyFill="1" applyBorder="1" applyAlignment="1">
      <alignment horizontal="center"/>
    </xf>
    <xf numFmtId="165" fontId="158" fillId="53" borderId="0" xfId="1" applyNumberFormat="1" applyFont="1" applyFill="1" applyBorder="1"/>
    <xf numFmtId="0" fontId="157" fillId="53" borderId="7" xfId="1157" applyFont="1" applyFill="1" applyBorder="1"/>
    <xf numFmtId="165" fontId="157" fillId="53" borderId="7" xfId="1" applyNumberFormat="1" applyFont="1" applyFill="1" applyBorder="1"/>
    <xf numFmtId="0" fontId="157" fillId="53" borderId="8" xfId="1157" applyFont="1" applyFill="1" applyBorder="1"/>
    <xf numFmtId="165" fontId="157" fillId="53" borderId="8" xfId="1" applyNumberFormat="1" applyFont="1" applyFill="1" applyBorder="1"/>
    <xf numFmtId="165" fontId="157" fillId="53" borderId="0" xfId="1" applyNumberFormat="1" applyFont="1" applyFill="1" applyBorder="1"/>
    <xf numFmtId="0" fontId="158" fillId="7" borderId="0" xfId="1157" applyFont="1" applyFill="1" applyBorder="1"/>
    <xf numFmtId="3" fontId="158" fillId="7" borderId="0" xfId="1157" applyNumberFormat="1" applyFont="1" applyFill="1" applyBorder="1"/>
    <xf numFmtId="0" fontId="158" fillId="7" borderId="0" xfId="1157" applyFont="1" applyFill="1" applyBorder="1" applyAlignment="1">
      <alignment horizontal="center"/>
    </xf>
    <xf numFmtId="43" fontId="158" fillId="7" borderId="0" xfId="1" applyFont="1" applyFill="1" applyBorder="1" applyAlignment="1">
      <alignment horizontal="center"/>
    </xf>
    <xf numFmtId="43" fontId="158" fillId="7" borderId="0" xfId="1157" applyNumberFormat="1" applyFont="1" applyFill="1" applyBorder="1"/>
    <xf numFmtId="43" fontId="158" fillId="7" borderId="0" xfId="1" applyFont="1" applyFill="1" applyBorder="1"/>
    <xf numFmtId="165" fontId="157" fillId="7" borderId="7" xfId="1" applyNumberFormat="1" applyFont="1" applyFill="1" applyBorder="1"/>
    <xf numFmtId="3" fontId="157" fillId="7" borderId="0" xfId="1157" applyNumberFormat="1" applyFont="1" applyFill="1" applyBorder="1"/>
    <xf numFmtId="3" fontId="158" fillId="7" borderId="0" xfId="1157" applyNumberFormat="1" applyFont="1" applyFill="1" applyBorder="1" applyAlignment="1">
      <alignment horizontal="center"/>
    </xf>
    <xf numFmtId="165" fontId="157" fillId="7" borderId="8" xfId="1" applyNumberFormat="1" applyFont="1" applyFill="1" applyBorder="1"/>
    <xf numFmtId="0" fontId="158" fillId="0" borderId="0" xfId="1157" applyFont="1" applyBorder="1"/>
    <xf numFmtId="43" fontId="158" fillId="0" borderId="0" xfId="1" applyFont="1" applyBorder="1"/>
    <xf numFmtId="184" fontId="5" fillId="7" borderId="0" xfId="1" applyNumberFormat="1" applyFont="1" applyFill="1" applyBorder="1"/>
    <xf numFmtId="184" fontId="4" fillId="7" borderId="0" xfId="1" applyNumberFormat="1" applyFont="1" applyFill="1" applyBorder="1"/>
    <xf numFmtId="184" fontId="5" fillId="3" borderId="0" xfId="1" applyNumberFormat="1" applyFont="1" applyFill="1" applyBorder="1"/>
    <xf numFmtId="0" fontId="158" fillId="88" borderId="0" xfId="1157" applyFont="1" applyFill="1" applyBorder="1"/>
    <xf numFmtId="43" fontId="158" fillId="88" borderId="0" xfId="1" applyFont="1" applyFill="1" applyBorder="1"/>
    <xf numFmtId="0" fontId="157" fillId="88" borderId="12" xfId="1157" applyFont="1" applyFill="1" applyBorder="1" applyAlignment="1">
      <alignment horizontal="center"/>
    </xf>
    <xf numFmtId="0" fontId="158" fillId="88" borderId="0" xfId="1157" applyFont="1" applyFill="1" applyBorder="1" applyAlignment="1">
      <alignment horizontal="center"/>
    </xf>
    <xf numFmtId="43" fontId="158" fillId="88" borderId="0" xfId="1" applyFont="1" applyFill="1" applyBorder="1" applyAlignment="1">
      <alignment horizontal="center"/>
    </xf>
    <xf numFmtId="3" fontId="158" fillId="88" borderId="0" xfId="1157" applyNumberFormat="1" applyFont="1" applyFill="1" applyBorder="1"/>
    <xf numFmtId="165" fontId="157" fillId="88" borderId="7" xfId="1" applyNumberFormat="1" applyFont="1" applyFill="1" applyBorder="1"/>
    <xf numFmtId="3" fontId="157" fillId="88" borderId="0" xfId="1157" applyNumberFormat="1" applyFont="1" applyFill="1" applyBorder="1"/>
    <xf numFmtId="43" fontId="157" fillId="88" borderId="0" xfId="1" applyFont="1" applyFill="1" applyBorder="1"/>
    <xf numFmtId="0" fontId="157" fillId="88" borderId="0" xfId="1157" applyFont="1" applyFill="1" applyBorder="1"/>
    <xf numFmtId="165" fontId="157" fillId="88" borderId="8" xfId="1" applyNumberFormat="1" applyFont="1" applyFill="1" applyBorder="1"/>
    <xf numFmtId="0" fontId="158" fillId="0" borderId="0" xfId="1157" applyFont="1" applyFill="1" applyBorder="1"/>
    <xf numFmtId="43" fontId="158" fillId="0" borderId="0" xfId="1" applyFont="1" applyFill="1" applyBorder="1"/>
    <xf numFmtId="3" fontId="104" fillId="0" borderId="0" xfId="139" applyNumberFormat="1" applyFont="1" applyFill="1" applyBorder="1"/>
    <xf numFmtId="0" fontId="0" fillId="0" borderId="0" xfId="0" applyAlignment="1">
      <alignment horizontal="right"/>
    </xf>
    <xf numFmtId="44" fontId="0" fillId="0" borderId="0" xfId="2" applyFont="1" applyFill="1"/>
    <xf numFmtId="166" fontId="80" fillId="0" borderId="0" xfId="392" applyFont="1"/>
    <xf numFmtId="166" fontId="5" fillId="0" borderId="0" xfId="392" applyFont="1"/>
    <xf numFmtId="166" fontId="4" fillId="0" borderId="0" xfId="392" applyFont="1"/>
    <xf numFmtId="166" fontId="5" fillId="0" borderId="0" xfId="392" applyFont="1" applyAlignment="1">
      <alignment horizontal="left"/>
    </xf>
    <xf numFmtId="166" fontId="5" fillId="0" borderId="0" xfId="392" applyFont="1" applyFill="1" applyAlignment="1">
      <alignment horizontal="left"/>
    </xf>
    <xf numFmtId="165" fontId="5" fillId="0" borderId="0" xfId="134" applyNumberFormat="1" applyFont="1"/>
    <xf numFmtId="3" fontId="5" fillId="0" borderId="0" xfId="392" applyNumberFormat="1" applyFont="1"/>
    <xf numFmtId="166" fontId="5" fillId="0" borderId="0" xfId="392" applyFont="1" applyFill="1"/>
    <xf numFmtId="185" fontId="5" fillId="0" borderId="0" xfId="392" applyNumberFormat="1" applyFont="1"/>
    <xf numFmtId="168" fontId="5" fillId="0" borderId="0" xfId="392" applyNumberFormat="1" applyFont="1"/>
    <xf numFmtId="3" fontId="5" fillId="0" borderId="0" xfId="392" applyNumberFormat="1" applyFont="1" applyFill="1" applyAlignment="1">
      <alignment horizontal="right"/>
    </xf>
    <xf numFmtId="10" fontId="5" fillId="0" borderId="0" xfId="392" applyNumberFormat="1" applyFont="1"/>
    <xf numFmtId="17" fontId="1" fillId="0" borderId="0" xfId="356" applyNumberFormat="1" applyFill="1"/>
    <xf numFmtId="10" fontId="5" fillId="0" borderId="0" xfId="1086" applyNumberFormat="1" applyFont="1" applyFill="1" applyAlignment="1">
      <alignment horizontal="right"/>
    </xf>
    <xf numFmtId="166" fontId="160" fillId="0" borderId="0" xfId="392" applyFont="1"/>
    <xf numFmtId="0" fontId="80" fillId="0" borderId="0" xfId="392" applyNumberFormat="1" applyFont="1" applyAlignment="1">
      <alignment horizontal="left"/>
    </xf>
    <xf numFmtId="0" fontId="4" fillId="0" borderId="0" xfId="392" applyNumberFormat="1" applyFont="1" applyAlignment="1">
      <alignment horizontal="left"/>
    </xf>
    <xf numFmtId="9" fontId="5" fillId="0" borderId="0" xfId="1086" applyFont="1"/>
    <xf numFmtId="166" fontId="5" fillId="0" borderId="0" xfId="392" applyFont="1" applyBorder="1"/>
    <xf numFmtId="166" fontId="5" fillId="0" borderId="0" xfId="392" applyFont="1" applyBorder="1" applyAlignment="1">
      <alignment horizontal="left"/>
    </xf>
    <xf numFmtId="166" fontId="5" fillId="0" borderId="0" xfId="392" applyFont="1" applyFill="1" applyBorder="1" applyAlignment="1">
      <alignment horizontal="left"/>
    </xf>
    <xf numFmtId="166" fontId="5" fillId="0" borderId="0" xfId="392" applyFont="1" applyFill="1" applyAlignment="1">
      <alignment horizontal="right"/>
    </xf>
    <xf numFmtId="14" fontId="5" fillId="0" borderId="0" xfId="392" applyNumberFormat="1" applyFont="1" applyFill="1" applyAlignment="1">
      <alignment horizontal="center"/>
    </xf>
    <xf numFmtId="166" fontId="5" fillId="0" borderId="29" xfId="392" applyFont="1" applyBorder="1"/>
    <xf numFmtId="166" fontId="5" fillId="0" borderId="29" xfId="392" applyFont="1" applyBorder="1" applyAlignment="1">
      <alignment horizontal="left"/>
    </xf>
    <xf numFmtId="166" fontId="5" fillId="0" borderId="29" xfId="392" applyFont="1" applyFill="1" applyBorder="1" applyAlignment="1">
      <alignment horizontal="left"/>
    </xf>
    <xf numFmtId="14" fontId="5" fillId="0" borderId="0" xfId="392" applyNumberFormat="1" applyFont="1"/>
    <xf numFmtId="4" fontId="5" fillId="0" borderId="0" xfId="392" applyNumberFormat="1" applyFont="1"/>
    <xf numFmtId="166" fontId="5" fillId="7" borderId="0" xfId="392" applyFont="1" applyFill="1" applyAlignment="1">
      <alignment horizontal="left"/>
    </xf>
    <xf numFmtId="166" fontId="4" fillId="7" borderId="34" xfId="392" applyFont="1" applyFill="1" applyBorder="1" applyAlignment="1">
      <alignment horizontal="center"/>
    </xf>
    <xf numFmtId="166" fontId="4" fillId="7" borderId="0" xfId="392" applyFont="1" applyFill="1" applyBorder="1" applyAlignment="1">
      <alignment horizontal="center"/>
    </xf>
    <xf numFmtId="166" fontId="5" fillId="7" borderId="36" xfId="392" applyFont="1" applyFill="1" applyBorder="1" applyAlignment="1">
      <alignment horizontal="left"/>
    </xf>
    <xf numFmtId="166" fontId="5" fillId="0" borderId="0" xfId="392" applyFont="1" applyFill="1" applyAlignment="1">
      <alignment horizontal="right" wrapText="1"/>
    </xf>
    <xf numFmtId="166" fontId="5" fillId="0" borderId="0" xfId="392" applyFont="1" applyFill="1" applyAlignment="1">
      <alignment horizontal="center" wrapText="1"/>
    </xf>
    <xf numFmtId="166" fontId="4" fillId="7" borderId="0" xfId="392" applyFont="1" applyFill="1" applyBorder="1" applyAlignment="1">
      <alignment horizontal="center" wrapText="1"/>
    </xf>
    <xf numFmtId="166" fontId="4" fillId="7" borderId="37" xfId="392" applyFont="1" applyFill="1" applyBorder="1" applyAlignment="1">
      <alignment horizontal="center" wrapText="1"/>
    </xf>
    <xf numFmtId="166" fontId="4" fillId="7" borderId="38" xfId="392" applyFont="1" applyFill="1" applyBorder="1" applyAlignment="1">
      <alignment horizontal="center"/>
    </xf>
    <xf numFmtId="166" fontId="4" fillId="0" borderId="0" xfId="392" applyFont="1" applyFill="1" applyBorder="1" applyAlignment="1">
      <alignment horizontal="center"/>
    </xf>
    <xf numFmtId="166" fontId="4" fillId="0" borderId="0" xfId="392" quotePrefix="1" applyFont="1" applyFill="1" applyAlignment="1">
      <alignment horizontal="center"/>
    </xf>
    <xf numFmtId="166" fontId="4" fillId="0" borderId="0" xfId="392" quotePrefix="1" applyFont="1" applyAlignment="1">
      <alignment horizontal="center"/>
    </xf>
    <xf numFmtId="166" fontId="4" fillId="0" borderId="0" xfId="392" applyFont="1" applyAlignment="1">
      <alignment horizontal="center"/>
    </xf>
    <xf numFmtId="166" fontId="4" fillId="0" borderId="59" xfId="392" applyFont="1" applyBorder="1" applyAlignment="1">
      <alignment horizontal="center"/>
    </xf>
    <xf numFmtId="166" fontId="4" fillId="7" borderId="29" xfId="392" applyFont="1" applyFill="1" applyBorder="1" applyAlignment="1">
      <alignment horizontal="center"/>
    </xf>
    <xf numFmtId="166" fontId="4" fillId="7" borderId="39" xfId="392" applyFont="1" applyFill="1" applyBorder="1" applyAlignment="1">
      <alignment horizontal="center"/>
    </xf>
    <xf numFmtId="166" fontId="4" fillId="7" borderId="40" xfId="392" applyFont="1" applyFill="1" applyBorder="1" applyAlignment="1">
      <alignment horizontal="center" wrapText="1"/>
    </xf>
    <xf numFmtId="166" fontId="161" fillId="7" borderId="0" xfId="392" applyFont="1" applyFill="1" applyBorder="1" applyAlignment="1">
      <alignment horizontal="center" wrapText="1"/>
    </xf>
    <xf numFmtId="165" fontId="4" fillId="0" borderId="0" xfId="134" applyNumberFormat="1" applyFont="1" applyAlignment="1">
      <alignment horizontal="center" wrapText="1"/>
    </xf>
    <xf numFmtId="3" fontId="4" fillId="0" borderId="0" xfId="392" applyNumberFormat="1" applyFont="1" applyAlignment="1">
      <alignment horizontal="center" wrapText="1"/>
    </xf>
    <xf numFmtId="166" fontId="4" fillId="0" borderId="0" xfId="392" applyFont="1" applyFill="1" applyAlignment="1">
      <alignment horizontal="center"/>
    </xf>
    <xf numFmtId="185" fontId="4" fillId="0" borderId="0" xfId="392" applyNumberFormat="1" applyFont="1" applyAlignment="1">
      <alignment horizontal="center"/>
    </xf>
    <xf numFmtId="168" fontId="4" fillId="0" borderId="0" xfId="392" applyNumberFormat="1" applyFont="1" applyAlignment="1">
      <alignment horizontal="center"/>
    </xf>
    <xf numFmtId="3" fontId="4" fillId="0" borderId="0" xfId="392" applyNumberFormat="1" applyFont="1" applyFill="1" applyAlignment="1">
      <alignment horizontal="center"/>
    </xf>
    <xf numFmtId="3" fontId="4" fillId="0" borderId="0" xfId="392" applyNumberFormat="1" applyFont="1" applyAlignment="1">
      <alignment horizontal="center"/>
    </xf>
    <xf numFmtId="10" fontId="4" fillId="0" borderId="0" xfId="392" applyNumberFormat="1" applyFont="1" applyAlignment="1">
      <alignment horizontal="center"/>
    </xf>
    <xf numFmtId="166" fontId="4" fillId="89" borderId="60" xfId="392" applyFont="1" applyFill="1" applyBorder="1" applyAlignment="1">
      <alignment horizontal="centerContinuous"/>
    </xf>
    <xf numFmtId="166" fontId="4" fillId="89" borderId="60" xfId="392" applyFont="1" applyFill="1" applyBorder="1" applyAlignment="1">
      <alignment horizontal="center"/>
    </xf>
    <xf numFmtId="166" fontId="5" fillId="89" borderId="60" xfId="392" applyFont="1" applyFill="1" applyBorder="1" applyAlignment="1">
      <alignment horizontal="centerContinuous"/>
    </xf>
    <xf numFmtId="166" fontId="5" fillId="89" borderId="60" xfId="392" applyFont="1" applyFill="1" applyBorder="1" applyAlignment="1">
      <alignment horizontal="left"/>
    </xf>
    <xf numFmtId="166" fontId="5" fillId="0" borderId="37" xfId="392" applyFont="1" applyFill="1" applyBorder="1" applyAlignment="1">
      <alignment horizontal="left"/>
    </xf>
    <xf numFmtId="166" fontId="5" fillId="0" borderId="36" xfId="392" applyFont="1" applyFill="1" applyBorder="1" applyAlignment="1">
      <alignment horizontal="left"/>
    </xf>
    <xf numFmtId="166" fontId="5" fillId="7" borderId="0" xfId="392" applyFont="1" applyFill="1" applyBorder="1" applyAlignment="1">
      <alignment horizontal="left"/>
    </xf>
    <xf numFmtId="165" fontId="5" fillId="0" borderId="0" xfId="134" applyNumberFormat="1" applyFont="1" applyAlignment="1">
      <alignment horizontal="center"/>
    </xf>
    <xf numFmtId="166" fontId="5" fillId="0" borderId="0" xfId="392" applyFont="1" applyFill="1" applyAlignment="1">
      <alignment horizontal="center"/>
    </xf>
    <xf numFmtId="185" fontId="5" fillId="0" borderId="0" xfId="392" applyNumberFormat="1" applyFont="1" applyAlignment="1">
      <alignment horizontal="center"/>
    </xf>
    <xf numFmtId="3" fontId="5" fillId="0" borderId="0" xfId="392" applyNumberFormat="1" applyFont="1" applyAlignment="1">
      <alignment horizontal="center"/>
    </xf>
    <xf numFmtId="0" fontId="5" fillId="0" borderId="0" xfId="315" applyFont="1"/>
    <xf numFmtId="0" fontId="5" fillId="0" borderId="0" xfId="315" applyFont="1" applyFill="1"/>
    <xf numFmtId="0" fontId="5" fillId="0" borderId="37" xfId="315" applyFont="1" applyFill="1" applyBorder="1"/>
    <xf numFmtId="0" fontId="5" fillId="0" borderId="38" xfId="315" applyFont="1" applyFill="1" applyBorder="1"/>
    <xf numFmtId="0" fontId="5" fillId="7" borderId="0" xfId="315" applyFont="1" applyFill="1" applyBorder="1"/>
    <xf numFmtId="165" fontId="5" fillId="0" borderId="0" xfId="134" applyNumberFormat="1" applyFont="1" applyBorder="1" applyAlignment="1">
      <alignment horizontal="center"/>
    </xf>
    <xf numFmtId="3" fontId="5" fillId="0" borderId="0" xfId="134" applyNumberFormat="1" applyFont="1"/>
    <xf numFmtId="168" fontId="5" fillId="0" borderId="0" xfId="1086" applyNumberFormat="1" applyFont="1"/>
    <xf numFmtId="43" fontId="5" fillId="0" borderId="0" xfId="134" applyFont="1" applyFill="1" applyAlignment="1">
      <alignment horizontal="right"/>
    </xf>
    <xf numFmtId="10" fontId="5" fillId="0" borderId="0" xfId="1086" applyNumberFormat="1" applyFont="1"/>
    <xf numFmtId="43" fontId="5" fillId="0" borderId="0" xfId="134" applyFont="1"/>
    <xf numFmtId="0" fontId="5" fillId="49" borderId="0" xfId="315" applyFont="1" applyFill="1"/>
    <xf numFmtId="0" fontId="5" fillId="49" borderId="0" xfId="315" applyFont="1" applyFill="1" applyAlignment="1">
      <alignment horizontal="left"/>
    </xf>
    <xf numFmtId="165" fontId="5" fillId="0" borderId="57" xfId="134" applyNumberFormat="1" applyFont="1" applyFill="1" applyBorder="1"/>
    <xf numFmtId="165" fontId="5" fillId="0" borderId="0" xfId="134" applyNumberFormat="1" applyFont="1" applyFill="1" applyBorder="1"/>
    <xf numFmtId="165" fontId="5" fillId="0" borderId="37" xfId="134" applyNumberFormat="1" applyFont="1" applyFill="1" applyBorder="1"/>
    <xf numFmtId="165" fontId="5" fillId="0" borderId="38" xfId="134" applyNumberFormat="1" applyFont="1" applyFill="1" applyBorder="1"/>
    <xf numFmtId="165" fontId="5" fillId="7" borderId="0" xfId="134" applyNumberFormat="1" applyFont="1" applyFill="1" applyBorder="1"/>
    <xf numFmtId="165" fontId="5" fillId="0" borderId="0" xfId="134" applyNumberFormat="1" applyFont="1" applyFill="1" applyAlignment="1">
      <alignment horizontal="center"/>
    </xf>
    <xf numFmtId="14" fontId="5" fillId="0" borderId="0" xfId="315" applyNumberFormat="1" applyFont="1" applyFill="1"/>
    <xf numFmtId="10" fontId="5" fillId="0" borderId="0" xfId="1086" applyNumberFormat="1" applyFont="1" applyFill="1"/>
    <xf numFmtId="43" fontId="162" fillId="0" borderId="0" xfId="134" applyFont="1" applyFill="1" applyBorder="1"/>
    <xf numFmtId="165" fontId="5" fillId="0" borderId="0" xfId="134" applyNumberFormat="1" applyFont="1" applyFill="1"/>
    <xf numFmtId="3" fontId="5" fillId="0" borderId="0" xfId="392" applyNumberFormat="1" applyFont="1" applyFill="1" applyAlignment="1">
      <alignment horizontal="center"/>
    </xf>
    <xf numFmtId="0" fontId="5" fillId="0" borderId="57" xfId="315" applyFont="1" applyFill="1" applyBorder="1"/>
    <xf numFmtId="3" fontId="5" fillId="0" borderId="0" xfId="392" applyNumberFormat="1" applyFont="1" applyFill="1"/>
    <xf numFmtId="185" fontId="5" fillId="0" borderId="0" xfId="392" applyNumberFormat="1" applyFont="1" applyFill="1"/>
    <xf numFmtId="166" fontId="162" fillId="0" borderId="0" xfId="392" applyFont="1" applyFill="1"/>
    <xf numFmtId="165" fontId="162" fillId="0" borderId="57" xfId="134" applyNumberFormat="1" applyFont="1" applyFill="1" applyBorder="1"/>
    <xf numFmtId="165" fontId="162" fillId="0" borderId="0" xfId="134" applyNumberFormat="1" applyFont="1" applyFill="1" applyBorder="1"/>
    <xf numFmtId="165" fontId="162" fillId="0" borderId="37" xfId="134" applyNumberFormat="1" applyFont="1" applyFill="1" applyBorder="1"/>
    <xf numFmtId="165" fontId="162" fillId="0" borderId="38" xfId="134" applyNumberFormat="1" applyFont="1" applyFill="1" applyBorder="1"/>
    <xf numFmtId="165" fontId="162" fillId="7" borderId="0" xfId="134" applyNumberFormat="1" applyFont="1" applyFill="1" applyBorder="1"/>
    <xf numFmtId="165" fontId="162" fillId="0" borderId="0" xfId="134" applyNumberFormat="1" applyFont="1" applyBorder="1"/>
    <xf numFmtId="10" fontId="5" fillId="0" borderId="0" xfId="392" applyNumberFormat="1" applyFont="1" applyFill="1"/>
    <xf numFmtId="3" fontId="162" fillId="0" borderId="0" xfId="392" applyNumberFormat="1" applyFont="1" applyFill="1" applyBorder="1" applyAlignment="1">
      <alignment horizontal="right"/>
    </xf>
    <xf numFmtId="3" fontId="162" fillId="0" borderId="0" xfId="392" applyNumberFormat="1" applyFont="1" applyBorder="1" applyAlignment="1">
      <alignment horizontal="right"/>
    </xf>
    <xf numFmtId="165" fontId="163" fillId="0" borderId="0" xfId="134" applyNumberFormat="1" applyFont="1" applyFill="1" applyBorder="1" applyAlignment="1">
      <alignment horizontal="center"/>
    </xf>
    <xf numFmtId="185" fontId="5" fillId="0" borderId="0" xfId="392" applyNumberFormat="1" applyFont="1" applyFill="1" applyAlignment="1">
      <alignment horizontal="center"/>
    </xf>
    <xf numFmtId="165" fontId="163" fillId="0" borderId="38" xfId="134" applyNumberFormat="1" applyFont="1" applyFill="1" applyBorder="1"/>
    <xf numFmtId="165" fontId="163" fillId="7" borderId="0" xfId="134" applyNumberFormat="1" applyFont="1" applyFill="1" applyBorder="1"/>
    <xf numFmtId="165" fontId="162" fillId="0" borderId="0" xfId="134" applyNumberFormat="1" applyFont="1"/>
    <xf numFmtId="165" fontId="162" fillId="0" borderId="0" xfId="134" applyNumberFormat="1" applyFont="1" applyFill="1"/>
    <xf numFmtId="0" fontId="5" fillId="0" borderId="0" xfId="315" applyFont="1" applyAlignment="1">
      <alignment horizontal="left" indent="2"/>
    </xf>
    <xf numFmtId="0" fontId="5" fillId="0" borderId="0" xfId="315" applyFont="1" applyAlignment="1">
      <alignment horizontal="left"/>
    </xf>
    <xf numFmtId="165" fontId="5" fillId="0" borderId="0" xfId="134" applyNumberFormat="1" applyFont="1" applyFill="1" applyAlignment="1">
      <alignment horizontal="right"/>
    </xf>
    <xf numFmtId="166" fontId="162" fillId="0" borderId="0" xfId="392" applyFont="1" applyAlignment="1">
      <alignment horizontal="left"/>
    </xf>
    <xf numFmtId="165" fontId="162" fillId="0" borderId="6" xfId="134" applyNumberFormat="1" applyFont="1" applyFill="1" applyBorder="1"/>
    <xf numFmtId="165" fontId="162" fillId="0" borderId="7" xfId="134" applyNumberFormat="1" applyFont="1" applyFill="1" applyBorder="1"/>
    <xf numFmtId="165" fontId="162" fillId="0" borderId="61" xfId="134" applyNumberFormat="1" applyFont="1" applyFill="1" applyBorder="1"/>
    <xf numFmtId="165" fontId="162" fillId="0" borderId="62" xfId="134" applyNumberFormat="1" applyFont="1" applyFill="1" applyBorder="1"/>
    <xf numFmtId="166" fontId="5" fillId="0" borderId="57" xfId="392" applyFont="1" applyFill="1" applyBorder="1" applyAlignment="1">
      <alignment horizontal="left"/>
    </xf>
    <xf numFmtId="166" fontId="5" fillId="0" borderId="38" xfId="392" applyFont="1" applyFill="1" applyBorder="1" applyAlignment="1">
      <alignment horizontal="left"/>
    </xf>
    <xf numFmtId="165" fontId="164" fillId="0" borderId="0" xfId="134" applyNumberFormat="1" applyFont="1"/>
    <xf numFmtId="3" fontId="164" fillId="0" borderId="0" xfId="392" applyNumberFormat="1" applyFont="1"/>
    <xf numFmtId="166" fontId="4" fillId="89" borderId="60" xfId="392" applyFont="1" applyFill="1" applyBorder="1" applyAlignment="1">
      <alignment horizontal="left"/>
    </xf>
    <xf numFmtId="1" fontId="5" fillId="0" borderId="57" xfId="315" applyNumberFormat="1" applyFont="1" applyFill="1" applyBorder="1"/>
    <xf numFmtId="1" fontId="5" fillId="0" borderId="0" xfId="315" applyNumberFormat="1" applyFont="1" applyFill="1"/>
    <xf numFmtId="165" fontId="162" fillId="0" borderId="0" xfId="134" applyNumberFormat="1" applyFont="1" applyFill="1" applyBorder="1" applyAlignment="1">
      <alignment horizontal="right"/>
    </xf>
    <xf numFmtId="165" fontId="162" fillId="0" borderId="0" xfId="134" applyNumberFormat="1" applyFont="1" applyBorder="1" applyAlignment="1">
      <alignment horizontal="right"/>
    </xf>
    <xf numFmtId="3" fontId="162" fillId="0" borderId="0" xfId="392" applyNumberFormat="1" applyFont="1"/>
    <xf numFmtId="166" fontId="5" fillId="0" borderId="0" xfId="392" applyFont="1" applyFill="1" applyBorder="1" applyAlignment="1">
      <alignment horizontal="centerContinuous"/>
    </xf>
    <xf numFmtId="3" fontId="5" fillId="0" borderId="0" xfId="134" applyNumberFormat="1" applyFont="1" applyFill="1"/>
    <xf numFmtId="166" fontId="5" fillId="49" borderId="0" xfId="392" applyFont="1" applyFill="1"/>
    <xf numFmtId="166" fontId="162" fillId="0" borderId="0" xfId="392" applyFont="1"/>
    <xf numFmtId="3" fontId="162" fillId="0" borderId="0" xfId="134" applyNumberFormat="1" applyFont="1"/>
    <xf numFmtId="166" fontId="5" fillId="89" borderId="60" xfId="392" applyFont="1" applyFill="1" applyBorder="1" applyAlignment="1">
      <alignment horizontal="center"/>
    </xf>
    <xf numFmtId="14" fontId="5" fillId="0" borderId="0" xfId="315" applyNumberFormat="1" applyFont="1"/>
    <xf numFmtId="3" fontId="162" fillId="0" borderId="0" xfId="392" applyNumberFormat="1" applyFont="1" applyFill="1" applyAlignment="1">
      <alignment horizontal="right"/>
    </xf>
    <xf numFmtId="10" fontId="4" fillId="0" borderId="0" xfId="392" applyNumberFormat="1" applyFont="1" applyFill="1" applyBorder="1" applyAlignment="1">
      <alignment horizontal="center"/>
    </xf>
    <xf numFmtId="165" fontId="163" fillId="0" borderId="0" xfId="134" applyNumberFormat="1" applyFont="1" applyFill="1" applyBorder="1"/>
    <xf numFmtId="165" fontId="4" fillId="0" borderId="0" xfId="134" applyNumberFormat="1" applyFont="1" applyFill="1" applyBorder="1"/>
    <xf numFmtId="3" fontId="162" fillId="0" borderId="0" xfId="392" applyNumberFormat="1" applyFont="1" applyAlignment="1">
      <alignment horizontal="right"/>
    </xf>
    <xf numFmtId="166" fontId="5" fillId="0" borderId="0" xfId="392" applyFont="1" applyBorder="1" applyAlignment="1">
      <alignment horizontal="center"/>
    </xf>
    <xf numFmtId="166" fontId="14" fillId="0" borderId="0" xfId="392" applyFont="1" applyAlignment="1">
      <alignment horizontal="right"/>
    </xf>
    <xf numFmtId="43" fontId="5" fillId="0" borderId="57" xfId="134" applyFont="1" applyBorder="1" applyAlignment="1">
      <alignment horizontal="left"/>
    </xf>
    <xf numFmtId="43" fontId="5" fillId="0" borderId="0" xfId="134" applyFont="1" applyBorder="1" applyAlignment="1">
      <alignment horizontal="left"/>
    </xf>
    <xf numFmtId="166" fontId="5" fillId="0" borderId="57" xfId="392" applyFont="1" applyBorder="1" applyAlignment="1">
      <alignment horizontal="left"/>
    </xf>
    <xf numFmtId="166" fontId="5" fillId="90" borderId="0" xfId="392" applyFont="1" applyFill="1" applyAlignment="1">
      <alignment horizontal="left"/>
    </xf>
    <xf numFmtId="166" fontId="5" fillId="90" borderId="0" xfId="392" applyFont="1" applyFill="1" applyBorder="1" applyAlignment="1">
      <alignment horizontal="left"/>
    </xf>
    <xf numFmtId="166" fontId="5" fillId="0" borderId="12" xfId="392" applyFont="1" applyBorder="1" applyAlignment="1">
      <alignment horizontal="left"/>
    </xf>
    <xf numFmtId="166" fontId="4" fillId="91" borderId="7" xfId="392" applyFont="1" applyFill="1" applyBorder="1"/>
    <xf numFmtId="166" fontId="4" fillId="91" borderId="7" xfId="392" applyFont="1" applyFill="1" applyBorder="1" applyAlignment="1">
      <alignment horizontal="right"/>
    </xf>
    <xf numFmtId="166" fontId="4" fillId="91" borderId="7" xfId="392" applyFont="1" applyFill="1" applyBorder="1" applyAlignment="1">
      <alignment horizontal="left"/>
    </xf>
    <xf numFmtId="164" fontId="4" fillId="91" borderId="7" xfId="220" applyNumberFormat="1" applyFont="1" applyFill="1" applyBorder="1" applyAlignment="1">
      <alignment horizontal="left"/>
    </xf>
    <xf numFmtId="164" fontId="4" fillId="0" borderId="0" xfId="220" applyNumberFormat="1" applyFont="1" applyFill="1" applyBorder="1" applyAlignment="1">
      <alignment horizontal="left"/>
    </xf>
    <xf numFmtId="166" fontId="5" fillId="0" borderId="0" xfId="392" applyFont="1" applyAlignment="1">
      <alignment horizontal="right"/>
    </xf>
    <xf numFmtId="164" fontId="5" fillId="50" borderId="0" xfId="220" applyNumberFormat="1" applyFont="1" applyFill="1" applyAlignment="1">
      <alignment horizontal="left"/>
    </xf>
    <xf numFmtId="164" fontId="5" fillId="0" borderId="0" xfId="220" applyNumberFormat="1" applyFont="1" applyFill="1" applyAlignment="1">
      <alignment horizontal="left"/>
    </xf>
    <xf numFmtId="166" fontId="5" fillId="0" borderId="0" xfId="392" applyFont="1" applyFill="1" applyBorder="1"/>
    <xf numFmtId="4" fontId="4" fillId="0" borderId="0" xfId="392" applyNumberFormat="1" applyFont="1" applyFill="1" applyBorder="1" applyAlignment="1">
      <alignment horizontal="center"/>
    </xf>
    <xf numFmtId="168" fontId="4" fillId="0" borderId="0" xfId="392" applyNumberFormat="1" applyFont="1" applyFill="1" applyBorder="1" applyAlignment="1">
      <alignment horizontal="center"/>
    </xf>
    <xf numFmtId="3" fontId="5" fillId="0" borderId="0" xfId="392" applyNumberFormat="1" applyFont="1" applyFill="1" applyBorder="1"/>
    <xf numFmtId="10" fontId="5" fillId="0" borderId="0" xfId="392" applyNumberFormat="1" applyFont="1" applyFill="1" applyBorder="1"/>
    <xf numFmtId="3" fontId="5" fillId="0" borderId="0" xfId="392" applyNumberFormat="1" applyFont="1" applyBorder="1"/>
    <xf numFmtId="165" fontId="5" fillId="0" borderId="0" xfId="134" applyNumberFormat="1" applyFont="1" applyFill="1" applyBorder="1" applyAlignment="1">
      <alignment horizontal="right"/>
    </xf>
    <xf numFmtId="168" fontId="5" fillId="0" borderId="0" xfId="134" applyNumberFormat="1" applyFont="1" applyFill="1" applyBorder="1"/>
    <xf numFmtId="3" fontId="5" fillId="0" borderId="0" xfId="392" applyNumberFormat="1" applyFont="1" applyFill="1" applyBorder="1" applyAlignment="1">
      <alignment horizontal="right"/>
    </xf>
    <xf numFmtId="10" fontId="5" fillId="0" borderId="0" xfId="1086" applyNumberFormat="1" applyFont="1" applyFill="1" applyBorder="1"/>
    <xf numFmtId="185" fontId="5" fillId="0" borderId="0" xfId="392" applyNumberFormat="1" applyFont="1" applyFill="1" applyBorder="1"/>
    <xf numFmtId="168" fontId="5" fillId="0" borderId="0" xfId="392" applyNumberFormat="1" applyFont="1" applyFill="1" applyBorder="1"/>
    <xf numFmtId="165" fontId="4" fillId="0" borderId="12" xfId="134" applyNumberFormat="1" applyFont="1" applyFill="1" applyBorder="1" applyAlignment="1">
      <alignment horizontal="center"/>
    </xf>
    <xf numFmtId="165" fontId="4" fillId="0" borderId="0" xfId="134" applyNumberFormat="1" applyFont="1" applyFill="1" applyBorder="1" applyAlignment="1">
      <alignment horizontal="center"/>
    </xf>
    <xf numFmtId="166" fontId="5" fillId="0" borderId="0" xfId="392" applyFont="1" applyFill="1" applyBorder="1" applyAlignment="1">
      <alignment horizontal="right"/>
    </xf>
    <xf numFmtId="165" fontId="5" fillId="9" borderId="0" xfId="134" applyNumberFormat="1" applyFont="1" applyFill="1" applyBorder="1"/>
    <xf numFmtId="9" fontId="5" fillId="0" borderId="0" xfId="1086" applyFont="1" applyFill="1" applyBorder="1"/>
    <xf numFmtId="166" fontId="5" fillId="9" borderId="0" xfId="392" applyFont="1" applyFill="1"/>
    <xf numFmtId="168" fontId="4" fillId="0" borderId="0" xfId="134" applyNumberFormat="1" applyFont="1" applyFill="1" applyBorder="1"/>
    <xf numFmtId="165" fontId="5" fillId="0" borderId="0" xfId="392" applyNumberFormat="1" applyFont="1" applyFill="1" applyBorder="1"/>
    <xf numFmtId="43" fontId="5" fillId="0" borderId="0" xfId="134" applyFont="1" applyFill="1" applyBorder="1"/>
    <xf numFmtId="165" fontId="5" fillId="0" borderId="0" xfId="134" quotePrefix="1" applyNumberFormat="1" applyFont="1" applyFill="1" applyBorder="1" applyAlignment="1">
      <alignment horizontal="left"/>
    </xf>
    <xf numFmtId="165" fontId="4" fillId="0" borderId="0" xfId="392" applyNumberFormat="1" applyFont="1" applyFill="1" applyBorder="1" applyAlignment="1">
      <alignment horizontal="center"/>
    </xf>
    <xf numFmtId="164" fontId="5" fillId="0" borderId="0" xfId="220" applyNumberFormat="1" applyFont="1" applyFill="1" applyBorder="1"/>
    <xf numFmtId="165" fontId="5" fillId="0" borderId="12" xfId="134" applyNumberFormat="1" applyFont="1" applyBorder="1"/>
    <xf numFmtId="166" fontId="4" fillId="46" borderId="7" xfId="392" applyFont="1" applyFill="1" applyBorder="1"/>
    <xf numFmtId="166" fontId="4" fillId="46" borderId="7" xfId="392" applyFont="1" applyFill="1" applyBorder="1" applyAlignment="1">
      <alignment horizontal="right"/>
    </xf>
    <xf numFmtId="166" fontId="4" fillId="46" borderId="7" xfId="392" applyFont="1" applyFill="1" applyBorder="1" applyAlignment="1">
      <alignment horizontal="left"/>
    </xf>
    <xf numFmtId="165" fontId="4" fillId="46" borderId="7" xfId="134" applyNumberFormat="1" applyFont="1" applyFill="1" applyBorder="1" applyAlignment="1">
      <alignment horizontal="right"/>
    </xf>
    <xf numFmtId="165" fontId="4" fillId="0" borderId="0" xfId="134" applyNumberFormat="1" applyFont="1" applyFill="1" applyBorder="1" applyAlignment="1">
      <alignment horizontal="right"/>
    </xf>
    <xf numFmtId="185" fontId="5" fillId="0" borderId="0" xfId="392" applyNumberFormat="1" applyFont="1" applyFill="1" applyBorder="1" applyAlignment="1">
      <alignment horizontal="right"/>
    </xf>
    <xf numFmtId="165" fontId="5" fillId="9" borderId="12" xfId="134" applyNumberFormat="1" applyFont="1" applyFill="1" applyBorder="1"/>
    <xf numFmtId="10" fontId="162" fillId="0" borderId="0" xfId="1086" applyNumberFormat="1" applyFont="1" applyFill="1" applyBorder="1"/>
    <xf numFmtId="166" fontId="4" fillId="0" borderId="7" xfId="392" applyFont="1" applyFill="1" applyBorder="1" applyAlignment="1">
      <alignment horizontal="left"/>
    </xf>
    <xf numFmtId="3" fontId="4" fillId="0" borderId="0" xfId="392" applyNumberFormat="1" applyFont="1" applyFill="1" applyBorder="1" applyAlignment="1">
      <alignment horizontal="right"/>
    </xf>
    <xf numFmtId="166" fontId="4" fillId="0" borderId="0" xfId="392" applyFont="1" applyFill="1" applyBorder="1"/>
    <xf numFmtId="168" fontId="5" fillId="0" borderId="0" xfId="392" applyNumberFormat="1" applyFont="1" applyBorder="1"/>
    <xf numFmtId="185" fontId="5" fillId="0" borderId="0" xfId="392" applyNumberFormat="1" applyFont="1" applyBorder="1"/>
    <xf numFmtId="185" fontId="5" fillId="0" borderId="0" xfId="392" applyNumberFormat="1" applyFont="1" applyFill="1" applyAlignment="1">
      <alignment horizontal="right"/>
    </xf>
    <xf numFmtId="166" fontId="5" fillId="92" borderId="0" xfId="392" applyFont="1" applyFill="1"/>
    <xf numFmtId="168" fontId="5" fillId="0" borderId="0" xfId="392" applyNumberFormat="1" applyFont="1" applyFill="1"/>
    <xf numFmtId="166" fontId="5" fillId="92" borderId="7" xfId="392" applyFont="1" applyFill="1" applyBorder="1"/>
    <xf numFmtId="166" fontId="4" fillId="92" borderId="7" xfId="392" applyFont="1" applyFill="1" applyBorder="1" applyAlignment="1">
      <alignment horizontal="center"/>
    </xf>
    <xf numFmtId="166" fontId="5" fillId="92" borderId="7" xfId="392" applyFont="1" applyFill="1" applyBorder="1" applyAlignment="1">
      <alignment horizontal="left"/>
    </xf>
    <xf numFmtId="164" fontId="4" fillId="92" borderId="7" xfId="220" applyNumberFormat="1" applyFont="1" applyFill="1" applyBorder="1" applyAlignment="1">
      <alignment horizontal="left"/>
    </xf>
    <xf numFmtId="3" fontId="4" fillId="0" borderId="0" xfId="392" applyNumberFormat="1" applyFont="1" applyFill="1" applyBorder="1"/>
    <xf numFmtId="166" fontId="4" fillId="0" borderId="0" xfId="392" applyFont="1" applyFill="1"/>
    <xf numFmtId="166" fontId="5" fillId="0" borderId="0" xfId="392" applyFont="1" applyAlignment="1">
      <alignment horizontal="center"/>
    </xf>
    <xf numFmtId="165" fontId="5" fillId="0" borderId="0" xfId="134" applyNumberFormat="1" applyFont="1" applyFill="1" applyBorder="1" applyAlignment="1">
      <alignment horizontal="center"/>
    </xf>
    <xf numFmtId="3" fontId="5" fillId="0" borderId="0" xfId="392" applyNumberFormat="1" applyFont="1" applyFill="1" applyBorder="1" applyAlignment="1">
      <alignment horizontal="center"/>
    </xf>
    <xf numFmtId="166" fontId="5" fillId="0" borderId="0" xfId="392" applyFont="1" applyFill="1" applyBorder="1" applyAlignment="1">
      <alignment horizontal="center"/>
    </xf>
    <xf numFmtId="168" fontId="5" fillId="0" borderId="0" xfId="392" applyNumberFormat="1" applyFont="1" applyFill="1" applyAlignment="1">
      <alignment horizontal="center"/>
    </xf>
    <xf numFmtId="10" fontId="5" fillId="0" borderId="0" xfId="392" applyNumberFormat="1" applyFont="1" applyFill="1" applyAlignment="1">
      <alignment horizontal="center"/>
    </xf>
    <xf numFmtId="165" fontId="5" fillId="0" borderId="12" xfId="134" applyNumberFormat="1" applyFont="1" applyFill="1" applyBorder="1" applyAlignment="1">
      <alignment horizontal="right"/>
    </xf>
    <xf numFmtId="9" fontId="162" fillId="0" borderId="0" xfId="1086" applyFont="1" applyFill="1" applyBorder="1"/>
    <xf numFmtId="166" fontId="163" fillId="0" borderId="0" xfId="392" applyFont="1" applyAlignment="1">
      <alignment horizontal="left"/>
    </xf>
    <xf numFmtId="166" fontId="5" fillId="93" borderId="7" xfId="392" applyFont="1" applyFill="1" applyBorder="1"/>
    <xf numFmtId="166" fontId="4" fillId="93" borderId="7" xfId="392" applyFont="1" applyFill="1" applyBorder="1" applyAlignment="1">
      <alignment horizontal="center"/>
    </xf>
    <xf numFmtId="166" fontId="5" fillId="93" borderId="7" xfId="392" applyFont="1" applyFill="1" applyBorder="1" applyAlignment="1">
      <alignment horizontal="left"/>
    </xf>
    <xf numFmtId="164" fontId="4" fillId="93" borderId="7" xfId="220" applyNumberFormat="1" applyFont="1" applyFill="1" applyBorder="1" applyAlignment="1">
      <alignment horizontal="left"/>
    </xf>
    <xf numFmtId="43" fontId="5" fillId="0" borderId="0" xfId="134" applyFont="1" applyFill="1" applyAlignment="1">
      <alignment horizontal="left"/>
    </xf>
    <xf numFmtId="166" fontId="10" fillId="0" borderId="0" xfId="392" applyFont="1" applyAlignment="1">
      <alignment horizontal="right"/>
    </xf>
    <xf numFmtId="43" fontId="10" fillId="0" borderId="58" xfId="134" applyFont="1" applyFill="1" applyBorder="1"/>
    <xf numFmtId="43" fontId="5" fillId="0" borderId="0" xfId="134" applyNumberFormat="1" applyFont="1" applyFill="1" applyAlignment="1">
      <alignment horizontal="left"/>
    </xf>
    <xf numFmtId="166" fontId="166" fillId="0" borderId="0" xfId="392" applyFont="1" applyAlignment="1">
      <alignment horizontal="right"/>
    </xf>
    <xf numFmtId="166" fontId="158" fillId="0" borderId="0" xfId="392" applyFont="1"/>
    <xf numFmtId="0" fontId="5" fillId="0" borderId="0" xfId="1250" quotePrefix="1" applyFont="1" applyAlignment="1">
      <alignment horizontal="right"/>
    </xf>
    <xf numFmtId="0" fontId="5" fillId="0" borderId="0" xfId="1250" applyFont="1" applyAlignment="1">
      <alignment horizontal="right"/>
    </xf>
    <xf numFmtId="0" fontId="5" fillId="0" borderId="0" xfId="1250" applyFont="1" applyFill="1" applyAlignment="1">
      <alignment horizontal="left"/>
    </xf>
    <xf numFmtId="0" fontId="5" fillId="0" borderId="0" xfId="1250" applyFont="1" applyAlignment="1">
      <alignment horizontal="left"/>
    </xf>
    <xf numFmtId="0" fontId="5" fillId="0" borderId="0" xfId="1250" quotePrefix="1" applyFont="1" applyAlignment="1">
      <alignment horizontal="left"/>
    </xf>
    <xf numFmtId="0" fontId="5" fillId="0" borderId="0" xfId="1250" quotePrefix="1" applyFont="1" applyFill="1" applyAlignment="1">
      <alignment horizontal="left"/>
    </xf>
    <xf numFmtId="0" fontId="5" fillId="0" borderId="0" xfId="1250" applyFont="1" applyBorder="1" applyAlignment="1">
      <alignment horizontal="left"/>
    </xf>
    <xf numFmtId="0" fontId="5" fillId="0" borderId="0" xfId="1250" quotePrefix="1" applyFont="1" applyBorder="1" applyAlignment="1">
      <alignment horizontal="left"/>
    </xf>
    <xf numFmtId="0" fontId="114" fillId="0" borderId="0" xfId="4" applyFont="1" applyFill="1"/>
    <xf numFmtId="3" fontId="114" fillId="0" borderId="0" xfId="4" applyNumberFormat="1" applyFont="1" applyFill="1"/>
    <xf numFmtId="3" fontId="115" fillId="0" borderId="0" xfId="4" applyNumberFormat="1" applyFont="1" applyFill="1"/>
    <xf numFmtId="0" fontId="110" fillId="0" borderId="0" xfId="0" applyFont="1" applyFill="1"/>
    <xf numFmtId="43" fontId="5" fillId="94" borderId="7" xfId="1" applyFont="1" applyFill="1" applyBorder="1"/>
    <xf numFmtId="164" fontId="4" fillId="94" borderId="8" xfId="2" applyNumberFormat="1" applyFont="1" applyFill="1" applyBorder="1"/>
    <xf numFmtId="0" fontId="4" fillId="94" borderId="0" xfId="4" applyFont="1" applyFill="1" applyBorder="1"/>
    <xf numFmtId="0" fontId="80" fillId="0" borderId="0" xfId="220" applyNumberFormat="1" applyFont="1" applyBorder="1"/>
    <xf numFmtId="43" fontId="3" fillId="0" borderId="0" xfId="134" applyBorder="1"/>
    <xf numFmtId="165" fontId="0" fillId="49" borderId="0" xfId="0" applyNumberFormat="1" applyFill="1"/>
    <xf numFmtId="165" fontId="86" fillId="0" borderId="12" xfId="0" applyNumberFormat="1" applyFont="1" applyBorder="1" applyAlignment="1">
      <alignment horizontal="center"/>
    </xf>
    <xf numFmtId="164" fontId="5" fillId="94" borderId="8" xfId="2" applyNumberFormat="1" applyFont="1" applyFill="1" applyBorder="1"/>
    <xf numFmtId="0" fontId="169" fillId="0" borderId="0" xfId="0" applyFont="1"/>
    <xf numFmtId="43" fontId="3" fillId="0" borderId="8" xfId="134" applyFill="1" applyBorder="1"/>
    <xf numFmtId="43" fontId="167" fillId="0" borderId="0" xfId="134" applyFont="1" applyFill="1"/>
    <xf numFmtId="0" fontId="3" fillId="0" borderId="0" xfId="220" applyNumberFormat="1"/>
    <xf numFmtId="44" fontId="80" fillId="0" borderId="0" xfId="220" applyFont="1"/>
    <xf numFmtId="0" fontId="3" fillId="0" borderId="0" xfId="0" applyFont="1" applyBorder="1"/>
    <xf numFmtId="44" fontId="3" fillId="0" borderId="0" xfId="220" applyFont="1" applyBorder="1"/>
    <xf numFmtId="44" fontId="3" fillId="0" borderId="8" xfId="220" applyFont="1" applyBorder="1"/>
    <xf numFmtId="43" fontId="3" fillId="0" borderId="8" xfId="134" applyFont="1" applyBorder="1"/>
    <xf numFmtId="17" fontId="3" fillId="0" borderId="0" xfId="0" applyNumberFormat="1" applyFont="1" applyAlignment="1">
      <alignment horizontal="left"/>
    </xf>
    <xf numFmtId="44" fontId="3" fillId="7" borderId="0" xfId="220" applyFont="1" applyFill="1"/>
    <xf numFmtId="17" fontId="0" fillId="7" borderId="0" xfId="0" applyNumberFormat="1" applyFill="1" applyAlignment="1">
      <alignment horizontal="left"/>
    </xf>
    <xf numFmtId="17" fontId="0" fillId="0" borderId="0" xfId="0" applyNumberFormat="1" applyAlignment="1">
      <alignment horizontal="left"/>
    </xf>
    <xf numFmtId="0" fontId="80" fillId="0" borderId="0" xfId="1266" applyFont="1"/>
    <xf numFmtId="43" fontId="3" fillId="0" borderId="0" xfId="134" applyFont="1" applyAlignment="1">
      <alignment horizontal="right"/>
    </xf>
    <xf numFmtId="43" fontId="3" fillId="0" borderId="0" xfId="134" applyFont="1" applyBorder="1"/>
    <xf numFmtId="43" fontId="3" fillId="7" borderId="0" xfId="134" applyFont="1" applyFill="1" applyAlignment="1">
      <alignment horizontal="right"/>
    </xf>
    <xf numFmtId="43" fontId="3" fillId="7" borderId="0" xfId="134" quotePrefix="1" applyFont="1" applyFill="1" applyAlignment="1">
      <alignment horizontal="right"/>
    </xf>
    <xf numFmtId="44" fontId="3" fillId="7" borderId="0" xfId="220" quotePrefix="1" applyFont="1" applyFill="1" applyAlignment="1">
      <alignment horizontal="right"/>
    </xf>
    <xf numFmtId="17" fontId="168" fillId="7" borderId="0" xfId="1266" applyNumberFormat="1" applyFill="1" applyAlignment="1">
      <alignment horizontal="left"/>
    </xf>
    <xf numFmtId="44" fontId="3" fillId="0" borderId="0" xfId="220" applyBorder="1"/>
    <xf numFmtId="43" fontId="80" fillId="0" borderId="0" xfId="134" applyFont="1"/>
    <xf numFmtId="43" fontId="3" fillId="0" borderId="0" xfId="134" applyFont="1" applyAlignment="1">
      <alignment horizontal="left"/>
    </xf>
    <xf numFmtId="3" fontId="3" fillId="0" borderId="0" xfId="134" applyNumberFormat="1" applyFont="1"/>
    <xf numFmtId="3" fontId="3" fillId="0" borderId="0" xfId="220" applyNumberFormat="1" applyFont="1"/>
    <xf numFmtId="3" fontId="3" fillId="0" borderId="0" xfId="134" applyNumberFormat="1"/>
    <xf numFmtId="0" fontId="168" fillId="0" borderId="0" xfId="1266"/>
    <xf numFmtId="43" fontId="86" fillId="0" borderId="7" xfId="0" applyNumberFormat="1" applyFont="1" applyBorder="1"/>
    <xf numFmtId="0" fontId="86" fillId="0" borderId="12" xfId="0" applyFont="1" applyBorder="1" applyAlignment="1">
      <alignment horizontal="right"/>
    </xf>
    <xf numFmtId="43" fontId="86" fillId="0" borderId="12" xfId="1" applyFont="1" applyBorder="1"/>
    <xf numFmtId="0" fontId="0" fillId="0" borderId="41" xfId="0" applyBorder="1"/>
    <xf numFmtId="43" fontId="86" fillId="0" borderId="41" xfId="0" applyNumberFormat="1" applyFont="1" applyBorder="1"/>
    <xf numFmtId="43" fontId="0" fillId="88" borderId="0" xfId="0" applyNumberFormat="1" applyFill="1"/>
    <xf numFmtId="0" fontId="0" fillId="88" borderId="0" xfId="0" applyFill="1" applyAlignment="1">
      <alignment horizontal="left"/>
    </xf>
    <xf numFmtId="44" fontId="120" fillId="0" borderId="12" xfId="2" applyFont="1" applyBorder="1"/>
    <xf numFmtId="3" fontId="114" fillId="0" borderId="12" xfId="4" applyNumberFormat="1" applyFont="1" applyFill="1" applyBorder="1"/>
    <xf numFmtId="0" fontId="114" fillId="0" borderId="0" xfId="4" applyFont="1" applyFill="1" applyAlignment="1">
      <alignment horizontal="right"/>
    </xf>
    <xf numFmtId="0" fontId="116" fillId="0" borderId="0" xfId="0" applyFont="1" applyFill="1" applyAlignment="1">
      <alignment horizontal="center"/>
    </xf>
    <xf numFmtId="0" fontId="119" fillId="0" borderId="0" xfId="0" applyFont="1" applyFill="1" applyAlignment="1">
      <alignment horizontal="center"/>
    </xf>
    <xf numFmtId="43" fontId="167" fillId="0" borderId="0" xfId="134" applyFont="1" applyFill="1" applyBorder="1"/>
    <xf numFmtId="5" fontId="3" fillId="0" borderId="0" xfId="220" applyNumberFormat="1" applyFont="1"/>
    <xf numFmtId="43" fontId="3" fillId="7" borderId="0" xfId="134" applyFont="1" applyFill="1"/>
    <xf numFmtId="0" fontId="96" fillId="0" borderId="12" xfId="4" applyFont="1" applyFill="1" applyBorder="1" applyAlignment="1">
      <alignment horizontal="center"/>
    </xf>
    <xf numFmtId="0" fontId="114" fillId="0" borderId="0" xfId="4" applyFont="1" applyFill="1" applyAlignment="1">
      <alignment horizontal="left"/>
    </xf>
    <xf numFmtId="0" fontId="3" fillId="0" borderId="0" xfId="220" applyNumberFormat="1" applyBorder="1" applyAlignment="1">
      <alignment horizontal="right"/>
    </xf>
    <xf numFmtId="0" fontId="0" fillId="0" borderId="0" xfId="0"/>
    <xf numFmtId="43" fontId="0" fillId="0" borderId="0" xfId="0" applyNumberFormat="1"/>
    <xf numFmtId="0" fontId="0" fillId="0" borderId="0" xfId="0" applyFill="1"/>
    <xf numFmtId="0" fontId="95" fillId="0" borderId="0" xfId="0" applyFont="1"/>
    <xf numFmtId="0" fontId="3" fillId="85" borderId="0" xfId="315" applyFill="1"/>
    <xf numFmtId="0" fontId="3" fillId="0" borderId="0" xfId="315"/>
    <xf numFmtId="0" fontId="3" fillId="0" borderId="0" xfId="315" applyFont="1"/>
    <xf numFmtId="0" fontId="80" fillId="0" borderId="0" xfId="315" applyFont="1"/>
    <xf numFmtId="0" fontId="3" fillId="0" borderId="0" xfId="315" applyAlignment="1">
      <alignment horizontal="right"/>
    </xf>
    <xf numFmtId="0" fontId="3" fillId="0" borderId="0" xfId="315" applyAlignment="1">
      <alignment horizontal="left"/>
    </xf>
    <xf numFmtId="0" fontId="143" fillId="0" borderId="0" xfId="315" applyFont="1"/>
    <xf numFmtId="0" fontId="144" fillId="0" borderId="0" xfId="315" applyFont="1"/>
    <xf numFmtId="0" fontId="145" fillId="0" borderId="0" xfId="315" applyFont="1" applyAlignment="1">
      <alignment horizontal="right" vertical="top"/>
    </xf>
    <xf numFmtId="0" fontId="146" fillId="0" borderId="0" xfId="315" applyFont="1"/>
    <xf numFmtId="0" fontId="80" fillId="85" borderId="12" xfId="315" applyFont="1" applyFill="1" applyBorder="1" applyAlignment="1">
      <alignment horizontal="centerContinuous"/>
    </xf>
    <xf numFmtId="0" fontId="80" fillId="47" borderId="12" xfId="315" applyFont="1" applyFill="1" applyBorder="1" applyAlignment="1">
      <alignment horizontal="centerContinuous"/>
    </xf>
    <xf numFmtId="0" fontId="3" fillId="47" borderId="12" xfId="315" applyFill="1" applyBorder="1" applyAlignment="1">
      <alignment horizontal="centerContinuous"/>
    </xf>
    <xf numFmtId="0" fontId="80" fillId="0" borderId="0" xfId="315" applyFont="1" applyAlignment="1">
      <alignment horizontal="right"/>
    </xf>
    <xf numFmtId="49" fontId="147" fillId="0" borderId="0" xfId="315" applyNumberFormat="1" applyFont="1" applyAlignment="1">
      <alignment horizontal="left"/>
    </xf>
    <xf numFmtId="0" fontId="3" fillId="0" borderId="0" xfId="315" applyFont="1" applyAlignment="1">
      <alignment horizontal="right"/>
    </xf>
    <xf numFmtId="0" fontId="147" fillId="0" borderId="0" xfId="315" applyFont="1"/>
    <xf numFmtId="39" fontId="147" fillId="0" borderId="0" xfId="134" applyNumberFormat="1" applyFont="1" applyAlignment="1">
      <alignment horizontal="left"/>
    </xf>
    <xf numFmtId="0" fontId="3" fillId="0" borderId="0" xfId="315" applyAlignment="1"/>
    <xf numFmtId="0" fontId="147" fillId="0" borderId="0" xfId="315" applyFont="1" applyAlignment="1">
      <alignment horizontal="left"/>
    </xf>
    <xf numFmtId="0" fontId="80" fillId="45" borderId="0" xfId="315" applyFont="1" applyFill="1"/>
    <xf numFmtId="0" fontId="3" fillId="45" borderId="0" xfId="315" applyFill="1"/>
    <xf numFmtId="40" fontId="80" fillId="45" borderId="0" xfId="134" applyNumberFormat="1" applyFont="1" applyFill="1"/>
    <xf numFmtId="0" fontId="3" fillId="0" borderId="0" xfId="315" applyAlignment="1">
      <alignment horizontal="left" indent="1"/>
    </xf>
    <xf numFmtId="38" fontId="80" fillId="45" borderId="0" xfId="134" applyNumberFormat="1" applyFont="1" applyFill="1"/>
    <xf numFmtId="0" fontId="3" fillId="0" borderId="0" xfId="315" applyNumberFormat="1" applyAlignment="1">
      <alignment horizontal="left"/>
    </xf>
    <xf numFmtId="183" fontId="3" fillId="0" borderId="0" xfId="315" applyNumberFormat="1"/>
    <xf numFmtId="0" fontId="3" fillId="47" borderId="6" xfId="315" applyFont="1" applyFill="1" applyBorder="1" applyAlignment="1">
      <alignment horizontal="centerContinuous"/>
    </xf>
    <xf numFmtId="0" fontId="3" fillId="47" borderId="7" xfId="315" applyFont="1" applyFill="1" applyBorder="1" applyAlignment="1">
      <alignment horizontal="centerContinuous"/>
    </xf>
    <xf numFmtId="0" fontId="3" fillId="47" borderId="53" xfId="315" applyFont="1" applyFill="1" applyBorder="1" applyAlignment="1">
      <alignment horizontal="centerContinuous"/>
    </xf>
    <xf numFmtId="0" fontId="3" fillId="0" borderId="0" xfId="315" applyAlignment="1">
      <alignment vertical="top"/>
    </xf>
    <xf numFmtId="0" fontId="3" fillId="45" borderId="29" xfId="315" applyFill="1" applyBorder="1" applyAlignment="1">
      <alignment vertical="top"/>
    </xf>
    <xf numFmtId="0" fontId="3" fillId="45" borderId="29" xfId="315" applyFill="1" applyBorder="1" applyAlignment="1">
      <alignment horizontal="center" vertical="top"/>
    </xf>
    <xf numFmtId="0" fontId="80" fillId="45" borderId="29" xfId="315" applyFont="1" applyFill="1" applyBorder="1" applyAlignment="1">
      <alignment horizontal="center" vertical="top" wrapText="1"/>
    </xf>
    <xf numFmtId="0" fontId="148" fillId="45" borderId="29" xfId="315" applyFont="1" applyFill="1" applyBorder="1" applyAlignment="1">
      <alignment vertical="top"/>
    </xf>
    <xf numFmtId="183" fontId="3" fillId="45" borderId="29" xfId="315" applyNumberFormat="1" applyFill="1" applyBorder="1" applyAlignment="1">
      <alignment vertical="top"/>
    </xf>
    <xf numFmtId="0" fontId="3" fillId="45" borderId="29" xfId="315" applyFill="1" applyBorder="1" applyAlignment="1">
      <alignment horizontal="left" vertical="top" wrapText="1"/>
    </xf>
    <xf numFmtId="0" fontId="3" fillId="45" borderId="54" xfId="315" applyFont="1" applyFill="1" applyBorder="1" applyAlignment="1">
      <alignment horizontal="center" vertical="top"/>
    </xf>
    <xf numFmtId="14" fontId="3" fillId="0" borderId="0" xfId="315" applyNumberFormat="1"/>
    <xf numFmtId="40" fontId="80" fillId="0" borderId="0" xfId="315" applyNumberFormat="1" applyFont="1"/>
    <xf numFmtId="40" fontId="80" fillId="0" borderId="0" xfId="315" applyNumberFormat="1" applyFont="1" applyAlignment="1">
      <alignment horizontal="center"/>
    </xf>
    <xf numFmtId="0" fontId="3" fillId="0" borderId="0" xfId="315" applyAlignment="1">
      <alignment horizontal="center"/>
    </xf>
    <xf numFmtId="40" fontId="3" fillId="0" borderId="0" xfId="134" applyNumberFormat="1"/>
    <xf numFmtId="0" fontId="3" fillId="0" borderId="41" xfId="315" applyBorder="1"/>
    <xf numFmtId="40" fontId="3" fillId="0" borderId="41" xfId="134" applyNumberFormat="1" applyBorder="1"/>
    <xf numFmtId="0" fontId="3" fillId="0" borderId="41" xfId="315" applyBorder="1" applyAlignment="1">
      <alignment horizontal="right"/>
    </xf>
    <xf numFmtId="0" fontId="3" fillId="0" borderId="0" xfId="315" applyBorder="1"/>
    <xf numFmtId="43" fontId="3" fillId="0" borderId="0" xfId="134" applyFont="1"/>
    <xf numFmtId="44" fontId="3" fillId="0" borderId="0" xfId="220" applyFont="1"/>
    <xf numFmtId="43" fontId="3" fillId="0" borderId="12" xfId="134" applyFont="1" applyBorder="1" applyAlignment="1">
      <alignment horizontal="center"/>
    </xf>
    <xf numFmtId="44" fontId="3" fillId="0" borderId="12" xfId="220" applyFont="1" applyBorder="1" applyAlignment="1">
      <alignment horizontal="center"/>
    </xf>
    <xf numFmtId="43" fontId="3" fillId="0" borderId="0" xfId="134" applyFont="1" applyFill="1"/>
    <xf numFmtId="43" fontId="3" fillId="0" borderId="0" xfId="134" quotePrefix="1" applyFont="1" applyAlignment="1">
      <alignment horizontal="right"/>
    </xf>
    <xf numFmtId="44" fontId="3" fillId="0" borderId="0" xfId="220" quotePrefix="1" applyFont="1" applyAlignment="1">
      <alignment horizontal="right"/>
    </xf>
    <xf numFmtId="43" fontId="167" fillId="0" borderId="0" xfId="134" applyFont="1" applyBorder="1"/>
    <xf numFmtId="44" fontId="167" fillId="0" borderId="0" xfId="220" applyFont="1" applyBorder="1"/>
    <xf numFmtId="43" fontId="91" fillId="0" borderId="0" xfId="134" quotePrefix="1" applyFont="1" applyBorder="1" applyAlignment="1">
      <alignment horizontal="right"/>
    </xf>
    <xf numFmtId="44" fontId="91" fillId="0" borderId="0" xfId="220" quotePrefix="1" applyFont="1" applyBorder="1" applyAlignment="1">
      <alignment horizontal="right"/>
    </xf>
    <xf numFmtId="43" fontId="3" fillId="0" borderId="0" xfId="134"/>
    <xf numFmtId="44" fontId="3" fillId="0" borderId="0" xfId="220"/>
    <xf numFmtId="44" fontId="3" fillId="0" borderId="0" xfId="220" applyFill="1" applyBorder="1"/>
    <xf numFmtId="43" fontId="3" fillId="0" borderId="0" xfId="134" applyFill="1"/>
    <xf numFmtId="43" fontId="80" fillId="0" borderId="0" xfId="134" applyFont="1" applyFill="1" applyBorder="1"/>
    <xf numFmtId="43" fontId="80" fillId="42" borderId="0" xfId="134" applyFont="1" applyFill="1" applyBorder="1" applyAlignment="1">
      <alignment horizontal="center"/>
    </xf>
    <xf numFmtId="43" fontId="0" fillId="45" borderId="0" xfId="134" applyFont="1" applyFill="1" applyAlignment="1">
      <alignment horizontal="center"/>
    </xf>
    <xf numFmtId="43" fontId="0" fillId="46" borderId="0" xfId="134" applyFont="1" applyFill="1" applyAlignment="1">
      <alignment horizontal="center"/>
    </xf>
    <xf numFmtId="44" fontId="3" fillId="0" borderId="0" xfId="220" applyFont="1" applyBorder="1" applyAlignment="1">
      <alignment horizontal="center"/>
    </xf>
    <xf numFmtId="43" fontId="167" fillId="0" borderId="0" xfId="134" applyFont="1" applyAlignment="1">
      <alignment horizontal="right"/>
    </xf>
    <xf numFmtId="44" fontId="167" fillId="0" borderId="0" xfId="220" applyFont="1"/>
    <xf numFmtId="43" fontId="167" fillId="0" borderId="0" xfId="134" quotePrefix="1" applyFont="1" applyAlignment="1">
      <alignment horizontal="right"/>
    </xf>
    <xf numFmtId="43" fontId="3" fillId="0" borderId="8" xfId="134" applyBorder="1"/>
    <xf numFmtId="44" fontId="3" fillId="0" borderId="8" xfId="220" applyBorder="1"/>
    <xf numFmtId="0" fontId="0" fillId="0" borderId="0" xfId="0" applyAlignment="1">
      <alignment horizontal="left"/>
    </xf>
    <xf numFmtId="1" fontId="0" fillId="0" borderId="0" xfId="0" applyNumberFormat="1" applyAlignment="1">
      <alignment horizontal="right"/>
    </xf>
    <xf numFmtId="0" fontId="3" fillId="0" borderId="0" xfId="0" applyFont="1"/>
    <xf numFmtId="0" fontId="86" fillId="0" borderId="0" xfId="0" applyFont="1" applyFill="1" applyAlignment="1">
      <alignment horizontal="right"/>
    </xf>
    <xf numFmtId="165" fontId="5" fillId="94" borderId="7" xfId="1" applyNumberFormat="1" applyFont="1" applyFill="1" applyBorder="1"/>
    <xf numFmtId="0" fontId="169" fillId="0" borderId="0" xfId="1266" applyFont="1"/>
    <xf numFmtId="43" fontId="3" fillId="0" borderId="39" xfId="134" applyBorder="1"/>
    <xf numFmtId="43" fontId="3" fillId="0" borderId="37" xfId="134" applyBorder="1"/>
    <xf numFmtId="0" fontId="3" fillId="0" borderId="35" xfId="220" applyNumberFormat="1" applyBorder="1"/>
    <xf numFmtId="43" fontId="3" fillId="0" borderId="34" xfId="134" applyBorder="1"/>
    <xf numFmtId="0" fontId="3" fillId="0" borderId="0" xfId="220" applyNumberFormat="1" applyBorder="1"/>
    <xf numFmtId="164" fontId="4" fillId="94" borderId="8" xfId="2" applyNumberFormat="1" applyFont="1" applyFill="1" applyBorder="1" applyAlignment="1">
      <alignment horizontal="center"/>
    </xf>
    <xf numFmtId="165" fontId="5" fillId="94" borderId="7" xfId="1" applyNumberFormat="1" applyFont="1" applyFill="1" applyBorder="1" applyAlignment="1">
      <alignment horizontal="center"/>
    </xf>
    <xf numFmtId="165" fontId="4" fillId="94" borderId="7" xfId="1" applyNumberFormat="1" applyFont="1" applyFill="1" applyBorder="1"/>
    <xf numFmtId="0" fontId="3" fillId="0" borderId="29" xfId="220" applyNumberFormat="1" applyBorder="1"/>
    <xf numFmtId="0" fontId="0" fillId="0" borderId="0" xfId="0"/>
    <xf numFmtId="0" fontId="0" fillId="0" borderId="0" xfId="0" applyAlignment="1">
      <alignment horizontal="right"/>
    </xf>
    <xf numFmtId="44" fontId="0" fillId="0" borderId="0" xfId="0" applyNumberFormat="1"/>
    <xf numFmtId="43" fontId="3" fillId="0" borderId="0" xfId="134" applyFont="1"/>
    <xf numFmtId="44" fontId="3" fillId="0" borderId="0" xfId="220" applyFont="1"/>
    <xf numFmtId="43" fontId="3" fillId="0" borderId="0" xfId="134"/>
    <xf numFmtId="44" fontId="3" fillId="0" borderId="0" xfId="220"/>
    <xf numFmtId="0" fontId="3" fillId="0" borderId="0" xfId="0" applyFont="1"/>
    <xf numFmtId="165" fontId="0" fillId="49" borderId="12" xfId="0" applyNumberFormat="1" applyFill="1" applyBorder="1"/>
    <xf numFmtId="0" fontId="0" fillId="0" borderId="0" xfId="0"/>
    <xf numFmtId="165" fontId="5" fillId="0" borderId="0" xfId="1" applyNumberFormat="1" applyFont="1" applyFill="1" applyBorder="1" applyAlignment="1">
      <alignment horizontal="right"/>
    </xf>
    <xf numFmtId="165" fontId="5" fillId="0" borderId="0" xfId="1" applyNumberFormat="1" applyFont="1" applyFill="1" applyBorder="1"/>
    <xf numFmtId="165" fontId="0" fillId="0" borderId="0" xfId="0" applyNumberFormat="1"/>
    <xf numFmtId="0" fontId="86" fillId="0" borderId="0" xfId="0" applyFont="1"/>
    <xf numFmtId="0" fontId="0" fillId="0" borderId="0" xfId="0" applyBorder="1"/>
    <xf numFmtId="9" fontId="0" fillId="0" borderId="0" xfId="3" applyFont="1"/>
    <xf numFmtId="0" fontId="86" fillId="0" borderId="12" xfId="0" applyFont="1" applyBorder="1" applyAlignment="1">
      <alignment horizontal="center"/>
    </xf>
    <xf numFmtId="0" fontId="95" fillId="0" borderId="0" xfId="0" applyFont="1"/>
    <xf numFmtId="0" fontId="86" fillId="0" borderId="0" xfId="0" applyFont="1" applyBorder="1"/>
    <xf numFmtId="44" fontId="0" fillId="0" borderId="0" xfId="2" applyFont="1" applyFill="1"/>
    <xf numFmtId="44" fontId="0" fillId="0" borderId="12" xfId="0" applyNumberFormat="1" applyFill="1" applyBorder="1"/>
    <xf numFmtId="10" fontId="0" fillId="0" borderId="0" xfId="3" applyNumberFormat="1" applyFont="1"/>
    <xf numFmtId="43" fontId="5" fillId="94" borderId="8" xfId="1" applyFont="1" applyFill="1" applyBorder="1"/>
    <xf numFmtId="164" fontId="5" fillId="94" borderId="8" xfId="2" applyNumberFormat="1" applyFont="1" applyFill="1" applyBorder="1" applyAlignment="1">
      <alignment horizontal="center"/>
    </xf>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165" fontId="4" fillId="0" borderId="0" xfId="1" applyNumberFormat="1" applyFont="1" applyFill="1" applyBorder="1" applyAlignment="1">
      <alignment horizontal="center"/>
    </xf>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0" fontId="5" fillId="0" borderId="0" xfId="4" applyFont="1" applyFill="1" applyBorder="1"/>
    <xf numFmtId="165" fontId="5" fillId="0" borderId="0" xfId="1" applyNumberFormat="1" applyFont="1" applyFill="1" applyBorder="1"/>
    <xf numFmtId="43" fontId="5" fillId="0" borderId="0" xfId="1" applyNumberFormat="1" applyFont="1" applyFill="1" applyBorder="1"/>
    <xf numFmtId="0" fontId="14" fillId="3" borderId="0" xfId="4" applyFont="1" applyFill="1" applyBorder="1" applyAlignment="1">
      <alignment horizontal="right"/>
    </xf>
    <xf numFmtId="0" fontId="104" fillId="0" borderId="0" xfId="0" quotePrefix="1" applyFont="1"/>
    <xf numFmtId="0" fontId="104" fillId="51" borderId="0" xfId="0" applyFont="1" applyFill="1" applyAlignment="1">
      <alignment horizontal="left"/>
    </xf>
    <xf numFmtId="0" fontId="105" fillId="0" borderId="0" xfId="0" applyFont="1" applyAlignment="1">
      <alignment horizontal="center"/>
    </xf>
    <xf numFmtId="0" fontId="170" fillId="0" borderId="0" xfId="0" quotePrefix="1" applyFont="1" applyAlignment="1">
      <alignment horizontal="center"/>
    </xf>
    <xf numFmtId="0" fontId="170" fillId="0" borderId="0" xfId="0" applyFont="1" applyAlignment="1">
      <alignment horizontal="center"/>
    </xf>
    <xf numFmtId="165" fontId="104" fillId="0" borderId="0" xfId="1" applyNumberFormat="1" applyFont="1"/>
    <xf numFmtId="0" fontId="3" fillId="0" borderId="0" xfId="0" applyFont="1" applyFill="1"/>
    <xf numFmtId="0" fontId="3" fillId="0" borderId="0" xfId="0" applyFont="1" applyAlignment="1">
      <alignment horizontal="left"/>
    </xf>
    <xf numFmtId="164" fontId="104" fillId="0" borderId="0" xfId="2" applyNumberFormat="1" applyFont="1"/>
    <xf numFmtId="164" fontId="104" fillId="0" borderId="29" xfId="2" applyNumberFormat="1" applyFont="1" applyBorder="1"/>
    <xf numFmtId="0" fontId="171" fillId="0" borderId="0" xfId="0" applyFont="1"/>
    <xf numFmtId="37" fontId="104" fillId="0" borderId="0" xfId="1271" applyFont="1" applyFill="1"/>
    <xf numFmtId="186" fontId="122" fillId="0" borderId="0" xfId="1271" applyNumberFormat="1" applyFont="1" applyFill="1" applyBorder="1" applyAlignment="1">
      <alignment horizontal="center" wrapText="1"/>
    </xf>
    <xf numFmtId="0" fontId="86" fillId="0" borderId="0" xfId="0" applyFont="1" applyAlignment="1">
      <alignment horizontal="center"/>
    </xf>
    <xf numFmtId="37" fontId="104" fillId="0" borderId="0" xfId="1271" applyFont="1" applyFill="1" applyBorder="1"/>
    <xf numFmtId="49" fontId="95" fillId="0" borderId="0" xfId="0" applyNumberFormat="1" applyFont="1" applyAlignment="1">
      <alignment horizontal="center"/>
    </xf>
    <xf numFmtId="37" fontId="122" fillId="47" borderId="63" xfId="1271" applyFont="1" applyFill="1" applyBorder="1"/>
    <xf numFmtId="37" fontId="104" fillId="0" borderId="0" xfId="1271" applyFont="1" applyFill="1" applyAlignment="1">
      <alignment horizontal="left" indent="1"/>
    </xf>
    <xf numFmtId="165" fontId="104" fillId="0" borderId="0" xfId="1" applyNumberFormat="1" applyFont="1" applyFill="1" applyBorder="1"/>
    <xf numFmtId="165" fontId="104" fillId="0" borderId="12" xfId="1" applyNumberFormat="1" applyFont="1" applyFill="1" applyBorder="1"/>
    <xf numFmtId="37" fontId="104" fillId="0" borderId="0" xfId="1271" applyFont="1" applyFill="1" applyAlignment="1">
      <alignment horizontal="left" indent="2"/>
    </xf>
    <xf numFmtId="37" fontId="172" fillId="0" borderId="0" xfId="1271" applyFont="1" applyFill="1" applyBorder="1" applyAlignment="1">
      <alignment horizontal="right"/>
    </xf>
    <xf numFmtId="37" fontId="104" fillId="0" borderId="0" xfId="1271" applyFont="1" applyFill="1" applyAlignment="1"/>
    <xf numFmtId="164" fontId="104" fillId="0" borderId="29" xfId="2" applyNumberFormat="1" applyFont="1" applyFill="1" applyBorder="1" applyAlignment="1">
      <alignment horizontal="right"/>
    </xf>
    <xf numFmtId="37" fontId="104" fillId="0" borderId="0" xfId="1271" applyFont="1" applyFill="1" applyAlignment="1">
      <alignment horizontal="left" indent="3"/>
    </xf>
    <xf numFmtId="37" fontId="172" fillId="0" borderId="0" xfId="1271" applyFont="1" applyFill="1" applyAlignment="1">
      <alignment horizontal="right"/>
    </xf>
    <xf numFmtId="37" fontId="104" fillId="0" borderId="0" xfId="1271" applyFont="1" applyFill="1" applyBorder="1" applyAlignment="1">
      <alignment horizontal="right"/>
    </xf>
    <xf numFmtId="37" fontId="104" fillId="0" borderId="0" xfId="1271" applyFont="1" applyFill="1" applyAlignment="1">
      <alignment horizontal="left"/>
    </xf>
    <xf numFmtId="37" fontId="104" fillId="0" borderId="12" xfId="1271" applyFont="1" applyFill="1" applyBorder="1"/>
    <xf numFmtId="165" fontId="86" fillId="0" borderId="0" xfId="1" applyNumberFormat="1" applyFont="1" applyBorder="1"/>
    <xf numFmtId="165" fontId="173" fillId="0" borderId="0" xfId="1" applyNumberFormat="1" applyFont="1" applyFill="1" applyBorder="1" applyAlignment="1">
      <alignment horizontal="left"/>
    </xf>
    <xf numFmtId="0" fontId="93" fillId="0" borderId="0" xfId="0" applyFont="1" applyFill="1" applyBorder="1"/>
    <xf numFmtId="181" fontId="0" fillId="0" borderId="0" xfId="0" applyNumberFormat="1" applyFont="1" applyFill="1" applyBorder="1"/>
    <xf numFmtId="177" fontId="0" fillId="0" borderId="0" xfId="0" applyNumberFormat="1" applyFont="1" applyFill="1" applyBorder="1"/>
    <xf numFmtId="180" fontId="0" fillId="0" borderId="0" xfId="1" applyNumberFormat="1" applyFont="1" applyFill="1" applyBorder="1"/>
    <xf numFmtId="0" fontId="0" fillId="0" borderId="0" xfId="0" applyFont="1" applyFill="1" applyBorder="1"/>
    <xf numFmtId="0" fontId="4" fillId="0" borderId="0" xfId="4" applyFont="1" applyFill="1" applyBorder="1"/>
    <xf numFmtId="168" fontId="4" fillId="0" borderId="0" xfId="4" applyNumberFormat="1" applyFont="1" applyFill="1" applyBorder="1"/>
    <xf numFmtId="168" fontId="4" fillId="0" borderId="0" xfId="3" applyNumberFormat="1" applyFont="1" applyFill="1" applyBorder="1"/>
    <xf numFmtId="0" fontId="86" fillId="0" borderId="0" xfId="0" applyFont="1" applyFill="1" applyBorder="1"/>
    <xf numFmtId="0" fontId="0" fillId="0" borderId="0" xfId="0" applyFill="1" applyBorder="1"/>
    <xf numFmtId="44" fontId="3" fillId="0" borderId="0" xfId="220" applyFont="1" applyFill="1"/>
    <xf numFmtId="0" fontId="0" fillId="0" borderId="0" xfId="0"/>
    <xf numFmtId="0" fontId="0" fillId="0" borderId="0" xfId="0" applyFont="1"/>
    <xf numFmtId="165" fontId="104" fillId="0" borderId="0" xfId="1" applyNumberFormat="1" applyFont="1" applyFill="1"/>
    <xf numFmtId="165" fontId="104" fillId="0" borderId="0" xfId="1" applyNumberFormat="1" applyFont="1" applyFill="1" applyBorder="1"/>
    <xf numFmtId="0" fontId="3" fillId="0" borderId="0" xfId="0" applyFont="1" applyFill="1"/>
    <xf numFmtId="165" fontId="104" fillId="0" borderId="12" xfId="1" applyNumberFormat="1" applyFont="1" applyFill="1" applyBorder="1"/>
    <xf numFmtId="0" fontId="120" fillId="0" borderId="34" xfId="0" applyFont="1" applyBorder="1"/>
    <xf numFmtId="0" fontId="121" fillId="0" borderId="64" xfId="0" applyFont="1" applyBorder="1" applyAlignment="1"/>
    <xf numFmtId="0" fontId="121" fillId="0" borderId="65" xfId="0" applyFont="1" applyBorder="1" applyAlignment="1">
      <alignment horizontal="center"/>
    </xf>
    <xf numFmtId="0" fontId="121" fillId="0" borderId="37" xfId="0" applyFont="1" applyBorder="1" applyAlignment="1">
      <alignment horizontal="right"/>
    </xf>
    <xf numFmtId="164" fontId="120" fillId="0" borderId="0" xfId="2" applyNumberFormat="1" applyFont="1" applyBorder="1"/>
    <xf numFmtId="10" fontId="121" fillId="0" borderId="0" xfId="3" applyNumberFormat="1" applyFont="1" applyBorder="1"/>
    <xf numFmtId="9" fontId="121" fillId="0" borderId="38" xfId="3" applyFont="1" applyBorder="1" applyAlignment="1">
      <alignment horizontal="center"/>
    </xf>
    <xf numFmtId="0" fontId="120" fillId="0" borderId="0" xfId="0" applyFont="1" applyBorder="1"/>
    <xf numFmtId="164" fontId="120" fillId="0" borderId="12" xfId="2" applyNumberFormat="1" applyFont="1" applyBorder="1"/>
    <xf numFmtId="164" fontId="121" fillId="0" borderId="0" xfId="2" applyNumberFormat="1" applyFont="1" applyBorder="1"/>
    <xf numFmtId="0" fontId="120" fillId="0" borderId="38" xfId="0" applyFont="1" applyBorder="1"/>
    <xf numFmtId="0" fontId="120" fillId="0" borderId="39" xfId="0" applyFont="1" applyBorder="1"/>
    <xf numFmtId="0" fontId="120" fillId="0" borderId="29" xfId="0" applyFont="1" applyBorder="1"/>
    <xf numFmtId="0" fontId="120" fillId="0" borderId="40" xfId="0" applyFont="1" applyBorder="1"/>
    <xf numFmtId="0" fontId="0" fillId="0" borderId="34" xfId="0" applyFont="1" applyBorder="1"/>
    <xf numFmtId="0" fontId="121" fillId="0" borderId="35" xfId="0" applyFont="1" applyBorder="1"/>
    <xf numFmtId="0" fontId="0" fillId="0" borderId="36" xfId="0" applyFont="1" applyBorder="1"/>
    <xf numFmtId="42" fontId="120" fillId="0" borderId="0" xfId="0" applyNumberFormat="1" applyFont="1" applyBorder="1"/>
    <xf numFmtId="164" fontId="120" fillId="0" borderId="38" xfId="0" applyNumberFormat="1" applyFont="1" applyBorder="1"/>
    <xf numFmtId="164" fontId="120" fillId="0" borderId="0" xfId="0" applyNumberFormat="1" applyFont="1" applyBorder="1"/>
    <xf numFmtId="0" fontId="120" fillId="0" borderId="37" xfId="0" applyFont="1" applyBorder="1"/>
    <xf numFmtId="0" fontId="121" fillId="0" borderId="39" xfId="0" applyFont="1" applyBorder="1" applyAlignment="1">
      <alignment horizontal="right"/>
    </xf>
    <xf numFmtId="10" fontId="121" fillId="0" borderId="29" xfId="0" applyNumberFormat="1" applyFont="1" applyBorder="1"/>
    <xf numFmtId="10" fontId="121" fillId="0" borderId="40" xfId="573" applyNumberFormat="1" applyFont="1" applyBorder="1"/>
    <xf numFmtId="0" fontId="94" fillId="0" borderId="0" xfId="0" applyFont="1"/>
    <xf numFmtId="43" fontId="0" fillId="0" borderId="0" xfId="0" applyNumberFormat="1"/>
    <xf numFmtId="164" fontId="0" fillId="90" borderId="0" xfId="0" applyNumberFormat="1" applyFill="1"/>
    <xf numFmtId="165" fontId="173" fillId="3" borderId="0" xfId="1" applyNumberFormat="1" applyFont="1" applyFill="1" applyBorder="1" applyAlignment="1">
      <alignment horizontal="left"/>
    </xf>
    <xf numFmtId="164" fontId="0" fillId="0" borderId="12" xfId="2" applyNumberFormat="1" applyFont="1" applyBorder="1"/>
    <xf numFmtId="44" fontId="0" fillId="90" borderId="0" xfId="0" applyNumberFormat="1" applyFill="1"/>
    <xf numFmtId="165" fontId="158" fillId="7" borderId="0" xfId="1157" applyNumberFormat="1" applyFont="1" applyFill="1" applyBorder="1"/>
    <xf numFmtId="165" fontId="158" fillId="7" borderId="0" xfId="1" applyNumberFormat="1" applyFont="1" applyFill="1" applyBorder="1"/>
    <xf numFmtId="165" fontId="158" fillId="7" borderId="0" xfId="1" applyNumberFormat="1" applyFont="1" applyFill="1" applyBorder="1" applyAlignment="1">
      <alignment horizontal="center"/>
    </xf>
    <xf numFmtId="43" fontId="0" fillId="90" borderId="0" xfId="0" applyNumberFormat="1" applyFill="1"/>
    <xf numFmtId="164" fontId="0" fillId="0" borderId="12" xfId="2" applyNumberFormat="1" applyFont="1" applyFill="1" applyBorder="1"/>
    <xf numFmtId="44" fontId="80" fillId="0" borderId="0" xfId="759" applyNumberFormat="1" applyFont="1"/>
    <xf numFmtId="44" fontId="80" fillId="0" borderId="12" xfId="2" applyFont="1" applyBorder="1"/>
    <xf numFmtId="0" fontId="86" fillId="95" borderId="66" xfId="0" applyFont="1" applyFill="1" applyBorder="1"/>
    <xf numFmtId="43" fontId="156" fillId="0" borderId="0" xfId="1" applyFont="1"/>
    <xf numFmtId="37" fontId="0" fillId="90" borderId="0" xfId="0" applyNumberFormat="1" applyFill="1"/>
    <xf numFmtId="37" fontId="108" fillId="0" borderId="0" xfId="139" applyNumberFormat="1" applyFont="1" applyFill="1" applyBorder="1"/>
    <xf numFmtId="3" fontId="105" fillId="0" borderId="0" xfId="139" applyNumberFormat="1" applyFont="1" applyFill="1" applyBorder="1"/>
    <xf numFmtId="3" fontId="108" fillId="0" borderId="12" xfId="139" applyNumberFormat="1" applyFont="1" applyFill="1" applyBorder="1"/>
    <xf numFmtId="43" fontId="86" fillId="95" borderId="67" xfId="0" applyNumberFormat="1" applyFont="1" applyFill="1" applyBorder="1"/>
    <xf numFmtId="44" fontId="80" fillId="0" borderId="0" xfId="2" applyFont="1"/>
    <xf numFmtId="0" fontId="3" fillId="0" borderId="0" xfId="1272" applyFill="1"/>
    <xf numFmtId="43" fontId="80" fillId="95" borderId="67" xfId="759" applyNumberFormat="1" applyFont="1" applyFill="1" applyBorder="1" applyAlignment="1"/>
    <xf numFmtId="37" fontId="108" fillId="0" borderId="12" xfId="139" applyNumberFormat="1" applyFont="1" applyFill="1" applyBorder="1"/>
    <xf numFmtId="3" fontId="108" fillId="0" borderId="0" xfId="139" applyNumberFormat="1" applyFont="1" applyFill="1" applyBorder="1"/>
    <xf numFmtId="37" fontId="173" fillId="0" borderId="0" xfId="4" applyNumberFormat="1" applyFont="1" applyFill="1" applyBorder="1" applyAlignment="1">
      <alignment horizontal="center"/>
    </xf>
    <xf numFmtId="44" fontId="0" fillId="90" borderId="0" xfId="2" applyFont="1" applyFill="1"/>
    <xf numFmtId="164" fontId="5" fillId="3" borderId="0" xfId="2" applyNumberFormat="1" applyFont="1" applyFill="1" applyBorder="1"/>
    <xf numFmtId="165" fontId="5" fillId="3" borderId="0" xfId="1" applyNumberFormat="1" applyFont="1" applyFill="1" applyBorder="1"/>
    <xf numFmtId="165" fontId="5" fillId="0" borderId="0" xfId="1" applyNumberFormat="1" applyFont="1" applyFill="1" applyBorder="1"/>
    <xf numFmtId="165" fontId="4" fillId="3" borderId="7" xfId="1" applyNumberFormat="1" applyFont="1" applyFill="1" applyBorder="1"/>
    <xf numFmtId="1" fontId="5" fillId="0" borderId="0" xfId="4" applyNumberFormat="1" applyFont="1" applyFill="1" applyBorder="1" applyAlignment="1">
      <alignment horizontal="right"/>
    </xf>
    <xf numFmtId="0" fontId="5" fillId="0" borderId="0" xfId="4" applyFont="1" applyFill="1" applyBorder="1"/>
    <xf numFmtId="165" fontId="5" fillId="0" borderId="0" xfId="1" applyNumberFormat="1" applyFont="1" applyFill="1" applyBorder="1" applyAlignment="1">
      <alignment horizontal="right"/>
    </xf>
    <xf numFmtId="1" fontId="12" fillId="0" borderId="0" xfId="7" quotePrefix="1" applyNumberFormat="1" applyFont="1" applyFill="1" applyBorder="1" applyAlignment="1">
      <alignment horizontal="right"/>
    </xf>
    <xf numFmtId="37" fontId="5" fillId="0" borderId="0" xfId="4" applyNumberFormat="1" applyFont="1" applyFill="1" applyBorder="1" applyAlignment="1">
      <alignment horizontal="center"/>
    </xf>
    <xf numFmtId="37" fontId="3" fillId="0" borderId="0" xfId="627" applyFont="1" applyFill="1"/>
    <xf numFmtId="49" fontId="3" fillId="0" borderId="0" xfId="627" applyNumberFormat="1" applyFont="1" applyFill="1"/>
    <xf numFmtId="14" fontId="3" fillId="0" borderId="0" xfId="627" applyNumberFormat="1" applyFont="1" applyFill="1"/>
    <xf numFmtId="165" fontId="3" fillId="0" borderId="0" xfId="6" applyNumberFormat="1" applyFont="1" applyFill="1"/>
    <xf numFmtId="37" fontId="3" fillId="46" borderId="0" xfId="627" applyFont="1" applyFill="1"/>
    <xf numFmtId="0" fontId="29" fillId="0" borderId="0" xfId="7" applyFont="1" applyAlignment="1">
      <alignment horizontal="left"/>
    </xf>
    <xf numFmtId="0" fontId="29" fillId="0" borderId="0" xfId="7" quotePrefix="1" applyFont="1" applyAlignment="1">
      <alignment horizontal="left"/>
    </xf>
    <xf numFmtId="0" fontId="29" fillId="0" borderId="0" xfId="7" applyFont="1"/>
    <xf numFmtId="165" fontId="29" fillId="0" borderId="0" xfId="173" applyNumberFormat="1" applyFont="1"/>
    <xf numFmtId="165" fontId="3" fillId="46" borderId="0" xfId="173" applyNumberFormat="1" applyFont="1" applyFill="1" applyBorder="1"/>
    <xf numFmtId="171" fontId="73" fillId="0" borderId="0" xfId="567" applyNumberFormat="1" applyFont="1" applyFill="1" applyBorder="1"/>
    <xf numFmtId="165" fontId="3" fillId="0" borderId="0" xfId="173" applyNumberFormat="1" applyFont="1" applyBorder="1"/>
    <xf numFmtId="0" fontId="75" fillId="0" borderId="0" xfId="7" applyNumberFormat="1" applyFont="1"/>
    <xf numFmtId="0" fontId="74" fillId="0" borderId="0" xfId="7" applyNumberFormat="1" applyFont="1"/>
    <xf numFmtId="0" fontId="75" fillId="0" borderId="0" xfId="7" applyNumberFormat="1" applyFont="1" applyAlignment="1">
      <alignment horizontal="right"/>
    </xf>
    <xf numFmtId="0" fontId="76" fillId="0" borderId="0" xfId="7" applyNumberFormat="1" applyFont="1" applyAlignment="1">
      <alignment horizontal="left"/>
    </xf>
    <xf numFmtId="49" fontId="76" fillId="0" borderId="0" xfId="7" applyNumberFormat="1" applyFont="1" applyAlignment="1">
      <alignment horizontal="left"/>
    </xf>
    <xf numFmtId="49" fontId="78" fillId="0" borderId="0" xfId="7" applyNumberFormat="1" applyFont="1"/>
    <xf numFmtId="0" fontId="29" fillId="0" borderId="0" xfId="7" applyNumberFormat="1" applyFont="1"/>
    <xf numFmtId="0" fontId="3" fillId="0" borderId="0" xfId="4"/>
    <xf numFmtId="0" fontId="84" fillId="0" borderId="0" xfId="7" applyNumberFormat="1" applyFont="1"/>
    <xf numFmtId="0" fontId="0" fillId="0" borderId="0" xfId="0" applyFill="1"/>
    <xf numFmtId="37" fontId="173" fillId="0" borderId="0" xfId="4" applyNumberFormat="1" applyFont="1" applyFill="1" applyBorder="1" applyAlignment="1">
      <alignment horizontal="left"/>
    </xf>
    <xf numFmtId="165" fontId="173" fillId="0" borderId="0" xfId="1" applyNumberFormat="1" applyFont="1" applyFill="1" applyBorder="1" applyAlignment="1">
      <alignment horizontal="left"/>
    </xf>
    <xf numFmtId="17" fontId="3" fillId="0" borderId="0" xfId="627" applyNumberFormat="1" applyFont="1" applyFill="1"/>
    <xf numFmtId="0" fontId="33" fillId="0" borderId="0" xfId="7" applyFont="1"/>
    <xf numFmtId="37" fontId="158" fillId="46" borderId="0" xfId="627" applyFont="1" applyFill="1"/>
    <xf numFmtId="37" fontId="158" fillId="0" borderId="0" xfId="627" applyFont="1" applyFill="1"/>
    <xf numFmtId="0" fontId="33" fillId="0" borderId="0" xfId="7" applyFont="1" applyAlignment="1">
      <alignment horizontal="left"/>
    </xf>
    <xf numFmtId="0" fontId="33" fillId="0" borderId="0" xfId="7" quotePrefix="1" applyFont="1" applyAlignment="1">
      <alignment horizontal="left"/>
    </xf>
    <xf numFmtId="165" fontId="33" fillId="46" borderId="0" xfId="6" applyNumberFormat="1" applyFont="1" applyFill="1"/>
    <xf numFmtId="165" fontId="33" fillId="0" borderId="0" xfId="6" applyNumberFormat="1" applyFont="1" applyFill="1"/>
    <xf numFmtId="14" fontId="175" fillId="0" borderId="0" xfId="627" applyNumberFormat="1" applyFont="1" applyFill="1"/>
    <xf numFmtId="0" fontId="74" fillId="0" borderId="0" xfId="7" applyNumberFormat="1" applyFont="1" applyAlignment="1">
      <alignment horizontal="centerContinuous"/>
    </xf>
    <xf numFmtId="0" fontId="176" fillId="0" borderId="0" xfId="7" applyNumberFormat="1" applyFont="1"/>
    <xf numFmtId="37" fontId="60" fillId="0" borderId="0" xfId="627" applyFont="1" applyFill="1"/>
    <xf numFmtId="0" fontId="33" fillId="0" borderId="0" xfId="7" applyNumberFormat="1" applyFont="1" applyAlignment="1">
      <alignment horizontal="center"/>
    </xf>
    <xf numFmtId="0" fontId="74" fillId="0" borderId="0" xfId="7" applyNumberFormat="1" applyFont="1" applyAlignment="1">
      <alignment horizontal="center"/>
    </xf>
    <xf numFmtId="172" fontId="177" fillId="0" borderId="0" xfId="7" quotePrefix="1" applyNumberFormat="1" applyFont="1" applyAlignment="1">
      <alignment horizontal="left"/>
    </xf>
    <xf numFmtId="0" fontId="33" fillId="0" borderId="0" xfId="7" applyNumberFormat="1" applyFont="1"/>
    <xf numFmtId="0" fontId="178" fillId="46" borderId="12" xfId="7" applyNumberFormat="1" applyFont="1" applyFill="1" applyBorder="1" applyAlignment="1">
      <alignment horizontal="centerContinuous"/>
    </xf>
    <xf numFmtId="165" fontId="158" fillId="47" borderId="0" xfId="6" applyNumberFormat="1" applyFont="1" applyFill="1" applyBorder="1" applyAlignment="1">
      <alignment horizontal="centerContinuous"/>
    </xf>
    <xf numFmtId="165" fontId="157" fillId="0" borderId="12" xfId="6" applyNumberFormat="1" applyFont="1" applyBorder="1" applyAlignment="1">
      <alignment horizontal="centerContinuous"/>
    </xf>
    <xf numFmtId="0" fontId="33" fillId="0" borderId="12" xfId="7" applyNumberFormat="1" applyFont="1" applyBorder="1" applyAlignment="1">
      <alignment horizontal="centerContinuous"/>
    </xf>
    <xf numFmtId="165" fontId="157" fillId="47" borderId="0" xfId="6" applyNumberFormat="1" applyFont="1" applyFill="1" applyBorder="1" applyAlignment="1">
      <alignment horizontal="centerContinuous"/>
    </xf>
    <xf numFmtId="165" fontId="158" fillId="0" borderId="0" xfId="7" applyNumberFormat="1" applyFont="1" applyAlignment="1">
      <alignment horizontal="center"/>
    </xf>
    <xf numFmtId="165" fontId="157" fillId="47" borderId="0" xfId="7" applyNumberFormat="1" applyFont="1" applyFill="1" applyAlignment="1">
      <alignment horizontal="center"/>
    </xf>
    <xf numFmtId="0" fontId="178" fillId="0" borderId="0" xfId="7" applyNumberFormat="1" applyFont="1" applyAlignment="1">
      <alignment horizontal="center"/>
    </xf>
    <xf numFmtId="165" fontId="157" fillId="47" borderId="29" xfId="6" applyNumberFormat="1" applyFont="1" applyFill="1" applyBorder="1" applyAlignment="1">
      <alignment horizontal="centerContinuous"/>
    </xf>
    <xf numFmtId="165" fontId="157" fillId="0" borderId="29" xfId="6" applyNumberFormat="1" applyFont="1" applyBorder="1" applyAlignment="1">
      <alignment horizontal="centerContinuous"/>
    </xf>
    <xf numFmtId="17" fontId="178" fillId="0" borderId="29" xfId="7" applyNumberFormat="1" applyFont="1" applyBorder="1" applyAlignment="1">
      <alignment horizontal="center"/>
    </xf>
    <xf numFmtId="0" fontId="179" fillId="0" borderId="0" xfId="7" applyNumberFormat="1" applyFont="1"/>
    <xf numFmtId="37" fontId="158" fillId="0" borderId="0" xfId="627" applyFont="1" applyFill="1" applyBorder="1"/>
    <xf numFmtId="0" fontId="33" fillId="0" borderId="12" xfId="7" applyFont="1" applyBorder="1"/>
    <xf numFmtId="165" fontId="33" fillId="45" borderId="0" xfId="6" applyNumberFormat="1" applyFont="1" applyFill="1" applyBorder="1"/>
    <xf numFmtId="165" fontId="33" fillId="0" borderId="0" xfId="6" applyNumberFormat="1" applyFont="1" applyFill="1" applyBorder="1"/>
    <xf numFmtId="165" fontId="33" fillId="0" borderId="12" xfId="6" applyNumberFormat="1" applyFont="1" applyBorder="1"/>
    <xf numFmtId="165" fontId="33" fillId="0" borderId="12" xfId="6" applyNumberFormat="1" applyFont="1" applyFill="1" applyBorder="1"/>
    <xf numFmtId="0" fontId="33" fillId="0" borderId="0" xfId="7" applyFont="1" applyBorder="1"/>
    <xf numFmtId="165" fontId="33" fillId="0" borderId="0" xfId="6" applyNumberFormat="1" applyFont="1"/>
    <xf numFmtId="0" fontId="178" fillId="0" borderId="0" xfId="7" applyFont="1" applyAlignment="1">
      <alignment horizontal="left"/>
    </xf>
    <xf numFmtId="165" fontId="33" fillId="45" borderId="7" xfId="6" applyNumberFormat="1" applyFont="1" applyFill="1" applyBorder="1"/>
    <xf numFmtId="165" fontId="33" fillId="0" borderId="7" xfId="6" applyNumberFormat="1" applyFont="1" applyFill="1" applyBorder="1"/>
    <xf numFmtId="0" fontId="33" fillId="0" borderId="0" xfId="7" quotePrefix="1" applyFont="1"/>
    <xf numFmtId="0" fontId="33" fillId="0" borderId="0" xfId="7" applyFont="1" applyFill="1"/>
    <xf numFmtId="0" fontId="178" fillId="0" borderId="0" xfId="7" applyFont="1"/>
    <xf numFmtId="165" fontId="33" fillId="45" borderId="8" xfId="6" applyNumberFormat="1" applyFont="1" applyFill="1" applyBorder="1"/>
    <xf numFmtId="165" fontId="33" fillId="0" borderId="8" xfId="6" applyNumberFormat="1" applyFont="1" applyFill="1" applyBorder="1"/>
    <xf numFmtId="0" fontId="158" fillId="0" borderId="0" xfId="4" applyFont="1" applyFill="1"/>
    <xf numFmtId="0" fontId="12" fillId="0" borderId="0" xfId="7" applyFont="1"/>
    <xf numFmtId="165" fontId="158" fillId="0" borderId="0" xfId="174" applyNumberFormat="1" applyFont="1" applyFill="1"/>
    <xf numFmtId="165" fontId="3" fillId="0" borderId="0" xfId="174" applyNumberFormat="1" applyFont="1" applyFill="1"/>
    <xf numFmtId="165" fontId="158" fillId="0" borderId="0" xfId="6" applyNumberFormat="1" applyFont="1" applyFill="1"/>
    <xf numFmtId="165" fontId="33" fillId="3" borderId="0" xfId="6" applyNumberFormat="1" applyFont="1" applyFill="1" applyBorder="1"/>
    <xf numFmtId="0" fontId="33" fillId="3" borderId="0" xfId="7" applyFont="1" applyFill="1"/>
    <xf numFmtId="0" fontId="3" fillId="0" borderId="0" xfId="4" applyFont="1" applyFill="1"/>
    <xf numFmtId="37" fontId="158" fillId="3" borderId="0" xfId="627" applyFont="1" applyFill="1" applyBorder="1"/>
    <xf numFmtId="37" fontId="158" fillId="3" borderId="0" xfId="627" applyFont="1" applyFill="1"/>
    <xf numFmtId="0" fontId="33" fillId="0" borderId="0" xfId="1250" applyFont="1"/>
    <xf numFmtId="0" fontId="33" fillId="0" borderId="0" xfId="1250" applyFont="1" applyAlignment="1">
      <alignment horizontal="left"/>
    </xf>
    <xf numFmtId="0" fontId="33" fillId="0" borderId="0" xfId="1250" quotePrefix="1" applyFont="1" applyAlignment="1">
      <alignment horizontal="left"/>
    </xf>
    <xf numFmtId="0" fontId="29" fillId="0" borderId="0" xfId="1250" applyFont="1"/>
    <xf numFmtId="0" fontId="75" fillId="0" borderId="0" xfId="1250" applyNumberFormat="1" applyFont="1"/>
    <xf numFmtId="0" fontId="74" fillId="0" borderId="0" xfId="1250" applyNumberFormat="1" applyFont="1"/>
    <xf numFmtId="0" fontId="75" fillId="0" borderId="0" xfId="1250" applyNumberFormat="1" applyFont="1" applyAlignment="1">
      <alignment horizontal="right"/>
    </xf>
    <xf numFmtId="0" fontId="76" fillId="0" borderId="0" xfId="1250" applyNumberFormat="1" applyFont="1" applyAlignment="1">
      <alignment horizontal="left"/>
    </xf>
    <xf numFmtId="0" fontId="74" fillId="0" borderId="0" xfId="1250" applyNumberFormat="1" applyFont="1" applyAlignment="1">
      <alignment horizontal="centerContinuous"/>
    </xf>
    <xf numFmtId="0" fontId="176" fillId="0" borderId="0" xfId="1250" applyNumberFormat="1" applyFont="1"/>
    <xf numFmtId="0" fontId="84" fillId="0" borderId="0" xfId="1250" applyNumberFormat="1" applyFont="1"/>
    <xf numFmtId="49" fontId="76" fillId="0" borderId="0" xfId="1250" applyNumberFormat="1" applyFont="1" applyAlignment="1">
      <alignment horizontal="left"/>
    </xf>
    <xf numFmtId="49" fontId="78" fillId="0" borderId="0" xfId="1250" applyNumberFormat="1" applyFont="1"/>
    <xf numFmtId="0" fontId="33" fillId="0" borderId="0" xfId="1250" applyNumberFormat="1" applyFont="1" applyAlignment="1">
      <alignment horizontal="center"/>
    </xf>
    <xf numFmtId="0" fontId="74" fillId="0" borderId="0" xfId="1250" applyNumberFormat="1" applyFont="1" applyAlignment="1">
      <alignment horizontal="center"/>
    </xf>
    <xf numFmtId="172" fontId="177" fillId="0" borderId="0" xfId="1250" quotePrefix="1" applyNumberFormat="1" applyFont="1" applyAlignment="1">
      <alignment horizontal="left"/>
    </xf>
    <xf numFmtId="0" fontId="33" fillId="0" borderId="0" xfId="1250" applyNumberFormat="1" applyFont="1"/>
    <xf numFmtId="0" fontId="178" fillId="46" borderId="12" xfId="1250" applyNumberFormat="1" applyFont="1" applyFill="1" applyBorder="1" applyAlignment="1">
      <alignment horizontal="centerContinuous"/>
    </xf>
    <xf numFmtId="0" fontId="29" fillId="0" borderId="0" xfId="1250" applyNumberFormat="1" applyFont="1"/>
    <xf numFmtId="0" fontId="33" fillId="0" borderId="12" xfId="1250" applyNumberFormat="1" applyFont="1" applyBorder="1" applyAlignment="1">
      <alignment horizontal="centerContinuous"/>
    </xf>
    <xf numFmtId="165" fontId="158" fillId="0" borderId="0" xfId="1250" applyNumberFormat="1" applyFont="1" applyAlignment="1">
      <alignment horizontal="center"/>
    </xf>
    <xf numFmtId="165" fontId="157" fillId="47" borderId="0" xfId="1250" applyNumberFormat="1" applyFont="1" applyFill="1" applyAlignment="1">
      <alignment horizontal="center"/>
    </xf>
    <xf numFmtId="0" fontId="178" fillId="0" borderId="0" xfId="1250" applyNumberFormat="1" applyFont="1" applyAlignment="1">
      <alignment horizontal="center"/>
    </xf>
    <xf numFmtId="17" fontId="178" fillId="0" borderId="29" xfId="1250" applyNumberFormat="1" applyFont="1" applyBorder="1" applyAlignment="1">
      <alignment horizontal="center"/>
    </xf>
    <xf numFmtId="0" fontId="179" fillId="0" borderId="0" xfId="1250" applyNumberFormat="1" applyFont="1"/>
    <xf numFmtId="0" fontId="33" fillId="0" borderId="12" xfId="1250" applyFont="1" applyBorder="1"/>
    <xf numFmtId="0" fontId="33" fillId="0" borderId="0" xfId="1250" applyFont="1" applyBorder="1"/>
    <xf numFmtId="0" fontId="178" fillId="0" borderId="0" xfId="1250" applyFont="1" applyAlignment="1">
      <alignment horizontal="left"/>
    </xf>
    <xf numFmtId="0" fontId="33" fillId="0" borderId="0" xfId="1250" quotePrefix="1" applyFont="1"/>
    <xf numFmtId="0" fontId="33" fillId="0" borderId="0" xfId="1250" applyFont="1" applyFill="1"/>
    <xf numFmtId="0" fontId="178" fillId="0" borderId="0" xfId="1250" applyFont="1"/>
    <xf numFmtId="0" fontId="12" fillId="0" borderId="0" xfId="1250" applyFont="1"/>
    <xf numFmtId="0" fontId="33" fillId="3" borderId="0" xfId="1250" applyFont="1" applyFill="1"/>
    <xf numFmtId="164" fontId="120" fillId="0" borderId="0" xfId="2" applyNumberFormat="1" applyFont="1"/>
    <xf numFmtId="164" fontId="121" fillId="0" borderId="0" xfId="0" applyNumberFormat="1" applyFont="1"/>
    <xf numFmtId="0" fontId="81" fillId="0" borderId="0" xfId="7" applyNumberFormat="1" applyFont="1" applyAlignment="1">
      <alignment horizontal="right"/>
    </xf>
    <xf numFmtId="49" fontId="52" fillId="0" borderId="0" xfId="7" applyNumberFormat="1" applyFont="1" applyAlignment="1">
      <alignment horizontal="right"/>
    </xf>
    <xf numFmtId="49" fontId="52" fillId="0" borderId="0" xfId="7" applyNumberFormat="1" applyFont="1" applyAlignment="1">
      <alignment horizontal="left"/>
    </xf>
    <xf numFmtId="0" fontId="29" fillId="10" borderId="0" xfId="7" applyFont="1" applyFill="1" applyAlignment="1">
      <alignment horizontal="left"/>
    </xf>
    <xf numFmtId="0" fontId="29" fillId="10" borderId="0" xfId="7" quotePrefix="1" applyFont="1" applyFill="1" applyAlignment="1">
      <alignment horizontal="left"/>
    </xf>
    <xf numFmtId="14" fontId="3" fillId="10" borderId="0" xfId="627" applyNumberFormat="1" applyFont="1" applyFill="1"/>
    <xf numFmtId="0" fontId="29" fillId="10" borderId="0" xfId="7" applyFont="1" applyFill="1"/>
    <xf numFmtId="165" fontId="29" fillId="10" borderId="0" xfId="173" applyNumberFormat="1" applyFont="1" applyFill="1"/>
    <xf numFmtId="165" fontId="3" fillId="10" borderId="0" xfId="173" applyNumberFormat="1" applyFont="1" applyFill="1" applyBorder="1"/>
    <xf numFmtId="5" fontId="110" fillId="3" borderId="0" xfId="0" applyNumberFormat="1" applyFont="1" applyFill="1"/>
    <xf numFmtId="5" fontId="110" fillId="3" borderId="12" xfId="0" applyNumberFormat="1" applyFont="1" applyFill="1" applyBorder="1"/>
    <xf numFmtId="0" fontId="123" fillId="7" borderId="0" xfId="666" applyFont="1" applyFill="1" applyAlignment="1">
      <alignment horizontal="left"/>
    </xf>
    <xf numFmtId="0" fontId="101" fillId="7" borderId="0" xfId="0" applyFont="1" applyFill="1"/>
    <xf numFmtId="165" fontId="101" fillId="7" borderId="0" xfId="134" applyNumberFormat="1" applyFont="1" applyFill="1"/>
    <xf numFmtId="165" fontId="101" fillId="7" borderId="0" xfId="1" applyNumberFormat="1" applyFont="1" applyFill="1"/>
    <xf numFmtId="43" fontId="98" fillId="7" borderId="0" xfId="134" applyFont="1" applyFill="1" applyAlignment="1">
      <alignment horizontal="center"/>
    </xf>
    <xf numFmtId="43" fontId="98" fillId="7" borderId="0" xfId="134" applyFont="1" applyFill="1"/>
    <xf numFmtId="165" fontId="98" fillId="7" borderId="0" xfId="134" applyNumberFormat="1" applyFont="1" applyFill="1"/>
    <xf numFmtId="43" fontId="98" fillId="7" borderId="0" xfId="666" applyNumberFormat="1" applyFont="1" applyFill="1"/>
    <xf numFmtId="0" fontId="98" fillId="7" borderId="0" xfId="666" applyFont="1" applyFill="1"/>
    <xf numFmtId="165" fontId="98" fillId="7" borderId="0" xfId="1" applyNumberFormat="1" applyFont="1" applyFill="1"/>
    <xf numFmtId="0" fontId="98" fillId="7" borderId="0" xfId="666" applyFont="1" applyFill="1" applyBorder="1"/>
    <xf numFmtId="0" fontId="123" fillId="7" borderId="0" xfId="666" applyFont="1" applyFill="1" applyBorder="1" applyAlignment="1">
      <alignment horizontal="right"/>
    </xf>
    <xf numFmtId="44" fontId="96" fillId="7" borderId="7" xfId="220" applyFont="1" applyFill="1" applyBorder="1"/>
    <xf numFmtId="165" fontId="101" fillId="7" borderId="0" xfId="134" applyNumberFormat="1" applyFont="1" applyFill="1" applyBorder="1"/>
    <xf numFmtId="165" fontId="101" fillId="7" borderId="43" xfId="134" applyNumberFormat="1" applyFont="1" applyFill="1" applyBorder="1"/>
    <xf numFmtId="0" fontId="101" fillId="7" borderId="0" xfId="0" applyFont="1" applyFill="1" applyBorder="1"/>
    <xf numFmtId="165" fontId="101" fillId="7" borderId="7" xfId="1" applyNumberFormat="1" applyFont="1" applyFill="1" applyBorder="1"/>
    <xf numFmtId="165" fontId="100" fillId="0" borderId="0" xfId="1" applyNumberFormat="1" applyFont="1" applyBorder="1" applyAlignment="1">
      <alignment horizontal="right"/>
    </xf>
    <xf numFmtId="164" fontId="98" fillId="0" borderId="0" xfId="2" applyNumberFormat="1" applyFont="1"/>
    <xf numFmtId="0" fontId="100" fillId="0" borderId="0" xfId="0" applyFont="1" applyAlignment="1">
      <alignment horizontal="right"/>
    </xf>
    <xf numFmtId="164" fontId="98" fillId="0" borderId="12" xfId="2" applyNumberFormat="1" applyFont="1" applyBorder="1"/>
    <xf numFmtId="164" fontId="100" fillId="0" borderId="0" xfId="2" applyNumberFormat="1" applyFont="1"/>
    <xf numFmtId="0" fontId="180" fillId="0" borderId="0" xfId="0" applyFont="1" applyAlignment="1">
      <alignment horizontal="right"/>
    </xf>
    <xf numFmtId="0" fontId="181" fillId="0" borderId="0" xfId="0" applyFont="1"/>
    <xf numFmtId="164" fontId="180" fillId="0" borderId="0" xfId="2" applyNumberFormat="1" applyFont="1"/>
    <xf numFmtId="164" fontId="101" fillId="0" borderId="0" xfId="2" applyNumberFormat="1" applyFont="1"/>
    <xf numFmtId="165" fontId="182" fillId="0" borderId="0" xfId="1" applyNumberFormat="1" applyFont="1" applyAlignment="1">
      <alignment horizontal="center"/>
    </xf>
    <xf numFmtId="0" fontId="183" fillId="0" borderId="0" xfId="0" applyFont="1"/>
    <xf numFmtId="0" fontId="184" fillId="0" borderId="0" xfId="0" applyFont="1" applyAlignment="1">
      <alignment horizontal="right"/>
    </xf>
    <xf numFmtId="10" fontId="184" fillId="0" borderId="0" xfId="3" applyNumberFormat="1" applyFont="1"/>
    <xf numFmtId="0" fontId="184" fillId="0" borderId="0" xfId="0" applyFont="1"/>
    <xf numFmtId="10" fontId="4" fillId="3" borderId="0" xfId="3" applyNumberFormat="1" applyFont="1" applyFill="1" applyBorder="1"/>
    <xf numFmtId="164" fontId="0" fillId="0" borderId="0" xfId="0" applyNumberFormat="1" applyFill="1"/>
    <xf numFmtId="1" fontId="0" fillId="0" borderId="0" xfId="0" applyNumberFormat="1" applyFill="1"/>
    <xf numFmtId="0" fontId="174" fillId="0" borderId="0" xfId="0" applyFont="1" applyFill="1"/>
    <xf numFmtId="43" fontId="3" fillId="0" borderId="36" xfId="134" applyBorder="1"/>
    <xf numFmtId="44" fontId="0" fillId="0" borderId="38" xfId="2" applyFont="1" applyBorder="1"/>
    <xf numFmtId="44" fontId="0" fillId="0" borderId="38" xfId="0" applyNumberFormat="1" applyBorder="1"/>
    <xf numFmtId="43" fontId="3" fillId="0" borderId="38" xfId="134" applyBorder="1"/>
    <xf numFmtId="43" fontId="3" fillId="0" borderId="40" xfId="134" applyBorder="1"/>
    <xf numFmtId="0" fontId="0" fillId="0" borderId="0" xfId="0" applyBorder="1" applyAlignment="1">
      <alignment horizontal="right"/>
    </xf>
    <xf numFmtId="44" fontId="3" fillId="0" borderId="37" xfId="220" applyBorder="1"/>
    <xf numFmtId="0" fontId="5" fillId="3" borderId="0" xfId="4" applyFont="1" applyFill="1" applyBorder="1" applyAlignment="1">
      <alignment horizontal="right"/>
    </xf>
    <xf numFmtId="165" fontId="5" fillId="90" borderId="0" xfId="1" applyNumberFormat="1" applyFont="1" applyFill="1" applyBorder="1"/>
    <xf numFmtId="165" fontId="4" fillId="90" borderId="0" xfId="1" applyNumberFormat="1" applyFont="1" applyFill="1" applyBorder="1"/>
    <xf numFmtId="165" fontId="5" fillId="3" borderId="12" xfId="4" applyNumberFormat="1" applyFont="1" applyFill="1" applyBorder="1"/>
    <xf numFmtId="165" fontId="4" fillId="3" borderId="0" xfId="4" applyNumberFormat="1" applyFont="1" applyFill="1" applyBorder="1"/>
    <xf numFmtId="165" fontId="4" fillId="90" borderId="7" xfId="1" applyNumberFormat="1" applyFont="1" applyFill="1" applyBorder="1"/>
    <xf numFmtId="0" fontId="4" fillId="3" borderId="12" xfId="4" applyFont="1" applyFill="1" applyBorder="1" applyAlignment="1">
      <alignment horizontal="center"/>
    </xf>
    <xf numFmtId="43" fontId="101" fillId="0" borderId="0" xfId="1" applyNumberFormat="1" applyFont="1"/>
    <xf numFmtId="43" fontId="100" fillId="52" borderId="0" xfId="1" applyNumberFormat="1" applyFont="1" applyFill="1" applyAlignment="1">
      <alignment horizontal="center" wrapText="1"/>
    </xf>
    <xf numFmtId="43" fontId="98" fillId="0" borderId="0" xfId="1" applyNumberFormat="1" applyFont="1"/>
    <xf numFmtId="43" fontId="98" fillId="0" borderId="0" xfId="1" applyNumberFormat="1" applyFont="1" applyFill="1" applyBorder="1"/>
    <xf numFmtId="43" fontId="98" fillId="0" borderId="0" xfId="1" applyNumberFormat="1" applyFont="1" applyBorder="1"/>
    <xf numFmtId="43" fontId="101" fillId="0" borderId="0" xfId="1" applyNumberFormat="1" applyFont="1" applyBorder="1"/>
    <xf numFmtId="43" fontId="101" fillId="7" borderId="0" xfId="1" applyNumberFormat="1" applyFont="1" applyFill="1"/>
    <xf numFmtId="43" fontId="98" fillId="7" borderId="0" xfId="1" applyNumberFormat="1" applyFont="1" applyFill="1"/>
    <xf numFmtId="43" fontId="101" fillId="7" borderId="0" xfId="1" applyNumberFormat="1" applyFont="1" applyFill="1" applyBorder="1"/>
    <xf numFmtId="165" fontId="184" fillId="0" borderId="0" xfId="0" applyNumberFormat="1" applyFont="1"/>
    <xf numFmtId="0" fontId="80" fillId="42" borderId="6" xfId="0" applyFont="1" applyFill="1" applyBorder="1" applyAlignment="1">
      <alignment horizontal="center"/>
    </xf>
    <xf numFmtId="44" fontId="101" fillId="0" borderId="0" xfId="2" applyFont="1"/>
    <xf numFmtId="0" fontId="123" fillId="8" borderId="0" xfId="666" applyFont="1" applyFill="1" applyAlignment="1">
      <alignment horizontal="left"/>
    </xf>
    <xf numFmtId="0" fontId="101" fillId="8" borderId="0" xfId="0" applyFont="1" applyFill="1"/>
    <xf numFmtId="44" fontId="96" fillId="8" borderId="0" xfId="220" applyFont="1" applyFill="1" applyBorder="1"/>
    <xf numFmtId="165" fontId="101" fillId="8" borderId="0" xfId="134" applyNumberFormat="1" applyFont="1" applyFill="1"/>
    <xf numFmtId="165" fontId="101" fillId="8" borderId="0" xfId="1" applyNumberFormat="1" applyFont="1" applyFill="1"/>
    <xf numFmtId="43" fontId="101" fillId="8" borderId="0" xfId="1" applyNumberFormat="1" applyFont="1" applyFill="1"/>
    <xf numFmtId="43" fontId="98" fillId="8" borderId="0" xfId="134" applyFont="1" applyFill="1" applyAlignment="1">
      <alignment horizontal="center"/>
    </xf>
    <xf numFmtId="43" fontId="98" fillId="8" borderId="0" xfId="134" applyFont="1" applyFill="1"/>
    <xf numFmtId="0" fontId="98" fillId="8" borderId="0" xfId="666" applyFont="1" applyFill="1"/>
    <xf numFmtId="165" fontId="98" fillId="8" borderId="0" xfId="134" applyNumberFormat="1" applyFont="1" applyFill="1"/>
    <xf numFmtId="43" fontId="98" fillId="8" borderId="0" xfId="666" applyNumberFormat="1" applyFont="1" applyFill="1"/>
    <xf numFmtId="165" fontId="98" fillId="8" borderId="0" xfId="1" applyNumberFormat="1" applyFont="1" applyFill="1"/>
    <xf numFmtId="43" fontId="98" fillId="8" borderId="0" xfId="1" applyNumberFormat="1" applyFont="1" applyFill="1"/>
    <xf numFmtId="0" fontId="98" fillId="8" borderId="0" xfId="666" applyFont="1" applyFill="1" applyBorder="1"/>
    <xf numFmtId="0" fontId="123" fillId="8" borderId="0" xfId="666" applyFont="1" applyFill="1" applyBorder="1" applyAlignment="1">
      <alignment horizontal="right"/>
    </xf>
    <xf numFmtId="44" fontId="96" fillId="8" borderId="7" xfId="220" applyFont="1" applyFill="1" applyBorder="1"/>
    <xf numFmtId="165" fontId="101" fillId="8" borderId="0" xfId="0" applyNumberFormat="1" applyFont="1" applyFill="1" applyBorder="1"/>
    <xf numFmtId="165" fontId="101" fillId="8" borderId="43" xfId="0" applyNumberFormat="1" applyFont="1" applyFill="1" applyBorder="1"/>
    <xf numFmtId="165" fontId="101" fillId="8" borderId="7" xfId="1" applyNumberFormat="1" applyFont="1" applyFill="1" applyBorder="1"/>
    <xf numFmtId="43" fontId="101" fillId="8" borderId="0" xfId="1" applyNumberFormat="1" applyFont="1" applyFill="1" applyBorder="1"/>
    <xf numFmtId="10" fontId="100" fillId="8" borderId="0" xfId="3" applyNumberFormat="1" applyFont="1" applyFill="1" applyAlignment="1">
      <alignment horizontal="center" wrapText="1"/>
    </xf>
    <xf numFmtId="9" fontId="185" fillId="0" borderId="0" xfId="3" applyFont="1" applyAlignment="1"/>
    <xf numFmtId="0" fontId="185" fillId="0" borderId="0" xfId="0" applyFont="1" applyAlignment="1"/>
    <xf numFmtId="43" fontId="0" fillId="3" borderId="0" xfId="158" applyFont="1" applyFill="1" applyAlignment="1">
      <alignment horizontal="left"/>
    </xf>
    <xf numFmtId="0" fontId="0" fillId="3" borderId="0" xfId="0" applyFont="1" applyFill="1" applyAlignment="1"/>
    <xf numFmtId="0" fontId="0" fillId="3" borderId="0" xfId="0" applyFont="1" applyFill="1" applyAlignment="1">
      <alignment horizontal="right"/>
    </xf>
    <xf numFmtId="165" fontId="186" fillId="0" borderId="0" xfId="1" applyNumberFormat="1" applyFont="1" applyFill="1" applyBorder="1" applyAlignment="1">
      <alignment horizontal="center"/>
    </xf>
    <xf numFmtId="0" fontId="187" fillId="4" borderId="1" xfId="4" applyFont="1" applyFill="1" applyBorder="1" applyAlignment="1">
      <alignment horizontal="center"/>
    </xf>
    <xf numFmtId="37" fontId="187" fillId="4" borderId="3" xfId="4" applyNumberFormat="1" applyFont="1" applyFill="1" applyBorder="1" applyAlignment="1">
      <alignment horizontal="center"/>
    </xf>
    <xf numFmtId="0" fontId="187" fillId="4" borderId="4" xfId="4" applyFont="1" applyFill="1" applyBorder="1" applyAlignment="1">
      <alignment horizontal="center"/>
    </xf>
    <xf numFmtId="37" fontId="187" fillId="4" borderId="0" xfId="4" applyNumberFormat="1" applyFont="1" applyFill="1" applyBorder="1" applyAlignment="1">
      <alignment horizontal="center"/>
    </xf>
    <xf numFmtId="3" fontId="187" fillId="4" borderId="1" xfId="4" applyNumberFormat="1" applyFont="1" applyFill="1" applyBorder="1" applyAlignment="1">
      <alignment horizontal="center"/>
    </xf>
    <xf numFmtId="0" fontId="187" fillId="4" borderId="3" xfId="4" applyFont="1" applyFill="1" applyBorder="1" applyAlignment="1">
      <alignment horizontal="center"/>
    </xf>
    <xf numFmtId="3" fontId="187" fillId="4" borderId="2" xfId="0" applyNumberFormat="1" applyFont="1" applyFill="1" applyBorder="1" applyAlignment="1">
      <alignment horizontal="center"/>
    </xf>
    <xf numFmtId="0" fontId="187" fillId="4" borderId="4" xfId="4" applyNumberFormat="1" applyFont="1" applyFill="1" applyBorder="1" applyAlignment="1">
      <alignment horizontal="center"/>
    </xf>
    <xf numFmtId="3" fontId="187" fillId="4" borderId="5" xfId="0" applyNumberFormat="1" applyFont="1" applyFill="1" applyBorder="1" applyAlignment="1">
      <alignment horizontal="center"/>
    </xf>
    <xf numFmtId="37" fontId="187" fillId="4" borderId="1" xfId="4" applyNumberFormat="1" applyFont="1" applyFill="1" applyBorder="1" applyAlignment="1">
      <alignment horizontal="center"/>
    </xf>
    <xf numFmtId="37" fontId="187" fillId="4" borderId="4" xfId="4" applyNumberFormat="1" applyFont="1" applyFill="1" applyBorder="1" applyAlignment="1">
      <alignment horizontal="center"/>
    </xf>
    <xf numFmtId="0" fontId="188" fillId="6" borderId="0" xfId="4" applyNumberFormat="1" applyFont="1" applyFill="1" applyBorder="1" applyAlignment="1">
      <alignment horizontal="center"/>
    </xf>
    <xf numFmtId="0" fontId="189" fillId="54" borderId="0" xfId="666" applyFont="1" applyFill="1" applyAlignment="1">
      <alignment horizontal="center"/>
    </xf>
    <xf numFmtId="17" fontId="189" fillId="53" borderId="0" xfId="666" applyNumberFormat="1" applyFont="1" applyFill="1" applyAlignment="1">
      <alignment horizontal="center"/>
    </xf>
    <xf numFmtId="0" fontId="189" fillId="53" borderId="0" xfId="666" applyFont="1" applyFill="1" applyAlignment="1">
      <alignment horizontal="center" wrapText="1"/>
    </xf>
    <xf numFmtId="17" fontId="189" fillId="49" borderId="0" xfId="666" applyNumberFormat="1" applyFont="1" applyFill="1" applyAlignment="1">
      <alignment horizontal="center"/>
    </xf>
    <xf numFmtId="43" fontId="3" fillId="0" borderId="0" xfId="134" quotePrefix="1" applyFont="1" applyFill="1" applyAlignment="1">
      <alignment horizontal="right"/>
    </xf>
    <xf numFmtId="43" fontId="3" fillId="0" borderId="12" xfId="134" applyFont="1" applyBorder="1" applyAlignment="1">
      <alignment horizontal="right"/>
    </xf>
    <xf numFmtId="0" fontId="5" fillId="49" borderId="0" xfId="315" applyFont="1" applyFill="1" applyAlignment="1">
      <alignment horizontal="center"/>
    </xf>
    <xf numFmtId="0" fontId="5" fillId="0" borderId="0" xfId="315" applyFont="1" applyFill="1" applyAlignment="1">
      <alignment horizontal="center"/>
    </xf>
    <xf numFmtId="0" fontId="5" fillId="0" borderId="0" xfId="315" applyFont="1" applyAlignment="1">
      <alignment horizontal="center"/>
    </xf>
    <xf numFmtId="179" fontId="10" fillId="0" borderId="0" xfId="1086" applyNumberFormat="1" applyFont="1" applyFill="1" applyBorder="1"/>
    <xf numFmtId="0" fontId="120" fillId="0" borderId="0" xfId="0" applyFont="1"/>
    <xf numFmtId="0" fontId="1" fillId="0" borderId="0" xfId="0" applyFont="1" applyFill="1" applyBorder="1"/>
    <xf numFmtId="0" fontId="96" fillId="0" borderId="0" xfId="0" applyFont="1"/>
    <xf numFmtId="1" fontId="97" fillId="0" borderId="0" xfId="627" applyNumberFormat="1" applyFont="1" applyFill="1" applyBorder="1"/>
    <xf numFmtId="37" fontId="97" fillId="0" borderId="0" xfId="627" applyFont="1" applyFill="1"/>
    <xf numFmtId="37" fontId="97" fillId="0" borderId="0" xfId="627" applyFont="1" applyFill="1" applyAlignment="1">
      <alignment horizontal="right"/>
    </xf>
    <xf numFmtId="37" fontId="190" fillId="0" borderId="0" xfId="627" applyFont="1" applyFill="1" applyAlignment="1">
      <alignment horizontal="right"/>
    </xf>
    <xf numFmtId="37" fontId="97" fillId="0" borderId="0" xfId="627" applyFont="1" applyFill="1" applyBorder="1"/>
    <xf numFmtId="37" fontId="96" fillId="0" borderId="0" xfId="627" applyFont="1" applyFill="1" applyBorder="1"/>
    <xf numFmtId="0" fontId="97" fillId="0" borderId="0" xfId="669" applyFont="1" applyFill="1" applyBorder="1"/>
    <xf numFmtId="0" fontId="97" fillId="0" borderId="0" xfId="668" applyFont="1" applyFill="1" applyBorder="1"/>
    <xf numFmtId="37" fontId="191" fillId="0" borderId="0" xfId="627" applyFont="1" applyFill="1" applyBorder="1"/>
    <xf numFmtId="37" fontId="192" fillId="0" borderId="0" xfId="627" applyFont="1" applyFill="1" applyBorder="1"/>
    <xf numFmtId="37" fontId="193" fillId="0" borderId="0" xfId="627" applyFont="1" applyFill="1" applyBorder="1"/>
    <xf numFmtId="0" fontId="97" fillId="51" borderId="0" xfId="0" quotePrefix="1" applyFont="1" applyFill="1"/>
    <xf numFmtId="0" fontId="97" fillId="51" borderId="0" xfId="0" applyFont="1" applyFill="1"/>
    <xf numFmtId="0" fontId="97" fillId="0" borderId="0" xfId="0" applyFont="1" applyAlignment="1">
      <alignment horizontal="center"/>
    </xf>
    <xf numFmtId="0" fontId="180" fillId="0" borderId="0" xfId="0" applyFont="1" applyFill="1" applyAlignment="1">
      <alignment horizontal="center"/>
    </xf>
    <xf numFmtId="0" fontId="100" fillId="0" borderId="0" xfId="0" applyFont="1" applyFill="1" applyAlignment="1">
      <alignment horizontal="center"/>
    </xf>
    <xf numFmtId="0" fontId="100" fillId="0" borderId="0" xfId="0" quotePrefix="1" applyFont="1" applyAlignment="1">
      <alignment horizontal="center"/>
    </xf>
    <xf numFmtId="49" fontId="100" fillId="0" borderId="0" xfId="0" applyNumberFormat="1" applyFont="1" applyAlignment="1">
      <alignment horizontal="center"/>
    </xf>
    <xf numFmtId="49" fontId="100" fillId="0" borderId="0" xfId="0" applyNumberFormat="1" applyFont="1" applyFill="1" applyBorder="1" applyAlignment="1">
      <alignment horizontal="center"/>
    </xf>
    <xf numFmtId="0" fontId="100" fillId="0" borderId="0" xfId="0" applyFont="1" applyFill="1" applyBorder="1" applyAlignment="1">
      <alignment horizontal="center"/>
    </xf>
    <xf numFmtId="0" fontId="96" fillId="0" borderId="12" xfId="668" applyFont="1" applyFill="1" applyBorder="1" applyAlignment="1">
      <alignment horizontal="center" wrapText="1"/>
    </xf>
    <xf numFmtId="14" fontId="100" fillId="0" borderId="12" xfId="0" applyNumberFormat="1" applyFont="1" applyFill="1" applyBorder="1" applyAlignment="1">
      <alignment horizontal="center"/>
    </xf>
    <xf numFmtId="44" fontId="97" fillId="0" borderId="0" xfId="2" applyFont="1" applyFill="1"/>
    <xf numFmtId="44" fontId="101" fillId="0" borderId="0" xfId="0" applyNumberFormat="1" applyFont="1" applyFill="1"/>
    <xf numFmtId="165" fontId="97" fillId="0" borderId="0" xfId="1" applyNumberFormat="1" applyFont="1" applyFill="1"/>
    <xf numFmtId="164" fontId="97" fillId="0" borderId="41" xfId="2" applyNumberFormat="1" applyFont="1" applyFill="1" applyBorder="1"/>
    <xf numFmtId="165" fontId="101" fillId="0" borderId="41" xfId="1" applyNumberFormat="1" applyFont="1" applyFill="1" applyBorder="1"/>
    <xf numFmtId="164" fontId="97" fillId="0" borderId="0" xfId="2" applyNumberFormat="1" applyFont="1" applyFill="1"/>
    <xf numFmtId="164" fontId="101" fillId="0" borderId="0" xfId="0" applyNumberFormat="1" applyFont="1" applyFill="1"/>
    <xf numFmtId="10" fontId="97" fillId="0" borderId="42" xfId="3" applyNumberFormat="1" applyFont="1" applyFill="1" applyBorder="1"/>
    <xf numFmtId="165" fontId="97" fillId="0" borderId="0" xfId="158" applyNumberFormat="1" applyFont="1" applyFill="1"/>
    <xf numFmtId="10" fontId="101" fillId="0" borderId="42" xfId="584" applyNumberFormat="1" applyFont="1" applyBorder="1"/>
    <xf numFmtId="165" fontId="97" fillId="0" borderId="0" xfId="1" applyNumberFormat="1" applyFont="1" applyFill="1" applyBorder="1"/>
    <xf numFmtId="164" fontId="97" fillId="0" borderId="0" xfId="2" applyNumberFormat="1" applyFont="1" applyFill="1" applyBorder="1"/>
    <xf numFmtId="164" fontId="191" fillId="0" borderId="0" xfId="2" applyNumberFormat="1" applyFont="1" applyFill="1" applyBorder="1"/>
    <xf numFmtId="37" fontId="101" fillId="0" borderId="0" xfId="0" applyNumberFormat="1" applyFont="1" applyFill="1" applyBorder="1"/>
    <xf numFmtId="0" fontId="194" fillId="0" borderId="0" xfId="0" applyFont="1" applyFill="1"/>
    <xf numFmtId="0" fontId="194" fillId="0" borderId="0" xfId="0" applyFont="1"/>
    <xf numFmtId="0" fontId="194" fillId="0" borderId="0" xfId="0" applyFont="1" applyBorder="1"/>
    <xf numFmtId="10" fontId="194" fillId="0" borderId="0" xfId="3" applyNumberFormat="1" applyFont="1" applyFill="1"/>
    <xf numFmtId="0" fontId="194" fillId="0" borderId="0" xfId="0" applyFont="1" applyFill="1" applyBorder="1"/>
    <xf numFmtId="4" fontId="104" fillId="0" borderId="0" xfId="664" applyNumberFormat="1" applyFont="1" applyFill="1" applyBorder="1" applyAlignment="1">
      <alignment horizontal="right"/>
    </xf>
    <xf numFmtId="43" fontId="104" fillId="0" borderId="0" xfId="1" applyFont="1" applyBorder="1"/>
    <xf numFmtId="0" fontId="104" fillId="0" borderId="0" xfId="665" applyFont="1" applyFill="1" applyBorder="1"/>
    <xf numFmtId="179" fontId="104" fillId="0" borderId="0" xfId="665" applyNumberFormat="1" applyFont="1" applyFill="1" applyBorder="1"/>
    <xf numFmtId="0" fontId="104" fillId="0" borderId="0" xfId="665" applyFont="1" applyBorder="1"/>
    <xf numFmtId="39" fontId="105" fillId="0" borderId="0" xfId="665" applyNumberFormat="1" applyFont="1" applyBorder="1" applyAlignment="1">
      <alignment horizontal="center"/>
    </xf>
    <xf numFmtId="4" fontId="105" fillId="0" borderId="0" xfId="665" applyNumberFormat="1" applyFont="1" applyBorder="1"/>
    <xf numFmtId="0" fontId="105" fillId="0" borderId="0" xfId="665" applyFont="1" applyBorder="1"/>
    <xf numFmtId="4" fontId="105" fillId="0" borderId="0" xfId="665" applyNumberFormat="1" applyFont="1" applyFill="1" applyBorder="1" applyAlignment="1">
      <alignment horizontal="center"/>
    </xf>
    <xf numFmtId="0" fontId="105" fillId="0" borderId="0" xfId="665" applyFont="1" applyBorder="1" applyAlignment="1">
      <alignment horizontal="center"/>
    </xf>
    <xf numFmtId="43" fontId="105" fillId="0" borderId="0" xfId="1" applyFont="1" applyBorder="1"/>
    <xf numFmtId="0" fontId="108" fillId="0" borderId="0" xfId="666" applyFont="1" applyFill="1" applyBorder="1"/>
    <xf numFmtId="43" fontId="196" fillId="0" borderId="0" xfId="1" applyFont="1" applyBorder="1" applyAlignment="1">
      <alignment horizontal="center"/>
    </xf>
    <xf numFmtId="0" fontId="86" fillId="0" borderId="0" xfId="0" applyFont="1" applyFill="1" applyBorder="1" applyAlignment="1">
      <alignment horizontal="right"/>
    </xf>
    <xf numFmtId="0" fontId="105" fillId="0" borderId="0" xfId="665" applyFont="1" applyFill="1" applyBorder="1" applyAlignment="1">
      <alignment horizontal="right"/>
    </xf>
    <xf numFmtId="43" fontId="105" fillId="0" borderId="0" xfId="1" applyFont="1" applyBorder="1" applyAlignment="1">
      <alignment horizontal="center"/>
    </xf>
    <xf numFmtId="0" fontId="104" fillId="0" borderId="0" xfId="665" applyFont="1" applyBorder="1" applyAlignment="1">
      <alignment horizontal="right"/>
    </xf>
    <xf numFmtId="0" fontId="108" fillId="0" borderId="0" xfId="666" applyFont="1" applyFill="1" applyBorder="1" applyAlignment="1">
      <alignment horizontal="right"/>
    </xf>
    <xf numFmtId="44" fontId="108" fillId="0" borderId="0" xfId="666" applyNumberFormat="1" applyFont="1" applyFill="1" applyBorder="1"/>
    <xf numFmtId="4" fontId="104" fillId="0" borderId="0" xfId="665" applyNumberFormat="1" applyFont="1" applyFill="1" applyBorder="1" applyAlignment="1">
      <alignment horizontal="right"/>
    </xf>
    <xf numFmtId="43" fontId="104" fillId="0" borderId="0" xfId="1" applyFont="1" applyFill="1" applyBorder="1" applyAlignment="1">
      <alignment horizontal="center"/>
    </xf>
    <xf numFmtId="44" fontId="1" fillId="0" borderId="0" xfId="0" applyNumberFormat="1" applyFont="1" applyFill="1" applyBorder="1"/>
    <xf numFmtId="10" fontId="104" fillId="0" borderId="0" xfId="3" applyNumberFormat="1" applyFont="1" applyFill="1" applyBorder="1"/>
    <xf numFmtId="39" fontId="104" fillId="0" borderId="0" xfId="665" applyNumberFormat="1" applyFont="1" applyFill="1" applyBorder="1"/>
    <xf numFmtId="43" fontId="104" fillId="0" borderId="0" xfId="665" applyNumberFormat="1" applyFont="1" applyFill="1" applyBorder="1"/>
    <xf numFmtId="43" fontId="104" fillId="0" borderId="0" xfId="1" applyFont="1" applyFill="1" applyBorder="1"/>
    <xf numFmtId="43" fontId="104" fillId="0" borderId="0" xfId="665" applyNumberFormat="1" applyFont="1" applyBorder="1"/>
    <xf numFmtId="39" fontId="104" fillId="0" borderId="0" xfId="665" applyNumberFormat="1" applyFont="1" applyBorder="1"/>
    <xf numFmtId="0" fontId="105" fillId="0" borderId="0" xfId="665" applyFont="1" applyBorder="1" applyAlignment="1"/>
    <xf numFmtId="43" fontId="105" fillId="0" borderId="0" xfId="1" applyFont="1" applyFill="1" applyBorder="1"/>
    <xf numFmtId="0" fontId="104" fillId="0" borderId="0" xfId="665" applyFont="1" applyFill="1" applyBorder="1" applyAlignment="1">
      <alignment horizontal="left"/>
    </xf>
    <xf numFmtId="39" fontId="104" fillId="0" borderId="0" xfId="665" applyNumberFormat="1" applyFont="1" applyBorder="1" applyAlignment="1">
      <alignment horizontal="center"/>
    </xf>
    <xf numFmtId="0" fontId="105" fillId="0" borderId="0" xfId="665" applyFont="1" applyFill="1" applyBorder="1" applyAlignment="1">
      <alignment horizontal="center"/>
    </xf>
    <xf numFmtId="4" fontId="104" fillId="0" borderId="0" xfId="665" applyNumberFormat="1" applyFont="1" applyFill="1" applyBorder="1" applyAlignment="1">
      <alignment horizontal="center"/>
    </xf>
    <xf numFmtId="0" fontId="105" fillId="0" borderId="0" xfId="665" applyFont="1" applyFill="1" applyBorder="1" applyAlignment="1">
      <alignment horizontal="left"/>
    </xf>
    <xf numFmtId="4" fontId="105" fillId="0" borderId="0" xfId="665" applyNumberFormat="1" applyFont="1" applyBorder="1" applyAlignment="1">
      <alignment horizontal="right"/>
    </xf>
    <xf numFmtId="164" fontId="104" fillId="0" borderId="0" xfId="665" applyNumberFormat="1" applyFont="1" applyBorder="1"/>
    <xf numFmtId="164" fontId="104" fillId="0" borderId="0" xfId="665" applyNumberFormat="1" applyFont="1" applyFill="1" applyBorder="1" applyAlignment="1">
      <alignment horizontal="right"/>
    </xf>
    <xf numFmtId="4" fontId="104" fillId="0" borderId="0" xfId="665" applyNumberFormat="1" applyFont="1" applyBorder="1" applyAlignment="1">
      <alignment horizontal="right"/>
    </xf>
    <xf numFmtId="4" fontId="104" fillId="0" borderId="0" xfId="665" applyNumberFormat="1" applyFont="1" applyBorder="1"/>
    <xf numFmtId="164" fontId="104" fillId="0" borderId="0" xfId="665" applyNumberFormat="1" applyFont="1" applyFill="1" applyBorder="1" applyAlignment="1">
      <alignment horizontal="left"/>
    </xf>
    <xf numFmtId="164" fontId="105" fillId="0" borderId="0" xfId="665" applyNumberFormat="1" applyFont="1" applyBorder="1"/>
    <xf numFmtId="164" fontId="105" fillId="0" borderId="0" xfId="2" applyNumberFormat="1" applyFont="1" applyFill="1" applyBorder="1" applyAlignment="1">
      <alignment horizontal="right"/>
    </xf>
    <xf numFmtId="0" fontId="1" fillId="0" borderId="0" xfId="665" applyFont="1" applyFill="1" applyBorder="1" applyAlignment="1">
      <alignment horizontal="left"/>
    </xf>
    <xf numFmtId="179" fontId="104" fillId="0" borderId="0" xfId="3" applyNumberFormat="1" applyFont="1" applyBorder="1"/>
    <xf numFmtId="4" fontId="104" fillId="88" borderId="0" xfId="665" applyNumberFormat="1" applyFont="1" applyFill="1" applyBorder="1" applyAlignment="1">
      <alignment horizontal="right"/>
    </xf>
    <xf numFmtId="43" fontId="104" fillId="88" borderId="0" xfId="1" applyFont="1" applyFill="1" applyBorder="1" applyAlignment="1">
      <alignment horizontal="center"/>
    </xf>
    <xf numFmtId="0" fontId="1" fillId="0" borderId="0" xfId="0" applyFont="1" applyBorder="1"/>
    <xf numFmtId="0" fontId="1" fillId="0" borderId="0" xfId="0" applyFont="1" applyBorder="1" applyAlignment="1">
      <alignment horizontal="center"/>
    </xf>
    <xf numFmtId="0" fontId="1" fillId="0" borderId="0" xfId="0" applyFont="1" applyFill="1" applyBorder="1" applyAlignment="1">
      <alignment horizontal="right"/>
    </xf>
    <xf numFmtId="20" fontId="1" fillId="0" borderId="0" xfId="0" applyNumberFormat="1" applyFont="1" applyBorder="1" applyAlignment="1">
      <alignment horizontal="center"/>
    </xf>
    <xf numFmtId="0" fontId="197" fillId="0" borderId="0" xfId="664" applyFont="1" applyFill="1" applyBorder="1"/>
    <xf numFmtId="4" fontId="198" fillId="0" borderId="0" xfId="664" applyNumberFormat="1" applyFont="1" applyFill="1" applyBorder="1" applyAlignment="1">
      <alignment horizontal="right"/>
    </xf>
    <xf numFmtId="0" fontId="197" fillId="0" borderId="0" xfId="665" applyFont="1" applyFill="1" applyBorder="1"/>
    <xf numFmtId="4" fontId="197" fillId="0" borderId="0" xfId="664" applyNumberFormat="1" applyFont="1" applyFill="1" applyBorder="1" applyAlignment="1">
      <alignment horizontal="center"/>
    </xf>
    <xf numFmtId="4" fontId="197" fillId="0" borderId="0" xfId="665" applyNumberFormat="1" applyFont="1" applyFill="1" applyBorder="1" applyAlignment="1">
      <alignment horizontal="center"/>
    </xf>
    <xf numFmtId="0" fontId="198" fillId="0" borderId="0" xfId="665" applyFont="1" applyBorder="1"/>
    <xf numFmtId="0" fontId="197" fillId="0" borderId="0" xfId="665" applyFont="1" applyBorder="1" applyAlignment="1">
      <alignment horizontal="center"/>
    </xf>
    <xf numFmtId="0" fontId="198" fillId="0" borderId="0" xfId="665" applyFont="1" applyFill="1" applyBorder="1"/>
    <xf numFmtId="4" fontId="197" fillId="0" borderId="0" xfId="665" applyNumberFormat="1" applyFont="1" applyFill="1" applyBorder="1" applyAlignment="1">
      <alignment horizontal="center" wrapText="1"/>
    </xf>
    <xf numFmtId="10" fontId="197" fillId="0" borderId="12" xfId="3" applyNumberFormat="1" applyFont="1" applyFill="1" applyBorder="1" applyAlignment="1">
      <alignment horizontal="center"/>
    </xf>
    <xf numFmtId="0" fontId="197" fillId="7" borderId="0" xfId="665" applyFont="1" applyFill="1" applyBorder="1"/>
    <xf numFmtId="179" fontId="197" fillId="0" borderId="0" xfId="665" applyNumberFormat="1" applyFont="1" applyFill="1" applyBorder="1" applyAlignment="1">
      <alignment horizontal="center"/>
    </xf>
    <xf numFmtId="4" fontId="198" fillId="0" borderId="0" xfId="665" applyNumberFormat="1" applyFont="1" applyFill="1" applyBorder="1" applyAlignment="1">
      <alignment horizontal="right"/>
    </xf>
    <xf numFmtId="0" fontId="197" fillId="49" borderId="0" xfId="665" applyFont="1" applyFill="1" applyBorder="1"/>
    <xf numFmtId="0" fontId="197" fillId="5" borderId="0" xfId="665" applyFont="1" applyFill="1" applyBorder="1"/>
    <xf numFmtId="0" fontId="198" fillId="88" borderId="0" xfId="665" applyFont="1" applyFill="1" applyBorder="1"/>
    <xf numFmtId="4" fontId="198" fillId="88" borderId="0" xfId="665" applyNumberFormat="1" applyFont="1" applyFill="1" applyBorder="1" applyAlignment="1">
      <alignment horizontal="right"/>
    </xf>
    <xf numFmtId="0" fontId="199" fillId="0" borderId="0" xfId="665" applyFont="1" applyFill="1" applyBorder="1"/>
    <xf numFmtId="0" fontId="5" fillId="45" borderId="29" xfId="315" applyFont="1" applyFill="1" applyBorder="1" applyAlignment="1">
      <alignment vertical="top"/>
    </xf>
    <xf numFmtId="0" fontId="5" fillId="45" borderId="29" xfId="315" applyFont="1" applyFill="1" applyBorder="1" applyAlignment="1">
      <alignment horizontal="center" vertical="top"/>
    </xf>
    <xf numFmtId="0" fontId="5" fillId="45" borderId="29" xfId="315" applyFont="1" applyFill="1" applyBorder="1" applyAlignment="1">
      <alignment horizontal="left" vertical="top" wrapText="1"/>
    </xf>
    <xf numFmtId="0" fontId="5" fillId="45" borderId="54" xfId="315" applyFont="1" applyFill="1" applyBorder="1" applyAlignment="1">
      <alignment horizontal="center" vertical="top"/>
    </xf>
    <xf numFmtId="0" fontId="5" fillId="0" borderId="0" xfId="315" applyFont="1" applyAlignment="1">
      <alignment vertical="top"/>
    </xf>
    <xf numFmtId="0" fontId="158" fillId="0" borderId="0" xfId="315" applyFont="1"/>
    <xf numFmtId="0" fontId="158" fillId="0" borderId="0" xfId="315" applyFont="1" applyAlignment="1">
      <alignment horizontal="right"/>
    </xf>
    <xf numFmtId="0" fontId="158" fillId="0" borderId="0" xfId="315" applyFont="1" applyAlignment="1">
      <alignment horizontal="left"/>
    </xf>
    <xf numFmtId="183" fontId="158" fillId="0" borderId="0" xfId="315" applyNumberFormat="1" applyFont="1"/>
    <xf numFmtId="14" fontId="158" fillId="0" borderId="0" xfId="315" applyNumberFormat="1" applyFont="1"/>
    <xf numFmtId="40" fontId="157" fillId="0" borderId="0" xfId="315" applyNumberFormat="1" applyFont="1"/>
    <xf numFmtId="40" fontId="157" fillId="0" borderId="0" xfId="315" applyNumberFormat="1" applyFont="1" applyAlignment="1">
      <alignment horizontal="center"/>
    </xf>
    <xf numFmtId="0" fontId="158" fillId="0" borderId="0" xfId="315" applyFont="1" applyAlignment="1">
      <alignment horizontal="center"/>
    </xf>
    <xf numFmtId="40" fontId="158" fillId="0" borderId="0" xfId="134" applyNumberFormat="1" applyFont="1"/>
    <xf numFmtId="0" fontId="158" fillId="0" borderId="41" xfId="315" applyFont="1" applyBorder="1"/>
    <xf numFmtId="40" fontId="158" fillId="0" borderId="41" xfId="134" applyNumberFormat="1" applyFont="1" applyBorder="1"/>
    <xf numFmtId="0" fontId="158" fillId="0" borderId="41" xfId="315" applyFont="1" applyBorder="1" applyAlignment="1">
      <alignment horizontal="right"/>
    </xf>
    <xf numFmtId="0" fontId="3" fillId="85" borderId="0" xfId="315" applyFont="1" applyFill="1"/>
    <xf numFmtId="0" fontId="3" fillId="0" borderId="0" xfId="315" applyFont="1" applyAlignment="1">
      <alignment horizontal="left"/>
    </xf>
    <xf numFmtId="0" fontId="200" fillId="0" borderId="0" xfId="315" applyFont="1"/>
    <xf numFmtId="0" fontId="201" fillId="0" borderId="0" xfId="315" applyFont="1"/>
    <xf numFmtId="0" fontId="3" fillId="47" borderId="12" xfId="315" applyFont="1" applyFill="1" applyBorder="1" applyAlignment="1">
      <alignment horizontal="centerContinuous"/>
    </xf>
    <xf numFmtId="0" fontId="3" fillId="0" borderId="0" xfId="315" applyFont="1" applyAlignment="1"/>
    <xf numFmtId="0" fontId="3" fillId="45" borderId="0" xfId="315" applyFont="1" applyFill="1"/>
    <xf numFmtId="0" fontId="3" fillId="0" borderId="0" xfId="315" applyFont="1" applyAlignment="1">
      <alignment horizontal="left" indent="1"/>
    </xf>
    <xf numFmtId="0" fontId="3" fillId="0" borderId="0" xfId="315" applyNumberFormat="1" applyFont="1" applyAlignment="1">
      <alignment horizontal="left"/>
    </xf>
    <xf numFmtId="183" fontId="3" fillId="0" borderId="0" xfId="315" applyNumberFormat="1" applyFont="1"/>
    <xf numFmtId="0" fontId="3" fillId="0" borderId="0" xfId="315" applyFont="1" applyAlignment="1">
      <alignment vertical="top"/>
    </xf>
    <xf numFmtId="0" fontId="3" fillId="45" borderId="29" xfId="315" applyFont="1" applyFill="1" applyBorder="1" applyAlignment="1">
      <alignment vertical="top"/>
    </xf>
    <xf numFmtId="0" fontId="3" fillId="45" borderId="29" xfId="315" applyFont="1" applyFill="1" applyBorder="1" applyAlignment="1">
      <alignment horizontal="center" vertical="top"/>
    </xf>
    <xf numFmtId="183" fontId="3" fillId="45" borderId="29" xfId="315" applyNumberFormat="1" applyFont="1" applyFill="1" applyBorder="1" applyAlignment="1">
      <alignment vertical="top"/>
    </xf>
    <xf numFmtId="14" fontId="3" fillId="0" borderId="0" xfId="315" applyNumberFormat="1" applyFont="1"/>
    <xf numFmtId="0" fontId="3" fillId="0" borderId="0" xfId="315" applyFont="1" applyAlignment="1">
      <alignment horizontal="center"/>
    </xf>
    <xf numFmtId="17" fontId="3" fillId="0" borderId="0" xfId="315" applyNumberFormat="1" applyFont="1" applyAlignment="1">
      <alignment horizontal="left"/>
    </xf>
    <xf numFmtId="40" fontId="3" fillId="0" borderId="0" xfId="134" applyNumberFormat="1" applyFont="1"/>
    <xf numFmtId="0" fontId="3" fillId="0" borderId="41" xfId="315" applyFont="1" applyBorder="1"/>
    <xf numFmtId="40" fontId="3" fillId="0" borderId="41" xfId="134" applyNumberFormat="1" applyFont="1" applyBorder="1"/>
    <xf numFmtId="0" fontId="3" fillId="0" borderId="41" xfId="315" applyFont="1" applyBorder="1" applyAlignment="1">
      <alignment horizontal="right"/>
    </xf>
    <xf numFmtId="0" fontId="101" fillId="0" borderId="0" xfId="0" pivotButton="1" applyFont="1"/>
    <xf numFmtId="0" fontId="101" fillId="0" borderId="0" xfId="0" applyFont="1" applyAlignment="1">
      <alignment horizontal="left"/>
    </xf>
    <xf numFmtId="0" fontId="101" fillId="88" borderId="0" xfId="0" applyFont="1" applyFill="1" applyAlignment="1">
      <alignment horizontal="left"/>
    </xf>
    <xf numFmtId="43" fontId="101" fillId="88" borderId="0" xfId="0" applyNumberFormat="1" applyFont="1" applyFill="1"/>
    <xf numFmtId="0" fontId="100" fillId="88" borderId="0" xfId="0" applyFont="1" applyFill="1" applyAlignment="1">
      <alignment horizontal="left"/>
    </xf>
    <xf numFmtId="43" fontId="100" fillId="88" borderId="0" xfId="0" applyNumberFormat="1" applyFont="1" applyFill="1"/>
    <xf numFmtId="0" fontId="158" fillId="0" borderId="0" xfId="315" applyFont="1" applyBorder="1"/>
    <xf numFmtId="0" fontId="4" fillId="7" borderId="12" xfId="1157" applyFont="1" applyFill="1" applyBorder="1" applyAlignment="1">
      <alignment horizontal="center"/>
    </xf>
    <xf numFmtId="0" fontId="5" fillId="7" borderId="0" xfId="1157" applyFont="1" applyFill="1" applyBorder="1" applyAlignment="1">
      <alignment horizontal="center"/>
    </xf>
    <xf numFmtId="43" fontId="98" fillId="0" borderId="0" xfId="666" applyNumberFormat="1" applyFont="1" applyAlignment="1">
      <alignment horizontal="right"/>
    </xf>
    <xf numFmtId="43" fontId="101" fillId="0" borderId="0" xfId="1" applyNumberFormat="1" applyFont="1" applyAlignment="1">
      <alignment horizontal="right"/>
    </xf>
    <xf numFmtId="165" fontId="101" fillId="0" borderId="12" xfId="1" applyNumberFormat="1" applyFont="1" applyBorder="1"/>
    <xf numFmtId="0" fontId="0" fillId="50" borderId="0" xfId="0" applyFont="1" applyFill="1" applyAlignment="1">
      <alignment horizontal="center"/>
    </xf>
    <xf numFmtId="0" fontId="25" fillId="25" borderId="0" xfId="103" applyFont="1" applyAlignment="1">
      <alignment horizontal="center"/>
    </xf>
    <xf numFmtId="0" fontId="86" fillId="0" borderId="0" xfId="0" applyFont="1" applyFill="1" applyBorder="1" applyAlignment="1">
      <alignment horizontal="center"/>
    </xf>
    <xf numFmtId="0" fontId="94" fillId="0" borderId="0" xfId="0" applyFont="1" applyFill="1" applyAlignment="1">
      <alignment horizontal="left" wrapText="1"/>
    </xf>
    <xf numFmtId="0" fontId="86" fillId="0" borderId="12" xfId="0" applyFont="1" applyBorder="1" applyAlignment="1">
      <alignment horizontal="center"/>
    </xf>
    <xf numFmtId="0" fontId="94" fillId="0" borderId="0" xfId="0" applyFont="1" applyAlignment="1">
      <alignment horizontal="left" wrapText="1"/>
    </xf>
    <xf numFmtId="0" fontId="185" fillId="0" borderId="0" xfId="0" applyNumberFormat="1" applyFont="1" applyAlignment="1">
      <alignment horizontal="left" wrapText="1"/>
    </xf>
    <xf numFmtId="0" fontId="151" fillId="52" borderId="0" xfId="0" applyFont="1" applyFill="1" applyBorder="1" applyAlignment="1">
      <alignment horizontal="center"/>
    </xf>
    <xf numFmtId="165" fontId="100" fillId="52" borderId="0" xfId="1" applyNumberFormat="1" applyFont="1" applyFill="1" applyAlignment="1">
      <alignment horizontal="center" wrapText="1"/>
    </xf>
    <xf numFmtId="165" fontId="151" fillId="52" borderId="0" xfId="1" applyNumberFormat="1" applyFont="1" applyFill="1" applyBorder="1" applyAlignment="1">
      <alignment horizontal="center"/>
    </xf>
    <xf numFmtId="0" fontId="159" fillId="7" borderId="0" xfId="1157" applyFont="1" applyFill="1" applyBorder="1" applyAlignment="1">
      <alignment horizontal="center"/>
    </xf>
    <xf numFmtId="0" fontId="159" fillId="88" borderId="0" xfId="1157" applyFont="1" applyFill="1" applyBorder="1" applyAlignment="1">
      <alignment horizontal="center"/>
    </xf>
    <xf numFmtId="4" fontId="197" fillId="0" borderId="0" xfId="665" applyNumberFormat="1" applyFont="1" applyFill="1" applyBorder="1" applyAlignment="1">
      <alignment horizontal="center" wrapText="1"/>
    </xf>
    <xf numFmtId="4" fontId="197" fillId="0" borderId="12" xfId="665" applyNumberFormat="1" applyFont="1" applyFill="1" applyBorder="1" applyAlignment="1">
      <alignment horizontal="center" wrapText="1"/>
    </xf>
    <xf numFmtId="0" fontId="197" fillId="0" borderId="0" xfId="665" applyFont="1" applyBorder="1" applyAlignment="1">
      <alignment horizontal="center" wrapText="1"/>
    </xf>
    <xf numFmtId="0" fontId="197" fillId="0" borderId="12" xfId="665" applyFont="1" applyBorder="1" applyAlignment="1">
      <alignment horizontal="center" wrapText="1"/>
    </xf>
    <xf numFmtId="0" fontId="195" fillId="0" borderId="0" xfId="666" applyFont="1" applyFill="1" applyBorder="1" applyAlignment="1">
      <alignment horizontal="center"/>
    </xf>
    <xf numFmtId="43" fontId="3" fillId="45" borderId="0" xfId="134" applyFont="1" applyFill="1" applyAlignment="1">
      <alignment horizontal="center"/>
    </xf>
    <xf numFmtId="43" fontId="3" fillId="46" borderId="0" xfId="134" applyFont="1" applyFill="1" applyAlignment="1">
      <alignment horizontal="center"/>
    </xf>
    <xf numFmtId="0" fontId="95" fillId="0" borderId="0" xfId="0" applyFont="1" applyAlignment="1">
      <alignment horizontal="center"/>
    </xf>
    <xf numFmtId="43" fontId="80" fillId="42" borderId="6" xfId="134" applyFont="1" applyFill="1" applyBorder="1" applyAlignment="1">
      <alignment horizontal="center"/>
    </xf>
    <xf numFmtId="43" fontId="80" fillId="42" borderId="7" xfId="134" applyFont="1" applyFill="1" applyBorder="1" applyAlignment="1">
      <alignment horizontal="center"/>
    </xf>
    <xf numFmtId="43" fontId="80" fillId="42" borderId="53" xfId="134" applyFont="1" applyFill="1" applyBorder="1" applyAlignment="1">
      <alignment horizontal="center"/>
    </xf>
    <xf numFmtId="0" fontId="80" fillId="42" borderId="6" xfId="0" applyFont="1" applyFill="1" applyBorder="1" applyAlignment="1">
      <alignment horizontal="center"/>
    </xf>
    <xf numFmtId="0" fontId="80" fillId="42" borderId="53" xfId="0" applyFont="1" applyFill="1" applyBorder="1" applyAlignment="1">
      <alignment horizontal="center"/>
    </xf>
    <xf numFmtId="0" fontId="3" fillId="0" borderId="0" xfId="0" applyFont="1" applyFill="1" applyBorder="1" applyAlignment="1">
      <alignment horizontal="center"/>
    </xf>
    <xf numFmtId="166" fontId="165" fillId="90" borderId="0" xfId="392" applyFont="1" applyFill="1" applyAlignment="1">
      <alignment horizontal="center"/>
    </xf>
    <xf numFmtId="0" fontId="104" fillId="3" borderId="0" xfId="397" applyFont="1" applyFill="1" applyAlignment="1">
      <alignment horizontal="left" wrapText="1"/>
    </xf>
    <xf numFmtId="0" fontId="81" fillId="0" borderId="0" xfId="7" applyNumberFormat="1" applyFont="1"/>
  </cellXfs>
  <cellStyles count="1273">
    <cellStyle name="20% - Accent1 2" xfId="9"/>
    <cellStyle name="20% - Accent1 2 2" xfId="10"/>
    <cellStyle name="20% - Accent1 2 3" xfId="11"/>
    <cellStyle name="20% - Accent1 2 4" xfId="819"/>
    <cellStyle name="20% - Accent1 3" xfId="12"/>
    <cellStyle name="20% - Accent1 3 2" xfId="13"/>
    <cellStyle name="20% - Accent1 3 3" xfId="14"/>
    <cellStyle name="20% - Accent1 4" xfId="15"/>
    <cellStyle name="20% - Accent1 4 2" xfId="820"/>
    <cellStyle name="20% - Accent1 5" xfId="821"/>
    <cellStyle name="20% - Accent2 2" xfId="16"/>
    <cellStyle name="20% - Accent2 3" xfId="17"/>
    <cellStyle name="20% - Accent2 3 2" xfId="18"/>
    <cellStyle name="20% - Accent2 4" xfId="822"/>
    <cellStyle name="20% - Accent2 5" xfId="823"/>
    <cellStyle name="20% - Accent3 2" xfId="19"/>
    <cellStyle name="20% - Accent3 3" xfId="20"/>
    <cellStyle name="20% - Accent3 3 2" xfId="21"/>
    <cellStyle name="20% - Accent3 4" xfId="824"/>
    <cellStyle name="20% - Accent3 5" xfId="825"/>
    <cellStyle name="20% - Accent4 2" xfId="22"/>
    <cellStyle name="20% - Accent4 2 2" xfId="23"/>
    <cellStyle name="20% - Accent4 2 3" xfId="24"/>
    <cellStyle name="20% - Accent4 3" xfId="25"/>
    <cellStyle name="20% - Accent4 3 2" xfId="26"/>
    <cellStyle name="20% - Accent4 3 3" xfId="27"/>
    <cellStyle name="20% - Accent4 4" xfId="28"/>
    <cellStyle name="20% - Accent4 4 2" xfId="826"/>
    <cellStyle name="20% - Accent4 5" xfId="827"/>
    <cellStyle name="20% - Accent5 2" xfId="29"/>
    <cellStyle name="20% - Accent5 3" xfId="30"/>
    <cellStyle name="20% - Accent5 4" xfId="828"/>
    <cellStyle name="20% - Accent5 5" xfId="829"/>
    <cellStyle name="20% - Accent6 2" xfId="31"/>
    <cellStyle name="20% - Accent6 3" xfId="32"/>
    <cellStyle name="20% - Accent6 3 2" xfId="33"/>
    <cellStyle name="20% - Accent6 4" xfId="830"/>
    <cellStyle name="20% - Accent6 5" xfId="831"/>
    <cellStyle name="40% - Accent1 2" xfId="34"/>
    <cellStyle name="40% - Accent1 2 2" xfId="791"/>
    <cellStyle name="40% - Accent1 2 3" xfId="832"/>
    <cellStyle name="40% - Accent1 3" xfId="35"/>
    <cellStyle name="40% - Accent1 3 2" xfId="36"/>
    <cellStyle name="40% - Accent1 3 3" xfId="37"/>
    <cellStyle name="40% - Accent1 4" xfId="38"/>
    <cellStyle name="40% - Accent1 4 2" xfId="833"/>
    <cellStyle name="40% - Accent1 5" xfId="834"/>
    <cellStyle name="40% - Accent2 2" xfId="39"/>
    <cellStyle name="40% - Accent2 3" xfId="40"/>
    <cellStyle name="40% - Accent2 4" xfId="835"/>
    <cellStyle name="40% - Accent2 5" xfId="836"/>
    <cellStyle name="40% - Accent3 2" xfId="41"/>
    <cellStyle name="40% - Accent3 3" xfId="42"/>
    <cellStyle name="40% - Accent3 3 2" xfId="43"/>
    <cellStyle name="40% - Accent3 4" xfId="837"/>
    <cellStyle name="40% - Accent3 5" xfId="838"/>
    <cellStyle name="40% - Accent4 2" xfId="44"/>
    <cellStyle name="40% - Accent4 2 2" xfId="792"/>
    <cellStyle name="40% - Accent4 2 3" xfId="839"/>
    <cellStyle name="40% - Accent4 3" xfId="45"/>
    <cellStyle name="40% - Accent4 3 2" xfId="46"/>
    <cellStyle name="40% - Accent4 3 3" xfId="47"/>
    <cellStyle name="40% - Accent4 4" xfId="48"/>
    <cellStyle name="40% - Accent4 4 2" xfId="840"/>
    <cellStyle name="40% - Accent4 5" xfId="841"/>
    <cellStyle name="40% - Accent5 2" xfId="49"/>
    <cellStyle name="40% - Accent5 2 2" xfId="793"/>
    <cellStyle name="40% - Accent5 2 3" xfId="842"/>
    <cellStyle name="40% - Accent5 3" xfId="50"/>
    <cellStyle name="40% - Accent5 3 2" xfId="51"/>
    <cellStyle name="40% - Accent5 4" xfId="843"/>
    <cellStyle name="40% - Accent5 5" xfId="844"/>
    <cellStyle name="40% - Accent6 2" xfId="52"/>
    <cellStyle name="40% - Accent6 2 2" xfId="794"/>
    <cellStyle name="40% - Accent6 2 3" xfId="845"/>
    <cellStyle name="40% - Accent6 3" xfId="53"/>
    <cellStyle name="40% - Accent6 3 2" xfId="54"/>
    <cellStyle name="40% - Accent6 3 3" xfId="55"/>
    <cellStyle name="40% - Accent6 4" xfId="56"/>
    <cellStyle name="40% - Accent6 4 2" xfId="846"/>
    <cellStyle name="40% - Accent6 5" xfId="847"/>
    <cellStyle name="60% - Accent1 2" xfId="57"/>
    <cellStyle name="60% - Accent1 2 2" xfId="58"/>
    <cellStyle name="60% - Accent1 2 3" xfId="59"/>
    <cellStyle name="60% - Accent1 2 4" xfId="848"/>
    <cellStyle name="60% - Accent1 3" xfId="60"/>
    <cellStyle name="60% - Accent1 3 2" xfId="61"/>
    <cellStyle name="60% - Accent1 3 3" xfId="62"/>
    <cellStyle name="60% - Accent1 4" xfId="63"/>
    <cellStyle name="60% - Accent1 4 2" xfId="849"/>
    <cellStyle name="60% - Accent2 2" xfId="64"/>
    <cellStyle name="60% - Accent2 2 2" xfId="795"/>
    <cellStyle name="60% - Accent2 2 3" xfId="850"/>
    <cellStyle name="60% - Accent2 3" xfId="65"/>
    <cellStyle name="60% - Accent2 3 2" xfId="66"/>
    <cellStyle name="60% - Accent2 4" xfId="851"/>
    <cellStyle name="60% - Accent3 2" xfId="67"/>
    <cellStyle name="60% - Accent3 2 2" xfId="796"/>
    <cellStyle name="60% - Accent3 2 3" xfId="852"/>
    <cellStyle name="60% - Accent3 3" xfId="68"/>
    <cellStyle name="60% - Accent3 3 2" xfId="69"/>
    <cellStyle name="60% - Accent3 3 3" xfId="70"/>
    <cellStyle name="60% - Accent3 4" xfId="71"/>
    <cellStyle name="60% - Accent3 4 2" xfId="853"/>
    <cellStyle name="60% - Accent4 2" xfId="72"/>
    <cellStyle name="60% - Accent4 2 2" xfId="797"/>
    <cellStyle name="60% - Accent4 2 3" xfId="854"/>
    <cellStyle name="60% - Accent4 3" xfId="73"/>
    <cellStyle name="60% - Accent4 3 2" xfId="74"/>
    <cellStyle name="60% - Accent4 3 3" xfId="75"/>
    <cellStyle name="60% - Accent4 4" xfId="76"/>
    <cellStyle name="60% - Accent4 4 2" xfId="855"/>
    <cellStyle name="60% - Accent5 2" xfId="77"/>
    <cellStyle name="60% - Accent5 2 2" xfId="78"/>
    <cellStyle name="60% - Accent5 2 3" xfId="79"/>
    <cellStyle name="60% - Accent5 2 4" xfId="856"/>
    <cellStyle name="60% - Accent5 3" xfId="80"/>
    <cellStyle name="60% - Accent5 3 2" xfId="81"/>
    <cellStyle name="60% - Accent5 4" xfId="857"/>
    <cellStyle name="60% - Accent6 2" xfId="82"/>
    <cellStyle name="60% - Accent6 3" xfId="83"/>
    <cellStyle name="60% - Accent6 3 2" xfId="84"/>
    <cellStyle name="60% - Accent6 4" xfId="858"/>
    <cellStyle name="Accent1 2" xfId="85"/>
    <cellStyle name="Accent1 2 2" xfId="86"/>
    <cellStyle name="Accent1 2 3" xfId="87"/>
    <cellStyle name="Accent1 2 4" xfId="859"/>
    <cellStyle name="Accent1 3" xfId="88"/>
    <cellStyle name="Accent1 3 2" xfId="89"/>
    <cellStyle name="Accent1 3 3" xfId="90"/>
    <cellStyle name="Accent1 4" xfId="91"/>
    <cellStyle name="Accent1 4 2" xfId="860"/>
    <cellStyle name="Accent2 2" xfId="92"/>
    <cellStyle name="Accent2 2 2" xfId="798"/>
    <cellStyle name="Accent2 2 3" xfId="861"/>
    <cellStyle name="Accent2 3" xfId="93"/>
    <cellStyle name="Accent2 3 2" xfId="94"/>
    <cellStyle name="Accent2 4" xfId="862"/>
    <cellStyle name="Accent3 2" xfId="95"/>
    <cellStyle name="Accent3 2 2" xfId="96"/>
    <cellStyle name="Accent3 2 3" xfId="97"/>
    <cellStyle name="Accent3 2 4" xfId="863"/>
    <cellStyle name="Accent3 3" xfId="98"/>
    <cellStyle name="Accent3 3 2" xfId="99"/>
    <cellStyle name="Accent3 4" xfId="864"/>
    <cellStyle name="Accent4 2" xfId="100"/>
    <cellStyle name="Accent4 2 2" xfId="866"/>
    <cellStyle name="Accent4 2 2 2" xfId="1139"/>
    <cellStyle name="Accent4 2 3" xfId="865"/>
    <cellStyle name="Accent4 3" xfId="101"/>
    <cellStyle name="Accent4 3 2" xfId="102"/>
    <cellStyle name="Accent4 4" xfId="867"/>
    <cellStyle name="Accent5 2" xfId="103"/>
    <cellStyle name="Accent5 2 2" xfId="869"/>
    <cellStyle name="Accent5 2 3" xfId="868"/>
    <cellStyle name="Accent5 3" xfId="104"/>
    <cellStyle name="Accent5 4" xfId="870"/>
    <cellStyle name="Accent6 2" xfId="105"/>
    <cellStyle name="Accent6 2 2" xfId="106"/>
    <cellStyle name="Accent6 2 3" xfId="107"/>
    <cellStyle name="Accent6 2 4" xfId="871"/>
    <cellStyle name="Accent6 3" xfId="108"/>
    <cellStyle name="Accent6 3 2" xfId="109"/>
    <cellStyle name="Accent6 4" xfId="872"/>
    <cellStyle name="Accounting" xfId="110"/>
    <cellStyle name="Accounting 2" xfId="111"/>
    <cellStyle name="Accounting 3" xfId="112"/>
    <cellStyle name="Accounting_2011-11" xfId="113"/>
    <cellStyle name="APS" xfId="114"/>
    <cellStyle name="APSLabels" xfId="115"/>
    <cellStyle name="Bad 2" xfId="116"/>
    <cellStyle name="Bad 2 2" xfId="799"/>
    <cellStyle name="Bad 2 3" xfId="873"/>
    <cellStyle name="Bad 3" xfId="117"/>
    <cellStyle name="Bad 3 2" xfId="118"/>
    <cellStyle name="Bad 4" xfId="874"/>
    <cellStyle name="Budget" xfId="119"/>
    <cellStyle name="Budget 2" xfId="120"/>
    <cellStyle name="Budget 3" xfId="121"/>
    <cellStyle name="Budget_2011-11" xfId="122"/>
    <cellStyle name="Calculation 2" xfId="123"/>
    <cellStyle name="Calculation 2 2" xfId="124"/>
    <cellStyle name="Calculation 2 3" xfId="125"/>
    <cellStyle name="Calculation 2 4" xfId="875"/>
    <cellStyle name="Calculation 3" xfId="126"/>
    <cellStyle name="Calculation 3 2" xfId="127"/>
    <cellStyle name="Calculation 3 3" xfId="128"/>
    <cellStyle name="Calculation 4" xfId="129"/>
    <cellStyle name="Calculation 4 2" xfId="876"/>
    <cellStyle name="Check Cell 2" xfId="130"/>
    <cellStyle name="Check Cell 2 2" xfId="878"/>
    <cellStyle name="Check Cell 2 3" xfId="877"/>
    <cellStyle name="Check Cell 3" xfId="131"/>
    <cellStyle name="Check Cell 4" xfId="879"/>
    <cellStyle name="Color" xfId="132"/>
    <cellStyle name="combo" xfId="133"/>
    <cellStyle name="Comma" xfId="1" builtinId="3"/>
    <cellStyle name="Comma 10" xfId="134"/>
    <cellStyle name="Comma 10 2" xfId="135"/>
    <cellStyle name="Comma 11" xfId="136"/>
    <cellStyle name="Comma 11 2" xfId="137"/>
    <cellStyle name="Comma 11 2 2" xfId="670"/>
    <cellStyle name="Comma 11 2 2 2" xfId="1158"/>
    <cellStyle name="Comma 11 2 3" xfId="1159"/>
    <cellStyle name="Comma 11 3" xfId="671"/>
    <cellStyle name="Comma 11 3 2" xfId="1160"/>
    <cellStyle name="Comma 11 4" xfId="1161"/>
    <cellStyle name="Comma 12" xfId="138"/>
    <cellStyle name="Comma 12 2" xfId="139"/>
    <cellStyle name="Comma 12 2 2" xfId="140"/>
    <cellStyle name="Comma 12 3" xfId="141"/>
    <cellStyle name="Comma 12 4" xfId="142"/>
    <cellStyle name="Comma 12 5" xfId="143"/>
    <cellStyle name="Comma 13" xfId="144"/>
    <cellStyle name="Comma 13 2" xfId="145"/>
    <cellStyle name="Comma 13 3" xfId="146"/>
    <cellStyle name="Comma 14" xfId="147"/>
    <cellStyle name="Comma 15" xfId="148"/>
    <cellStyle name="Comma 15 2" xfId="149"/>
    <cellStyle name="Comma 15 3" xfId="150"/>
    <cellStyle name="Comma 16" xfId="151"/>
    <cellStyle name="Comma 16 2" xfId="880"/>
    <cellStyle name="Comma 16 3" xfId="881"/>
    <cellStyle name="Comma 17" xfId="152"/>
    <cellStyle name="Comma 17 2" xfId="153"/>
    <cellStyle name="Comma 17 2 2" xfId="1270"/>
    <cellStyle name="Comma 17 3" xfId="154"/>
    <cellStyle name="Comma 17 4" xfId="1078"/>
    <cellStyle name="Comma 18" xfId="155"/>
    <cellStyle name="Comma 18 2" xfId="156"/>
    <cellStyle name="Comma 18 3" xfId="157"/>
    <cellStyle name="Comma 18 4" xfId="1069"/>
    <cellStyle name="Comma 19" xfId="158"/>
    <cellStyle name="Comma 2" xfId="6"/>
    <cellStyle name="Comma 2 2" xfId="159"/>
    <cellStyle name="Comma 2 2 2" xfId="160"/>
    <cellStyle name="Comma 2 2 2 2" xfId="161"/>
    <cellStyle name="Comma 2 2 2 2 2" xfId="754"/>
    <cellStyle name="Comma 2 2 3" xfId="162"/>
    <cellStyle name="Comma 2 3" xfId="163"/>
    <cellStyle name="Comma 2 3 2" xfId="780"/>
    <cellStyle name="Comma 2 4" xfId="164"/>
    <cellStyle name="Comma 2 4 2" xfId="165"/>
    <cellStyle name="Comma 2 4 2 2" xfId="882"/>
    <cellStyle name="Comma 2 4 3" xfId="166"/>
    <cellStyle name="Comma 2 4 4" xfId="1068"/>
    <cellStyle name="Comma 2 5" xfId="167"/>
    <cellStyle name="Comma 2 5 2" xfId="883"/>
    <cellStyle name="Comma 2 6" xfId="168"/>
    <cellStyle name="Comma 2 6 2" xfId="169"/>
    <cellStyle name="Comma 2 6 2 2" xfId="885"/>
    <cellStyle name="Comma 2 6 3" xfId="884"/>
    <cellStyle name="Comma 2 7" xfId="800"/>
    <cellStyle name="Comma 2 7 2" xfId="886"/>
    <cellStyle name="Comma 2 8" xfId="801"/>
    <cellStyle name="Comma 20" xfId="170"/>
    <cellStyle name="Comma 20 2" xfId="887"/>
    <cellStyle name="Comma 21" xfId="171"/>
    <cellStyle name="Comma 21 2" xfId="172"/>
    <cellStyle name="Comma 22" xfId="812"/>
    <cellStyle name="Comma 23" xfId="813"/>
    <cellStyle name="Comma 3" xfId="173"/>
    <cellStyle name="Comma 3 2" xfId="174"/>
    <cellStyle name="Comma 3 2 2" xfId="175"/>
    <cellStyle name="Comma 3 3" xfId="176"/>
    <cellStyle name="Comma 3 4" xfId="177"/>
    <cellStyle name="Comma 4" xfId="178"/>
    <cellStyle name="Comma 4 2" xfId="179"/>
    <cellStyle name="Comma 4 2 2" xfId="180"/>
    <cellStyle name="Comma 4 2 2 2" xfId="672"/>
    <cellStyle name="Comma 4 2 2 2 2" xfId="889"/>
    <cellStyle name="Comma 4 2 2 3" xfId="673"/>
    <cellStyle name="Comma 4 2 2 3 2" xfId="1162"/>
    <cellStyle name="Comma 4 2 2 4" xfId="1163"/>
    <cellStyle name="Comma 4 2 3" xfId="181"/>
    <cellStyle name="Comma 4 2 3 2" xfId="674"/>
    <cellStyle name="Comma 4 2 4" xfId="182"/>
    <cellStyle name="Comma 4 2 4 2" xfId="638"/>
    <cellStyle name="Comma 4 2 4 3" xfId="781"/>
    <cellStyle name="Comma 4 2 5" xfId="888"/>
    <cellStyle name="Comma 4 3" xfId="183"/>
    <cellStyle name="Comma 4 3 2" xfId="184"/>
    <cellStyle name="Comma 4 3 2 2" xfId="675"/>
    <cellStyle name="Comma 4 3 3" xfId="185"/>
    <cellStyle name="Comma 4 3 3 2" xfId="676"/>
    <cellStyle name="Comma 4 3 4" xfId="628"/>
    <cellStyle name="Comma 4 3 4 2" xfId="760"/>
    <cellStyle name="Comma 4 4" xfId="186"/>
    <cellStyle name="Comma 4 4 2" xfId="187"/>
    <cellStyle name="Comma 4 4 2 2" xfId="677"/>
    <cellStyle name="Comma 4 4 3" xfId="188"/>
    <cellStyle name="Comma 4 4 3 2" xfId="678"/>
    <cellStyle name="Comma 4 4 4" xfId="629"/>
    <cellStyle name="Comma 4 4 4 2" xfId="1143"/>
    <cellStyle name="Comma 4 5" xfId="189"/>
    <cellStyle name="Comma 4 5 2" xfId="190"/>
    <cellStyle name="Comma 4 5 2 2" xfId="679"/>
    <cellStyle name="Comma 4 6" xfId="191"/>
    <cellStyle name="Comma 4 6 2" xfId="680"/>
    <cellStyle name="Comma 4 7" xfId="681"/>
    <cellStyle name="Comma 5" xfId="192"/>
    <cellStyle name="Comma 5 2" xfId="193"/>
    <cellStyle name="Comma 5 2 2" xfId="194"/>
    <cellStyle name="Comma 5 2 2 2" xfId="682"/>
    <cellStyle name="Comma 5 2 2 2 2" xfId="1164"/>
    <cellStyle name="Comma 5 2 2 3" xfId="1165"/>
    <cellStyle name="Comma 5 2 3" xfId="683"/>
    <cellStyle name="Comma 5 2 3 2" xfId="890"/>
    <cellStyle name="Comma 5 2 4" xfId="1166"/>
    <cellStyle name="Comma 5 3" xfId="195"/>
    <cellStyle name="Comma 5 3 2" xfId="684"/>
    <cellStyle name="Comma 5 3 2 2" xfId="1167"/>
    <cellStyle name="Comma 5 3 3" xfId="1168"/>
    <cellStyle name="Comma 5 4" xfId="196"/>
    <cellStyle name="Comma 5 4 2" xfId="1096"/>
    <cellStyle name="Comma 5 5" xfId="197"/>
    <cellStyle name="Comma 5 5 2" xfId="787"/>
    <cellStyle name="Comma 5 6" xfId="1169"/>
    <cellStyle name="Comma 6" xfId="198"/>
    <cellStyle name="Comma 6 2" xfId="199"/>
    <cellStyle name="Comma 6 2 2" xfId="200"/>
    <cellStyle name="Comma 6 2 2 2" xfId="685"/>
    <cellStyle name="Comma 6 2 2 2 2" xfId="892"/>
    <cellStyle name="Comma 6 2 2 3" xfId="1170"/>
    <cellStyle name="Comma 6 2 3" xfId="686"/>
    <cellStyle name="Comma 6 2 3 2" xfId="891"/>
    <cellStyle name="Comma 6 2 4" xfId="687"/>
    <cellStyle name="Comma 6 3" xfId="201"/>
    <cellStyle name="Comma 6 3 2" xfId="640"/>
    <cellStyle name="Comma 6 3 2 2" xfId="1097"/>
    <cellStyle name="Comma 6 3 3" xfId="1171"/>
    <cellStyle name="Comma 6 4" xfId="202"/>
    <cellStyle name="Comma 6 4 2" xfId="1098"/>
    <cellStyle name="Comma 6 5" xfId="1099"/>
    <cellStyle name="Comma 7" xfId="203"/>
    <cellStyle name="Comma 7 2" xfId="204"/>
    <cellStyle name="Comma 7 2 2" xfId="205"/>
    <cellStyle name="Comma 7 2 2 2" xfId="688"/>
    <cellStyle name="Comma 7 2 2 2 2" xfId="1172"/>
    <cellStyle name="Comma 7 2 2 3" xfId="1173"/>
    <cellStyle name="Comma 7 2 3" xfId="689"/>
    <cellStyle name="Comma 7 2 3 2" xfId="893"/>
    <cellStyle name="Comma 7 2 4" xfId="1174"/>
    <cellStyle name="Comma 7 3" xfId="206"/>
    <cellStyle name="Comma 7 3 2" xfId="690"/>
    <cellStyle name="Comma 7 3 2 2" xfId="1175"/>
    <cellStyle name="Comma 7 3 3" xfId="1176"/>
    <cellStyle name="Comma 7 4" xfId="691"/>
    <cellStyle name="Comma 7 4 2" xfId="1100"/>
    <cellStyle name="Comma 7 5" xfId="1101"/>
    <cellStyle name="Comma 8" xfId="207"/>
    <cellStyle name="Comma 8 2" xfId="208"/>
    <cellStyle name="Comma 8 2 2" xfId="209"/>
    <cellStyle name="Comma 8 2 2 2" xfId="896"/>
    <cellStyle name="Comma 8 2 2 3" xfId="895"/>
    <cellStyle name="Comma 8 2 3" xfId="894"/>
    <cellStyle name="Comma 8 3" xfId="210"/>
    <cellStyle name="Comma 8 3 2" xfId="1102"/>
    <cellStyle name="Comma 8 4" xfId="211"/>
    <cellStyle name="Comma 9" xfId="212"/>
    <cellStyle name="Comma 9 2" xfId="213"/>
    <cellStyle name="Comma(2)" xfId="214"/>
    <cellStyle name="Comma0" xfId="215"/>
    <cellStyle name="Comma0 - Style2" xfId="216"/>
    <cellStyle name="Comma1 - Style1" xfId="217"/>
    <cellStyle name="Comments" xfId="218"/>
    <cellStyle name="Currency" xfId="2" builtinId="4"/>
    <cellStyle name="Currency 10" xfId="219"/>
    <cellStyle name="Currency 10 2" xfId="1103"/>
    <cellStyle name="Currency 11" xfId="220"/>
    <cellStyle name="Currency 11 2" xfId="897"/>
    <cellStyle name="Currency 12" xfId="221"/>
    <cellStyle name="Currency 13" xfId="222"/>
    <cellStyle name="Currency 14" xfId="814"/>
    <cellStyle name="Currency 15" xfId="815"/>
    <cellStyle name="Currency 2" xfId="223"/>
    <cellStyle name="Currency 2 2" xfId="224"/>
    <cellStyle name="Currency 2 2 2" xfId="225"/>
    <cellStyle name="Currency 2 2 3" xfId="226"/>
    <cellStyle name="Currency 2 2 3 2" xfId="898"/>
    <cellStyle name="Currency 2 2 4" xfId="227"/>
    <cellStyle name="Currency 2 3" xfId="228"/>
    <cellStyle name="Currency 2 3 2" xfId="229"/>
    <cellStyle name="Currency 2 3 3" xfId="230"/>
    <cellStyle name="Currency 2 4" xfId="231"/>
    <cellStyle name="Currency 2 4 2" xfId="900"/>
    <cellStyle name="Currency 2 4 3" xfId="899"/>
    <cellStyle name="Currency 2 5" xfId="802"/>
    <cellStyle name="Currency 2 5 2" xfId="901"/>
    <cellStyle name="Currency 2 6" xfId="232"/>
    <cellStyle name="Currency 2 6 2" xfId="233"/>
    <cellStyle name="Currency 2 6 3" xfId="902"/>
    <cellStyle name="Currency 2 7" xfId="903"/>
    <cellStyle name="Currency 3" xfId="234"/>
    <cellStyle name="Currency 3 2" xfId="235"/>
    <cellStyle name="Currency 3 2 2" xfId="236"/>
    <cellStyle name="Currency 3 2 2 2" xfId="692"/>
    <cellStyle name="Currency 3 2 2 2 2" xfId="1177"/>
    <cellStyle name="Currency 3 2 2 3" xfId="1178"/>
    <cellStyle name="Currency 3 2 3" xfId="693"/>
    <cellStyle name="Currency 3 2 3 2" xfId="1179"/>
    <cellStyle name="Currency 3 2 4" xfId="694"/>
    <cellStyle name="Currency 3 3" xfId="237"/>
    <cellStyle name="Currency 3 3 2" xfId="238"/>
    <cellStyle name="Currency 3 3 2 2" xfId="776"/>
    <cellStyle name="Currency 3 3 3" xfId="637"/>
    <cellStyle name="Currency 3 3 4" xfId="761"/>
    <cellStyle name="Currency 3 4" xfId="239"/>
    <cellStyle name="Currency 3 4 2" xfId="1104"/>
    <cellStyle name="Currency 3 5" xfId="240"/>
    <cellStyle name="Currency 4" xfId="241"/>
    <cellStyle name="Currency 4 2" xfId="242"/>
    <cellStyle name="Currency 4 2 2" xfId="243"/>
    <cellStyle name="Currency 4 2 2 2" xfId="695"/>
    <cellStyle name="Currency 4 2 2 2 2" xfId="1180"/>
    <cellStyle name="Currency 4 2 2 3" xfId="1181"/>
    <cellStyle name="Currency 4 2 3" xfId="696"/>
    <cellStyle name="Currency 4 2 3 2" xfId="1182"/>
    <cellStyle name="Currency 4 2 4" xfId="1183"/>
    <cellStyle name="Currency 4 3" xfId="244"/>
    <cellStyle name="Currency 4 3 2" xfId="697"/>
    <cellStyle name="Currency 4 3 2 2" xfId="1184"/>
    <cellStyle name="Currency 4 3 3" xfId="1185"/>
    <cellStyle name="Currency 4 4" xfId="245"/>
    <cellStyle name="Currency 4 4 2" xfId="1105"/>
    <cellStyle name="Currency 4 5" xfId="1106"/>
    <cellStyle name="Currency 5" xfId="246"/>
    <cellStyle name="Currency 5 2" xfId="247"/>
    <cellStyle name="Currency 5 2 2" xfId="698"/>
    <cellStyle name="Currency 5 2 2 2" xfId="1186"/>
    <cellStyle name="Currency 5 2 3" xfId="1187"/>
    <cellStyle name="Currency 5 3" xfId="248"/>
    <cellStyle name="Currency 5 3 2" xfId="1107"/>
    <cellStyle name="Currency 5 4" xfId="1108"/>
    <cellStyle name="Currency 6" xfId="249"/>
    <cellStyle name="Currency 7" xfId="250"/>
    <cellStyle name="Currency 8" xfId="251"/>
    <cellStyle name="Currency 8 2" xfId="252"/>
    <cellStyle name="Currency 8 2 2" xfId="699"/>
    <cellStyle name="Currency 8 2 2 2" xfId="1188"/>
    <cellStyle name="Currency 8 2 3" xfId="1189"/>
    <cellStyle name="Currency 8 3" xfId="700"/>
    <cellStyle name="Currency 8 3 2" xfId="904"/>
    <cellStyle name="Currency 8 3 3" xfId="771"/>
    <cellStyle name="Currency 8 4" xfId="701"/>
    <cellStyle name="Currency 9" xfId="253"/>
    <cellStyle name="Currency 9 2" xfId="702"/>
    <cellStyle name="Currency 9 2 2" xfId="1190"/>
    <cellStyle name="Currency 9 3" xfId="703"/>
    <cellStyle name="Currency0" xfId="254"/>
    <cellStyle name="Data Enter" xfId="255"/>
    <cellStyle name="date" xfId="256"/>
    <cellStyle name="Explanatory Text 2" xfId="257"/>
    <cellStyle name="Explanatory Text 3" xfId="258"/>
    <cellStyle name="Explanatory Text 4" xfId="905"/>
    <cellStyle name="F9ReportControlStyle_ctpInquire" xfId="259"/>
    <cellStyle name="FactSheet" xfId="260"/>
    <cellStyle name="fish" xfId="261"/>
    <cellStyle name="Good 2" xfId="262"/>
    <cellStyle name="Good 2 2" xfId="630"/>
    <cellStyle name="Good 2 2 2" xfId="803"/>
    <cellStyle name="Good 2 3" xfId="906"/>
    <cellStyle name="Good 3" xfId="263"/>
    <cellStyle name="Good 3 2" xfId="264"/>
    <cellStyle name="Good 3 3" xfId="635"/>
    <cellStyle name="Good 4" xfId="265"/>
    <cellStyle name="Good 5" xfId="907"/>
    <cellStyle name="Heading 1 2" xfId="266"/>
    <cellStyle name="Heading 1 2 2" xfId="267"/>
    <cellStyle name="Heading 1 2 3" xfId="268"/>
    <cellStyle name="Heading 1 2 4" xfId="908"/>
    <cellStyle name="Heading 1 3" xfId="269"/>
    <cellStyle name="Heading 1 3 2" xfId="270"/>
    <cellStyle name="Heading 1 3 3" xfId="271"/>
    <cellStyle name="Heading 1 4" xfId="272"/>
    <cellStyle name="Heading 1 4 2" xfId="909"/>
    <cellStyle name="Heading 2 2" xfId="273"/>
    <cellStyle name="Heading 2 2 2" xfId="274"/>
    <cellStyle name="Heading 2 2 3" xfId="275"/>
    <cellStyle name="Heading 2 2 4" xfId="910"/>
    <cellStyle name="Heading 2 3" xfId="276"/>
    <cellStyle name="Heading 2 3 2" xfId="277"/>
    <cellStyle name="Heading 2 3 3" xfId="278"/>
    <cellStyle name="Heading 2 4" xfId="279"/>
    <cellStyle name="Heading 2 4 2" xfId="911"/>
    <cellStyle name="Heading 3 2" xfId="280"/>
    <cellStyle name="Heading 3 2 2" xfId="281"/>
    <cellStyle name="Heading 3 2 3" xfId="282"/>
    <cellStyle name="Heading 3 2 4" xfId="912"/>
    <cellStyle name="Heading 3 3" xfId="283"/>
    <cellStyle name="Heading 3 3 2" xfId="284"/>
    <cellStyle name="Heading 3 3 3" xfId="285"/>
    <cellStyle name="Heading 3 4" xfId="286"/>
    <cellStyle name="Heading 3 4 2" xfId="913"/>
    <cellStyle name="Heading 4 2" xfId="287"/>
    <cellStyle name="Heading 4 2 2" xfId="915"/>
    <cellStyle name="Heading 4 2 2 2" xfId="785"/>
    <cellStyle name="Heading 4 2 3" xfId="914"/>
    <cellStyle name="Heading 4 3" xfId="288"/>
    <cellStyle name="Heading 4 3 2" xfId="289"/>
    <cellStyle name="Heading 4 4" xfId="916"/>
    <cellStyle name="Hyperlink 2" xfId="290"/>
    <cellStyle name="Hyperlink 2 2" xfId="631"/>
    <cellStyle name="Hyperlink 2 2 2" xfId="632"/>
    <cellStyle name="Hyperlink 2 2 3" xfId="918"/>
    <cellStyle name="Hyperlink 2 2 4" xfId="1153"/>
    <cellStyle name="Hyperlink 2 3" xfId="917"/>
    <cellStyle name="Hyperlink 3" xfId="291"/>
    <cellStyle name="Hyperlink 3 2" xfId="292"/>
    <cellStyle name="Hyperlink 3 2 2" xfId="920"/>
    <cellStyle name="Hyperlink 3 3" xfId="919"/>
    <cellStyle name="Input 2" xfId="293"/>
    <cellStyle name="Input 2 2" xfId="922"/>
    <cellStyle name="Input 2 2 2" xfId="1140"/>
    <cellStyle name="Input 2 3" xfId="921"/>
    <cellStyle name="Input 3" xfId="294"/>
    <cellStyle name="Input 3 2" xfId="295"/>
    <cellStyle name="Input 4" xfId="923"/>
    <cellStyle name="input(0)" xfId="296"/>
    <cellStyle name="Input(2)" xfId="297"/>
    <cellStyle name="Labels" xfId="298"/>
    <cellStyle name="Linked Cell 2" xfId="299"/>
    <cellStyle name="Linked Cell 2 2" xfId="300"/>
    <cellStyle name="Linked Cell 2 3" xfId="301"/>
    <cellStyle name="Linked Cell 2 4" xfId="924"/>
    <cellStyle name="Linked Cell 3" xfId="302"/>
    <cellStyle name="Linked Cell 3 2" xfId="303"/>
    <cellStyle name="Linked Cell 4" xfId="925"/>
    <cellStyle name="Neutral 2" xfId="304"/>
    <cellStyle name="Neutral 2 2" xfId="305"/>
    <cellStyle name="Neutral 2 3" xfId="306"/>
    <cellStyle name="Neutral 2 4" xfId="926"/>
    <cellStyle name="Neutral 3" xfId="307"/>
    <cellStyle name="Neutral 3 2" xfId="308"/>
    <cellStyle name="Neutral 4" xfId="927"/>
    <cellStyle name="New_normal" xfId="309"/>
    <cellStyle name="Normal" xfId="0" builtinId="0"/>
    <cellStyle name="Normal - Style1" xfId="310"/>
    <cellStyle name="Normal - Style2" xfId="311"/>
    <cellStyle name="Normal - Style3" xfId="312"/>
    <cellStyle name="Normal - Style4" xfId="313"/>
    <cellStyle name="Normal - Style5" xfId="314"/>
    <cellStyle name="Normal 10" xfId="315"/>
    <cellStyle name="Normal 10 2" xfId="316"/>
    <cellStyle name="Normal 10 2 2" xfId="317"/>
    <cellStyle name="Normal 10 2 2 2" xfId="704"/>
    <cellStyle name="Normal 10 2 2 2 2" xfId="1191"/>
    <cellStyle name="Normal 10 2 2 3" xfId="1192"/>
    <cellStyle name="Normal 10 2 3" xfId="318"/>
    <cellStyle name="Normal 10 2 3 2" xfId="752"/>
    <cellStyle name="Normal 10 2 4" xfId="319"/>
    <cellStyle name="Normal 10 2 4 2" xfId="641"/>
    <cellStyle name="Normal 10 2 5" xfId="320"/>
    <cellStyle name="Normal 10 3" xfId="321"/>
    <cellStyle name="Normal 10 3 2" xfId="705"/>
    <cellStyle name="Normal 10 3 2 2" xfId="1193"/>
    <cellStyle name="Normal 10 3 3" xfId="1194"/>
    <cellStyle name="Normal 10 4" xfId="706"/>
    <cellStyle name="Normal 10 4 2" xfId="1109"/>
    <cellStyle name="Normal 10 5" xfId="1110"/>
    <cellStyle name="Normal 10_2112 DF Schedule" xfId="322"/>
    <cellStyle name="Normal 100" xfId="323"/>
    <cellStyle name="Normal 100 2" xfId="928"/>
    <cellStyle name="Normal 101" xfId="324"/>
    <cellStyle name="Normal 101 2" xfId="929"/>
    <cellStyle name="Normal 102" xfId="325"/>
    <cellStyle name="Normal 102 2" xfId="930"/>
    <cellStyle name="Normal 103" xfId="326"/>
    <cellStyle name="Normal 103 2" xfId="931"/>
    <cellStyle name="Normal 104" xfId="327"/>
    <cellStyle name="Normal 104 2" xfId="932"/>
    <cellStyle name="Normal 105" xfId="328"/>
    <cellStyle name="Normal 105 2" xfId="933"/>
    <cellStyle name="Normal 106" xfId="329"/>
    <cellStyle name="Normal 107" xfId="330"/>
    <cellStyle name="Normal 107 2" xfId="934"/>
    <cellStyle name="Normal 108" xfId="331"/>
    <cellStyle name="Normal 108 2" xfId="935"/>
    <cellStyle name="Normal 109" xfId="332"/>
    <cellStyle name="Normal 109 2" xfId="333"/>
    <cellStyle name="Normal 109 3" xfId="936"/>
    <cellStyle name="Normal 11" xfId="334"/>
    <cellStyle name="Normal 11 2" xfId="335"/>
    <cellStyle name="Normal 11 2 2" xfId="336"/>
    <cellStyle name="Normal 11 2 2 2" xfId="642"/>
    <cellStyle name="Normal 11 2 2 2 2" xfId="1111"/>
    <cellStyle name="Normal 11 2 2 3" xfId="1195"/>
    <cellStyle name="Normal 11 2 3" xfId="337"/>
    <cellStyle name="Normal 11 2 3 2" xfId="1142"/>
    <cellStyle name="Normal 11 2 4" xfId="1196"/>
    <cellStyle name="Normal 11 3" xfId="338"/>
    <cellStyle name="Normal 11 3 2" xfId="707"/>
    <cellStyle name="Normal 11 3 2 2" xfId="1197"/>
    <cellStyle name="Normal 11 3 3" xfId="1198"/>
    <cellStyle name="Normal 11 4" xfId="708"/>
    <cellStyle name="Normal 11 4 2" xfId="1112"/>
    <cellStyle name="Normal 11 5" xfId="1113"/>
    <cellStyle name="Normal 110" xfId="339"/>
    <cellStyle name="Normal 110 2" xfId="937"/>
    <cellStyle name="Normal 111" xfId="340"/>
    <cellStyle name="Normal 111 2" xfId="938"/>
    <cellStyle name="Normal 111 3" xfId="1147"/>
    <cellStyle name="Normal 112" xfId="341"/>
    <cellStyle name="Normal 112 2" xfId="939"/>
    <cellStyle name="Normal 112 3" xfId="773"/>
    <cellStyle name="Normal 113" xfId="816"/>
    <cellStyle name="Normal 113 2" xfId="817"/>
    <cellStyle name="Normal 113 3" xfId="940"/>
    <cellStyle name="Normal 114" xfId="941"/>
    <cellStyle name="Normal 115" xfId="942"/>
    <cellStyle name="Normal 116" xfId="818"/>
    <cellStyle name="Normal 117" xfId="759"/>
    <cellStyle name="Normal 117 2" xfId="1272"/>
    <cellStyle name="Normal 118" xfId="1266"/>
    <cellStyle name="Normal 12" xfId="342"/>
    <cellStyle name="Normal 12 2" xfId="343"/>
    <cellStyle name="Normal 12 2 2" xfId="344"/>
    <cellStyle name="Normal 12 2 2 2" xfId="644"/>
    <cellStyle name="Normal 12 2 2 2 2" xfId="1114"/>
    <cellStyle name="Normal 12 2 2 3" xfId="1199"/>
    <cellStyle name="Normal 12 2 3" xfId="709"/>
    <cellStyle name="Normal 12 2 3 2" xfId="1200"/>
    <cellStyle name="Normal 12 2 4" xfId="1201"/>
    <cellStyle name="Normal 12 3" xfId="345"/>
    <cellStyle name="Normal 12 3 2" xfId="643"/>
    <cellStyle name="Normal 12 3 2 2" xfId="943"/>
    <cellStyle name="Normal 12 3 3" xfId="1202"/>
    <cellStyle name="Normal 12 4" xfId="346"/>
    <cellStyle name="Normal 12 4 2" xfId="1115"/>
    <cellStyle name="Normal 12 5" xfId="347"/>
    <cellStyle name="Normal 12 6" xfId="1067"/>
    <cellStyle name="Normal 12 7" xfId="1265"/>
    <cellStyle name="Normal 12_Sheet1" xfId="348"/>
    <cellStyle name="Normal 13" xfId="349"/>
    <cellStyle name="Normal 13 2" xfId="350"/>
    <cellStyle name="Normal 13 2 2" xfId="351"/>
    <cellStyle name="Normal 13 2 2 2" xfId="646"/>
    <cellStyle name="Normal 13 2 2 2 2" xfId="1116"/>
    <cellStyle name="Normal 13 2 2 3" xfId="779"/>
    <cellStyle name="Normal 13 2 3" xfId="710"/>
    <cellStyle name="Normal 13 2 3 2" xfId="1203"/>
    <cellStyle name="Normal 13 2 4" xfId="1204"/>
    <cellStyle name="Normal 13 3" xfId="352"/>
    <cellStyle name="Normal 13 3 2" xfId="645"/>
    <cellStyle name="Normal 13 3 2 2" xfId="1205"/>
    <cellStyle name="Normal 13 3 3" xfId="1206"/>
    <cellStyle name="Normal 13 4" xfId="353"/>
    <cellStyle name="Normal 13 4 2" xfId="1117"/>
    <cellStyle name="Normal 13 5" xfId="354"/>
    <cellStyle name="Normal 13 6" xfId="944"/>
    <cellStyle name="Normal 13 7" xfId="1269"/>
    <cellStyle name="Normal 13_Sheet1" xfId="355"/>
    <cellStyle name="Normal 14" xfId="356"/>
    <cellStyle name="Normal 14 2" xfId="357"/>
    <cellStyle name="Normal 14 2 2" xfId="711"/>
    <cellStyle name="Normal 14 2 2 2" xfId="753"/>
    <cellStyle name="Normal 14 2 3" xfId="1207"/>
    <cellStyle name="Normal 14 3" xfId="358"/>
    <cellStyle name="Normal 14 3 2" xfId="1118"/>
    <cellStyle name="Normal 14 4" xfId="359"/>
    <cellStyle name="Normal 14 5" xfId="945"/>
    <cellStyle name="Normal 14_Sheet1" xfId="360"/>
    <cellStyle name="Normal 15" xfId="361"/>
    <cellStyle name="Normal 15 2" xfId="362"/>
    <cellStyle name="Normal 15 2 2" xfId="633"/>
    <cellStyle name="Normal 15 2 2 2" xfId="1150"/>
    <cellStyle name="Normal 15 2 3" xfId="782"/>
    <cellStyle name="Normal 15 3" xfId="363"/>
    <cellStyle name="Normal 15 3 2" xfId="647"/>
    <cellStyle name="Normal 15 4" xfId="364"/>
    <cellStyle name="Normal 15 5" xfId="946"/>
    <cellStyle name="Normal 16" xfId="365"/>
    <cellStyle name="Normal 16 2" xfId="366"/>
    <cellStyle name="Normal 16 2 2" xfId="762"/>
    <cellStyle name="Normal 16 2 2 2" xfId="770"/>
    <cellStyle name="Normal 16 3" xfId="367"/>
    <cellStyle name="Normal 16 3 2" xfId="648"/>
    <cellStyle name="Normal 16 3 2 2" xfId="1208"/>
    <cellStyle name="Normal 16 3 3" xfId="1209"/>
    <cellStyle name="Normal 16 4" xfId="712"/>
    <cellStyle name="Normal 16 4 2" xfId="947"/>
    <cellStyle name="Normal 16 5" xfId="1210"/>
    <cellStyle name="Normal 16 6" xfId="1211"/>
    <cellStyle name="Normal 17" xfId="368"/>
    <cellStyle name="Normal 17 2" xfId="369"/>
    <cellStyle name="Normal 17 2 2" xfId="763"/>
    <cellStyle name="Normal 17 2 2 2" xfId="1145"/>
    <cellStyle name="Normal 17 3" xfId="370"/>
    <cellStyle name="Normal 17 3 2" xfId="649"/>
    <cellStyle name="Normal 17 4" xfId="948"/>
    <cellStyle name="Normal 18" xfId="371"/>
    <cellStyle name="Normal 18 2" xfId="372"/>
    <cellStyle name="Normal 18 2 2" xfId="713"/>
    <cellStyle name="Normal 18 2 2 2" xfId="1141"/>
    <cellStyle name="Normal 18 2 3" xfId="1212"/>
    <cellStyle name="Normal 18 3" xfId="373"/>
    <cellStyle name="Normal 18 3 2" xfId="650"/>
    <cellStyle name="Normal 18 3 2 2" xfId="1213"/>
    <cellStyle name="Normal 18 3 3" xfId="1214"/>
    <cellStyle name="Normal 18 4" xfId="714"/>
    <cellStyle name="Normal 18 4 2" xfId="949"/>
    <cellStyle name="Normal 18 5" xfId="715"/>
    <cellStyle name="Normal 18 5 2" xfId="1215"/>
    <cellStyle name="Normal 18 6" xfId="1216"/>
    <cellStyle name="Normal 18 7" xfId="1217"/>
    <cellStyle name="Normal 19" xfId="374"/>
    <cellStyle name="Normal 19 2" xfId="375"/>
    <cellStyle name="Normal 19 2 2" xfId="769"/>
    <cellStyle name="Normal 19 3" xfId="376"/>
    <cellStyle name="Normal 19 3 2" xfId="651"/>
    <cellStyle name="Normal 19 4" xfId="950"/>
    <cellStyle name="Normal 2" xfId="4"/>
    <cellStyle name="Normal 2 10" xfId="377"/>
    <cellStyle name="Normal 2 11" xfId="378"/>
    <cellStyle name="Normal 2 2" xfId="379"/>
    <cellStyle name="Normal 2 2 2" xfId="380"/>
    <cellStyle name="Normal 2 2 2 2" xfId="381"/>
    <cellStyle name="Normal 2 2 2_JE_IS11" xfId="382"/>
    <cellStyle name="Normal 2 2 3" xfId="383"/>
    <cellStyle name="Normal 2 2 4" xfId="384"/>
    <cellStyle name="Normal 2 2 5" xfId="1268"/>
    <cellStyle name="Normal 2 2 6" xfId="1264"/>
    <cellStyle name="Normal 2 2 7" xfId="1263"/>
    <cellStyle name="Normal 2 2 8" xfId="1267"/>
    <cellStyle name="Normal 2 2_4MthProj2" xfId="385"/>
    <cellStyle name="Normal 2 3" xfId="386"/>
    <cellStyle name="Normal 2 3 2" xfId="387"/>
    <cellStyle name="Normal 2 3 2 2" xfId="388"/>
    <cellStyle name="Normal 2 3 2 3" xfId="389"/>
    <cellStyle name="Normal 2 3 3" xfId="390"/>
    <cellStyle name="Normal 2 3 3 2" xfId="953"/>
    <cellStyle name="Normal 2 3 3 2 2" xfId="1154"/>
    <cellStyle name="Normal 2 3 3 3" xfId="952"/>
    <cellStyle name="Normal 2 3 4" xfId="804"/>
    <cellStyle name="Normal 2 3 4 2" xfId="1095"/>
    <cellStyle name="Normal 2 3 5" xfId="951"/>
    <cellStyle name="Normal 2 3_4MthProj2" xfId="391"/>
    <cellStyle name="Normal 2 4" xfId="392"/>
    <cellStyle name="Normal 2 4 2" xfId="393"/>
    <cellStyle name="Normal 2 4 2 2" xfId="653"/>
    <cellStyle name="Normal 2 4 3" xfId="394"/>
    <cellStyle name="Normal 2 4 3 2" xfId="652"/>
    <cellStyle name="Normal 2 5" xfId="395"/>
    <cellStyle name="Normal 2 5 2" xfId="955"/>
    <cellStyle name="Normal 2 5 3" xfId="954"/>
    <cellStyle name="Normal 2 6" xfId="396"/>
    <cellStyle name="Normal 2 6 2" xfId="634"/>
    <cellStyle name="Normal 2 6 2 2" xfId="957"/>
    <cellStyle name="Normal 2 6 3" xfId="956"/>
    <cellStyle name="Normal 2 7" xfId="397"/>
    <cellStyle name="Normal 2 7 2" xfId="636"/>
    <cellStyle name="Normal 2 8" xfId="398"/>
    <cellStyle name="Normal 2 9" xfId="399"/>
    <cellStyle name="Normal 2_2009 Regulated Price Out" xfId="400"/>
    <cellStyle name="Normal 20" xfId="401"/>
    <cellStyle name="Normal 20 2" xfId="402"/>
    <cellStyle name="Normal 20 2 2" xfId="654"/>
    <cellStyle name="Normal 20 2 3" xfId="1148"/>
    <cellStyle name="Normal 20 3" xfId="403"/>
    <cellStyle name="Normal 20 4" xfId="404"/>
    <cellStyle name="Normal 20 4 2" xfId="756"/>
    <cellStyle name="Normal 20 5" xfId="789"/>
    <cellStyle name="Normal 20 6" xfId="958"/>
    <cellStyle name="Normal 21" xfId="405"/>
    <cellStyle name="Normal 21 2" xfId="406"/>
    <cellStyle name="Normal 21 2 2" xfId="655"/>
    <cellStyle name="Normal 21 3" xfId="407"/>
    <cellStyle name="Normal 21 3 2" xfId="1156"/>
    <cellStyle name="Normal 21 4" xfId="959"/>
    <cellStyle name="Normal 22" xfId="408"/>
    <cellStyle name="Normal 22 2" xfId="409"/>
    <cellStyle name="Normal 22 2 2" xfId="961"/>
    <cellStyle name="Normal 22 3" xfId="410"/>
    <cellStyle name="Normal 22 3 2" xfId="784"/>
    <cellStyle name="Normal 22 4" xfId="960"/>
    <cellStyle name="Normal 23" xfId="411"/>
    <cellStyle name="Normal 23 2" xfId="412"/>
    <cellStyle name="Normal 23 2 2" xfId="963"/>
    <cellStyle name="Normal 23 2 3" xfId="774"/>
    <cellStyle name="Normal 23 3" xfId="413"/>
    <cellStyle name="Normal 23 3 2" xfId="964"/>
    <cellStyle name="Normal 23 3 3" xfId="755"/>
    <cellStyle name="Normal 23 4" xfId="962"/>
    <cellStyle name="Normal 24" xfId="414"/>
    <cellStyle name="Normal 24 2" xfId="415"/>
    <cellStyle name="Normal 24 2 2" xfId="966"/>
    <cellStyle name="Normal 24 2 3" xfId="1137"/>
    <cellStyle name="Normal 24 3" xfId="967"/>
    <cellStyle name="Normal 24 3 2" xfId="1146"/>
    <cellStyle name="Normal 24 4" xfId="965"/>
    <cellStyle name="Normal 25" xfId="416"/>
    <cellStyle name="Normal 25 2" xfId="805"/>
    <cellStyle name="Normal 25 2 2" xfId="1152"/>
    <cellStyle name="Normal 25 3" xfId="969"/>
    <cellStyle name="Normal 25 4" xfId="968"/>
    <cellStyle name="Normal 26" xfId="417"/>
    <cellStyle name="Normal 26 2" xfId="806"/>
    <cellStyle name="Normal 26 2 2" xfId="970"/>
    <cellStyle name="Normal 26 3" xfId="807"/>
    <cellStyle name="Normal 26 4" xfId="808"/>
    <cellStyle name="Normal 27" xfId="418"/>
    <cellStyle name="Normal 27 2" xfId="419"/>
    <cellStyle name="Normal 27 2 2" xfId="656"/>
    <cellStyle name="Normal 27 2 2 2" xfId="971"/>
    <cellStyle name="Normal 27 3" xfId="420"/>
    <cellStyle name="Normal 27 3 2" xfId="972"/>
    <cellStyle name="Normal 27 4" xfId="790"/>
    <cellStyle name="Normal 27 5" xfId="1066"/>
    <cellStyle name="Normal 28" xfId="421"/>
    <cellStyle name="Normal 28 2" xfId="788"/>
    <cellStyle name="Normal 28 2 2" xfId="974"/>
    <cellStyle name="Normal 28 3" xfId="975"/>
    <cellStyle name="Normal 28 4" xfId="973"/>
    <cellStyle name="Normal 29" xfId="422"/>
    <cellStyle name="Normal 29 2" xfId="809"/>
    <cellStyle name="Normal 29 3" xfId="977"/>
    <cellStyle name="Normal 29 4" xfId="976"/>
    <cellStyle name="Normal 3" xfId="423"/>
    <cellStyle name="Normal 3 2" xfId="424"/>
    <cellStyle name="Normal 3 2 2" xfId="425"/>
    <cellStyle name="Normal 3 2 2 2" xfId="716"/>
    <cellStyle name="Normal 3 2 2 2 2" xfId="979"/>
    <cellStyle name="Normal 3 2 3" xfId="978"/>
    <cellStyle name="Normal 3 2 3 2" xfId="757"/>
    <cellStyle name="Normal 3 3" xfId="426"/>
    <cellStyle name="Normal 3 3 2" xfId="427"/>
    <cellStyle name="Normal 3 3 2 2" xfId="1144"/>
    <cellStyle name="Normal 3 3 3" xfId="428"/>
    <cellStyle name="Normal 3 3 4" xfId="980"/>
    <cellStyle name="Normal 3 4" xfId="429"/>
    <cellStyle name="Normal 3 4 2" xfId="775"/>
    <cellStyle name="Normal 3_2012 PR" xfId="430"/>
    <cellStyle name="Normal 30" xfId="431"/>
    <cellStyle name="Normal 30 2" xfId="810"/>
    <cellStyle name="Normal 30 3" xfId="982"/>
    <cellStyle name="Normal 30 4" xfId="981"/>
    <cellStyle name="Normal 31" xfId="432"/>
    <cellStyle name="Normal 31 2" xfId="433"/>
    <cellStyle name="Normal 31 2 2" xfId="657"/>
    <cellStyle name="Normal 31 2 2 2" xfId="984"/>
    <cellStyle name="Normal 31 2 3" xfId="1218"/>
    <cellStyle name="Normal 31 3" xfId="434"/>
    <cellStyle name="Normal 31 3 2" xfId="985"/>
    <cellStyle name="Normal 31 3 3" xfId="777"/>
    <cellStyle name="Normal 31 4" xfId="717"/>
    <cellStyle name="Normal 31 4 2" xfId="983"/>
    <cellStyle name="Normal 32" xfId="435"/>
    <cellStyle name="Normal 32 2" xfId="436"/>
    <cellStyle name="Normal 32 2 2" xfId="718"/>
    <cellStyle name="Normal 32 2 2 2" xfId="1219"/>
    <cellStyle name="Normal 32 2 3" xfId="1220"/>
    <cellStyle name="Normal 32 3" xfId="719"/>
    <cellStyle name="Normal 32 3 2" xfId="987"/>
    <cellStyle name="Normal 32 4" xfId="720"/>
    <cellStyle name="Normal 32 4 2" xfId="986"/>
    <cellStyle name="Normal 33" xfId="437"/>
    <cellStyle name="Normal 33 2" xfId="989"/>
    <cellStyle name="Normal 33 3" xfId="988"/>
    <cellStyle name="Normal 34" xfId="438"/>
    <cellStyle name="Normal 34 2" xfId="991"/>
    <cellStyle name="Normal 34 3" xfId="990"/>
    <cellStyle name="Normal 35" xfId="439"/>
    <cellStyle name="Normal 35 2" xfId="721"/>
    <cellStyle name="Normal 35 2 2" xfId="993"/>
    <cellStyle name="Normal 35 3" xfId="722"/>
    <cellStyle name="Normal 35 3 2" xfId="992"/>
    <cellStyle name="Normal 36" xfId="440"/>
    <cellStyle name="Normal 36 2" xfId="723"/>
    <cellStyle name="Normal 36 2 2" xfId="995"/>
    <cellStyle name="Normal 36 3" xfId="994"/>
    <cellStyle name="Normal 37" xfId="441"/>
    <cellStyle name="Normal 37 2" xfId="724"/>
    <cellStyle name="Normal 37 2 2" xfId="997"/>
    <cellStyle name="Normal 37 3" xfId="996"/>
    <cellStyle name="Normal 38" xfId="442"/>
    <cellStyle name="Normal 38 2" xfId="725"/>
    <cellStyle name="Normal 38 2 2" xfId="999"/>
    <cellStyle name="Normal 38 3" xfId="998"/>
    <cellStyle name="Normal 39" xfId="443"/>
    <cellStyle name="Normal 39 2" xfId="726"/>
    <cellStyle name="Normal 39 2 2" xfId="1001"/>
    <cellStyle name="Normal 39 3" xfId="1000"/>
    <cellStyle name="Normal 4" xfId="444"/>
    <cellStyle name="Normal 4 2" xfId="445"/>
    <cellStyle name="Normal 4 2 2" xfId="446"/>
    <cellStyle name="Normal 4 2 2 2" xfId="1121"/>
    <cellStyle name="Normal 4 2 3" xfId="447"/>
    <cellStyle name="Normal 4 2 4" xfId="1002"/>
    <cellStyle name="Normal 4 3" xfId="448"/>
    <cellStyle name="Normal 4 3 2" xfId="449"/>
    <cellStyle name="Normal 4 3 2 2" xfId="658"/>
    <cellStyle name="Normal 4 3 3" xfId="450"/>
    <cellStyle name="Normal 4 4" xfId="451"/>
    <cellStyle name="Normal 4 4 2" xfId="1155"/>
    <cellStyle name="Normal 4 5" xfId="452"/>
    <cellStyle name="Normal 4_B&amp;O Taxes" xfId="727"/>
    <cellStyle name="Normal 40" xfId="453"/>
    <cellStyle name="Normal 40 2" xfId="728"/>
    <cellStyle name="Normal 40 2 2" xfId="1004"/>
    <cellStyle name="Normal 40 3" xfId="1003"/>
    <cellStyle name="Normal 41" xfId="454"/>
    <cellStyle name="Normal 41 2" xfId="729"/>
    <cellStyle name="Normal 41 2 2" xfId="1006"/>
    <cellStyle name="Normal 41 3" xfId="1005"/>
    <cellStyle name="Normal 42" xfId="455"/>
    <cellStyle name="Normal 42 2" xfId="1008"/>
    <cellStyle name="Normal 42 3" xfId="1007"/>
    <cellStyle name="Normal 43" xfId="456"/>
    <cellStyle name="Normal 43 2" xfId="1010"/>
    <cellStyle name="Normal 43 3" xfId="1009"/>
    <cellStyle name="Normal 44" xfId="457"/>
    <cellStyle name="Normal 44 2" xfId="730"/>
    <cellStyle name="Normal 44 2 2" xfId="1012"/>
    <cellStyle name="Normal 44 3" xfId="1011"/>
    <cellStyle name="Normal 45" xfId="458"/>
    <cellStyle name="Normal 45 2" xfId="1014"/>
    <cellStyle name="Normal 45 3" xfId="1013"/>
    <cellStyle name="Normal 46" xfId="459"/>
    <cellStyle name="Normal 46 2" xfId="1016"/>
    <cellStyle name="Normal 46 3" xfId="1015"/>
    <cellStyle name="Normal 47" xfId="460"/>
    <cellStyle name="Normal 47 2" xfId="1018"/>
    <cellStyle name="Normal 47 3" xfId="1017"/>
    <cellStyle name="Normal 48" xfId="461"/>
    <cellStyle name="Normal 48 2" xfId="1020"/>
    <cellStyle name="Normal 48 3" xfId="1019"/>
    <cellStyle name="Normal 49" xfId="462"/>
    <cellStyle name="Normal 49 2" xfId="1022"/>
    <cellStyle name="Normal 49 3" xfId="1021"/>
    <cellStyle name="Normal 5" xfId="463"/>
    <cellStyle name="Normal 5 2" xfId="464"/>
    <cellStyle name="Normal 5 2 2" xfId="465"/>
    <cellStyle name="Normal 5 2 2 2" xfId="731"/>
    <cellStyle name="Normal 5 2 2 2 2" xfId="1221"/>
    <cellStyle name="Normal 5 2 2 3" xfId="1222"/>
    <cellStyle name="Normal 5 2 3" xfId="732"/>
    <cellStyle name="Normal 5 2 3 2" xfId="1223"/>
    <cellStyle name="Normal 5 2 4" xfId="1224"/>
    <cellStyle name="Normal 5 3" xfId="466"/>
    <cellStyle name="Normal 5 3 2" xfId="733"/>
    <cellStyle name="Normal 5 3 2 2" xfId="1225"/>
    <cellStyle name="Normal 5 3 3" xfId="1226"/>
    <cellStyle name="Normal 5 4" xfId="467"/>
    <cellStyle name="Normal 5 4 2" xfId="1119"/>
    <cellStyle name="Normal 5 5" xfId="468"/>
    <cellStyle name="Normal 5_2112 DF Schedule" xfId="469"/>
    <cellStyle name="Normal 50" xfId="470"/>
    <cellStyle name="Normal 50 2" xfId="1024"/>
    <cellStyle name="Normal 50 3" xfId="1023"/>
    <cellStyle name="Normal 51" xfId="471"/>
    <cellStyle name="Normal 51 2" xfId="1026"/>
    <cellStyle name="Normal 51 3" xfId="1025"/>
    <cellStyle name="Normal 52" xfId="472"/>
    <cellStyle name="Normal 52 2" xfId="1028"/>
    <cellStyle name="Normal 52 3" xfId="1027"/>
    <cellStyle name="Normal 53" xfId="473"/>
    <cellStyle name="Normal 53 2" xfId="1030"/>
    <cellStyle name="Normal 53 3" xfId="1029"/>
    <cellStyle name="Normal 54" xfId="474"/>
    <cellStyle name="Normal 54 2" xfId="1032"/>
    <cellStyle name="Normal 54 3" xfId="1031"/>
    <cellStyle name="Normal 55" xfId="475"/>
    <cellStyle name="Normal 55 2" xfId="1034"/>
    <cellStyle name="Normal 55 3" xfId="1033"/>
    <cellStyle name="Normal 56" xfId="476"/>
    <cellStyle name="Normal 56 2" xfId="1036"/>
    <cellStyle name="Normal 56 3" xfId="1035"/>
    <cellStyle name="Normal 57" xfId="477"/>
    <cellStyle name="Normal 57 2" xfId="1038"/>
    <cellStyle name="Normal 57 3" xfId="1037"/>
    <cellStyle name="Normal 58" xfId="478"/>
    <cellStyle name="Normal 58 2" xfId="1040"/>
    <cellStyle name="Normal 58 3" xfId="1039"/>
    <cellStyle name="Normal 59" xfId="479"/>
    <cellStyle name="Normal 59 2" xfId="1042"/>
    <cellStyle name="Normal 59 3" xfId="1041"/>
    <cellStyle name="Normal 6" xfId="480"/>
    <cellStyle name="Normal 6 2" xfId="481"/>
    <cellStyle name="Normal 6 2 2" xfId="482"/>
    <cellStyle name="Normal 6 2 2 2" xfId="659"/>
    <cellStyle name="Normal 6 2 2 2 2" xfId="1120"/>
    <cellStyle name="Normal 6 2 2 3" xfId="1227"/>
    <cellStyle name="Normal 6 2 3" xfId="483"/>
    <cellStyle name="Normal 6 2 3 2" xfId="772"/>
    <cellStyle name="Normal 6 2 4" xfId="1228"/>
    <cellStyle name="Normal 6 3" xfId="484"/>
    <cellStyle name="Normal 6 3 2" xfId="734"/>
    <cellStyle name="Normal 6 3 2 2" xfId="1229"/>
    <cellStyle name="Normal 6 3 3" xfId="1230"/>
    <cellStyle name="Normal 6 4" xfId="735"/>
    <cellStyle name="Normal 6 4 2" xfId="1122"/>
    <cellStyle name="Normal 6 5" xfId="1123"/>
    <cellStyle name="Normal 60" xfId="485"/>
    <cellStyle name="Normal 60 2" xfId="1044"/>
    <cellStyle name="Normal 60 3" xfId="1043"/>
    <cellStyle name="Normal 61" xfId="486"/>
    <cellStyle name="Normal 61 2" xfId="1046"/>
    <cellStyle name="Normal 61 3" xfId="1045"/>
    <cellStyle name="Normal 62" xfId="487"/>
    <cellStyle name="Normal 62 2" xfId="1048"/>
    <cellStyle name="Normal 62 3" xfId="1047"/>
    <cellStyle name="Normal 63" xfId="488"/>
    <cellStyle name="Normal 63 2" xfId="1050"/>
    <cellStyle name="Normal 63 3" xfId="1049"/>
    <cellStyle name="Normal 64" xfId="489"/>
    <cellStyle name="Normal 64 2" xfId="1052"/>
    <cellStyle name="Normal 64 3" xfId="1051"/>
    <cellStyle name="Normal 65" xfId="490"/>
    <cellStyle name="Normal 65 2" xfId="1054"/>
    <cellStyle name="Normal 65 3" xfId="1053"/>
    <cellStyle name="Normal 66" xfId="491"/>
    <cellStyle name="Normal 66 2" xfId="1056"/>
    <cellStyle name="Normal 66 3" xfId="1055"/>
    <cellStyle name="Normal 67" xfId="492"/>
    <cellStyle name="Normal 67 2" xfId="1058"/>
    <cellStyle name="Normal 67 3" xfId="1057"/>
    <cellStyle name="Normal 68" xfId="493"/>
    <cellStyle name="Normal 68 2" xfId="1060"/>
    <cellStyle name="Normal 68 3" xfId="1059"/>
    <cellStyle name="Normal 69" xfId="494"/>
    <cellStyle name="Normal 69 2" xfId="1062"/>
    <cellStyle name="Normal 69 3" xfId="1061"/>
    <cellStyle name="Normal 7" xfId="495"/>
    <cellStyle name="Normal 7 2" xfId="496"/>
    <cellStyle name="Normal 7 2 2" xfId="497"/>
    <cellStyle name="Normal 7 2 2 2" xfId="498"/>
    <cellStyle name="Normal 7 2 2 2 2" xfId="736"/>
    <cellStyle name="Normal 7 2 2 2 2 2" xfId="1231"/>
    <cellStyle name="Normal 7 2 2 2 3" xfId="1232"/>
    <cellStyle name="Normal 7 2 2 3" xfId="660"/>
    <cellStyle name="Normal 7 2 2 3 2" xfId="1124"/>
    <cellStyle name="Normal 7 2 2 4" xfId="1233"/>
    <cellStyle name="Normal 7 2 3" xfId="499"/>
    <cellStyle name="Normal 7 2 3 2" xfId="737"/>
    <cellStyle name="Normal 7 2 3 2 2" xfId="1234"/>
    <cellStyle name="Normal 7 2 3 3" xfId="1235"/>
    <cellStyle name="Normal 7 2 4" xfId="738"/>
    <cellStyle name="Normal 7 2 4 2" xfId="1125"/>
    <cellStyle name="Normal 7 2 5" xfId="1126"/>
    <cellStyle name="Normal 7 3" xfId="500"/>
    <cellStyle name="Normal 7 3 2" xfId="501"/>
    <cellStyle name="Normal 7 3 2 2" xfId="739"/>
    <cellStyle name="Normal 7 3 2 2 2" xfId="1236"/>
    <cellStyle name="Normal 7 3 2 3" xfId="1237"/>
    <cellStyle name="Normal 7 3 3" xfId="740"/>
    <cellStyle name="Normal 7 3 3 2" xfId="1238"/>
    <cellStyle name="Normal 7 3 4" xfId="1239"/>
    <cellStyle name="Normal 7 4" xfId="502"/>
    <cellStyle name="Normal 7 4 2" xfId="741"/>
    <cellStyle name="Normal 7 4 2 2" xfId="1240"/>
    <cellStyle name="Normal 7 4 3" xfId="1241"/>
    <cellStyle name="Normal 7 5" xfId="742"/>
    <cellStyle name="Normal 7 5 2" xfId="1127"/>
    <cellStyle name="Normal 7 6" xfId="1128"/>
    <cellStyle name="Normal 70" xfId="503"/>
    <cellStyle name="Normal 70 2" xfId="1064"/>
    <cellStyle name="Normal 70 3" xfId="1063"/>
    <cellStyle name="Normal 71" xfId="504"/>
    <cellStyle name="Normal 72" xfId="505"/>
    <cellStyle name="Normal 73" xfId="506"/>
    <cellStyle name="Normal 74" xfId="507"/>
    <cellStyle name="Normal 75" xfId="508"/>
    <cellStyle name="Normal 76" xfId="509"/>
    <cellStyle name="Normal 77" xfId="510"/>
    <cellStyle name="Normal 78" xfId="511"/>
    <cellStyle name="Normal 79" xfId="512"/>
    <cellStyle name="Normal 8" xfId="513"/>
    <cellStyle name="Normal 8 2" xfId="514"/>
    <cellStyle name="Normal 8 2 2" xfId="515"/>
    <cellStyle name="Normal 8 2 2 2" xfId="661"/>
    <cellStyle name="Normal 8 2 2 2 2" xfId="1129"/>
    <cellStyle name="Normal 8 2 2 3" xfId="1242"/>
    <cellStyle name="Normal 8 2 3" xfId="516"/>
    <cellStyle name="Normal 8 2 3 2" xfId="1151"/>
    <cellStyle name="Normal 8 2 4" xfId="1243"/>
    <cellStyle name="Normal 8 3" xfId="517"/>
    <cellStyle name="Normal 8 3 2" xfId="743"/>
    <cellStyle name="Normal 8 3 2 2" xfId="1244"/>
    <cellStyle name="Normal 8 3 3" xfId="1245"/>
    <cellStyle name="Normal 8 4" xfId="518"/>
    <cellStyle name="Normal 8 4 2" xfId="1130"/>
    <cellStyle name="Normal 8 5" xfId="1131"/>
    <cellStyle name="Normal 80" xfId="519"/>
    <cellStyle name="Normal 81" xfId="520"/>
    <cellStyle name="Normal 82" xfId="521"/>
    <cellStyle name="Normal 83" xfId="522"/>
    <cellStyle name="Normal 84" xfId="523"/>
    <cellStyle name="Normal 84 2" xfId="524"/>
    <cellStyle name="Normal 84 3" xfId="525"/>
    <cellStyle name="Normal 85" xfId="526"/>
    <cellStyle name="Normal 85 2" xfId="527"/>
    <cellStyle name="Normal 85 2 2" xfId="639"/>
    <cellStyle name="Normal 85 3" xfId="528"/>
    <cellStyle name="Normal 86" xfId="529"/>
    <cellStyle name="Normal 86 2" xfId="1065"/>
    <cellStyle name="Normal 86 3" xfId="765"/>
    <cellStyle name="Normal 87" xfId="530"/>
    <cellStyle name="Normal 87 2" xfId="1138"/>
    <cellStyle name="Normal 88" xfId="531"/>
    <cellStyle name="Normal 88 2" xfId="767"/>
    <cellStyle name="Normal 89" xfId="532"/>
    <cellStyle name="Normal 9" xfId="533"/>
    <cellStyle name="Normal 9 2" xfId="534"/>
    <cellStyle name="Normal 9 2 2" xfId="535"/>
    <cellStyle name="Normal 9 2 2 2" xfId="662"/>
    <cellStyle name="Normal 9 2 2 2 2" xfId="1132"/>
    <cellStyle name="Normal 9 2 2 3" xfId="1246"/>
    <cellStyle name="Normal 9 2 3" xfId="536"/>
    <cellStyle name="Normal 9 2 3 2" xfId="778"/>
    <cellStyle name="Normal 9 2 4" xfId="1247"/>
    <cellStyle name="Normal 9 3" xfId="537"/>
    <cellStyle name="Normal 9 3 2" xfId="744"/>
    <cellStyle name="Normal 9 3 2 2" xfId="1248"/>
    <cellStyle name="Normal 9 3 3" xfId="1249"/>
    <cellStyle name="Normal 9 4" xfId="745"/>
    <cellStyle name="Normal 9 4 2" xfId="1133"/>
    <cellStyle name="Normal 9 5" xfId="1134"/>
    <cellStyle name="Normal 90" xfId="538"/>
    <cellStyle name="Normal 91" xfId="539"/>
    <cellStyle name="Normal 92" xfId="540"/>
    <cellStyle name="Normal 92 2" xfId="1070"/>
    <cellStyle name="Normal 93" xfId="541"/>
    <cellStyle name="Normal 93 2" xfId="1071"/>
    <cellStyle name="Normal 94" xfId="542"/>
    <cellStyle name="Normal 94 2" xfId="1072"/>
    <cellStyle name="Normal 95" xfId="543"/>
    <cellStyle name="Normal 95 2" xfId="1073"/>
    <cellStyle name="Normal 96" xfId="544"/>
    <cellStyle name="Normal 96 2" xfId="1074"/>
    <cellStyle name="Normal 97" xfId="545"/>
    <cellStyle name="Normal 97 2" xfId="1075"/>
    <cellStyle name="Normal 98" xfId="546"/>
    <cellStyle name="Normal 98 2" xfId="1076"/>
    <cellStyle name="Normal 99" xfId="547"/>
    <cellStyle name="Normal 99 2" xfId="1077"/>
    <cellStyle name="Normal_Book3" xfId="664"/>
    <cellStyle name="Normal_Depreciation 6-30-10" xfId="1157"/>
    <cellStyle name="Normal_M-A DF Calculation 3-1-2013-Final" xfId="665"/>
    <cellStyle name="Normal_Pro Forma Pacific Disposal Roland Heather checked 7-26" xfId="667"/>
    <cellStyle name="Normal_Proforma" xfId="5"/>
    <cellStyle name="Normal_Regulated Price Out 9-6-2011 Final HL" xfId="666"/>
    <cellStyle name="Normal_Report" xfId="627"/>
    <cellStyle name="Normal_Sheet1" xfId="668"/>
    <cellStyle name="Normal_Sheet1 2" xfId="1271"/>
    <cellStyle name="Normal_Sheet1_1" xfId="669"/>
    <cellStyle name="Normal_TheTool_Jeff_v5" xfId="1250"/>
    <cellStyle name="Normal_TheTool_Jeff_v5 2" xfId="7"/>
    <cellStyle name="Note 2" xfId="548"/>
    <cellStyle name="Note 2 2" xfId="549"/>
    <cellStyle name="Note 2 3" xfId="550"/>
    <cellStyle name="Note 2 4" xfId="1079"/>
    <cellStyle name="Note 3" xfId="551"/>
    <cellStyle name="Note 3 2" xfId="552"/>
    <cellStyle name="Note 3 3" xfId="553"/>
    <cellStyle name="Note 3 4" xfId="1080"/>
    <cellStyle name="Note 4" xfId="554"/>
    <cellStyle name="Note 4 2" xfId="1081"/>
    <cellStyle name="Note 5" xfId="1082"/>
    <cellStyle name="Notes" xfId="555"/>
    <cellStyle name="Output 2" xfId="556"/>
    <cellStyle name="Output 2 2" xfId="1084"/>
    <cellStyle name="Output 2 2 2" xfId="786"/>
    <cellStyle name="Output 2 3" xfId="1083"/>
    <cellStyle name="Output 3" xfId="557"/>
    <cellStyle name="Output 3 2" xfId="558"/>
    <cellStyle name="Output 4" xfId="1085"/>
    <cellStyle name="Percent" xfId="3" builtinId="5"/>
    <cellStyle name="Percent 10" xfId="559"/>
    <cellStyle name="Percent 10 2" xfId="1086"/>
    <cellStyle name="Percent 10 3" xfId="766"/>
    <cellStyle name="Percent 2" xfId="560"/>
    <cellStyle name="Percent 2 2" xfId="561"/>
    <cellStyle name="Percent 2 2 2" xfId="562"/>
    <cellStyle name="Percent 2 2 3" xfId="563"/>
    <cellStyle name="Percent 2 3" xfId="564"/>
    <cellStyle name="Percent 2 4" xfId="565"/>
    <cellStyle name="Percent 2 6" xfId="566"/>
    <cellStyle name="Percent 3" xfId="567"/>
    <cellStyle name="Percent 3 2" xfId="568"/>
    <cellStyle name="Percent 3 2 2" xfId="569"/>
    <cellStyle name="Percent 3 2 2 2" xfId="746"/>
    <cellStyle name="Percent 3 2 2 2 2" xfId="1251"/>
    <cellStyle name="Percent 3 2 2 3" xfId="1252"/>
    <cellStyle name="Percent 3 2 3" xfId="747"/>
    <cellStyle name="Percent 3 2 3 2" xfId="1253"/>
    <cellStyle name="Percent 3 2 4" xfId="1254"/>
    <cellStyle name="Percent 3 3" xfId="570"/>
    <cellStyle name="Percent 3 3 2" xfId="748"/>
    <cellStyle name="Percent 3 3 2 2" xfId="1255"/>
    <cellStyle name="Percent 3 3 3" xfId="1256"/>
    <cellStyle name="Percent 3 4" xfId="749"/>
    <cellStyle name="Percent 3 4 2" xfId="1135"/>
    <cellStyle name="Percent 3 5" xfId="750"/>
    <cellStyle name="Percent 3 5 2" xfId="1136"/>
    <cellStyle name="Percent 3 6" xfId="1257"/>
    <cellStyle name="Percent 4" xfId="571"/>
    <cellStyle name="Percent 4 2" xfId="572"/>
    <cellStyle name="Percent 4 3" xfId="573"/>
    <cellStyle name="Percent 4 4" xfId="574"/>
    <cellStyle name="Percent 4 4 2" xfId="663"/>
    <cellStyle name="Percent 4 4 2 2" xfId="1087"/>
    <cellStyle name="Percent 5" xfId="8"/>
    <cellStyle name="Percent 5 2" xfId="575"/>
    <cellStyle name="Percent 5 2 2" xfId="576"/>
    <cellStyle name="Percent 5 2 2 2" xfId="1258"/>
    <cellStyle name="Percent 5 2 3" xfId="1259"/>
    <cellStyle name="Percent 5 3" xfId="577"/>
    <cellStyle name="Percent 5 3 2" xfId="1260"/>
    <cellStyle name="Percent 5 4" xfId="578"/>
    <cellStyle name="Percent 5 4 2" xfId="783"/>
    <cellStyle name="Percent 6" xfId="579"/>
    <cellStyle name="Percent 6 2" xfId="580"/>
    <cellStyle name="Percent 6 2 2" xfId="758"/>
    <cellStyle name="Percent 6 3" xfId="751"/>
    <cellStyle name="Percent 7" xfId="581"/>
    <cellStyle name="Percent 7 2" xfId="582"/>
    <cellStyle name="Percent 7 2 2" xfId="764"/>
    <cellStyle name="Percent 7 3" xfId="583"/>
    <cellStyle name="Percent 7 4" xfId="1262"/>
    <cellStyle name="Percent 8" xfId="584"/>
    <cellStyle name="Percent 8 2" xfId="1261"/>
    <cellStyle name="Percent 9" xfId="585"/>
    <cellStyle name="Percent 9 2" xfId="1088"/>
    <cellStyle name="Percent 9 3" xfId="1149"/>
    <cellStyle name="Percent(1)" xfId="586"/>
    <cellStyle name="Percent(2)" xfId="587"/>
    <cellStyle name="Posting_Period" xfId="588"/>
    <cellStyle name="PRM" xfId="589"/>
    <cellStyle name="PRM 2" xfId="590"/>
    <cellStyle name="PRM 3" xfId="591"/>
    <cellStyle name="PRM_2011-11" xfId="592"/>
    <cellStyle name="PS_Comma" xfId="593"/>
    <cellStyle name="PSChar" xfId="594"/>
    <cellStyle name="PSDate" xfId="595"/>
    <cellStyle name="PSDec" xfId="596"/>
    <cellStyle name="PSHeading" xfId="597"/>
    <cellStyle name="PSInt" xfId="598"/>
    <cellStyle name="PSSpacer" xfId="599"/>
    <cellStyle name="STYL0 - Style1" xfId="600"/>
    <cellStyle name="STYL1 - Style2" xfId="601"/>
    <cellStyle name="STYL2 - Style3" xfId="602"/>
    <cellStyle name="STYL3 - Style4" xfId="603"/>
    <cellStyle name="STYL4 - Style5" xfId="604"/>
    <cellStyle name="STYL5 - Style6" xfId="605"/>
    <cellStyle name="STYL6 - Style7" xfId="606"/>
    <cellStyle name="STYL7 - Style8" xfId="607"/>
    <cellStyle name="Style 1" xfId="608"/>
    <cellStyle name="Style 1 2" xfId="609"/>
    <cellStyle name="STYLE1" xfId="610"/>
    <cellStyle name="STYLE1 2" xfId="811"/>
    <cellStyle name="sub heading" xfId="611"/>
    <cellStyle name="Tax_Rate" xfId="612"/>
    <cellStyle name="Title 2" xfId="613"/>
    <cellStyle name="Title 2 2" xfId="1090"/>
    <cellStyle name="Title 2 2 2" xfId="768"/>
    <cellStyle name="Title 2 3" xfId="1089"/>
    <cellStyle name="Title 3" xfId="614"/>
    <cellStyle name="Title 3 2" xfId="615"/>
    <cellStyle name="Title 4" xfId="1091"/>
    <cellStyle name="Total 2" xfId="616"/>
    <cellStyle name="Total 2 2" xfId="617"/>
    <cellStyle name="Total 2 3" xfId="618"/>
    <cellStyle name="Total 2 4" xfId="1092"/>
    <cellStyle name="Total 3" xfId="619"/>
    <cellStyle name="Total 3 2" xfId="620"/>
    <cellStyle name="Total 3 3" xfId="621"/>
    <cellStyle name="Total 4" xfId="622"/>
    <cellStyle name="Total 4 2" xfId="1093"/>
    <cellStyle name="Transcript_Date" xfId="623"/>
    <cellStyle name="Warning Text 2" xfId="624"/>
    <cellStyle name="Warning Text 3" xfId="625"/>
    <cellStyle name="Warning Text 4" xfId="1094"/>
    <cellStyle name="WM_STANDARD" xfId="626"/>
  </cellStyles>
  <dxfs count="14">
    <dxf>
      <fill>
        <patternFill>
          <bgColor rgb="FF92D050"/>
        </patternFill>
      </fill>
    </dxf>
    <dxf>
      <fill>
        <patternFill>
          <bgColor rgb="FFFF0000"/>
        </patternFill>
      </fill>
    </dxf>
    <dxf>
      <numFmt numFmtId="35" formatCode="_(* #,##0.00_);_(* \(#,##0.00\);_(* &quot;-&quot;??_);_(@_)"/>
    </dxf>
    <dxf>
      <numFmt numFmtId="35" formatCode="_(* #,##0.00_);_(* \(#,##0.00\);_(* &quot;-&quot;??_);_(@_)"/>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numFmt numFmtId="35" formatCode="_(* #,##0.00_);_(* \(#,##0.00\);_(* &quot;-&quot;??_);_(@_)"/>
    </dxf>
    <dxf>
      <numFmt numFmtId="35" formatCode="_(* #,##0.00_);_(* \(#,##0.00\);_(* &quot;-&quot;??_);_(@_)"/>
    </dxf>
    <dxf>
      <font>
        <sz val="10"/>
      </font>
    </dxf>
    <dxf>
      <fill>
        <patternFill patternType="solid">
          <bgColor theme="7" tint="0.59999389629810485"/>
        </patternFill>
      </fill>
    </dxf>
    <dxf>
      <fill>
        <patternFill patternType="solid">
          <bgColor theme="7" tint="0.59999389629810485"/>
        </patternFill>
      </fill>
    </dxf>
    <dxf>
      <numFmt numFmtId="35" formatCode="_(* #,##0.00_);_(* \(#,##0.00\);_(* &quot;-&quot;??_);_(@_)"/>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63" Type="http://schemas.openxmlformats.org/officeDocument/2006/relationships/externalLink" Target="externalLinks/externalLink34.xml"/><Relationship Id="rId68" Type="http://schemas.openxmlformats.org/officeDocument/2006/relationships/externalLink" Target="externalLinks/externalLink39.xml"/><Relationship Id="rId84" Type="http://schemas.openxmlformats.org/officeDocument/2006/relationships/pivotCacheDefinition" Target="pivotCache/pivotCacheDefinition3.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74" Type="http://schemas.openxmlformats.org/officeDocument/2006/relationships/externalLink" Target="externalLinks/externalLink45.xml"/><Relationship Id="rId79" Type="http://schemas.openxmlformats.org/officeDocument/2006/relationships/externalLink" Target="externalLinks/externalLink50.xml"/><Relationship Id="rId5" Type="http://schemas.openxmlformats.org/officeDocument/2006/relationships/worksheet" Target="worksheets/sheet5.xml"/><Relationship Id="rId9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64" Type="http://schemas.openxmlformats.org/officeDocument/2006/relationships/externalLink" Target="externalLinks/externalLink35.xml"/><Relationship Id="rId69" Type="http://schemas.openxmlformats.org/officeDocument/2006/relationships/externalLink" Target="externalLinks/externalLink40.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80" Type="http://schemas.openxmlformats.org/officeDocument/2006/relationships/externalLink" Target="externalLinks/externalLink51.xml"/><Relationship Id="rId85" Type="http://schemas.openxmlformats.org/officeDocument/2006/relationships/pivotCacheDefinition" Target="pivotCache/pivotCacheDefinition4.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externalLink" Target="externalLinks/externalLink38.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externalLink" Target="externalLinks/externalLink41.xml"/><Relationship Id="rId75" Type="http://schemas.openxmlformats.org/officeDocument/2006/relationships/externalLink" Target="externalLinks/externalLink46.xml"/><Relationship Id="rId83" Type="http://schemas.openxmlformats.org/officeDocument/2006/relationships/pivotCacheDefinition" Target="pivotCache/pivotCacheDefinition2.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externalLink" Target="externalLinks/externalLink36.xml"/><Relationship Id="rId73" Type="http://schemas.openxmlformats.org/officeDocument/2006/relationships/externalLink" Target="externalLinks/externalLink44.xml"/><Relationship Id="rId78" Type="http://schemas.openxmlformats.org/officeDocument/2006/relationships/externalLink" Target="externalLinks/externalLink49.xml"/><Relationship Id="rId81" Type="http://schemas.openxmlformats.org/officeDocument/2006/relationships/externalLink" Target="externalLinks/externalLink52.xml"/><Relationship Id="rId86" Type="http://schemas.openxmlformats.org/officeDocument/2006/relationships/pivotCacheDefinition" Target="pivotCache/pivotCacheDefinition5.xml"/><Relationship Id="rId9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 Id="rId34" Type="http://schemas.openxmlformats.org/officeDocument/2006/relationships/externalLink" Target="externalLinks/externalLink5.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6"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externalLink" Target="externalLinks/externalLink42.xml"/><Relationship Id="rId9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66" Type="http://schemas.openxmlformats.org/officeDocument/2006/relationships/externalLink" Target="externalLinks/externalLink37.xml"/><Relationship Id="rId87" Type="http://schemas.openxmlformats.org/officeDocument/2006/relationships/theme" Target="theme/theme1.xml"/><Relationship Id="rId61" Type="http://schemas.openxmlformats.org/officeDocument/2006/relationships/externalLink" Target="externalLinks/externalLink32.xml"/><Relationship Id="rId82" Type="http://schemas.openxmlformats.org/officeDocument/2006/relationships/pivotCacheDefinition" Target="pivotCache/pivotCacheDefinition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56" Type="http://schemas.openxmlformats.org/officeDocument/2006/relationships/externalLink" Target="externalLinks/externalLink27.xml"/><Relationship Id="rId77" Type="http://schemas.openxmlformats.org/officeDocument/2006/relationships/externalLink" Target="externalLinks/externalLink4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ome.utc.wa.gov/Mason/Rate%20Increase%201-1-2013/1%20Filing%2011-14-2012/Revised%202-21-2013/staff%20Mason%20Proforma%209-30-2012-Linked%20Cust%20Count%20Fix%2012-2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Audit/Final/TG-160424%20CRD%20Pro%20forma%203-31-2016%20Staff%20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estern%20Region\WUTC\WUTC-Columbia%202025\General%20Filing%204-15-2016\Audit\Final\TG-160424%20CRD%20Pro%20forma%203-31-2016%20Staff%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Filed%204-15-16/CRD%20Pro%20forma%203-31-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ome.utc.wa.gov/Western%20Region/ControllerDir/Brent_Blair_Kortney/PO%20Report%20by%20Division/PO%20Report_v3b%202013-08-2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Vashon\Rate%20Incr%201-1-2012\Vashon%20Pro%20Form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Vashon/Rate%20Incr%201-1-2012/Vashon%20Pro%20Form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Empire/Rate%20Increase%209-1-2010/Filed%209-14-10/Proforma%209-14-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Empire\Rate%20Increase%2011-1-2010\Filed%209-14-2010\Proforma%209-14-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Misc%20Analsysis%20Non-Filing/Pro%20froma%208.31.2013%20for%20Budgets/Consolidated%20Pro%20forma%20Year%20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cshare\sacshare\Data_Automation\DMS\RouteManagerReports\RM_MM001_Query_v4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Western%20Region\WUTC\WIP%20Files\2010%20Clark%20County-%202009%20Vancouver\12.31.2010%20Test%20Year\Proforma%20Clark%20County%20101231%20Filing-Draft-FINAL%20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12.31.2010%20Test%20Year/Proforma%20Clark%20County%20101231%20Filing-Draft-FINAL%20VERSION.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ome.utc.wa.gov/Western%20Region/WUTC/WIP%20Files/LeMay%20Companies/2014/Annual%20Report/District%20Schedules/North%20LeMay/N%20LeMay%20Annual%20Report%202013%20-%20with%20Heather's%20Not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home.utc.wa.gov/Annual%20Reports/2180%20LeMay/2009/LeMay%20Annual%20Report%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acinf04\home$\Annual%20Reports\2180%20LeMay\2009\LeMay%20Annual%20Report%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cinf04\home$\LeMay\Master%20Truck%20Schedule\South_LeMay%20Master%20Truck%20Schedule-Shar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home.utc.wa.gov/LeMay/Master%20Truck%20Schedule/South_LeMay%20Master%20Truck%20Schedule-Shar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LeMay/Master%20Truck%20Schedule/South_LeMay%20Master%20Truck%20Schedule-Shared.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2017%20Rate%20Filing/.Yakima%20Waste%20Pro%20forma%20YE%206.30.17.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Western%20Region/WUTC/WUTC-Empire%202120/General%20Rate%20Filings/Rate%20Filing%20Filed%207-22-2016/Audit/FINAL/TG-160932%20Empire%20Disposal%20Pro%20forma%20Staff%20FINAL.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venue/Empire%20Price%20Out%202017.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Western%20Region/WUTC/WIP%20Files/2120%20Empire/General%20Rate%20Filings/Filed%207-22-16,%20Effective%2010-1-16/Empire%20Pro%20forma%20YE%206-30-2016.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Empire%202120_Time%20Study%20Jan%202018.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Empire%20DF%20Allocation%2012-31-17.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2120%20Depreciation%2012.31.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Payroll/Empire%20Payroll%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ome.utc.wa.gov/SRC%20Reports/SRC%20Format/Bonus%20Schedule/PNWR%20SRC%20Bonus%20Schedule%2020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mpire%20Region%20OH%20Allocation%2012-31-1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Empire%20Disposal%20Proforma%203-1-2018.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Users\chelseapa\AppData\Local\Interject\FileCache\JEQuery_v4.7_Interject_WithStag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cinf04\home$\SRC%20Reports\SRC%20Format\Bonus%20Schedule\PNWR%20SRC%20Bonus%20Schedule%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ome.utc.wa.gov/LeMay/2183-1%20Pacific%20Disp,%20Butlers%20Cove/Filing%20Possibly%202012/Filing/Audit/Final%20Outcome%208-14-2012/Pro%20Forma%20Pacific%20Disposal_Staf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
          <cell r="L23">
            <v>2329.3388396454475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Staff Adjustments"/>
      <sheetName val="Ratios"/>
      <sheetName val="Staff LG G-48"/>
      <sheetName val="LG"/>
      <sheetName val="LG G-48"/>
      <sheetName val="LG G-51"/>
      <sheetName val=" Staff G-48 Price Out"/>
      <sheetName val="G-51 Price Out"/>
      <sheetName val="Rate Schedule G-48"/>
      <sheetName val="References"/>
      <sheetName val="Staff Reference"/>
      <sheetName val="Staff Tariff Changes"/>
      <sheetName val="Staff Disposal Calcs"/>
      <sheetName val="Staff Customer Counts"/>
      <sheetName val="G-48 DF Calc"/>
      <sheetName val="DF Schedule"/>
      <sheetName val="Staff Depr Summary"/>
      <sheetName val="Staff Depr Calculation"/>
      <sheetName val="Staff 2008 Peterblt calc"/>
      <sheetName val="Depr Summary"/>
      <sheetName val="Depreciation"/>
      <sheetName val="Staff Fuel"/>
      <sheetName val="Payroll Detail Staff"/>
      <sheetName val="Payroll Detail"/>
      <sheetName val="DivCon-DVP Alloc In"/>
      <sheetName val="Corp-OH"/>
      <sheetName val="Region OH Calc"/>
      <sheetName val="Corp-BS"/>
      <sheetName val="Corp-IS"/>
      <sheetName val="38000 Other Rev"/>
      <sheetName val="2025 BS 3-31-2015"/>
    </sheetNames>
    <sheetDataSet>
      <sheetData sheetId="0"/>
      <sheetData sheetId="1">
        <row r="10">
          <cell r="G10">
            <v>4697.8500000000004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D6">
            <v>10000</v>
          </cell>
        </row>
        <row r="8">
          <cell r="H8" t="str">
            <v>2016-07</v>
          </cell>
        </row>
        <row r="12">
          <cell r="G12" t="str">
            <v>2015-04</v>
          </cell>
        </row>
        <row r="13">
          <cell r="G13" t="str">
            <v>2016-03</v>
          </cell>
        </row>
      </sheetData>
      <sheetData sheetId="3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Staff Adjustments"/>
      <sheetName val="Ratios"/>
      <sheetName val="Staff LG G-48"/>
      <sheetName val="LG"/>
      <sheetName val="LG G-48"/>
      <sheetName val="LG G-51"/>
      <sheetName val=" Staff G-48 Price Out"/>
      <sheetName val="G-51 Price Out"/>
      <sheetName val="Rate Schedule G-48"/>
      <sheetName val="References"/>
      <sheetName val="Staff Reference"/>
      <sheetName val="Staff Tariff Changes"/>
      <sheetName val="Staff Disposal Calcs"/>
      <sheetName val="Staff Customer Counts"/>
      <sheetName val="G-48 DF Calc"/>
      <sheetName val="DF Schedule"/>
      <sheetName val="Staff Depr Summary"/>
      <sheetName val="Staff Depr Calculation"/>
      <sheetName val="Staff 2008 Peterblt calc"/>
      <sheetName val="Depr Summary"/>
      <sheetName val="Depreciation"/>
      <sheetName val="Staff Fuel"/>
      <sheetName val="Payroll Detail Staff"/>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D6">
            <v>10000</v>
          </cell>
        </row>
        <row r="8">
          <cell r="H8" t="str">
            <v>2016-07</v>
          </cell>
        </row>
        <row r="12">
          <cell r="G12" t="str">
            <v>2015-04</v>
          </cell>
        </row>
        <row r="13">
          <cell r="G13" t="str">
            <v>2016-03</v>
          </cell>
        </row>
      </sheetData>
      <sheetData sheetId="3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Consolidated BS"/>
      <sheetName val="IS-2120"/>
      <sheetName val="IS-2121"/>
      <sheetName val="Consolidated IS"/>
      <sheetName val="Proforma"/>
      <sheetName val="Restate-Regulated"/>
      <sheetName val="Restating Expl"/>
      <sheetName val="Pro forma Adj"/>
      <sheetName val="LG"/>
      <sheetName val="LG-Pckr Rts"/>
      <sheetName val="LG-RO"/>
      <sheetName val="LG-Recycl"/>
      <sheetName val="Price-out"/>
      <sheetName val="Rate Schedule"/>
      <sheetName val="2120 Depr Summary"/>
      <sheetName val="2120 Depr"/>
      <sheetName val="2121 Depr Summary"/>
      <sheetName val="2121 Depr"/>
      <sheetName val="2120 Fuel "/>
      <sheetName val="DF-Summary"/>
      <sheetName val="Whitman"/>
      <sheetName val="Spokane"/>
      <sheetName val="Lincoln"/>
      <sheetName val="Med Waste"/>
      <sheetName val="Payroll, 2120"/>
      <sheetName val="Contract-Rev,Cust Cnt"/>
      <sheetName val="Time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Consolidated BS"/>
      <sheetName val="IS-2120"/>
      <sheetName val="IS-2121"/>
      <sheetName val="Consolidated IS"/>
      <sheetName val="Proforma"/>
      <sheetName val="Restate-Regulated"/>
      <sheetName val="Restating Expl"/>
      <sheetName val="Pro forma Adj"/>
      <sheetName val="LG"/>
      <sheetName val="LG-Pckr Rts"/>
      <sheetName val="LG-RO"/>
      <sheetName val="LG-Recycl"/>
      <sheetName val="Price-out"/>
      <sheetName val="Rate Schedule"/>
      <sheetName val="2120 Depr Summary"/>
      <sheetName val="2120 Depr"/>
      <sheetName val="2121 Depr Summary"/>
      <sheetName val="2121 Depr"/>
      <sheetName val="2120 Fuel "/>
      <sheetName val="DF-Summary"/>
      <sheetName val="Whitman"/>
      <sheetName val="Spokane"/>
      <sheetName val="Lincoln"/>
      <sheetName val="Med Waste"/>
      <sheetName val="Payroll, 2120"/>
      <sheetName val="Contract-Rev,Cust Cnt"/>
      <sheetName val="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v>2408479.3639999996</v>
          </cell>
        </row>
      </sheetData>
      <sheetData sheetId="14"/>
      <sheetData sheetId="15"/>
      <sheetData sheetId="16"/>
      <sheetData sheetId="17"/>
      <sheetData sheetId="18"/>
      <sheetData sheetId="19">
        <row r="8">
          <cell r="D8">
            <v>2113303.516104938</v>
          </cell>
        </row>
      </sheetData>
      <sheetData sheetId="20"/>
      <sheetData sheetId="21"/>
      <sheetData sheetId="22"/>
      <sheetData sheetId="23"/>
      <sheetData sheetId="2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efreshError="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pg 1-2"/>
      <sheetName val="OrgControl, pg 3"/>
      <sheetName val="BS-Assets, pg 4"/>
      <sheetName val="BS-Liab, pg 5"/>
      <sheetName val="FixedAssets, pg 6"/>
      <sheetName val="Income Statement, pg 7"/>
      <sheetName val="RevenuesCust, pg 8"/>
      <sheetName val="Recyc-YW, pg 9"/>
      <sheetName val="contracts, pg 10"/>
      <sheetName val="GarbageDisp, pg 11"/>
      <sheetName val="RecycleProcessing, pg 12"/>
      <sheetName val="RetainEarn, pg 13"/>
      <sheetName val="Payroll, pg 14"/>
      <sheetName val="Fuel, pg 15"/>
      <sheetName val="FeeCalc, pg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sheetData sheetId="1"/>
      <sheetData sheetId="2"/>
      <sheetData sheetId="3"/>
      <sheetData sheetId="4"/>
      <sheetData sheetId="5"/>
      <sheetData sheetId="6"/>
      <sheetData sheetId="7"/>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s>
    <sheetDataSet>
      <sheetData sheetId="0"/>
      <sheetData sheetId="1"/>
      <sheetData sheetId="2"/>
      <sheetData sheetId="3"/>
      <sheetData sheetId="4">
        <row r="9">
          <cell r="C9">
            <v>11707.904196665637</v>
          </cell>
        </row>
      </sheetData>
      <sheetData sheetId="5"/>
      <sheetData sheetId="6"/>
      <sheetData sheetId="7"/>
      <sheetData sheetId="8"/>
      <sheetData sheetId="9"/>
      <sheetData sheetId="10"/>
      <sheetData sheetId="11"/>
      <sheetData sheetId="12"/>
      <sheetData sheetId="13"/>
      <sheetData sheetId="14"/>
      <sheetData sheetId="15">
        <row r="64">
          <cell r="AD64">
            <v>39497.889248855761</v>
          </cell>
        </row>
      </sheetData>
      <sheetData sheetId="16"/>
      <sheetData sheetId="17">
        <row r="39">
          <cell r="B39">
            <v>2349.7995013614564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0 BS"/>
      <sheetName val="2120 IS"/>
      <sheetName val="Consolidated IS"/>
      <sheetName val="Staff Adjustments"/>
      <sheetName val=" B&amp;O Tax UTC Fee"/>
      <sheetName val="Acct # 40101"/>
      <sheetName val="Truck #7 Cap Repair"/>
      <sheetName val="Staff Depr Summary"/>
      <sheetName val="Staff Depr Input"/>
      <sheetName val="2120 Depr Summary"/>
      <sheetName val="2120 Depr"/>
      <sheetName val="Restating Adj's"/>
      <sheetName val="Pro Forma Adj's"/>
      <sheetName val="Ratios"/>
      <sheetName val="Staff LG Med"/>
      <sheetName val="Staff LG"/>
      <sheetName val="Staff LG Packer RO"/>
      <sheetName val="Staff LG Recycle"/>
      <sheetName val="LG"/>
      <sheetName val="LG - Packer,RO"/>
      <sheetName val="LG - Recycle"/>
      <sheetName val="Staff Spokane Priceout"/>
      <sheetName val="Staff Whitman Priceout"/>
      <sheetName val="Staff Rate Sheet"/>
      <sheetName val="Spokane Reg - Price out"/>
      <sheetName val="Whitman Reg - Price Out"/>
      <sheetName val="Rate Sheet"/>
      <sheetName val="References"/>
      <sheetName val="Disposal"/>
      <sheetName val="40131 Disposal"/>
      <sheetName val=" Empire Payroll Staff"/>
      <sheetName val="Staff Fuel"/>
      <sheetName val="DivCon-DVP Alloc In"/>
      <sheetName val="Corp-OH"/>
      <sheetName val="Region OH Calc"/>
      <sheetName val="Corp-BS"/>
      <sheetName val="Corp-IS"/>
      <sheetName val="B&amp;O Taxes"/>
      <sheetName val="70095 Detail"/>
      <sheetName val="70195 Detail"/>
      <sheetName val="Empire BS 6-30-15"/>
    </sheetNames>
    <sheetDataSet>
      <sheetData sheetId="0"/>
      <sheetData sheetId="1"/>
      <sheetData sheetId="2">
        <row r="20">
          <cell r="A20">
            <v>52010</v>
          </cell>
          <cell r="B20" t="str">
            <v>Wages-Salary</v>
          </cell>
          <cell r="C20">
            <v>28151.769999999997</v>
          </cell>
          <cell r="D20">
            <v>0</v>
          </cell>
          <cell r="E20">
            <v>0</v>
          </cell>
          <cell r="F20">
            <v>28151.769999999997</v>
          </cell>
          <cell r="G20">
            <v>0</v>
          </cell>
          <cell r="H20">
            <v>0</v>
          </cell>
          <cell r="I20">
            <v>0</v>
          </cell>
          <cell r="J20">
            <v>0</v>
          </cell>
          <cell r="K20">
            <v>28151.769999999997</v>
          </cell>
          <cell r="L20">
            <v>0</v>
          </cell>
          <cell r="M20">
            <v>24985.948177935941</v>
          </cell>
        </row>
        <row r="21">
          <cell r="A21">
            <v>52020</v>
          </cell>
          <cell r="B21" t="str">
            <v>Wages-Regular</v>
          </cell>
          <cell r="C21">
            <v>50095.74</v>
          </cell>
          <cell r="D21">
            <v>537.55549247671229</v>
          </cell>
          <cell r="E21">
            <v>-537.55549247671229</v>
          </cell>
          <cell r="F21">
            <v>50095.74</v>
          </cell>
          <cell r="G21" t="str">
            <v>RS-5</v>
          </cell>
          <cell r="H21">
            <v>1605.936107849534</v>
          </cell>
          <cell r="I21" t="str">
            <v>P-1</v>
          </cell>
          <cell r="J21">
            <v>1002.2362196504846</v>
          </cell>
          <cell r="K21">
            <v>52703.912327500017</v>
          </cell>
          <cell r="L21">
            <v>0</v>
          </cell>
          <cell r="M21">
            <v>46777.06667074201</v>
          </cell>
        </row>
        <row r="22">
          <cell r="A22">
            <v>52025</v>
          </cell>
          <cell r="B22" t="str">
            <v>Wages-OT</v>
          </cell>
          <cell r="C22">
            <v>1428.79</v>
          </cell>
          <cell r="D22">
            <v>0</v>
          </cell>
          <cell r="E22">
            <v>0</v>
          </cell>
          <cell r="F22">
            <v>1428.79</v>
          </cell>
          <cell r="H22">
            <v>0</v>
          </cell>
          <cell r="I22">
            <v>0</v>
          </cell>
          <cell r="J22">
            <v>0</v>
          </cell>
          <cell r="K22">
            <v>1428.79</v>
          </cell>
          <cell r="L22">
            <v>0</v>
          </cell>
          <cell r="M22">
            <v>1268.1146832740212</v>
          </cell>
        </row>
        <row r="23">
          <cell r="A23">
            <v>52065</v>
          </cell>
          <cell r="B23" t="str">
            <v>Vacation Pay</v>
          </cell>
          <cell r="C23">
            <v>2481.96</v>
          </cell>
          <cell r="D23">
            <v>0</v>
          </cell>
          <cell r="E23">
            <v>0</v>
          </cell>
          <cell r="F23">
            <v>2481.96</v>
          </cell>
          <cell r="G23">
            <v>0</v>
          </cell>
          <cell r="H23">
            <v>0</v>
          </cell>
          <cell r="I23">
            <v>0</v>
          </cell>
          <cell r="J23">
            <v>0</v>
          </cell>
          <cell r="K23">
            <v>2481.96</v>
          </cell>
          <cell r="L23">
            <v>0</v>
          </cell>
          <cell r="M23">
            <v>2202.8499074733095</v>
          </cell>
        </row>
        <row r="24">
          <cell r="A24">
            <v>52070</v>
          </cell>
          <cell r="B24" t="str">
            <v>Sick Pay</v>
          </cell>
          <cell r="C24">
            <v>356.11</v>
          </cell>
          <cell r="D24">
            <v>0</v>
          </cell>
          <cell r="E24">
            <v>0</v>
          </cell>
          <cell r="F24">
            <v>356.11</v>
          </cell>
          <cell r="G24">
            <v>0</v>
          </cell>
          <cell r="H24">
            <v>0</v>
          </cell>
          <cell r="I24">
            <v>0</v>
          </cell>
          <cell r="J24">
            <v>0</v>
          </cell>
          <cell r="K24">
            <v>356.11</v>
          </cell>
          <cell r="L24">
            <v>0</v>
          </cell>
          <cell r="M24">
            <v>316.06346619217084</v>
          </cell>
        </row>
        <row r="25">
          <cell r="A25">
            <v>41150</v>
          </cell>
          <cell r="B25" t="str">
            <v>Wages Mechanics</v>
          </cell>
          <cell r="C25">
            <v>82514.37</v>
          </cell>
          <cell r="D25">
            <v>537.55549247671229</v>
          </cell>
          <cell r="E25">
            <v>-537.55549247671229</v>
          </cell>
          <cell r="F25">
            <v>82514.37</v>
          </cell>
          <cell r="G25">
            <v>0</v>
          </cell>
          <cell r="H25">
            <v>1605.936107849534</v>
          </cell>
          <cell r="I25">
            <v>0</v>
          </cell>
          <cell r="J25">
            <v>0</v>
          </cell>
          <cell r="K25">
            <v>85122.542327500021</v>
          </cell>
          <cell r="L25">
            <v>0</v>
          </cell>
          <cell r="M25">
            <v>75550.042905617447</v>
          </cell>
        </row>
        <row r="26">
          <cell r="A26">
            <v>0</v>
          </cell>
          <cell r="B26">
            <v>0</v>
          </cell>
          <cell r="C26">
            <v>0</v>
          </cell>
          <cell r="D26">
            <v>0</v>
          </cell>
          <cell r="E26">
            <v>0</v>
          </cell>
          <cell r="F26">
            <v>0</v>
          </cell>
          <cell r="G26">
            <v>0</v>
          </cell>
          <cell r="H26">
            <v>0</v>
          </cell>
          <cell r="I26">
            <v>0</v>
          </cell>
          <cell r="J26">
            <v>0</v>
          </cell>
          <cell r="K26">
            <v>0</v>
          </cell>
          <cell r="L26">
            <v>0</v>
          </cell>
          <cell r="M26">
            <v>0</v>
          </cell>
        </row>
        <row r="27">
          <cell r="A27">
            <v>57147</v>
          </cell>
          <cell r="B27" t="str">
            <v>Repair-Shop, Bldg</v>
          </cell>
          <cell r="C27">
            <v>17031.239999999998</v>
          </cell>
          <cell r="D27">
            <v>0</v>
          </cell>
          <cell r="E27">
            <v>0</v>
          </cell>
          <cell r="F27">
            <v>17031.239999999998</v>
          </cell>
          <cell r="G27">
            <v>0</v>
          </cell>
          <cell r="H27">
            <v>0</v>
          </cell>
          <cell r="I27">
            <v>0</v>
          </cell>
          <cell r="J27">
            <v>0</v>
          </cell>
          <cell r="K27">
            <v>17031.239999999998</v>
          </cell>
          <cell r="L27">
            <v>0</v>
          </cell>
          <cell r="M27">
            <v>15115.983117437721</v>
          </cell>
        </row>
        <row r="28">
          <cell r="A28">
            <v>41200</v>
          </cell>
          <cell r="B28" t="str">
            <v>Building/Grounds Repair</v>
          </cell>
          <cell r="C28">
            <v>17031.239999999998</v>
          </cell>
          <cell r="D28">
            <v>0</v>
          </cell>
          <cell r="E28">
            <v>0</v>
          </cell>
          <cell r="F28">
            <v>17031.239999999998</v>
          </cell>
          <cell r="G28">
            <v>0</v>
          </cell>
          <cell r="H28">
            <v>0</v>
          </cell>
          <cell r="I28">
            <v>0</v>
          </cell>
          <cell r="J28">
            <v>0</v>
          </cell>
          <cell r="K28">
            <v>17031.239999999998</v>
          </cell>
          <cell r="L28">
            <v>0</v>
          </cell>
          <cell r="M28">
            <v>15115.983117437721</v>
          </cell>
        </row>
        <row r="29">
          <cell r="A29">
            <v>0</v>
          </cell>
          <cell r="B29">
            <v>0</v>
          </cell>
          <cell r="C29">
            <v>0</v>
          </cell>
          <cell r="D29">
            <v>0</v>
          </cell>
          <cell r="E29">
            <v>0</v>
          </cell>
          <cell r="F29">
            <v>0</v>
          </cell>
          <cell r="G29">
            <v>0</v>
          </cell>
          <cell r="H29">
            <v>0</v>
          </cell>
          <cell r="I29">
            <v>0</v>
          </cell>
          <cell r="J29">
            <v>0</v>
          </cell>
          <cell r="K29">
            <v>0</v>
          </cell>
          <cell r="L29">
            <v>0</v>
          </cell>
          <cell r="M29">
            <v>0</v>
          </cell>
        </row>
        <row r="30">
          <cell r="A30">
            <v>52120</v>
          </cell>
          <cell r="B30" t="str">
            <v>Parts &amp; Materials</v>
          </cell>
          <cell r="C30">
            <v>94497.159999999989</v>
          </cell>
          <cell r="D30">
            <v>0</v>
          </cell>
          <cell r="E30">
            <v>0</v>
          </cell>
          <cell r="F30">
            <v>94497.159999999989</v>
          </cell>
          <cell r="G30">
            <v>0</v>
          </cell>
          <cell r="H30">
            <v>0</v>
          </cell>
          <cell r="I30">
            <v>0</v>
          </cell>
          <cell r="J30">
            <v>0</v>
          </cell>
          <cell r="K30">
            <v>94497.159999999989</v>
          </cell>
          <cell r="L30">
            <v>0</v>
          </cell>
          <cell r="M30">
            <v>83870.433110320271</v>
          </cell>
        </row>
        <row r="31">
          <cell r="A31">
            <v>52125</v>
          </cell>
          <cell r="B31" t="str">
            <v>Operating Supplies</v>
          </cell>
          <cell r="C31">
            <v>5015.7900000000009</v>
          </cell>
          <cell r="D31">
            <v>0</v>
          </cell>
          <cell r="E31">
            <v>0</v>
          </cell>
          <cell r="F31">
            <v>5015.7900000000009</v>
          </cell>
          <cell r="G31">
            <v>0</v>
          </cell>
          <cell r="H31">
            <v>0</v>
          </cell>
          <cell r="I31">
            <v>0</v>
          </cell>
          <cell r="J31">
            <v>0</v>
          </cell>
          <cell r="K31">
            <v>5015.7900000000009</v>
          </cell>
          <cell r="L31">
            <v>0</v>
          </cell>
          <cell r="M31">
            <v>4451.7367473309614</v>
          </cell>
        </row>
        <row r="32">
          <cell r="A32">
            <v>55120</v>
          </cell>
          <cell r="B32" t="str">
            <v>Parts &amp; Materials</v>
          </cell>
          <cell r="C32">
            <v>27692.82</v>
          </cell>
          <cell r="D32">
            <v>0</v>
          </cell>
          <cell r="E32">
            <v>0</v>
          </cell>
          <cell r="F32">
            <v>27692.82</v>
          </cell>
          <cell r="G32">
            <v>0</v>
          </cell>
          <cell r="H32">
            <v>0</v>
          </cell>
          <cell r="I32">
            <v>0</v>
          </cell>
          <cell r="J32">
            <v>0</v>
          </cell>
          <cell r="K32">
            <v>27692.82</v>
          </cell>
          <cell r="L32">
            <v>0</v>
          </cell>
          <cell r="M32">
            <v>24578.609637010675</v>
          </cell>
        </row>
        <row r="33">
          <cell r="A33">
            <v>55125</v>
          </cell>
          <cell r="B33" t="str">
            <v>Operating Supplies</v>
          </cell>
          <cell r="C33">
            <v>2341.94</v>
          </cell>
          <cell r="D33">
            <v>0</v>
          </cell>
          <cell r="E33">
            <v>0</v>
          </cell>
          <cell r="F33">
            <v>2341.94</v>
          </cell>
          <cell r="G33">
            <v>0</v>
          </cell>
          <cell r="H33">
            <v>0</v>
          </cell>
          <cell r="I33">
            <v>0</v>
          </cell>
          <cell r="J33">
            <v>0</v>
          </cell>
          <cell r="K33">
            <v>2341.94</v>
          </cell>
          <cell r="L33">
            <v>0</v>
          </cell>
          <cell r="M33">
            <v>2078.5759288256227</v>
          </cell>
        </row>
        <row r="34">
          <cell r="A34">
            <v>41300</v>
          </cell>
          <cell r="B34" t="str">
            <v>Total Parts &amp; Materials</v>
          </cell>
          <cell r="C34">
            <v>129547.70999999999</v>
          </cell>
          <cell r="D34">
            <v>0</v>
          </cell>
          <cell r="E34">
            <v>0</v>
          </cell>
          <cell r="F34">
            <v>129547.70999999999</v>
          </cell>
          <cell r="G34">
            <v>0</v>
          </cell>
          <cell r="H34">
            <v>0</v>
          </cell>
          <cell r="I34">
            <v>0</v>
          </cell>
          <cell r="J34">
            <v>0</v>
          </cell>
          <cell r="K34">
            <v>129547.70999999999</v>
          </cell>
          <cell r="L34">
            <v>0</v>
          </cell>
          <cell r="M34">
            <v>114979.35542348752</v>
          </cell>
        </row>
        <row r="35">
          <cell r="A35">
            <v>0</v>
          </cell>
          <cell r="B35">
            <v>0</v>
          </cell>
          <cell r="C35">
            <v>0</v>
          </cell>
          <cell r="D35">
            <v>0</v>
          </cell>
          <cell r="E35">
            <v>0</v>
          </cell>
          <cell r="F35">
            <v>0</v>
          </cell>
          <cell r="G35">
            <v>0</v>
          </cell>
          <cell r="H35">
            <v>0</v>
          </cell>
          <cell r="I35">
            <v>0</v>
          </cell>
          <cell r="J35">
            <v>0</v>
          </cell>
          <cell r="K35">
            <v>0</v>
          </cell>
          <cell r="L35">
            <v>0</v>
          </cell>
          <cell r="M35">
            <v>0</v>
          </cell>
        </row>
        <row r="36">
          <cell r="A36">
            <v>52147</v>
          </cell>
          <cell r="B36" t="str">
            <v>Outside Repair</v>
          </cell>
          <cell r="C36">
            <v>45354.890000000007</v>
          </cell>
          <cell r="D36">
            <v>0</v>
          </cell>
          <cell r="E36">
            <v>0</v>
          </cell>
          <cell r="F36">
            <v>45354.890000000007</v>
          </cell>
          <cell r="G36">
            <v>0</v>
          </cell>
          <cell r="H36">
            <v>0</v>
          </cell>
          <cell r="I36">
            <v>0</v>
          </cell>
          <cell r="J36">
            <v>0</v>
          </cell>
          <cell r="K36">
            <v>45354.890000000007</v>
          </cell>
          <cell r="L36">
            <v>0</v>
          </cell>
          <cell r="M36">
            <v>40254.482441281143</v>
          </cell>
        </row>
        <row r="37">
          <cell r="A37">
            <v>41330</v>
          </cell>
          <cell r="B37" t="str">
            <v>Total</v>
          </cell>
          <cell r="C37">
            <v>45354.890000000007</v>
          </cell>
          <cell r="D37">
            <v>0</v>
          </cell>
          <cell r="E37">
            <v>0</v>
          </cell>
          <cell r="F37">
            <v>45354.890000000007</v>
          </cell>
          <cell r="G37">
            <v>0</v>
          </cell>
          <cell r="H37">
            <v>0</v>
          </cell>
          <cell r="I37">
            <v>0</v>
          </cell>
          <cell r="J37">
            <v>0</v>
          </cell>
          <cell r="K37">
            <v>45354.890000000007</v>
          </cell>
          <cell r="L37">
            <v>0</v>
          </cell>
          <cell r="M37">
            <v>40254.482441281143</v>
          </cell>
        </row>
        <row r="38">
          <cell r="A38">
            <v>0</v>
          </cell>
          <cell r="B38">
            <v>0</v>
          </cell>
          <cell r="C38">
            <v>0</v>
          </cell>
          <cell r="D38">
            <v>0</v>
          </cell>
          <cell r="E38">
            <v>0</v>
          </cell>
          <cell r="F38">
            <v>0</v>
          </cell>
          <cell r="G38">
            <v>0</v>
          </cell>
          <cell r="H38">
            <v>0</v>
          </cell>
          <cell r="I38">
            <v>0</v>
          </cell>
          <cell r="J38">
            <v>0</v>
          </cell>
          <cell r="K38">
            <v>0</v>
          </cell>
          <cell r="L38">
            <v>0</v>
          </cell>
          <cell r="M38">
            <v>0</v>
          </cell>
        </row>
        <row r="39">
          <cell r="A39">
            <v>52140</v>
          </cell>
          <cell r="B39" t="str">
            <v>Tires &amp; Tubes</v>
          </cell>
          <cell r="C39">
            <v>30635.949999999997</v>
          </cell>
          <cell r="D39">
            <v>0</v>
          </cell>
          <cell r="E39">
            <v>0</v>
          </cell>
          <cell r="F39">
            <v>30635.949999999997</v>
          </cell>
          <cell r="G39">
            <v>0</v>
          </cell>
          <cell r="H39">
            <v>0</v>
          </cell>
          <cell r="I39">
            <v>0</v>
          </cell>
          <cell r="J39">
            <v>0</v>
          </cell>
          <cell r="K39">
            <v>30635.949999999997</v>
          </cell>
          <cell r="L39">
            <v>0</v>
          </cell>
          <cell r="M39">
            <v>27190.7684341637</v>
          </cell>
        </row>
        <row r="40">
          <cell r="A40">
            <v>41600</v>
          </cell>
          <cell r="B40" t="str">
            <v>Total</v>
          </cell>
          <cell r="C40">
            <v>30635.949999999997</v>
          </cell>
          <cell r="D40">
            <v>0</v>
          </cell>
          <cell r="E40">
            <v>0</v>
          </cell>
          <cell r="F40">
            <v>30635.949999999997</v>
          </cell>
          <cell r="G40">
            <v>0</v>
          </cell>
          <cell r="H40">
            <v>0</v>
          </cell>
          <cell r="I40">
            <v>0</v>
          </cell>
          <cell r="J40">
            <v>0</v>
          </cell>
          <cell r="K40">
            <v>30635.949999999997</v>
          </cell>
          <cell r="L40">
            <v>0</v>
          </cell>
          <cell r="M40">
            <v>27190.7684341637</v>
          </cell>
        </row>
        <row r="41">
          <cell r="A41">
            <v>0</v>
          </cell>
          <cell r="B41">
            <v>0</v>
          </cell>
          <cell r="C41">
            <v>0</v>
          </cell>
          <cell r="D41">
            <v>0</v>
          </cell>
          <cell r="E41">
            <v>0</v>
          </cell>
          <cell r="F41">
            <v>0</v>
          </cell>
          <cell r="G41">
            <v>0</v>
          </cell>
          <cell r="H41">
            <v>0</v>
          </cell>
          <cell r="I41">
            <v>0</v>
          </cell>
          <cell r="J41">
            <v>0</v>
          </cell>
          <cell r="K41">
            <v>0</v>
          </cell>
          <cell r="L41">
            <v>0</v>
          </cell>
          <cell r="M41">
            <v>0</v>
          </cell>
        </row>
        <row r="42">
          <cell r="A42">
            <v>52087</v>
          </cell>
          <cell r="B42" t="str">
            <v>Drug Screening</v>
          </cell>
          <cell r="C42">
            <v>1119.6399999999999</v>
          </cell>
          <cell r="D42">
            <v>0</v>
          </cell>
          <cell r="E42">
            <v>0</v>
          </cell>
          <cell r="F42">
            <v>1119.6399999999999</v>
          </cell>
          <cell r="G42">
            <v>0</v>
          </cell>
          <cell r="H42">
            <v>0</v>
          </cell>
          <cell r="I42">
            <v>0</v>
          </cell>
          <cell r="J42">
            <v>0</v>
          </cell>
          <cell r="K42">
            <v>1119.6399999999999</v>
          </cell>
          <cell r="L42">
            <v>0</v>
          </cell>
          <cell r="M42">
            <v>993.73030604982193</v>
          </cell>
        </row>
        <row r="43">
          <cell r="A43">
            <v>52090</v>
          </cell>
          <cell r="B43" t="str">
            <v>Uniforms</v>
          </cell>
          <cell r="C43">
            <v>3816.8899999999994</v>
          </cell>
          <cell r="D43">
            <v>0</v>
          </cell>
          <cell r="E43">
            <v>0</v>
          </cell>
          <cell r="F43">
            <v>3816.8899999999994</v>
          </cell>
          <cell r="G43">
            <v>0</v>
          </cell>
          <cell r="H43">
            <v>0</v>
          </cell>
          <cell r="I43">
            <v>0</v>
          </cell>
          <cell r="J43">
            <v>0</v>
          </cell>
          <cell r="K43">
            <v>3816.8899999999994</v>
          </cell>
          <cell r="L43">
            <v>0</v>
          </cell>
          <cell r="M43">
            <v>3387.6596654804266</v>
          </cell>
        </row>
        <row r="44">
          <cell r="A44">
            <v>52165</v>
          </cell>
          <cell r="B44" t="str">
            <v>Communications</v>
          </cell>
          <cell r="C44">
            <v>323.39999999999998</v>
          </cell>
          <cell r="D44">
            <v>0</v>
          </cell>
          <cell r="E44">
            <v>0</v>
          </cell>
          <cell r="F44">
            <v>323.39999999999998</v>
          </cell>
          <cell r="G44">
            <v>0</v>
          </cell>
          <cell r="H44">
            <v>0</v>
          </cell>
          <cell r="I44">
            <v>0</v>
          </cell>
          <cell r="J44">
            <v>0</v>
          </cell>
          <cell r="K44">
            <v>323.39999999999998</v>
          </cell>
          <cell r="L44">
            <v>0</v>
          </cell>
          <cell r="M44">
            <v>287.03188612099643</v>
          </cell>
        </row>
        <row r="45">
          <cell r="A45">
            <v>52182</v>
          </cell>
          <cell r="B45" t="str">
            <v>Towing</v>
          </cell>
          <cell r="C45">
            <v>9036.6799999999985</v>
          </cell>
          <cell r="D45">
            <v>0</v>
          </cell>
          <cell r="E45">
            <v>0</v>
          </cell>
          <cell r="F45">
            <v>9036.6799999999985</v>
          </cell>
          <cell r="G45">
            <v>0</v>
          </cell>
          <cell r="H45">
            <v>0</v>
          </cell>
          <cell r="I45">
            <v>0</v>
          </cell>
          <cell r="J45">
            <v>0</v>
          </cell>
          <cell r="K45">
            <v>9036.6799999999985</v>
          </cell>
          <cell r="L45">
            <v>0</v>
          </cell>
          <cell r="M45">
            <v>8020.4554875444828</v>
          </cell>
        </row>
        <row r="46">
          <cell r="A46">
            <v>57135</v>
          </cell>
          <cell r="B46" t="str">
            <v>Equip Maintenance and Repair</v>
          </cell>
          <cell r="C46">
            <v>913.07</v>
          </cell>
          <cell r="D46">
            <v>0</v>
          </cell>
          <cell r="E46">
            <v>0</v>
          </cell>
          <cell r="F46">
            <v>913.07</v>
          </cell>
          <cell r="G46">
            <v>0</v>
          </cell>
          <cell r="H46">
            <v>0</v>
          </cell>
          <cell r="I46">
            <v>0</v>
          </cell>
          <cell r="J46">
            <v>0</v>
          </cell>
          <cell r="K46">
            <v>913.07</v>
          </cell>
          <cell r="L46">
            <v>0</v>
          </cell>
          <cell r="M46">
            <v>810.39024199288258</v>
          </cell>
        </row>
        <row r="47">
          <cell r="A47">
            <v>57254</v>
          </cell>
          <cell r="B47" t="str">
            <v>Drive Cam Fees</v>
          </cell>
          <cell r="C47">
            <v>13033.859999999999</v>
          </cell>
          <cell r="D47">
            <v>0</v>
          </cell>
          <cell r="E47">
            <v>0</v>
          </cell>
          <cell r="F47">
            <v>13033.859999999999</v>
          </cell>
          <cell r="G47">
            <v>0</v>
          </cell>
          <cell r="H47">
            <v>0</v>
          </cell>
          <cell r="I47">
            <v>0</v>
          </cell>
          <cell r="J47">
            <v>0</v>
          </cell>
          <cell r="K47">
            <v>13033.859999999999</v>
          </cell>
          <cell r="L47">
            <v>0</v>
          </cell>
          <cell r="M47">
            <v>11568.130548042704</v>
          </cell>
        </row>
        <row r="48">
          <cell r="A48">
            <v>41800</v>
          </cell>
          <cell r="B48" t="str">
            <v xml:space="preserve">Other Maint </v>
          </cell>
          <cell r="C48">
            <v>28243.539999999994</v>
          </cell>
          <cell r="D48">
            <v>0</v>
          </cell>
          <cell r="E48">
            <v>0</v>
          </cell>
          <cell r="F48">
            <v>28243.539999999994</v>
          </cell>
          <cell r="G48">
            <v>0</v>
          </cell>
          <cell r="H48">
            <v>0</v>
          </cell>
          <cell r="I48">
            <v>0</v>
          </cell>
          <cell r="J48">
            <v>0</v>
          </cell>
          <cell r="K48">
            <v>28243.539999999994</v>
          </cell>
          <cell r="L48">
            <v>0</v>
          </cell>
          <cell r="M48">
            <v>25067.398135231313</v>
          </cell>
        </row>
        <row r="49">
          <cell r="A49">
            <v>0</v>
          </cell>
          <cell r="B49">
            <v>0</v>
          </cell>
          <cell r="C49">
            <v>0</v>
          </cell>
          <cell r="D49">
            <v>0</v>
          </cell>
          <cell r="E49">
            <v>0</v>
          </cell>
          <cell r="F49">
            <v>0</v>
          </cell>
          <cell r="G49">
            <v>0</v>
          </cell>
          <cell r="H49">
            <v>0</v>
          </cell>
          <cell r="I49">
            <v>0</v>
          </cell>
          <cell r="J49">
            <v>0</v>
          </cell>
          <cell r="K49">
            <v>0</v>
          </cell>
          <cell r="L49">
            <v>0</v>
          </cell>
          <cell r="M49">
            <v>0</v>
          </cell>
        </row>
        <row r="50">
          <cell r="A50">
            <v>56010</v>
          </cell>
          <cell r="B50" t="str">
            <v>Salaries-Supervisor</v>
          </cell>
          <cell r="C50">
            <v>110939.20999999998</v>
          </cell>
          <cell r="D50">
            <v>455.5212328767123</v>
          </cell>
          <cell r="E50">
            <v>-455.5212328767123</v>
          </cell>
          <cell r="F50">
            <v>110939.20999999998</v>
          </cell>
          <cell r="G50" t="str">
            <v>RS-5</v>
          </cell>
          <cell r="H50">
            <v>1360.8604246575342</v>
          </cell>
          <cell r="I50" t="str">
            <v>P-1</v>
          </cell>
          <cell r="J50">
            <v>335.13957534246583</v>
          </cell>
          <cell r="K50">
            <v>112635.20999999999</v>
          </cell>
          <cell r="L50">
            <v>0</v>
          </cell>
          <cell r="M50">
            <v>99968.759338078278</v>
          </cell>
        </row>
        <row r="51">
          <cell r="A51">
            <v>56065</v>
          </cell>
          <cell r="B51" t="str">
            <v>Vacation Pay</v>
          </cell>
          <cell r="C51">
            <v>-1012.0099999999995</v>
          </cell>
          <cell r="D51">
            <v>0</v>
          </cell>
          <cell r="E51">
            <v>0</v>
          </cell>
          <cell r="F51">
            <v>-1012.0099999999995</v>
          </cell>
          <cell r="G51">
            <v>0</v>
          </cell>
          <cell r="H51">
            <v>0</v>
          </cell>
          <cell r="I51">
            <v>0</v>
          </cell>
          <cell r="J51">
            <v>0</v>
          </cell>
          <cell r="K51">
            <v>-1012.0099999999995</v>
          </cell>
          <cell r="L51">
            <v>0</v>
          </cell>
          <cell r="M51">
            <v>-898.20389323843381</v>
          </cell>
        </row>
        <row r="52">
          <cell r="A52">
            <v>42100</v>
          </cell>
          <cell r="B52" t="str">
            <v>Wages-Supervisor</v>
          </cell>
          <cell r="C52">
            <v>109927.19999999998</v>
          </cell>
          <cell r="D52">
            <v>455.5212328767123</v>
          </cell>
          <cell r="E52">
            <v>0</v>
          </cell>
          <cell r="F52">
            <v>109927.19999999998</v>
          </cell>
          <cell r="G52">
            <v>0</v>
          </cell>
          <cell r="H52">
            <v>1360.8604246575342</v>
          </cell>
          <cell r="I52">
            <v>0</v>
          </cell>
          <cell r="J52">
            <v>0</v>
          </cell>
          <cell r="K52">
            <v>111623.2</v>
          </cell>
          <cell r="L52">
            <v>0</v>
          </cell>
          <cell r="M52">
            <v>99070.555444839847</v>
          </cell>
        </row>
        <row r="53">
          <cell r="A53">
            <v>0</v>
          </cell>
          <cell r="B53">
            <v>0</v>
          </cell>
          <cell r="C53">
            <v>0</v>
          </cell>
          <cell r="D53">
            <v>0</v>
          </cell>
          <cell r="E53">
            <v>0</v>
          </cell>
          <cell r="F53">
            <v>0</v>
          </cell>
          <cell r="G53">
            <v>0</v>
          </cell>
          <cell r="H53">
            <v>0</v>
          </cell>
          <cell r="I53">
            <v>0</v>
          </cell>
          <cell r="J53">
            <v>0</v>
          </cell>
          <cell r="K53">
            <v>0</v>
          </cell>
          <cell r="L53">
            <v>0</v>
          </cell>
          <cell r="M53">
            <v>0</v>
          </cell>
        </row>
        <row r="54">
          <cell r="A54">
            <v>50020</v>
          </cell>
          <cell r="B54" t="str">
            <v>Wages Regular</v>
          </cell>
          <cell r="C54">
            <v>392880.13999999996</v>
          </cell>
          <cell r="D54">
            <v>2753.1696588821919</v>
          </cell>
          <cell r="E54">
            <v>-5930.0796588821922</v>
          </cell>
          <cell r="F54">
            <v>389703.23</v>
          </cell>
          <cell r="G54" t="str">
            <v>RS-5</v>
          </cell>
          <cell r="H54">
            <v>6511.4795957749047</v>
          </cell>
          <cell r="I54" t="str">
            <v>P-1</v>
          </cell>
          <cell r="J54">
            <v>6857.2626680250651</v>
          </cell>
          <cell r="K54">
            <v>403071.97226379992</v>
          </cell>
          <cell r="L54">
            <v>0</v>
          </cell>
          <cell r="M54">
            <v>357744.30563199893</v>
          </cell>
        </row>
        <row r="55">
          <cell r="A55">
            <v>50025</v>
          </cell>
          <cell r="B55" t="str">
            <v>Wages OT</v>
          </cell>
          <cell r="C55">
            <v>29474.19</v>
          </cell>
          <cell r="D55">
            <v>0</v>
          </cell>
          <cell r="E55">
            <v>0</v>
          </cell>
          <cell r="F55">
            <v>29474.19</v>
          </cell>
          <cell r="G55">
            <v>0</v>
          </cell>
          <cell r="H55">
            <v>0</v>
          </cell>
          <cell r="I55">
            <v>0</v>
          </cell>
          <cell r="J55">
            <v>0</v>
          </cell>
          <cell r="K55">
            <v>29474.19</v>
          </cell>
          <cell r="L55">
            <v>0</v>
          </cell>
          <cell r="M55">
            <v>26159.654754448398</v>
          </cell>
        </row>
        <row r="56">
          <cell r="A56">
            <v>50035</v>
          </cell>
          <cell r="B56" t="str">
            <v>Safety Bonus</v>
          </cell>
          <cell r="C56">
            <v>16769</v>
          </cell>
          <cell r="D56">
            <v>0</v>
          </cell>
          <cell r="E56">
            <v>0</v>
          </cell>
          <cell r="F56">
            <v>16769</v>
          </cell>
          <cell r="G56">
            <v>0</v>
          </cell>
          <cell r="H56">
            <v>0</v>
          </cell>
          <cell r="I56">
            <v>0</v>
          </cell>
          <cell r="J56">
            <v>0</v>
          </cell>
          <cell r="K56">
            <v>16769</v>
          </cell>
          <cell r="L56">
            <v>0</v>
          </cell>
          <cell r="M56">
            <v>14883.233451957296</v>
          </cell>
        </row>
        <row r="57">
          <cell r="A57">
            <v>50065</v>
          </cell>
          <cell r="B57" t="str">
            <v>Vacation Pay</v>
          </cell>
          <cell r="C57">
            <v>19842.159999999996</v>
          </cell>
          <cell r="D57">
            <v>0</v>
          </cell>
          <cell r="E57">
            <v>0</v>
          </cell>
          <cell r="F57">
            <v>19842.159999999996</v>
          </cell>
          <cell r="G57">
            <v>0</v>
          </cell>
          <cell r="H57">
            <v>0</v>
          </cell>
          <cell r="I57">
            <v>0</v>
          </cell>
          <cell r="J57">
            <v>0</v>
          </cell>
          <cell r="K57">
            <v>19842.159999999996</v>
          </cell>
          <cell r="L57">
            <v>0</v>
          </cell>
          <cell r="M57">
            <v>17610.799658362987</v>
          </cell>
        </row>
        <row r="58">
          <cell r="A58">
            <v>50070</v>
          </cell>
          <cell r="B58" t="str">
            <v>Sick Pay</v>
          </cell>
          <cell r="C58">
            <v>3859.7000000000003</v>
          </cell>
          <cell r="D58">
            <v>0</v>
          </cell>
          <cell r="E58">
            <v>0</v>
          </cell>
          <cell r="F58">
            <v>3859.7000000000003</v>
          </cell>
          <cell r="G58">
            <v>0</v>
          </cell>
          <cell r="H58">
            <v>0</v>
          </cell>
          <cell r="I58">
            <v>0</v>
          </cell>
          <cell r="J58">
            <v>0</v>
          </cell>
          <cell r="K58">
            <v>3859.7000000000003</v>
          </cell>
          <cell r="L58">
            <v>0</v>
          </cell>
          <cell r="M58">
            <v>3425.6554448398579</v>
          </cell>
        </row>
        <row r="59">
          <cell r="A59">
            <v>42300</v>
          </cell>
          <cell r="B59" t="str">
            <v>Total Driver Wages</v>
          </cell>
          <cell r="C59">
            <v>462825.18999999994</v>
          </cell>
          <cell r="D59">
            <v>2753.1696588821919</v>
          </cell>
          <cell r="E59">
            <v>0</v>
          </cell>
          <cell r="F59">
            <v>459648.27999999997</v>
          </cell>
          <cell r="G59">
            <v>0</v>
          </cell>
          <cell r="H59">
            <v>6511.4795957749047</v>
          </cell>
          <cell r="I59">
            <v>0</v>
          </cell>
          <cell r="J59">
            <v>0</v>
          </cell>
          <cell r="K59">
            <v>473017.02226379991</v>
          </cell>
          <cell r="L59">
            <v>0</v>
          </cell>
          <cell r="M59">
            <v>419823.64894160745</v>
          </cell>
        </row>
        <row r="60">
          <cell r="A60">
            <v>0</v>
          </cell>
          <cell r="B60">
            <v>0</v>
          </cell>
          <cell r="C60">
            <v>0</v>
          </cell>
          <cell r="D60">
            <v>0</v>
          </cell>
          <cell r="E60">
            <v>0</v>
          </cell>
          <cell r="F60">
            <v>0</v>
          </cell>
          <cell r="G60">
            <v>0</v>
          </cell>
          <cell r="H60">
            <v>0</v>
          </cell>
          <cell r="I60">
            <v>0</v>
          </cell>
          <cell r="J60">
            <v>0</v>
          </cell>
          <cell r="K60">
            <v>0</v>
          </cell>
          <cell r="L60">
            <v>0</v>
          </cell>
          <cell r="M60">
            <v>0</v>
          </cell>
        </row>
        <row r="61">
          <cell r="A61">
            <v>52142</v>
          </cell>
          <cell r="B61" t="str">
            <v>Fuel Expense</v>
          </cell>
          <cell r="C61">
            <v>144345.38999999998</v>
          </cell>
          <cell r="D61">
            <v>0</v>
          </cell>
          <cell r="E61">
            <v>0</v>
          </cell>
          <cell r="F61">
            <v>144345.38999999998</v>
          </cell>
          <cell r="G61">
            <v>0</v>
          </cell>
          <cell r="H61">
            <v>0</v>
          </cell>
          <cell r="I61">
            <v>0</v>
          </cell>
          <cell r="J61">
            <v>-7342.5899999999965</v>
          </cell>
          <cell r="K61">
            <v>137002.79999999999</v>
          </cell>
          <cell r="L61">
            <v>0</v>
          </cell>
          <cell r="M61">
            <v>121596.07943060498</v>
          </cell>
        </row>
        <row r="62">
          <cell r="A62">
            <v>52146</v>
          </cell>
          <cell r="B62" t="str">
            <v>Oil and Grease</v>
          </cell>
          <cell r="C62">
            <v>9363.02</v>
          </cell>
          <cell r="D62">
            <v>0</v>
          </cell>
          <cell r="E62">
            <v>0</v>
          </cell>
          <cell r="F62">
            <v>9363.02</v>
          </cell>
          <cell r="G62">
            <v>0</v>
          </cell>
          <cell r="H62">
            <v>0</v>
          </cell>
          <cell r="I62">
            <v>0</v>
          </cell>
          <cell r="J62">
            <v>0</v>
          </cell>
          <cell r="K62">
            <v>9363.02</v>
          </cell>
          <cell r="L62">
            <v>0</v>
          </cell>
          <cell r="M62">
            <v>8310.0967544483992</v>
          </cell>
        </row>
        <row r="63">
          <cell r="A63">
            <v>56142</v>
          </cell>
          <cell r="B63" t="str">
            <v>Fuel Expense</v>
          </cell>
          <cell r="C63">
            <v>47.01</v>
          </cell>
          <cell r="D63">
            <v>0</v>
          </cell>
          <cell r="E63">
            <v>0</v>
          </cell>
          <cell r="F63">
            <v>47.01</v>
          </cell>
          <cell r="G63">
            <v>0</v>
          </cell>
          <cell r="H63">
            <v>0</v>
          </cell>
          <cell r="I63">
            <v>0</v>
          </cell>
          <cell r="J63">
            <v>0</v>
          </cell>
          <cell r="K63">
            <v>47.01</v>
          </cell>
          <cell r="L63">
            <v>0</v>
          </cell>
          <cell r="M63">
            <v>41.723466192170818</v>
          </cell>
        </row>
        <row r="64">
          <cell r="A64">
            <v>42400</v>
          </cell>
          <cell r="B64" t="str">
            <v>Total Fuel and Oil</v>
          </cell>
          <cell r="C64">
            <v>153755.41999999998</v>
          </cell>
          <cell r="D64">
            <v>0</v>
          </cell>
          <cell r="E64">
            <v>0</v>
          </cell>
          <cell r="F64">
            <v>153755.41999999998</v>
          </cell>
          <cell r="G64">
            <v>0</v>
          </cell>
          <cell r="H64">
            <v>0</v>
          </cell>
          <cell r="I64">
            <v>0</v>
          </cell>
          <cell r="J64">
            <v>0</v>
          </cell>
          <cell r="K64">
            <v>146412.82999999999</v>
          </cell>
          <cell r="L64">
            <v>0</v>
          </cell>
          <cell r="M64">
            <v>129947.89965124555</v>
          </cell>
        </row>
        <row r="65">
          <cell r="A65">
            <v>0</v>
          </cell>
          <cell r="B65">
            <v>0</v>
          </cell>
          <cell r="C65">
            <v>0</v>
          </cell>
          <cell r="D65">
            <v>0</v>
          </cell>
          <cell r="E65">
            <v>0</v>
          </cell>
          <cell r="F65">
            <v>0</v>
          </cell>
          <cell r="G65">
            <v>0</v>
          </cell>
          <cell r="H65">
            <v>0</v>
          </cell>
          <cell r="I65">
            <v>0</v>
          </cell>
          <cell r="J65">
            <v>0</v>
          </cell>
          <cell r="K65">
            <v>0</v>
          </cell>
          <cell r="L65">
            <v>0</v>
          </cell>
          <cell r="M65">
            <v>0</v>
          </cell>
        </row>
        <row r="66">
          <cell r="A66">
            <v>50086</v>
          </cell>
          <cell r="B66" t="str">
            <v>Safety &amp; Training</v>
          </cell>
          <cell r="C66">
            <v>4191.5800000000008</v>
          </cell>
          <cell r="D66">
            <v>0</v>
          </cell>
          <cell r="E66">
            <v>0</v>
          </cell>
          <cell r="F66">
            <v>4191.5800000000008</v>
          </cell>
          <cell r="G66">
            <v>0</v>
          </cell>
          <cell r="H66">
            <v>0</v>
          </cell>
          <cell r="I66">
            <v>0</v>
          </cell>
          <cell r="J66">
            <v>0</v>
          </cell>
          <cell r="K66">
            <v>4191.5800000000008</v>
          </cell>
          <cell r="L66">
            <v>0</v>
          </cell>
          <cell r="M66">
            <v>3720.2137081850542</v>
          </cell>
        </row>
        <row r="67">
          <cell r="A67">
            <v>50090</v>
          </cell>
          <cell r="B67" t="str">
            <v>Uniforms</v>
          </cell>
          <cell r="C67">
            <v>7221.5499999999993</v>
          </cell>
          <cell r="D67">
            <v>0</v>
          </cell>
          <cell r="E67">
            <v>0</v>
          </cell>
          <cell r="F67">
            <v>7221.5499999999993</v>
          </cell>
          <cell r="G67">
            <v>0</v>
          </cell>
          <cell r="H67">
            <v>0</v>
          </cell>
          <cell r="I67">
            <v>0</v>
          </cell>
          <cell r="J67">
            <v>0</v>
          </cell>
          <cell r="K67">
            <v>7221.5499999999993</v>
          </cell>
          <cell r="L67">
            <v>0</v>
          </cell>
          <cell r="M67">
            <v>6409.4468683274017</v>
          </cell>
        </row>
        <row r="68">
          <cell r="A68">
            <v>56090</v>
          </cell>
          <cell r="B68" t="str">
            <v>Uniforms</v>
          </cell>
          <cell r="C68">
            <v>349.17</v>
          </cell>
          <cell r="D68">
            <v>0</v>
          </cell>
          <cell r="E68">
            <v>0</v>
          </cell>
          <cell r="F68">
            <v>349.17</v>
          </cell>
          <cell r="G68">
            <v>0</v>
          </cell>
          <cell r="H68">
            <v>0</v>
          </cell>
          <cell r="I68">
            <v>0</v>
          </cell>
          <cell r="J68">
            <v>0</v>
          </cell>
          <cell r="K68">
            <v>349.17</v>
          </cell>
          <cell r="L68">
            <v>0</v>
          </cell>
          <cell r="M68">
            <v>309.90390747330963</v>
          </cell>
        </row>
        <row r="69">
          <cell r="A69">
            <v>56095</v>
          </cell>
          <cell r="B69" t="str">
            <v>Empl &amp; Commun Activ</v>
          </cell>
          <cell r="C69">
            <v>86.23</v>
          </cell>
          <cell r="D69">
            <v>0</v>
          </cell>
          <cell r="E69">
            <v>0</v>
          </cell>
          <cell r="F69">
            <v>86.23</v>
          </cell>
          <cell r="G69">
            <v>0</v>
          </cell>
          <cell r="H69">
            <v>0</v>
          </cell>
          <cell r="I69">
            <v>0</v>
          </cell>
          <cell r="J69">
            <v>0</v>
          </cell>
          <cell r="K69">
            <v>86.23</v>
          </cell>
          <cell r="L69">
            <v>0</v>
          </cell>
          <cell r="M69">
            <v>76.532960854092536</v>
          </cell>
        </row>
        <row r="70">
          <cell r="A70">
            <v>57255</v>
          </cell>
          <cell r="B70" t="str">
            <v>Other Prof Fees</v>
          </cell>
          <cell r="C70">
            <v>19808.75</v>
          </cell>
          <cell r="D70">
            <v>0</v>
          </cell>
          <cell r="E70">
            <v>0</v>
          </cell>
          <cell r="F70">
            <v>19808.75</v>
          </cell>
          <cell r="G70">
            <v>0</v>
          </cell>
          <cell r="H70">
            <v>0</v>
          </cell>
          <cell r="I70">
            <v>0</v>
          </cell>
          <cell r="J70">
            <v>0</v>
          </cell>
          <cell r="K70">
            <v>19808.75</v>
          </cell>
          <cell r="L70">
            <v>0</v>
          </cell>
          <cell r="M70">
            <v>17581.146797153026</v>
          </cell>
        </row>
        <row r="71">
          <cell r="A71">
            <v>42800</v>
          </cell>
          <cell r="B71" t="str">
            <v>Other Collection Exp</v>
          </cell>
          <cell r="C71">
            <v>31657.279999999999</v>
          </cell>
          <cell r="D71">
            <v>0</v>
          </cell>
          <cell r="E71">
            <v>0</v>
          </cell>
          <cell r="F71">
            <v>31657.279999999999</v>
          </cell>
          <cell r="G71">
            <v>0</v>
          </cell>
          <cell r="H71">
            <v>0</v>
          </cell>
          <cell r="I71">
            <v>0</v>
          </cell>
          <cell r="J71">
            <v>0</v>
          </cell>
          <cell r="K71">
            <v>31657.279999999999</v>
          </cell>
          <cell r="L71">
            <v>0</v>
          </cell>
          <cell r="M71">
            <v>28097.244241992885</v>
          </cell>
        </row>
        <row r="72">
          <cell r="A72">
            <v>0</v>
          </cell>
          <cell r="B72">
            <v>0</v>
          </cell>
          <cell r="C72">
            <v>0</v>
          </cell>
          <cell r="D72">
            <v>0</v>
          </cell>
          <cell r="E72">
            <v>0</v>
          </cell>
          <cell r="F72">
            <v>0</v>
          </cell>
          <cell r="G72">
            <v>0</v>
          </cell>
          <cell r="H72">
            <v>0</v>
          </cell>
          <cell r="I72">
            <v>0</v>
          </cell>
          <cell r="J72">
            <v>0</v>
          </cell>
          <cell r="K72">
            <v>0</v>
          </cell>
          <cell r="L72">
            <v>0</v>
          </cell>
          <cell r="M72">
            <v>0</v>
          </cell>
        </row>
        <row r="73">
          <cell r="A73">
            <v>40101</v>
          </cell>
          <cell r="B73" t="str">
            <v>Disposal Landfill</v>
          </cell>
          <cell r="C73">
            <v>724168.79</v>
          </cell>
          <cell r="D73">
            <v>-52305.05999999999</v>
          </cell>
          <cell r="E73">
            <v>-15685.620000000003</v>
          </cell>
          <cell r="F73">
            <v>656178.1100000001</v>
          </cell>
          <cell r="G73" t="str">
            <v>RS-2</v>
          </cell>
          <cell r="H73">
            <v>0</v>
          </cell>
          <cell r="I73">
            <v>0</v>
          </cell>
          <cell r="J73">
            <v>0</v>
          </cell>
          <cell r="K73">
            <v>656178.1100000001</v>
          </cell>
          <cell r="L73">
            <v>0</v>
          </cell>
          <cell r="M73">
            <v>597524.06363553763</v>
          </cell>
        </row>
        <row r="74">
          <cell r="A74">
            <v>0</v>
          </cell>
          <cell r="B74" t="str">
            <v>Pass Through</v>
          </cell>
          <cell r="C74">
            <v>0</v>
          </cell>
          <cell r="D74">
            <v>52305.05999999999</v>
          </cell>
          <cell r="E74">
            <v>0</v>
          </cell>
          <cell r="F74">
            <v>52305.05999999999</v>
          </cell>
          <cell r="G74" t="str">
            <v>RS-2</v>
          </cell>
          <cell r="H74">
            <v>0</v>
          </cell>
          <cell r="I74">
            <v>0</v>
          </cell>
          <cell r="J74">
            <v>0</v>
          </cell>
          <cell r="K74">
            <v>52305.05999999999</v>
          </cell>
          <cell r="L74">
            <v>0</v>
          </cell>
          <cell r="M74">
            <v>65549.09</v>
          </cell>
        </row>
        <row r="75">
          <cell r="A75">
            <v>40121</v>
          </cell>
          <cell r="B75" t="str">
            <v>Disposal Incineration</v>
          </cell>
          <cell r="C75">
            <v>58409.780000000013</v>
          </cell>
          <cell r="D75">
            <v>-8565.0617165872209</v>
          </cell>
          <cell r="E75">
            <v>0</v>
          </cell>
          <cell r="F75">
            <v>49844.718283412789</v>
          </cell>
          <cell r="G75" t="str">
            <v>RS-2</v>
          </cell>
          <cell r="H75">
            <v>0</v>
          </cell>
          <cell r="I75">
            <v>0</v>
          </cell>
          <cell r="J75">
            <v>0</v>
          </cell>
          <cell r="K75">
            <v>49844.718283412789</v>
          </cell>
          <cell r="L75">
            <v>0</v>
          </cell>
          <cell r="M75">
            <v>37659.698008391075</v>
          </cell>
        </row>
        <row r="76">
          <cell r="A76">
            <v>0</v>
          </cell>
          <cell r="B76" t="str">
            <v>Pass Through</v>
          </cell>
          <cell r="C76">
            <v>0</v>
          </cell>
          <cell r="D76">
            <v>9319.5200000000023</v>
          </cell>
          <cell r="E76">
            <v>0</v>
          </cell>
          <cell r="F76">
            <v>9319.5200000000023</v>
          </cell>
          <cell r="G76" t="str">
            <v>RS-2</v>
          </cell>
          <cell r="H76">
            <v>0</v>
          </cell>
          <cell r="I76">
            <v>0</v>
          </cell>
          <cell r="J76">
            <v>0</v>
          </cell>
          <cell r="K76">
            <v>9319.5200000000023</v>
          </cell>
          <cell r="L76">
            <v>0</v>
          </cell>
          <cell r="M76">
            <v>0</v>
          </cell>
        </row>
        <row r="77">
          <cell r="A77">
            <v>40131</v>
          </cell>
          <cell r="B77" t="str">
            <v>Disposal Transfer</v>
          </cell>
          <cell r="C77">
            <v>148473.49000000002</v>
          </cell>
          <cell r="D77">
            <v>-11229.179999999998</v>
          </cell>
          <cell r="E77">
            <v>0</v>
          </cell>
          <cell r="F77">
            <v>137244.31000000003</v>
          </cell>
          <cell r="G77" t="str">
            <v>RS-2</v>
          </cell>
          <cell r="H77">
            <v>0</v>
          </cell>
          <cell r="I77">
            <v>0</v>
          </cell>
          <cell r="J77">
            <v>0</v>
          </cell>
          <cell r="K77">
            <v>137244.31000000003</v>
          </cell>
          <cell r="L77">
            <v>0</v>
          </cell>
          <cell r="M77">
            <v>95373.065035478648</v>
          </cell>
        </row>
        <row r="78">
          <cell r="A78">
            <v>0</v>
          </cell>
          <cell r="B78" t="str">
            <v>Pass Through</v>
          </cell>
          <cell r="C78">
            <v>0</v>
          </cell>
          <cell r="D78">
            <v>11229.179999999998</v>
          </cell>
          <cell r="E78">
            <v>0</v>
          </cell>
          <cell r="F78">
            <v>11229.179999999998</v>
          </cell>
          <cell r="G78" t="str">
            <v>RS-2</v>
          </cell>
          <cell r="H78">
            <v>0</v>
          </cell>
          <cell r="I78">
            <v>0</v>
          </cell>
          <cell r="J78">
            <v>0</v>
          </cell>
          <cell r="K78">
            <v>11229.179999999998</v>
          </cell>
          <cell r="L78">
            <v>0</v>
          </cell>
          <cell r="M78">
            <v>0</v>
          </cell>
        </row>
        <row r="79">
          <cell r="A79">
            <v>43600</v>
          </cell>
          <cell r="B79" t="str">
            <v>Dump Fee and Charges</v>
          </cell>
          <cell r="C79">
            <v>931052.06</v>
          </cell>
          <cell r="D79">
            <v>754.45828341278138</v>
          </cell>
          <cell r="E79">
            <v>0</v>
          </cell>
          <cell r="F79">
            <v>916120.89828341291</v>
          </cell>
          <cell r="G79">
            <v>0</v>
          </cell>
          <cell r="H79">
            <v>0</v>
          </cell>
          <cell r="I79">
            <v>0</v>
          </cell>
          <cell r="J79">
            <v>0</v>
          </cell>
          <cell r="K79">
            <v>916120.89828341291</v>
          </cell>
          <cell r="L79">
            <v>0</v>
          </cell>
          <cell r="M79">
            <v>796105.91667940735</v>
          </cell>
        </row>
        <row r="80">
          <cell r="A80">
            <v>0</v>
          </cell>
          <cell r="B80">
            <v>0</v>
          </cell>
          <cell r="C80">
            <v>0</v>
          </cell>
          <cell r="D80">
            <v>0</v>
          </cell>
          <cell r="E80">
            <v>0</v>
          </cell>
          <cell r="F80">
            <v>0</v>
          </cell>
          <cell r="G80">
            <v>0</v>
          </cell>
          <cell r="H80">
            <v>0</v>
          </cell>
          <cell r="I80">
            <v>0</v>
          </cell>
          <cell r="J80">
            <v>0</v>
          </cell>
          <cell r="K80">
            <v>0</v>
          </cell>
          <cell r="L80">
            <v>0</v>
          </cell>
          <cell r="M80">
            <v>0</v>
          </cell>
        </row>
        <row r="81">
          <cell r="A81">
            <v>44161</v>
          </cell>
          <cell r="B81" t="str">
            <v>Cost of Materials - OCC</v>
          </cell>
          <cell r="C81">
            <v>7891.8400000000011</v>
          </cell>
          <cell r="D81">
            <v>0</v>
          </cell>
          <cell r="E81">
            <v>0</v>
          </cell>
          <cell r="F81">
            <v>7891.8400000000011</v>
          </cell>
          <cell r="G81">
            <v>0</v>
          </cell>
          <cell r="H81">
            <v>0</v>
          </cell>
          <cell r="I81">
            <v>0</v>
          </cell>
          <cell r="J81">
            <v>0</v>
          </cell>
          <cell r="K81">
            <v>7891.8400000000011</v>
          </cell>
          <cell r="L81">
            <v>0</v>
          </cell>
          <cell r="M81">
            <v>0</v>
          </cell>
        </row>
        <row r="82">
          <cell r="A82">
            <v>44168</v>
          </cell>
          <cell r="B82" t="str">
            <v>Cost of Materials - Other Recyclables</v>
          </cell>
          <cell r="C82">
            <v>2626.06</v>
          </cell>
          <cell r="D82">
            <v>0</v>
          </cell>
          <cell r="E82">
            <v>0</v>
          </cell>
          <cell r="F82">
            <v>2626.06</v>
          </cell>
          <cell r="G82">
            <v>0</v>
          </cell>
          <cell r="H82">
            <v>0</v>
          </cell>
          <cell r="I82">
            <v>0</v>
          </cell>
          <cell r="J82">
            <v>0</v>
          </cell>
          <cell r="K82">
            <v>2626.06</v>
          </cell>
          <cell r="L82">
            <v>0</v>
          </cell>
          <cell r="M82">
            <v>342.52956521739128</v>
          </cell>
        </row>
        <row r="83">
          <cell r="A83">
            <v>43650</v>
          </cell>
          <cell r="B83" t="str">
            <v>Processing Fees</v>
          </cell>
          <cell r="C83">
            <v>10517.900000000001</v>
          </cell>
          <cell r="D83">
            <v>0</v>
          </cell>
          <cell r="E83">
            <v>0</v>
          </cell>
          <cell r="F83">
            <v>10517.900000000001</v>
          </cell>
          <cell r="G83">
            <v>0</v>
          </cell>
          <cell r="H83">
            <v>0</v>
          </cell>
          <cell r="I83">
            <v>0</v>
          </cell>
          <cell r="J83">
            <v>0</v>
          </cell>
          <cell r="K83">
            <v>10517.900000000001</v>
          </cell>
          <cell r="L83">
            <v>0</v>
          </cell>
          <cell r="M83">
            <v>342.52956521739128</v>
          </cell>
        </row>
        <row r="84">
          <cell r="A84">
            <v>0</v>
          </cell>
          <cell r="B84">
            <v>0</v>
          </cell>
          <cell r="C84">
            <v>0</v>
          </cell>
          <cell r="D84">
            <v>0</v>
          </cell>
          <cell r="E84">
            <v>0</v>
          </cell>
          <cell r="F84">
            <v>0</v>
          </cell>
          <cell r="G84">
            <v>0</v>
          </cell>
          <cell r="H84">
            <v>0</v>
          </cell>
          <cell r="I84">
            <v>0</v>
          </cell>
          <cell r="J84">
            <v>0</v>
          </cell>
          <cell r="K84">
            <v>0</v>
          </cell>
          <cell r="L84">
            <v>0</v>
          </cell>
          <cell r="M84">
            <v>0</v>
          </cell>
        </row>
        <row r="85">
          <cell r="A85">
            <v>59340</v>
          </cell>
          <cell r="B85" t="str">
            <v>Self Insurance Premium</v>
          </cell>
          <cell r="C85">
            <v>20360.100000000002</v>
          </cell>
          <cell r="D85">
            <v>0</v>
          </cell>
          <cell r="E85">
            <v>0</v>
          </cell>
          <cell r="F85">
            <v>20360.100000000002</v>
          </cell>
          <cell r="G85">
            <v>0</v>
          </cell>
          <cell r="H85">
            <v>0</v>
          </cell>
          <cell r="I85">
            <v>0</v>
          </cell>
          <cell r="J85">
            <v>0</v>
          </cell>
          <cell r="K85">
            <v>20360.100000000002</v>
          </cell>
          <cell r="L85">
            <v>0</v>
          </cell>
          <cell r="M85">
            <v>18070.494448398578</v>
          </cell>
        </row>
        <row r="86">
          <cell r="A86">
            <v>59343</v>
          </cell>
          <cell r="B86" t="str">
            <v>WC - Current Year Claims</v>
          </cell>
          <cell r="C86">
            <v>4580</v>
          </cell>
          <cell r="D86">
            <v>0</v>
          </cell>
          <cell r="E86">
            <v>0</v>
          </cell>
          <cell r="F86">
            <v>4580</v>
          </cell>
          <cell r="G86">
            <v>0</v>
          </cell>
          <cell r="H86">
            <v>0</v>
          </cell>
          <cell r="I86">
            <v>0</v>
          </cell>
          <cell r="J86">
            <v>0</v>
          </cell>
          <cell r="K86">
            <v>4580</v>
          </cell>
          <cell r="L86">
            <v>0</v>
          </cell>
          <cell r="M86">
            <v>4064.9537366548043</v>
          </cell>
        </row>
        <row r="87">
          <cell r="A87">
            <v>59344</v>
          </cell>
          <cell r="B87" t="str">
            <v>WC - Prior Year Claims</v>
          </cell>
          <cell r="C87">
            <v>-1983.380000000001</v>
          </cell>
          <cell r="D87">
            <v>1983.380000000001</v>
          </cell>
          <cell r="E87">
            <v>0</v>
          </cell>
          <cell r="F87">
            <v>0</v>
          </cell>
          <cell r="G87">
            <v>0</v>
          </cell>
          <cell r="H87">
            <v>0</v>
          </cell>
          <cell r="I87">
            <v>0</v>
          </cell>
          <cell r="J87">
            <v>0</v>
          </cell>
          <cell r="K87">
            <v>0</v>
          </cell>
          <cell r="L87">
            <v>0</v>
          </cell>
          <cell r="M87">
            <v>0</v>
          </cell>
        </row>
        <row r="88">
          <cell r="A88">
            <v>45300</v>
          </cell>
          <cell r="B88" t="str">
            <v>Public Liability</v>
          </cell>
          <cell r="C88">
            <v>22956.720000000001</v>
          </cell>
          <cell r="D88">
            <v>1983.380000000001</v>
          </cell>
          <cell r="E88">
            <v>0</v>
          </cell>
          <cell r="F88">
            <v>24940.100000000002</v>
          </cell>
          <cell r="G88">
            <v>0</v>
          </cell>
          <cell r="H88">
            <v>0</v>
          </cell>
          <cell r="I88">
            <v>0</v>
          </cell>
          <cell r="J88">
            <v>0</v>
          </cell>
          <cell r="K88">
            <v>24940.100000000002</v>
          </cell>
          <cell r="L88">
            <v>0</v>
          </cell>
          <cell r="M88">
            <v>22135.448185053381</v>
          </cell>
        </row>
        <row r="89">
          <cell r="A89">
            <v>0</v>
          </cell>
          <cell r="B89">
            <v>0</v>
          </cell>
          <cell r="C89">
            <v>0</v>
          </cell>
          <cell r="D89">
            <v>0</v>
          </cell>
          <cell r="E89">
            <v>0</v>
          </cell>
          <cell r="F89">
            <v>0</v>
          </cell>
          <cell r="G89">
            <v>0</v>
          </cell>
          <cell r="H89">
            <v>0</v>
          </cell>
          <cell r="I89">
            <v>0</v>
          </cell>
          <cell r="J89">
            <v>0</v>
          </cell>
          <cell r="K89">
            <v>0</v>
          </cell>
          <cell r="L89">
            <v>0</v>
          </cell>
          <cell r="M89">
            <v>0</v>
          </cell>
        </row>
        <row r="90">
          <cell r="A90">
            <v>57370</v>
          </cell>
          <cell r="B90" t="str">
            <v>Bond Exp-WC</v>
          </cell>
          <cell r="C90">
            <v>148.70999999999998</v>
          </cell>
          <cell r="D90">
            <v>0</v>
          </cell>
          <cell r="E90">
            <v>0</v>
          </cell>
          <cell r="F90">
            <v>148.70999999999998</v>
          </cell>
          <cell r="G90">
            <v>0</v>
          </cell>
          <cell r="H90">
            <v>0</v>
          </cell>
          <cell r="I90">
            <v>0</v>
          </cell>
          <cell r="J90">
            <v>0</v>
          </cell>
          <cell r="K90">
            <v>148.70999999999998</v>
          </cell>
          <cell r="L90">
            <v>0</v>
          </cell>
          <cell r="M90">
            <v>131.98674021352312</v>
          </cell>
        </row>
        <row r="91">
          <cell r="A91">
            <v>59500</v>
          </cell>
          <cell r="B91" t="str">
            <v>Workers Comp Prem</v>
          </cell>
          <cell r="C91">
            <v>-1613.9099999999999</v>
          </cell>
          <cell r="D91">
            <v>0</v>
          </cell>
          <cell r="E91">
            <v>0</v>
          </cell>
          <cell r="F91">
            <v>-1613.9099999999999</v>
          </cell>
          <cell r="G91">
            <v>0</v>
          </cell>
          <cell r="H91">
            <v>0</v>
          </cell>
          <cell r="I91">
            <v>0</v>
          </cell>
          <cell r="J91">
            <v>0</v>
          </cell>
          <cell r="K91">
            <v>-1613.9099999999999</v>
          </cell>
          <cell r="L91">
            <v>0</v>
          </cell>
          <cell r="M91">
            <v>-1432.416918149466</v>
          </cell>
        </row>
        <row r="92">
          <cell r="A92">
            <v>45400</v>
          </cell>
          <cell r="B92" t="str">
            <v>Workmen's Comp</v>
          </cell>
          <cell r="C92">
            <v>-1465.1999999999998</v>
          </cell>
          <cell r="D92">
            <v>0</v>
          </cell>
          <cell r="E92">
            <v>0</v>
          </cell>
          <cell r="F92">
            <v>-1465.1999999999998</v>
          </cell>
          <cell r="G92">
            <v>0</v>
          </cell>
          <cell r="H92">
            <v>0</v>
          </cell>
          <cell r="I92">
            <v>0</v>
          </cell>
          <cell r="J92">
            <v>0</v>
          </cell>
          <cell r="K92">
            <v>-1465.1999999999998</v>
          </cell>
          <cell r="L92">
            <v>0</v>
          </cell>
          <cell r="M92">
            <v>-1300.430177935943</v>
          </cell>
        </row>
        <row r="93">
          <cell r="A93">
            <v>0</v>
          </cell>
          <cell r="B93">
            <v>0</v>
          </cell>
          <cell r="C93">
            <v>0</v>
          </cell>
          <cell r="D93">
            <v>0</v>
          </cell>
          <cell r="E93">
            <v>0</v>
          </cell>
          <cell r="F93">
            <v>0</v>
          </cell>
          <cell r="G93">
            <v>0</v>
          </cell>
          <cell r="H93">
            <v>0</v>
          </cell>
          <cell r="I93">
            <v>0</v>
          </cell>
          <cell r="J93">
            <v>0</v>
          </cell>
          <cell r="K93">
            <v>0</v>
          </cell>
          <cell r="L93">
            <v>0</v>
          </cell>
          <cell r="M93">
            <v>0</v>
          </cell>
        </row>
        <row r="94">
          <cell r="A94">
            <v>52150</v>
          </cell>
          <cell r="B94" t="str">
            <v>Utilities</v>
          </cell>
          <cell r="C94">
            <v>1372.46</v>
          </cell>
          <cell r="D94">
            <v>0</v>
          </cell>
          <cell r="E94">
            <v>0</v>
          </cell>
          <cell r="F94">
            <v>1372.46</v>
          </cell>
          <cell r="G94">
            <v>0</v>
          </cell>
          <cell r="H94">
            <v>0</v>
          </cell>
          <cell r="I94">
            <v>0</v>
          </cell>
          <cell r="J94">
            <v>0</v>
          </cell>
          <cell r="K94">
            <v>1372.46</v>
          </cell>
          <cell r="L94">
            <v>0</v>
          </cell>
          <cell r="M94">
            <v>1158.5056107362716</v>
          </cell>
        </row>
        <row r="95">
          <cell r="A95">
            <v>46400</v>
          </cell>
          <cell r="B95" t="str">
            <v>Communications &amp; Utilities</v>
          </cell>
          <cell r="C95">
            <v>1372.46</v>
          </cell>
          <cell r="D95">
            <v>0</v>
          </cell>
          <cell r="E95">
            <v>0</v>
          </cell>
          <cell r="F95">
            <v>1372.46</v>
          </cell>
          <cell r="G95">
            <v>0</v>
          </cell>
          <cell r="H95">
            <v>0</v>
          </cell>
          <cell r="I95">
            <v>0</v>
          </cell>
          <cell r="J95">
            <v>0</v>
          </cell>
          <cell r="K95">
            <v>1372.46</v>
          </cell>
          <cell r="L95">
            <v>0</v>
          </cell>
          <cell r="M95">
            <v>1158.5056107362716</v>
          </cell>
        </row>
        <row r="96">
          <cell r="A96">
            <v>0</v>
          </cell>
          <cell r="B96">
            <v>0</v>
          </cell>
          <cell r="C96">
            <v>0</v>
          </cell>
          <cell r="D96">
            <v>0</v>
          </cell>
          <cell r="E96">
            <v>0</v>
          </cell>
          <cell r="F96">
            <v>0</v>
          </cell>
          <cell r="G96">
            <v>0</v>
          </cell>
          <cell r="H96">
            <v>0</v>
          </cell>
          <cell r="I96">
            <v>0</v>
          </cell>
          <cell r="J96">
            <v>0</v>
          </cell>
          <cell r="K96">
            <v>0</v>
          </cell>
          <cell r="L96">
            <v>0</v>
          </cell>
          <cell r="M96">
            <v>0</v>
          </cell>
        </row>
        <row r="97">
          <cell r="A97">
            <v>43002</v>
          </cell>
          <cell r="B97" t="str">
            <v>UTC Fee</v>
          </cell>
          <cell r="C97">
            <v>11070.81</v>
          </cell>
          <cell r="D97">
            <v>-129.49787836956239</v>
          </cell>
          <cell r="E97">
            <v>0</v>
          </cell>
          <cell r="F97">
            <v>10941.312121630437</v>
          </cell>
          <cell r="G97" t="str">
            <v>RS-7</v>
          </cell>
          <cell r="H97">
            <v>0</v>
          </cell>
          <cell r="I97">
            <v>0</v>
          </cell>
          <cell r="J97">
            <v>574.56115807630488</v>
          </cell>
          <cell r="K97">
            <v>11515.873279706742</v>
          </cell>
          <cell r="L97">
            <v>0</v>
          </cell>
          <cell r="M97">
            <v>11515.873279706742</v>
          </cell>
        </row>
        <row r="98">
          <cell r="A98">
            <v>46800</v>
          </cell>
          <cell r="B98" t="str">
            <v>WUTC Fee</v>
          </cell>
          <cell r="C98">
            <v>11070.81</v>
          </cell>
          <cell r="D98">
            <v>-129.49787836956239</v>
          </cell>
          <cell r="E98">
            <v>0</v>
          </cell>
          <cell r="F98">
            <v>10941.312121630437</v>
          </cell>
          <cell r="G98">
            <v>0</v>
          </cell>
          <cell r="H98">
            <v>0</v>
          </cell>
          <cell r="I98">
            <v>0</v>
          </cell>
          <cell r="J98">
            <v>0</v>
          </cell>
          <cell r="K98">
            <v>11515.873279706742</v>
          </cell>
          <cell r="L98">
            <v>0</v>
          </cell>
          <cell r="M98">
            <v>11515.873279706742</v>
          </cell>
        </row>
        <row r="99">
          <cell r="A99">
            <v>0</v>
          </cell>
          <cell r="B99">
            <v>0</v>
          </cell>
          <cell r="C99">
            <v>0</v>
          </cell>
          <cell r="D99">
            <v>0</v>
          </cell>
          <cell r="E99">
            <v>0</v>
          </cell>
          <cell r="F99">
            <v>0</v>
          </cell>
          <cell r="G99">
            <v>0</v>
          </cell>
          <cell r="H99">
            <v>0</v>
          </cell>
          <cell r="I99">
            <v>0</v>
          </cell>
          <cell r="J99">
            <v>0</v>
          </cell>
          <cell r="K99">
            <v>0</v>
          </cell>
          <cell r="L99">
            <v>0</v>
          </cell>
          <cell r="M99">
            <v>0</v>
          </cell>
        </row>
        <row r="100">
          <cell r="A100">
            <v>70010</v>
          </cell>
          <cell r="B100" t="str">
            <v>Salaries</v>
          </cell>
          <cell r="C100">
            <v>48235.45</v>
          </cell>
          <cell r="D100">
            <v>3212.8791844762518</v>
          </cell>
          <cell r="E100">
            <v>-3212.8791844762518</v>
          </cell>
          <cell r="F100">
            <v>48235.45</v>
          </cell>
          <cell r="G100" t="str">
            <v>RS-10</v>
          </cell>
          <cell r="H100">
            <v>0</v>
          </cell>
          <cell r="I100">
            <v>0</v>
          </cell>
          <cell r="J100">
            <v>0</v>
          </cell>
          <cell r="K100">
            <v>48235.45</v>
          </cell>
          <cell r="L100">
            <v>0</v>
          </cell>
          <cell r="M100">
            <v>40715.969471889075</v>
          </cell>
        </row>
        <row r="101">
          <cell r="A101">
            <v>70020</v>
          </cell>
          <cell r="B101" t="str">
            <v>Wages Regular</v>
          </cell>
          <cell r="C101">
            <v>59350.219999999994</v>
          </cell>
          <cell r="D101">
            <v>406.61602512328761</v>
          </cell>
          <cell r="E101">
            <v>-406.61602512328761</v>
          </cell>
          <cell r="F101">
            <v>59350.219999999994</v>
          </cell>
          <cell r="G101" t="str">
            <v>RS-5</v>
          </cell>
          <cell r="H101">
            <v>1214.7571105024658</v>
          </cell>
          <cell r="I101" t="str">
            <v>P-1</v>
          </cell>
          <cell r="J101">
            <v>5473.7023784975318</v>
          </cell>
          <cell r="K101">
            <v>66038.679489000002</v>
          </cell>
          <cell r="L101">
            <v>0</v>
          </cell>
          <cell r="M101">
            <v>55743.832762791506</v>
          </cell>
        </row>
        <row r="102">
          <cell r="A102">
            <v>70025</v>
          </cell>
          <cell r="B102" t="str">
            <v>Wages OT</v>
          </cell>
          <cell r="C102">
            <v>657.2</v>
          </cell>
          <cell r="D102">
            <v>0</v>
          </cell>
          <cell r="E102">
            <v>0</v>
          </cell>
          <cell r="F102">
            <v>657.2</v>
          </cell>
          <cell r="G102">
            <v>0</v>
          </cell>
          <cell r="H102">
            <v>0</v>
          </cell>
          <cell r="I102">
            <v>0</v>
          </cell>
          <cell r="J102">
            <v>0</v>
          </cell>
          <cell r="K102">
            <v>657.2</v>
          </cell>
          <cell r="L102">
            <v>0</v>
          </cell>
          <cell r="M102">
            <v>554.74832590813401</v>
          </cell>
        </row>
        <row r="103">
          <cell r="A103">
            <v>70036</v>
          </cell>
          <cell r="B103" t="str">
            <v>Other Bonus</v>
          </cell>
          <cell r="C103">
            <v>7266.25</v>
          </cell>
          <cell r="D103">
            <v>0</v>
          </cell>
          <cell r="E103">
            <v>0</v>
          </cell>
          <cell r="F103">
            <v>7266.25</v>
          </cell>
          <cell r="G103">
            <v>0</v>
          </cell>
          <cell r="H103">
            <v>0</v>
          </cell>
          <cell r="I103">
            <v>0</v>
          </cell>
          <cell r="J103">
            <v>0</v>
          </cell>
          <cell r="K103">
            <v>7266.25</v>
          </cell>
          <cell r="L103">
            <v>0</v>
          </cell>
          <cell r="M103">
            <v>6133.5058173006373</v>
          </cell>
        </row>
        <row r="104">
          <cell r="A104">
            <v>70065</v>
          </cell>
          <cell r="B104" t="str">
            <v>Vacation</v>
          </cell>
          <cell r="C104">
            <v>3521.7100000000005</v>
          </cell>
          <cell r="D104">
            <v>0</v>
          </cell>
          <cell r="E104">
            <v>0</v>
          </cell>
          <cell r="F104">
            <v>3521.7100000000005</v>
          </cell>
          <cell r="G104">
            <v>0</v>
          </cell>
          <cell r="H104">
            <v>0</v>
          </cell>
          <cell r="I104">
            <v>0</v>
          </cell>
          <cell r="J104">
            <v>0</v>
          </cell>
          <cell r="K104">
            <v>3521.7100000000005</v>
          </cell>
          <cell r="L104">
            <v>0</v>
          </cell>
          <cell r="M104">
            <v>2972.7065228757378</v>
          </cell>
        </row>
        <row r="105">
          <cell r="A105">
            <v>70070</v>
          </cell>
          <cell r="B105" t="str">
            <v>Sick Leave</v>
          </cell>
          <cell r="C105">
            <v>461.54000000000008</v>
          </cell>
          <cell r="D105">
            <v>0</v>
          </cell>
          <cell r="E105">
            <v>0</v>
          </cell>
          <cell r="F105">
            <v>461.54000000000008</v>
          </cell>
          <cell r="G105">
            <v>0</v>
          </cell>
          <cell r="H105">
            <v>0</v>
          </cell>
          <cell r="I105">
            <v>0</v>
          </cell>
          <cell r="J105">
            <v>0</v>
          </cell>
          <cell r="K105">
            <v>461.54000000000008</v>
          </cell>
          <cell r="L105">
            <v>0</v>
          </cell>
          <cell r="M105">
            <v>389.58999138715797</v>
          </cell>
        </row>
        <row r="106">
          <cell r="A106">
            <v>46130</v>
          </cell>
          <cell r="B106" t="str">
            <v>Salaries-Office</v>
          </cell>
          <cell r="C106">
            <v>119492.36999999998</v>
          </cell>
          <cell r="D106">
            <v>3619.4952095995395</v>
          </cell>
          <cell r="E106">
            <v>0</v>
          </cell>
          <cell r="F106">
            <v>119492.36999999998</v>
          </cell>
          <cell r="G106">
            <v>0</v>
          </cell>
          <cell r="H106">
            <v>1214.7571105024658</v>
          </cell>
          <cell r="I106">
            <v>0</v>
          </cell>
          <cell r="J106">
            <v>0</v>
          </cell>
          <cell r="K106">
            <v>126180.829489</v>
          </cell>
          <cell r="L106">
            <v>0</v>
          </cell>
          <cell r="M106">
            <v>106510.35289215225</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row>
        <row r="108">
          <cell r="A108">
            <v>70149</v>
          </cell>
          <cell r="B108" t="str">
            <v>Corp OH Allocation</v>
          </cell>
          <cell r="C108">
            <v>95615.599999999991</v>
          </cell>
          <cell r="D108">
            <v>-15589.784431648208</v>
          </cell>
          <cell r="E108">
            <v>0</v>
          </cell>
          <cell r="F108">
            <v>80025.815568351783</v>
          </cell>
          <cell r="G108" t="str">
            <v>RS-3</v>
          </cell>
          <cell r="H108">
            <v>0</v>
          </cell>
          <cell r="I108">
            <v>0</v>
          </cell>
          <cell r="J108">
            <v>0</v>
          </cell>
          <cell r="K108">
            <v>80025.815568351783</v>
          </cell>
          <cell r="L108">
            <v>0</v>
          </cell>
          <cell r="M108">
            <v>68865.049094081958</v>
          </cell>
        </row>
        <row r="109">
          <cell r="A109">
            <v>46100</v>
          </cell>
          <cell r="B109" t="str">
            <v>Management Fee</v>
          </cell>
          <cell r="C109">
            <v>95615.599999999991</v>
          </cell>
          <cell r="D109">
            <v>-15589.784431648208</v>
          </cell>
          <cell r="E109">
            <v>0</v>
          </cell>
          <cell r="F109">
            <v>80025.815568351783</v>
          </cell>
          <cell r="G109">
            <v>0</v>
          </cell>
          <cell r="H109">
            <v>0</v>
          </cell>
          <cell r="I109">
            <v>0</v>
          </cell>
          <cell r="J109">
            <v>0</v>
          </cell>
          <cell r="K109">
            <v>80025.815568351783</v>
          </cell>
          <cell r="L109">
            <v>0</v>
          </cell>
          <cell r="M109">
            <v>68865.049094081958</v>
          </cell>
        </row>
        <row r="110">
          <cell r="A110">
            <v>0</v>
          </cell>
          <cell r="B110">
            <v>0</v>
          </cell>
          <cell r="C110">
            <v>0</v>
          </cell>
          <cell r="D110">
            <v>0</v>
          </cell>
          <cell r="E110">
            <v>0</v>
          </cell>
          <cell r="F110">
            <v>0</v>
          </cell>
          <cell r="G110">
            <v>0</v>
          </cell>
          <cell r="H110">
            <v>0</v>
          </cell>
          <cell r="I110">
            <v>0</v>
          </cell>
          <cell r="J110">
            <v>0</v>
          </cell>
          <cell r="K110">
            <v>0</v>
          </cell>
          <cell r="L110">
            <v>0</v>
          </cell>
          <cell r="M110">
            <v>0</v>
          </cell>
        </row>
        <row r="111">
          <cell r="A111">
            <v>70147</v>
          </cell>
          <cell r="B111" t="str">
            <v>Bldg &amp; Property Maint</v>
          </cell>
          <cell r="C111">
            <v>2132.2599999999998</v>
          </cell>
          <cell r="D111">
            <v>0</v>
          </cell>
          <cell r="E111">
            <v>0</v>
          </cell>
          <cell r="F111">
            <v>2132.2599999999998</v>
          </cell>
          <cell r="G111">
            <v>0</v>
          </cell>
          <cell r="H111">
            <v>0</v>
          </cell>
          <cell r="I111">
            <v>0</v>
          </cell>
          <cell r="J111">
            <v>0</v>
          </cell>
          <cell r="K111">
            <v>2132.2599999999998</v>
          </cell>
          <cell r="L111">
            <v>0</v>
          </cell>
          <cell r="M111">
            <v>1799.8595030445492</v>
          </cell>
        </row>
        <row r="112">
          <cell r="A112">
            <v>70175</v>
          </cell>
          <cell r="B112" t="str">
            <v>Equip/Vehicle Rental</v>
          </cell>
          <cell r="C112">
            <v>3890.6499999999996</v>
          </cell>
          <cell r="D112">
            <v>0</v>
          </cell>
          <cell r="E112">
            <v>0</v>
          </cell>
          <cell r="F112">
            <v>3890.6499999999996</v>
          </cell>
          <cell r="G112">
            <v>0</v>
          </cell>
          <cell r="H112">
            <v>0</v>
          </cell>
          <cell r="I112">
            <v>0</v>
          </cell>
          <cell r="J112">
            <v>0</v>
          </cell>
          <cell r="K112">
            <v>3890.6499999999996</v>
          </cell>
          <cell r="L112">
            <v>0</v>
          </cell>
          <cell r="M112">
            <v>3284.132036205845</v>
          </cell>
        </row>
        <row r="113">
          <cell r="A113">
            <v>70185</v>
          </cell>
          <cell r="B113" t="str">
            <v>Postage</v>
          </cell>
          <cell r="C113">
            <v>463.34000000000003</v>
          </cell>
          <cell r="D113">
            <v>0</v>
          </cell>
          <cell r="E113">
            <v>0</v>
          </cell>
          <cell r="F113">
            <v>463.34000000000003</v>
          </cell>
          <cell r="G113">
            <v>0</v>
          </cell>
          <cell r="H113">
            <v>0</v>
          </cell>
          <cell r="I113">
            <v>0</v>
          </cell>
          <cell r="J113">
            <v>0</v>
          </cell>
          <cell r="K113">
            <v>463.34000000000003</v>
          </cell>
          <cell r="L113">
            <v>0</v>
          </cell>
          <cell r="M113">
            <v>454.28243519611124</v>
          </cell>
        </row>
        <row r="114">
          <cell r="A114">
            <v>70210</v>
          </cell>
          <cell r="B114" t="str">
            <v>Office Supplies</v>
          </cell>
          <cell r="C114">
            <v>7395.9000000000015</v>
          </cell>
          <cell r="D114">
            <v>0</v>
          </cell>
          <cell r="E114">
            <v>0</v>
          </cell>
          <cell r="F114">
            <v>7395.9000000000015</v>
          </cell>
          <cell r="G114">
            <v>0</v>
          </cell>
          <cell r="H114">
            <v>0</v>
          </cell>
          <cell r="I114">
            <v>0</v>
          </cell>
          <cell r="J114">
            <v>0</v>
          </cell>
          <cell r="K114">
            <v>7395.9000000000015</v>
          </cell>
          <cell r="L114">
            <v>0</v>
          </cell>
          <cell r="M114">
            <v>6242.9445276688512</v>
          </cell>
        </row>
        <row r="115">
          <cell r="A115">
            <v>70245</v>
          </cell>
          <cell r="B115" t="str">
            <v>Payroll Processing Fee</v>
          </cell>
          <cell r="C115">
            <v>605.64</v>
          </cell>
          <cell r="D115">
            <v>0</v>
          </cell>
          <cell r="E115">
            <v>0</v>
          </cell>
          <cell r="F115">
            <v>605.64</v>
          </cell>
          <cell r="G115">
            <v>0</v>
          </cell>
          <cell r="H115">
            <v>0</v>
          </cell>
          <cell r="I115">
            <v>0</v>
          </cell>
          <cell r="J115">
            <v>0</v>
          </cell>
          <cell r="K115">
            <v>605.64</v>
          </cell>
          <cell r="L115">
            <v>0</v>
          </cell>
          <cell r="M115">
            <v>537.53244128113874</v>
          </cell>
        </row>
        <row r="116">
          <cell r="A116">
            <v>70300</v>
          </cell>
          <cell r="B116" t="str">
            <v>Data Processing</v>
          </cell>
          <cell r="C116">
            <v>17143.679999999997</v>
          </cell>
          <cell r="D116">
            <v>0</v>
          </cell>
          <cell r="E116">
            <v>0</v>
          </cell>
          <cell r="F116">
            <v>17143.679999999997</v>
          </cell>
          <cell r="G116">
            <v>0</v>
          </cell>
          <cell r="H116">
            <v>0</v>
          </cell>
          <cell r="I116">
            <v>0</v>
          </cell>
          <cell r="J116">
            <v>0</v>
          </cell>
          <cell r="K116">
            <v>17143.679999999997</v>
          </cell>
          <cell r="L116">
            <v>0</v>
          </cell>
          <cell r="M116">
            <v>16808.548147414134</v>
          </cell>
        </row>
        <row r="117">
          <cell r="A117">
            <v>0</v>
          </cell>
          <cell r="B117" t="str">
            <v>Customer Notification</v>
          </cell>
          <cell r="C117">
            <v>0</v>
          </cell>
          <cell r="D117">
            <v>0</v>
          </cell>
          <cell r="E117">
            <v>0</v>
          </cell>
          <cell r="F117">
            <v>0</v>
          </cell>
          <cell r="G117">
            <v>0</v>
          </cell>
          <cell r="H117">
            <v>1062.3662478179576</v>
          </cell>
          <cell r="I117">
            <v>0</v>
          </cell>
          <cell r="J117">
            <v>0</v>
          </cell>
          <cell r="K117">
            <v>1062.3662478179576</v>
          </cell>
          <cell r="L117">
            <v>0</v>
          </cell>
          <cell r="M117">
            <v>1062.3662478179576</v>
          </cell>
        </row>
        <row r="118">
          <cell r="A118">
            <v>70320</v>
          </cell>
          <cell r="B118" t="str">
            <v>Credit and Collection</v>
          </cell>
          <cell r="C118">
            <v>2045.3000000000002</v>
          </cell>
          <cell r="D118">
            <v>0</v>
          </cell>
          <cell r="E118">
            <v>0</v>
          </cell>
          <cell r="F118">
            <v>2045.3000000000002</v>
          </cell>
          <cell r="G118">
            <v>0</v>
          </cell>
          <cell r="H118">
            <v>0</v>
          </cell>
          <cell r="I118">
            <v>0</v>
          </cell>
          <cell r="J118">
            <v>0</v>
          </cell>
          <cell r="K118">
            <v>2045.3000000000002</v>
          </cell>
          <cell r="L118">
            <v>0</v>
          </cell>
          <cell r="M118">
            <v>2005.3176170989043</v>
          </cell>
        </row>
        <row r="119">
          <cell r="A119">
            <v>46200</v>
          </cell>
          <cell r="B119" t="str">
            <v>Office &amp; Other Exp</v>
          </cell>
          <cell r="C119">
            <v>33676.769999999997</v>
          </cell>
          <cell r="D119">
            <v>0</v>
          </cell>
          <cell r="E119">
            <v>0</v>
          </cell>
          <cell r="F119">
            <v>33676.769999999997</v>
          </cell>
          <cell r="G119">
            <v>0</v>
          </cell>
          <cell r="H119">
            <v>1062.3662478179576</v>
          </cell>
          <cell r="I119">
            <v>0</v>
          </cell>
          <cell r="J119">
            <v>0</v>
          </cell>
          <cell r="K119">
            <v>34739.136247817958</v>
          </cell>
          <cell r="L119">
            <v>0</v>
          </cell>
          <cell r="M119">
            <v>32194.98295572749</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row>
        <row r="121">
          <cell r="A121">
            <v>70165</v>
          </cell>
          <cell r="B121" t="str">
            <v>Communication</v>
          </cell>
          <cell r="C121">
            <v>12082.51</v>
          </cell>
          <cell r="D121">
            <v>0</v>
          </cell>
          <cell r="E121">
            <v>0</v>
          </cell>
          <cell r="F121">
            <v>12082.51</v>
          </cell>
          <cell r="G121">
            <v>0</v>
          </cell>
          <cell r="H121">
            <v>0</v>
          </cell>
          <cell r="I121">
            <v>0</v>
          </cell>
          <cell r="J121">
            <v>0</v>
          </cell>
          <cell r="K121">
            <v>12082.51</v>
          </cell>
          <cell r="L121">
            <v>0</v>
          </cell>
          <cell r="M121">
            <v>10198.953431631602</v>
          </cell>
        </row>
        <row r="122">
          <cell r="A122">
            <v>46410</v>
          </cell>
          <cell r="B122" t="str">
            <v>Communication</v>
          </cell>
          <cell r="C122">
            <v>12082.51</v>
          </cell>
          <cell r="D122">
            <v>0</v>
          </cell>
          <cell r="E122">
            <v>0</v>
          </cell>
          <cell r="F122">
            <v>12082.51</v>
          </cell>
          <cell r="G122">
            <v>0</v>
          </cell>
          <cell r="H122">
            <v>0</v>
          </cell>
          <cell r="I122">
            <v>0</v>
          </cell>
          <cell r="J122">
            <v>0</v>
          </cell>
          <cell r="K122">
            <v>12082.51</v>
          </cell>
          <cell r="L122">
            <v>0</v>
          </cell>
          <cell r="M122">
            <v>10198.953431631602</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row>
        <row r="124">
          <cell r="A124">
            <v>50060</v>
          </cell>
          <cell r="B124" t="str">
            <v>Group Insurance</v>
          </cell>
          <cell r="C124">
            <v>88584.890000000014</v>
          </cell>
          <cell r="D124">
            <v>0</v>
          </cell>
          <cell r="E124">
            <v>0</v>
          </cell>
          <cell r="F124">
            <v>88584.890000000014</v>
          </cell>
          <cell r="G124">
            <v>0</v>
          </cell>
          <cell r="H124">
            <v>0</v>
          </cell>
          <cell r="I124">
            <v>0</v>
          </cell>
          <cell r="J124">
            <v>0</v>
          </cell>
          <cell r="K124">
            <v>88584.890000000014</v>
          </cell>
          <cell r="L124">
            <v>0</v>
          </cell>
          <cell r="M124">
            <v>78623.030483985785</v>
          </cell>
        </row>
        <row r="125">
          <cell r="A125">
            <v>52060</v>
          </cell>
          <cell r="B125" t="str">
            <v>Group Insurance</v>
          </cell>
          <cell r="C125">
            <v>20058.560000000005</v>
          </cell>
          <cell r="D125">
            <v>0</v>
          </cell>
          <cell r="E125">
            <v>0</v>
          </cell>
          <cell r="F125">
            <v>20058.560000000005</v>
          </cell>
          <cell r="G125">
            <v>0</v>
          </cell>
          <cell r="H125">
            <v>0</v>
          </cell>
          <cell r="I125">
            <v>0</v>
          </cell>
          <cell r="J125">
            <v>0</v>
          </cell>
          <cell r="K125">
            <v>20058.560000000005</v>
          </cell>
          <cell r="L125">
            <v>0</v>
          </cell>
          <cell r="M125">
            <v>17802.864284697513</v>
          </cell>
        </row>
        <row r="126">
          <cell r="A126">
            <v>56060</v>
          </cell>
          <cell r="B126" t="str">
            <v>Group Insurance</v>
          </cell>
          <cell r="C126">
            <v>10466.36</v>
          </cell>
          <cell r="D126">
            <v>0</v>
          </cell>
          <cell r="E126">
            <v>0</v>
          </cell>
          <cell r="F126">
            <v>10466.36</v>
          </cell>
          <cell r="G126">
            <v>0</v>
          </cell>
          <cell r="H126">
            <v>0</v>
          </cell>
          <cell r="I126">
            <v>0</v>
          </cell>
          <cell r="J126">
            <v>0</v>
          </cell>
          <cell r="K126">
            <v>10466.36</v>
          </cell>
          <cell r="L126">
            <v>0</v>
          </cell>
          <cell r="M126">
            <v>9289.3600854092529</v>
          </cell>
        </row>
        <row r="127">
          <cell r="A127">
            <v>70060</v>
          </cell>
          <cell r="B127" t="str">
            <v>Group Insurance</v>
          </cell>
          <cell r="C127">
            <v>27066.01</v>
          </cell>
          <cell r="D127">
            <v>0</v>
          </cell>
          <cell r="E127">
            <v>0</v>
          </cell>
          <cell r="F127">
            <v>27066.01</v>
          </cell>
          <cell r="G127">
            <v>0</v>
          </cell>
          <cell r="H127">
            <v>0</v>
          </cell>
          <cell r="I127">
            <v>0</v>
          </cell>
          <cell r="J127">
            <v>0</v>
          </cell>
          <cell r="K127">
            <v>27066.01</v>
          </cell>
          <cell r="L127">
            <v>0</v>
          </cell>
          <cell r="M127">
            <v>22846.65815050641</v>
          </cell>
        </row>
        <row r="128">
          <cell r="A128">
            <v>46500</v>
          </cell>
          <cell r="B128" t="str">
            <v>Employee Welfare</v>
          </cell>
          <cell r="C128">
            <v>146175.82</v>
          </cell>
          <cell r="D128">
            <v>0</v>
          </cell>
          <cell r="E128">
            <v>0</v>
          </cell>
          <cell r="F128">
            <v>146175.82</v>
          </cell>
          <cell r="G128">
            <v>0</v>
          </cell>
          <cell r="H128">
            <v>0</v>
          </cell>
          <cell r="I128">
            <v>0</v>
          </cell>
          <cell r="J128">
            <v>0</v>
          </cell>
          <cell r="K128">
            <v>146175.82</v>
          </cell>
          <cell r="L128">
            <v>0</v>
          </cell>
          <cell r="M128">
            <v>128561.91300459896</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row>
        <row r="130">
          <cell r="A130">
            <v>50115</v>
          </cell>
          <cell r="B130" t="str">
            <v>Pension</v>
          </cell>
          <cell r="C130">
            <v>6324.99</v>
          </cell>
          <cell r="D130">
            <v>0</v>
          </cell>
          <cell r="E130">
            <v>0</v>
          </cell>
          <cell r="F130">
            <v>6324.99</v>
          </cell>
          <cell r="G130">
            <v>0</v>
          </cell>
          <cell r="H130">
            <v>0</v>
          </cell>
          <cell r="I130">
            <v>0</v>
          </cell>
          <cell r="J130">
            <v>0</v>
          </cell>
          <cell r="K130">
            <v>6324.99</v>
          </cell>
          <cell r="L130">
            <v>0</v>
          </cell>
          <cell r="M130">
            <v>5613.7099857651247</v>
          </cell>
        </row>
        <row r="131">
          <cell r="A131">
            <v>52115</v>
          </cell>
          <cell r="B131" t="str">
            <v>Pension</v>
          </cell>
          <cell r="C131">
            <v>1132.52</v>
          </cell>
          <cell r="D131">
            <v>0</v>
          </cell>
          <cell r="E131">
            <v>0</v>
          </cell>
          <cell r="F131">
            <v>1132.52</v>
          </cell>
          <cell r="G131">
            <v>0</v>
          </cell>
          <cell r="H131">
            <v>0</v>
          </cell>
          <cell r="I131">
            <v>0</v>
          </cell>
          <cell r="J131">
            <v>0</v>
          </cell>
          <cell r="K131">
            <v>1132.52</v>
          </cell>
          <cell r="L131">
            <v>0</v>
          </cell>
          <cell r="M131">
            <v>1005.1618790035587</v>
          </cell>
        </row>
        <row r="132">
          <cell r="A132">
            <v>56115</v>
          </cell>
          <cell r="B132" t="str">
            <v>Pension</v>
          </cell>
          <cell r="C132">
            <v>2027.7399999999998</v>
          </cell>
          <cell r="D132">
            <v>0</v>
          </cell>
          <cell r="E132">
            <v>0</v>
          </cell>
          <cell r="F132">
            <v>2027.7399999999998</v>
          </cell>
          <cell r="G132">
            <v>0</v>
          </cell>
          <cell r="H132">
            <v>0</v>
          </cell>
          <cell r="I132">
            <v>0</v>
          </cell>
          <cell r="J132">
            <v>0</v>
          </cell>
          <cell r="K132">
            <v>2027.7399999999998</v>
          </cell>
          <cell r="L132">
            <v>0</v>
          </cell>
          <cell r="M132">
            <v>1799.7094519572952</v>
          </cell>
        </row>
        <row r="133">
          <cell r="A133">
            <v>70116</v>
          </cell>
          <cell r="B133" t="str">
            <v>Pension</v>
          </cell>
          <cell r="C133">
            <v>2287.37</v>
          </cell>
          <cell r="D133">
            <v>0</v>
          </cell>
          <cell r="E133">
            <v>0</v>
          </cell>
          <cell r="F133">
            <v>2287.37</v>
          </cell>
          <cell r="G133">
            <v>0</v>
          </cell>
          <cell r="H133">
            <v>0</v>
          </cell>
          <cell r="I133">
            <v>0</v>
          </cell>
          <cell r="J133">
            <v>0</v>
          </cell>
          <cell r="K133">
            <v>2287.37</v>
          </cell>
          <cell r="L133">
            <v>0</v>
          </cell>
          <cell r="M133">
            <v>1930.7892243342794</v>
          </cell>
        </row>
        <row r="134">
          <cell r="A134">
            <v>46510</v>
          </cell>
          <cell r="B134" t="str">
            <v>Pension</v>
          </cell>
          <cell r="C134">
            <v>11772.619999999999</v>
          </cell>
          <cell r="D134">
            <v>0</v>
          </cell>
          <cell r="E134">
            <v>0</v>
          </cell>
          <cell r="F134">
            <v>11772.619999999999</v>
          </cell>
          <cell r="G134">
            <v>0</v>
          </cell>
          <cell r="H134">
            <v>0</v>
          </cell>
          <cell r="I134">
            <v>0</v>
          </cell>
          <cell r="J134">
            <v>0</v>
          </cell>
          <cell r="K134">
            <v>11772.619999999999</v>
          </cell>
          <cell r="L134">
            <v>0</v>
          </cell>
          <cell r="M134">
            <v>10349.370541060258</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row>
        <row r="136">
          <cell r="A136">
            <v>70310</v>
          </cell>
          <cell r="B136" t="str">
            <v>Bad Debt Provision</v>
          </cell>
          <cell r="C136">
            <v>12392.52</v>
          </cell>
          <cell r="D136">
            <v>691.6100000000115</v>
          </cell>
          <cell r="E136">
            <v>0</v>
          </cell>
          <cell r="F136">
            <v>13084.130000000012</v>
          </cell>
          <cell r="G136" t="str">
            <v>RS-9</v>
          </cell>
          <cell r="H136">
            <v>0</v>
          </cell>
          <cell r="I136">
            <v>0</v>
          </cell>
          <cell r="J136">
            <v>0</v>
          </cell>
          <cell r="K136">
            <v>13084.130000000012</v>
          </cell>
          <cell r="L136">
            <v>0</v>
          </cell>
          <cell r="M136">
            <v>11044.429722252587</v>
          </cell>
        </row>
        <row r="137">
          <cell r="A137">
            <v>46700</v>
          </cell>
          <cell r="B137" t="str">
            <v>Bad Debts</v>
          </cell>
          <cell r="C137">
            <v>12392.52</v>
          </cell>
          <cell r="D137">
            <v>691.6100000000115</v>
          </cell>
          <cell r="E137">
            <v>0</v>
          </cell>
          <cell r="F137">
            <v>13084.130000000012</v>
          </cell>
          <cell r="G137">
            <v>0</v>
          </cell>
          <cell r="H137">
            <v>0</v>
          </cell>
          <cell r="I137">
            <v>0</v>
          </cell>
          <cell r="J137">
            <v>0</v>
          </cell>
          <cell r="K137">
            <v>13084.130000000012</v>
          </cell>
          <cell r="L137">
            <v>0</v>
          </cell>
          <cell r="M137">
            <v>11044.429722252587</v>
          </cell>
        </row>
        <row r="138">
          <cell r="A138">
            <v>0</v>
          </cell>
          <cell r="B138">
            <v>0</v>
          </cell>
          <cell r="C138">
            <v>0</v>
          </cell>
          <cell r="D138">
            <v>0</v>
          </cell>
          <cell r="E138">
            <v>0</v>
          </cell>
          <cell r="F138">
            <v>0</v>
          </cell>
          <cell r="G138">
            <v>0</v>
          </cell>
          <cell r="H138">
            <v>0</v>
          </cell>
          <cell r="I138">
            <v>0</v>
          </cell>
          <cell r="J138">
            <v>0</v>
          </cell>
          <cell r="K138">
            <v>0</v>
          </cell>
          <cell r="L138">
            <v>0</v>
          </cell>
          <cell r="M138">
            <v>0</v>
          </cell>
        </row>
        <row r="139">
          <cell r="A139">
            <v>60225</v>
          </cell>
          <cell r="B139" t="str">
            <v>Advertising and Promotions</v>
          </cell>
          <cell r="C139">
            <v>586.5</v>
          </cell>
          <cell r="D139">
            <v>0</v>
          </cell>
          <cell r="E139">
            <v>0</v>
          </cell>
          <cell r="F139">
            <v>586.5</v>
          </cell>
          <cell r="G139">
            <v>0</v>
          </cell>
          <cell r="H139">
            <v>0</v>
          </cell>
          <cell r="I139">
            <v>0</v>
          </cell>
          <cell r="J139">
            <v>0</v>
          </cell>
          <cell r="K139">
            <v>586.5</v>
          </cell>
          <cell r="L139">
            <v>0</v>
          </cell>
          <cell r="M139">
            <v>495.06983132245983</v>
          </cell>
        </row>
        <row r="140">
          <cell r="A140">
            <v>70086</v>
          </cell>
          <cell r="B140" t="str">
            <v>Safety &amp; Training</v>
          </cell>
          <cell r="C140">
            <v>186.9</v>
          </cell>
          <cell r="D140">
            <v>0</v>
          </cell>
          <cell r="E140">
            <v>0</v>
          </cell>
          <cell r="F140">
            <v>186.9</v>
          </cell>
          <cell r="G140">
            <v>0</v>
          </cell>
          <cell r="H140">
            <v>0</v>
          </cell>
          <cell r="I140">
            <v>0</v>
          </cell>
          <cell r="J140">
            <v>0</v>
          </cell>
          <cell r="K140">
            <v>186.9</v>
          </cell>
          <cell r="L140">
            <v>0</v>
          </cell>
          <cell r="M140">
            <v>157.76394113242583</v>
          </cell>
        </row>
        <row r="141">
          <cell r="A141">
            <v>70095</v>
          </cell>
          <cell r="B141" t="str">
            <v>Employee Comm Activity</v>
          </cell>
          <cell r="C141">
            <v>2921.9299999999994</v>
          </cell>
          <cell r="D141">
            <v>-40</v>
          </cell>
          <cell r="E141">
            <v>-2476.9100000000003</v>
          </cell>
          <cell r="F141">
            <v>405.01999999999907</v>
          </cell>
          <cell r="G141" t="str">
            <v>RS-4</v>
          </cell>
          <cell r="H141">
            <v>0</v>
          </cell>
          <cell r="I141">
            <v>0</v>
          </cell>
          <cell r="J141">
            <v>0</v>
          </cell>
          <cell r="K141">
            <v>405.01999999999907</v>
          </cell>
          <cell r="L141">
            <v>0</v>
          </cell>
          <cell r="M141">
            <v>341.88096007199016</v>
          </cell>
        </row>
        <row r="142">
          <cell r="A142">
            <v>70105</v>
          </cell>
          <cell r="B142" t="str">
            <v>Employee Relocation</v>
          </cell>
          <cell r="C142">
            <v>2474.6399999999994</v>
          </cell>
          <cell r="D142">
            <v>0</v>
          </cell>
          <cell r="E142">
            <v>0</v>
          </cell>
          <cell r="F142">
            <v>2474.6399999999994</v>
          </cell>
          <cell r="G142">
            <v>0</v>
          </cell>
          <cell r="H142">
            <v>0</v>
          </cell>
          <cell r="I142">
            <v>0</v>
          </cell>
          <cell r="J142">
            <v>0</v>
          </cell>
          <cell r="K142">
            <v>2474.6399999999994</v>
          </cell>
          <cell r="L142">
            <v>0</v>
          </cell>
          <cell r="M142">
            <v>2088.8654857353995</v>
          </cell>
        </row>
        <row r="143">
          <cell r="A143">
            <v>70110</v>
          </cell>
          <cell r="B143" t="str">
            <v>Contributions</v>
          </cell>
          <cell r="C143">
            <v>1885</v>
          </cell>
          <cell r="D143">
            <v>-1885</v>
          </cell>
          <cell r="E143">
            <v>0</v>
          </cell>
          <cell r="F143">
            <v>0</v>
          </cell>
          <cell r="G143" t="str">
            <v>RS-4</v>
          </cell>
          <cell r="H143">
            <v>0</v>
          </cell>
          <cell r="I143">
            <v>0</v>
          </cell>
          <cell r="J143">
            <v>0</v>
          </cell>
          <cell r="K143">
            <v>0</v>
          </cell>
          <cell r="L143">
            <v>0</v>
          </cell>
          <cell r="M143">
            <v>0</v>
          </cell>
        </row>
        <row r="144">
          <cell r="A144">
            <v>70148</v>
          </cell>
          <cell r="B144" t="str">
            <v>Alloc Exp In Distr</v>
          </cell>
          <cell r="C144">
            <v>14347.96</v>
          </cell>
          <cell r="D144">
            <v>-2863.1688521284741</v>
          </cell>
          <cell r="E144">
            <v>0</v>
          </cell>
          <cell r="F144">
            <v>11484.791147871525</v>
          </cell>
          <cell r="G144" t="str">
            <v>RS-3</v>
          </cell>
          <cell r="H144">
            <v>0</v>
          </cell>
          <cell r="I144">
            <v>0</v>
          </cell>
          <cell r="J144">
            <v>0</v>
          </cell>
          <cell r="K144">
            <v>11484.791147871525</v>
          </cell>
          <cell r="L144">
            <v>0</v>
          </cell>
          <cell r="M144">
            <v>9694.4136681166856</v>
          </cell>
        </row>
        <row r="145">
          <cell r="A145">
            <v>70150</v>
          </cell>
          <cell r="B145" t="str">
            <v>Utlilities</v>
          </cell>
          <cell r="C145">
            <v>13256.41</v>
          </cell>
          <cell r="D145">
            <v>0</v>
          </cell>
          <cell r="E145">
            <v>0</v>
          </cell>
          <cell r="F145">
            <v>13256.41</v>
          </cell>
          <cell r="G145">
            <v>0</v>
          </cell>
          <cell r="H145">
            <v>0</v>
          </cell>
          <cell r="I145">
            <v>0</v>
          </cell>
          <cell r="J145">
            <v>0</v>
          </cell>
          <cell r="K145">
            <v>13256.41</v>
          </cell>
          <cell r="L145">
            <v>0</v>
          </cell>
          <cell r="M145">
            <v>11189.852792227399</v>
          </cell>
        </row>
        <row r="146">
          <cell r="A146">
            <v>70167</v>
          </cell>
          <cell r="B146" t="str">
            <v>Cell Phones</v>
          </cell>
          <cell r="C146">
            <v>906.5</v>
          </cell>
          <cell r="D146">
            <v>0</v>
          </cell>
          <cell r="E146">
            <v>0</v>
          </cell>
          <cell r="F146">
            <v>906.5</v>
          </cell>
          <cell r="G146">
            <v>0</v>
          </cell>
          <cell r="H146">
            <v>0</v>
          </cell>
          <cell r="I146">
            <v>0</v>
          </cell>
          <cell r="J146">
            <v>0</v>
          </cell>
          <cell r="K146">
            <v>906.5</v>
          </cell>
          <cell r="L146">
            <v>0</v>
          </cell>
          <cell r="M146">
            <v>765.18465830146602</v>
          </cell>
        </row>
        <row r="147">
          <cell r="A147">
            <v>70195</v>
          </cell>
          <cell r="B147" t="str">
            <v>Dues and Subscriptions</v>
          </cell>
          <cell r="C147">
            <v>3988.0399999999995</v>
          </cell>
          <cell r="D147">
            <v>-422.7</v>
          </cell>
          <cell r="E147">
            <v>-222.41340000000002</v>
          </cell>
          <cell r="F147">
            <v>3342.9265999999998</v>
          </cell>
          <cell r="G147" t="str">
            <v>RS-4</v>
          </cell>
          <cell r="H147">
            <v>0</v>
          </cell>
          <cell r="I147">
            <v>0</v>
          </cell>
          <cell r="J147">
            <v>0</v>
          </cell>
          <cell r="K147">
            <v>3342.9265999999998</v>
          </cell>
          <cell r="L147">
            <v>0</v>
          </cell>
          <cell r="M147">
            <v>2821.7938755078671</v>
          </cell>
        </row>
        <row r="148">
          <cell r="A148">
            <v>70200</v>
          </cell>
          <cell r="B148" t="str">
            <v>Travel</v>
          </cell>
          <cell r="C148">
            <v>885.59999999999991</v>
          </cell>
          <cell r="D148">
            <v>0</v>
          </cell>
          <cell r="E148">
            <v>0</v>
          </cell>
          <cell r="F148">
            <v>885.59999999999991</v>
          </cell>
          <cell r="G148">
            <v>0</v>
          </cell>
          <cell r="H148">
            <v>0</v>
          </cell>
          <cell r="I148">
            <v>0</v>
          </cell>
          <cell r="J148">
            <v>0</v>
          </cell>
          <cell r="K148">
            <v>885.59999999999991</v>
          </cell>
          <cell r="L148">
            <v>0</v>
          </cell>
          <cell r="M148">
            <v>747.54278366439962</v>
          </cell>
        </row>
        <row r="149">
          <cell r="A149">
            <v>70201</v>
          </cell>
          <cell r="B149" t="str">
            <v>Entertainment</v>
          </cell>
          <cell r="C149">
            <v>462.1</v>
          </cell>
          <cell r="D149">
            <v>0</v>
          </cell>
          <cell r="E149">
            <v>0</v>
          </cell>
          <cell r="F149">
            <v>462.1</v>
          </cell>
          <cell r="G149">
            <v>0</v>
          </cell>
          <cell r="H149">
            <v>0</v>
          </cell>
          <cell r="I149">
            <v>0</v>
          </cell>
          <cell r="J149">
            <v>0</v>
          </cell>
          <cell r="K149">
            <v>462.1</v>
          </cell>
          <cell r="L149">
            <v>0</v>
          </cell>
          <cell r="M149">
            <v>390.06269233437121</v>
          </cell>
        </row>
        <row r="150">
          <cell r="A150">
            <v>70202</v>
          </cell>
          <cell r="B150" t="str">
            <v>Excursion Meetings</v>
          </cell>
          <cell r="C150">
            <v>3428.74</v>
          </cell>
          <cell r="D150">
            <v>0</v>
          </cell>
          <cell r="E150">
            <v>0</v>
          </cell>
          <cell r="F150">
            <v>3428.74</v>
          </cell>
          <cell r="G150">
            <v>0</v>
          </cell>
          <cell r="H150">
            <v>0</v>
          </cell>
          <cell r="I150">
            <v>0</v>
          </cell>
          <cell r="J150">
            <v>0</v>
          </cell>
          <cell r="K150">
            <v>3428.74</v>
          </cell>
          <cell r="L150">
            <v>0</v>
          </cell>
          <cell r="M150">
            <v>2894.2297245499931</v>
          </cell>
        </row>
        <row r="151">
          <cell r="A151">
            <v>70203</v>
          </cell>
          <cell r="B151" t="str">
            <v>Lodging</v>
          </cell>
          <cell r="C151">
            <v>2335.1</v>
          </cell>
          <cell r="D151">
            <v>0</v>
          </cell>
          <cell r="E151">
            <v>0</v>
          </cell>
          <cell r="F151">
            <v>2335.1</v>
          </cell>
          <cell r="G151">
            <v>0</v>
          </cell>
          <cell r="H151">
            <v>0</v>
          </cell>
          <cell r="I151">
            <v>0</v>
          </cell>
          <cell r="J151">
            <v>0</v>
          </cell>
          <cell r="K151">
            <v>2335.1</v>
          </cell>
          <cell r="L151">
            <v>0</v>
          </cell>
          <cell r="M151">
            <v>1971.0785389958669</v>
          </cell>
        </row>
        <row r="152">
          <cell r="A152">
            <v>70205</v>
          </cell>
          <cell r="B152" t="str">
            <v>Travel Auto</v>
          </cell>
          <cell r="C152">
            <v>6469.3200000000024</v>
          </cell>
          <cell r="D152">
            <v>0</v>
          </cell>
          <cell r="E152">
            <v>0</v>
          </cell>
          <cell r="F152">
            <v>6469.3200000000024</v>
          </cell>
          <cell r="G152">
            <v>0</v>
          </cell>
          <cell r="H152">
            <v>0</v>
          </cell>
          <cell r="I152">
            <v>0</v>
          </cell>
          <cell r="J152">
            <v>0</v>
          </cell>
          <cell r="K152">
            <v>6469.3200000000024</v>
          </cell>
          <cell r="L152">
            <v>0</v>
          </cell>
          <cell r="M152">
            <v>5460.8101639744536</v>
          </cell>
        </row>
        <row r="153">
          <cell r="A153">
            <v>70206</v>
          </cell>
          <cell r="B153" t="str">
            <v>Meals</v>
          </cell>
          <cell r="C153">
            <v>2106.5200000000004</v>
          </cell>
          <cell r="D153">
            <v>0</v>
          </cell>
          <cell r="E153">
            <v>0</v>
          </cell>
          <cell r="F153">
            <v>2106.5200000000004</v>
          </cell>
          <cell r="G153">
            <v>0</v>
          </cell>
          <cell r="H153">
            <v>0</v>
          </cell>
          <cell r="I153">
            <v>0</v>
          </cell>
          <cell r="J153">
            <v>0</v>
          </cell>
          <cell r="K153">
            <v>2106.5200000000004</v>
          </cell>
          <cell r="L153">
            <v>0</v>
          </cell>
          <cell r="M153">
            <v>1778.1321416494259</v>
          </cell>
        </row>
        <row r="154">
          <cell r="A154">
            <v>70214</v>
          </cell>
          <cell r="B154" t="str">
            <v>Credit Card Fees</v>
          </cell>
          <cell r="C154">
            <v>5021.1399999999994</v>
          </cell>
          <cell r="D154">
            <v>0</v>
          </cell>
          <cell r="E154">
            <v>0</v>
          </cell>
          <cell r="F154">
            <v>5021.1399999999994</v>
          </cell>
          <cell r="G154">
            <v>0</v>
          </cell>
          <cell r="H154">
            <v>0</v>
          </cell>
          <cell r="I154">
            <v>0</v>
          </cell>
          <cell r="J154">
            <v>0</v>
          </cell>
          <cell r="K154">
            <v>5021.1399999999994</v>
          </cell>
          <cell r="L154">
            <v>0</v>
          </cell>
          <cell r="M154">
            <v>4238.3886323042725</v>
          </cell>
        </row>
        <row r="155">
          <cell r="A155">
            <v>70215</v>
          </cell>
          <cell r="B155" t="str">
            <v>Bank Charges</v>
          </cell>
          <cell r="C155">
            <v>57.5</v>
          </cell>
          <cell r="D155">
            <v>0</v>
          </cell>
          <cell r="E155">
            <v>0</v>
          </cell>
          <cell r="F155">
            <v>57.5</v>
          </cell>
          <cell r="G155">
            <v>0</v>
          </cell>
          <cell r="H155">
            <v>0</v>
          </cell>
          <cell r="I155">
            <v>0</v>
          </cell>
          <cell r="J155">
            <v>0</v>
          </cell>
          <cell r="K155">
            <v>57.5</v>
          </cell>
          <cell r="L155">
            <v>0</v>
          </cell>
          <cell r="M155">
            <v>48.536257972790182</v>
          </cell>
        </row>
        <row r="156">
          <cell r="A156">
            <v>70225</v>
          </cell>
          <cell r="B156" t="str">
            <v>Advertising and Promotions</v>
          </cell>
          <cell r="C156">
            <v>300</v>
          </cell>
          <cell r="D156">
            <v>0</v>
          </cell>
          <cell r="E156">
            <v>0</v>
          </cell>
          <cell r="F156">
            <v>300</v>
          </cell>
          <cell r="G156">
            <v>0</v>
          </cell>
          <cell r="H156">
            <v>0</v>
          </cell>
          <cell r="I156">
            <v>0</v>
          </cell>
          <cell r="J156">
            <v>0</v>
          </cell>
          <cell r="K156">
            <v>300</v>
          </cell>
          <cell r="L156">
            <v>0</v>
          </cell>
          <cell r="M156">
            <v>253.23265029281833</v>
          </cell>
        </row>
        <row r="157">
          <cell r="A157">
            <v>70255</v>
          </cell>
          <cell r="B157" t="str">
            <v>Other Professional Fees</v>
          </cell>
          <cell r="C157">
            <v>1190.7800000000002</v>
          </cell>
          <cell r="D157">
            <v>0</v>
          </cell>
          <cell r="E157">
            <v>0</v>
          </cell>
          <cell r="F157">
            <v>1190.7800000000002</v>
          </cell>
          <cell r="G157">
            <v>0</v>
          </cell>
          <cell r="H157">
            <v>0</v>
          </cell>
          <cell r="I157">
            <v>0</v>
          </cell>
          <cell r="J157">
            <v>0</v>
          </cell>
          <cell r="K157">
            <v>1190.7800000000002</v>
          </cell>
          <cell r="L157">
            <v>0</v>
          </cell>
          <cell r="M157">
            <v>1005.1479177189409</v>
          </cell>
        </row>
        <row r="158">
          <cell r="A158">
            <v>70301</v>
          </cell>
          <cell r="B158" t="str">
            <v>Computer Software</v>
          </cell>
          <cell r="C158">
            <v>907.68</v>
          </cell>
          <cell r="D158">
            <v>0</v>
          </cell>
          <cell r="E158">
            <v>0</v>
          </cell>
          <cell r="F158">
            <v>907.68</v>
          </cell>
          <cell r="G158">
            <v>0</v>
          </cell>
          <cell r="H158">
            <v>0</v>
          </cell>
          <cell r="I158">
            <v>0</v>
          </cell>
          <cell r="J158">
            <v>0</v>
          </cell>
          <cell r="K158">
            <v>907.68</v>
          </cell>
          <cell r="L158">
            <v>0</v>
          </cell>
          <cell r="M158">
            <v>766.18070672595104</v>
          </cell>
        </row>
        <row r="159">
          <cell r="A159">
            <v>70336</v>
          </cell>
          <cell r="B159" t="str">
            <v>Coffee Bar</v>
          </cell>
          <cell r="C159">
            <v>671.75</v>
          </cell>
          <cell r="D159">
            <v>0</v>
          </cell>
          <cell r="E159">
            <v>0</v>
          </cell>
          <cell r="F159">
            <v>671.75</v>
          </cell>
          <cell r="G159">
            <v>0</v>
          </cell>
          <cell r="H159">
            <v>0</v>
          </cell>
          <cell r="I159">
            <v>0</v>
          </cell>
          <cell r="J159">
            <v>0</v>
          </cell>
          <cell r="K159">
            <v>671.75</v>
          </cell>
          <cell r="L159">
            <v>0</v>
          </cell>
          <cell r="M159">
            <v>567.03010944733569</v>
          </cell>
        </row>
        <row r="160">
          <cell r="A160">
            <v>46900</v>
          </cell>
          <cell r="B160" t="str">
            <v>Other General Expenses</v>
          </cell>
          <cell r="C160">
            <v>64390.109999999993</v>
          </cell>
          <cell r="D160">
            <v>-5210.8688521284739</v>
          </cell>
          <cell r="E160">
            <v>0</v>
          </cell>
          <cell r="F160">
            <v>56479.917747871521</v>
          </cell>
          <cell r="G160">
            <v>0</v>
          </cell>
          <cell r="H160">
            <v>0</v>
          </cell>
          <cell r="I160">
            <v>0</v>
          </cell>
          <cell r="J160">
            <v>0</v>
          </cell>
          <cell r="K160">
            <v>56479.917747871521</v>
          </cell>
          <cell r="L160">
            <v>0</v>
          </cell>
          <cell r="M160">
            <v>47675.19753204631</v>
          </cell>
        </row>
        <row r="161">
          <cell r="A161">
            <v>0</v>
          </cell>
          <cell r="B161">
            <v>0</v>
          </cell>
          <cell r="C161">
            <v>0</v>
          </cell>
          <cell r="D161">
            <v>0</v>
          </cell>
          <cell r="E161">
            <v>0</v>
          </cell>
          <cell r="F161">
            <v>0</v>
          </cell>
          <cell r="G161">
            <v>0</v>
          </cell>
          <cell r="H161">
            <v>0</v>
          </cell>
          <cell r="I161">
            <v>0</v>
          </cell>
          <cell r="J161">
            <v>0</v>
          </cell>
          <cell r="K161">
            <v>0</v>
          </cell>
          <cell r="L161">
            <v>0</v>
          </cell>
          <cell r="M161">
            <v>0</v>
          </cell>
        </row>
        <row r="162">
          <cell r="A162">
            <v>51260</v>
          </cell>
          <cell r="B162" t="str">
            <v>Depreciation Trks</v>
          </cell>
          <cell r="C162">
            <v>133195.47999999998</v>
          </cell>
          <cell r="D162">
            <v>-2915.5786428626743</v>
          </cell>
          <cell r="E162">
            <v>0</v>
          </cell>
          <cell r="F162">
            <v>130279.90135713731</v>
          </cell>
          <cell r="G162">
            <v>0</v>
          </cell>
          <cell r="H162">
            <v>0</v>
          </cell>
          <cell r="I162">
            <v>0</v>
          </cell>
          <cell r="J162">
            <v>0</v>
          </cell>
          <cell r="K162">
            <v>130279.90135713731</v>
          </cell>
          <cell r="L162">
            <v>0</v>
          </cell>
          <cell r="M162">
            <v>117977.89417275296</v>
          </cell>
        </row>
        <row r="163">
          <cell r="A163">
            <v>54260</v>
          </cell>
          <cell r="B163" t="str">
            <v>Depreciation Cont, DB</v>
          </cell>
          <cell r="C163">
            <v>33022.28</v>
          </cell>
          <cell r="D163">
            <v>-2799.6373333334632</v>
          </cell>
          <cell r="E163">
            <v>0</v>
          </cell>
          <cell r="F163">
            <v>30222.642666666536</v>
          </cell>
          <cell r="G163">
            <v>0</v>
          </cell>
          <cell r="H163">
            <v>0</v>
          </cell>
          <cell r="I163">
            <v>0</v>
          </cell>
          <cell r="J163">
            <v>0</v>
          </cell>
          <cell r="K163">
            <v>30222.642666666536</v>
          </cell>
          <cell r="L163">
            <v>0</v>
          </cell>
          <cell r="M163">
            <v>22978.441149117501</v>
          </cell>
        </row>
        <row r="164">
          <cell r="A164">
            <v>0</v>
          </cell>
          <cell r="B164" t="str">
            <v>Depreciation Service</v>
          </cell>
          <cell r="C164">
            <v>0</v>
          </cell>
          <cell r="D164">
            <v>0</v>
          </cell>
          <cell r="E164">
            <v>0</v>
          </cell>
          <cell r="F164">
            <v>0</v>
          </cell>
          <cell r="G164">
            <v>0</v>
          </cell>
          <cell r="H164">
            <v>0</v>
          </cell>
          <cell r="I164">
            <v>0</v>
          </cell>
          <cell r="J164">
            <v>0</v>
          </cell>
          <cell r="K164">
            <v>0</v>
          </cell>
          <cell r="L164">
            <v>0</v>
          </cell>
          <cell r="M164">
            <v>0</v>
          </cell>
        </row>
        <row r="165">
          <cell r="A165">
            <v>57260</v>
          </cell>
          <cell r="B165" t="str">
            <v>Depreciation Shop</v>
          </cell>
          <cell r="C165">
            <v>24945.439999999999</v>
          </cell>
          <cell r="D165">
            <v>-18296.187859999998</v>
          </cell>
          <cell r="E165">
            <v>0</v>
          </cell>
          <cell r="F165">
            <v>6649.2521400000005</v>
          </cell>
          <cell r="G165">
            <v>0</v>
          </cell>
          <cell r="H165">
            <v>0</v>
          </cell>
          <cell r="I165">
            <v>0</v>
          </cell>
          <cell r="J165">
            <v>0</v>
          </cell>
          <cell r="K165">
            <v>6649.2521400000005</v>
          </cell>
          <cell r="L165">
            <v>0</v>
          </cell>
          <cell r="M165">
            <v>5901.5070594875433</v>
          </cell>
        </row>
        <row r="166">
          <cell r="A166">
            <v>70260</v>
          </cell>
          <cell r="B166" t="str">
            <v>Depreciation Office</v>
          </cell>
          <cell r="C166">
            <v>2683.79</v>
          </cell>
          <cell r="D166">
            <v>-699.88466666662566</v>
          </cell>
          <cell r="E166">
            <v>0</v>
          </cell>
          <cell r="F166">
            <v>1983.9053333333743</v>
          </cell>
          <cell r="G166">
            <v>0</v>
          </cell>
          <cell r="H166">
            <v>0</v>
          </cell>
          <cell r="I166">
            <v>0</v>
          </cell>
          <cell r="J166">
            <v>0</v>
          </cell>
          <cell r="K166">
            <v>1983.9053333333743</v>
          </cell>
          <cell r="L166">
            <v>0</v>
          </cell>
          <cell r="M166">
            <v>1674.6320183002251</v>
          </cell>
        </row>
        <row r="167">
          <cell r="A167">
            <v>0</v>
          </cell>
          <cell r="B167" t="str">
            <v>Leasehold Improvements</v>
          </cell>
          <cell r="C167">
            <v>0</v>
          </cell>
          <cell r="D167">
            <v>18270.283800000001</v>
          </cell>
          <cell r="E167">
            <v>0</v>
          </cell>
          <cell r="F167">
            <v>18270.283800000001</v>
          </cell>
          <cell r="G167">
            <v>0</v>
          </cell>
          <cell r="H167">
            <v>0</v>
          </cell>
          <cell r="I167">
            <v>0</v>
          </cell>
          <cell r="J167">
            <v>0</v>
          </cell>
          <cell r="K167">
            <v>18270.283800000001</v>
          </cell>
          <cell r="L167">
            <v>0</v>
          </cell>
          <cell r="M167">
            <v>16215.689607544486</v>
          </cell>
        </row>
        <row r="168">
          <cell r="A168">
            <v>91010</v>
          </cell>
          <cell r="B168" t="str">
            <v>Sale of Asset</v>
          </cell>
          <cell r="C168">
            <v>-2500</v>
          </cell>
          <cell r="D168">
            <v>0</v>
          </cell>
          <cell r="E168">
            <v>0</v>
          </cell>
          <cell r="F168">
            <v>-2500</v>
          </cell>
          <cell r="G168">
            <v>0</v>
          </cell>
          <cell r="H168">
            <v>0</v>
          </cell>
          <cell r="I168">
            <v>0</v>
          </cell>
          <cell r="J168">
            <v>0</v>
          </cell>
          <cell r="K168">
            <v>-2500</v>
          </cell>
          <cell r="L168">
            <v>0</v>
          </cell>
          <cell r="M168">
            <v>-2218.8612099644129</v>
          </cell>
        </row>
        <row r="169">
          <cell r="A169">
            <v>0</v>
          </cell>
          <cell r="B169" t="str">
            <v>Total</v>
          </cell>
          <cell r="C169">
            <v>191346.99</v>
          </cell>
          <cell r="D169">
            <v>-6441.0047028627596</v>
          </cell>
          <cell r="E169">
            <v>0</v>
          </cell>
          <cell r="F169">
            <v>184905.98529713723</v>
          </cell>
          <cell r="G169">
            <v>0</v>
          </cell>
          <cell r="H169">
            <v>0</v>
          </cell>
          <cell r="I169">
            <v>0</v>
          </cell>
          <cell r="J169">
            <v>0</v>
          </cell>
          <cell r="K169">
            <v>184905.98529713723</v>
          </cell>
          <cell r="L169">
            <v>0</v>
          </cell>
          <cell r="M169">
            <v>162529.30279723831</v>
          </cell>
        </row>
        <row r="170">
          <cell r="A170">
            <v>0</v>
          </cell>
          <cell r="B170">
            <v>0</v>
          </cell>
          <cell r="C170">
            <v>0</v>
          </cell>
          <cell r="D170">
            <v>0</v>
          </cell>
          <cell r="E170">
            <v>0</v>
          </cell>
          <cell r="F170">
            <v>0</v>
          </cell>
          <cell r="G170">
            <v>0</v>
          </cell>
          <cell r="H170">
            <v>0</v>
          </cell>
          <cell r="I170">
            <v>0</v>
          </cell>
          <cell r="J170">
            <v>0</v>
          </cell>
          <cell r="K170">
            <v>0</v>
          </cell>
          <cell r="L170">
            <v>0</v>
          </cell>
          <cell r="M170">
            <v>0</v>
          </cell>
        </row>
        <row r="171">
          <cell r="A171">
            <v>43001</v>
          </cell>
          <cell r="B171" t="str">
            <v>Taxes &amp; Pass Thru Fees</v>
          </cell>
          <cell r="C171">
            <v>47028.340000000004</v>
          </cell>
          <cell r="D171">
            <v>34.722057199997266</v>
          </cell>
          <cell r="E171">
            <v>0</v>
          </cell>
          <cell r="F171">
            <v>47063.062057200004</v>
          </cell>
          <cell r="G171">
            <v>0</v>
          </cell>
          <cell r="H171">
            <v>0</v>
          </cell>
          <cell r="I171">
            <v>0</v>
          </cell>
          <cell r="J171">
            <v>2011.7991430475045</v>
          </cell>
          <cell r="K171">
            <v>49074.861200247506</v>
          </cell>
          <cell r="L171">
            <v>0</v>
          </cell>
          <cell r="M171">
            <v>42230.656468021392</v>
          </cell>
        </row>
        <row r="172">
          <cell r="A172">
            <v>52030</v>
          </cell>
          <cell r="B172" t="str">
            <v>State Excise Tax</v>
          </cell>
          <cell r="C172">
            <v>47028.340000000004</v>
          </cell>
          <cell r="D172">
            <v>34.722057199997266</v>
          </cell>
          <cell r="E172">
            <v>0</v>
          </cell>
          <cell r="F172">
            <v>47063.062057200004</v>
          </cell>
          <cell r="G172">
            <v>0</v>
          </cell>
          <cell r="H172">
            <v>0</v>
          </cell>
          <cell r="I172">
            <v>0</v>
          </cell>
          <cell r="J172">
            <v>0</v>
          </cell>
          <cell r="K172">
            <v>49074.861200247506</v>
          </cell>
          <cell r="L172">
            <v>0</v>
          </cell>
          <cell r="M172">
            <v>42230.656468021392</v>
          </cell>
        </row>
        <row r="173">
          <cell r="A173">
            <v>0</v>
          </cell>
          <cell r="B173">
            <v>0</v>
          </cell>
          <cell r="C173">
            <v>0</v>
          </cell>
          <cell r="D173">
            <v>0</v>
          </cell>
          <cell r="E173">
            <v>0</v>
          </cell>
          <cell r="F173">
            <v>0</v>
          </cell>
          <cell r="G173">
            <v>0</v>
          </cell>
          <cell r="H173">
            <v>0</v>
          </cell>
          <cell r="I173">
            <v>0</v>
          </cell>
          <cell r="J173">
            <v>0</v>
          </cell>
          <cell r="K173">
            <v>0</v>
          </cell>
          <cell r="L173">
            <v>0</v>
          </cell>
          <cell r="M173">
            <v>0</v>
          </cell>
        </row>
        <row r="174">
          <cell r="A174">
            <v>51295</v>
          </cell>
          <cell r="B174" t="str">
            <v>Licenses</v>
          </cell>
          <cell r="C174">
            <v>8136.1000000000013</v>
          </cell>
          <cell r="D174">
            <v>0</v>
          </cell>
          <cell r="E174">
            <v>0</v>
          </cell>
          <cell r="F174">
            <v>8136.1000000000013</v>
          </cell>
          <cell r="G174">
            <v>0</v>
          </cell>
          <cell r="H174">
            <v>0</v>
          </cell>
          <cell r="I174">
            <v>0</v>
          </cell>
          <cell r="J174">
            <v>0</v>
          </cell>
          <cell r="K174">
            <v>8136.1000000000013</v>
          </cell>
          <cell r="L174">
            <v>0</v>
          </cell>
          <cell r="M174">
            <v>7221.1506761565852</v>
          </cell>
        </row>
        <row r="175">
          <cell r="A175">
            <v>57357</v>
          </cell>
          <cell r="B175" t="str">
            <v>Permits</v>
          </cell>
          <cell r="C175">
            <v>2460</v>
          </cell>
          <cell r="D175">
            <v>0</v>
          </cell>
          <cell r="E175">
            <v>0</v>
          </cell>
          <cell r="F175">
            <v>2460</v>
          </cell>
          <cell r="G175">
            <v>0</v>
          </cell>
          <cell r="H175">
            <v>0</v>
          </cell>
          <cell r="I175">
            <v>0</v>
          </cell>
          <cell r="J175">
            <v>0</v>
          </cell>
          <cell r="K175">
            <v>2460</v>
          </cell>
          <cell r="L175">
            <v>0</v>
          </cell>
          <cell r="M175">
            <v>2183.3594306049822</v>
          </cell>
        </row>
        <row r="176">
          <cell r="A176">
            <v>52200</v>
          </cell>
          <cell r="B176" t="str">
            <v>Vehicle Licenses</v>
          </cell>
          <cell r="C176">
            <v>10596.100000000002</v>
          </cell>
          <cell r="D176">
            <v>0</v>
          </cell>
          <cell r="E176">
            <v>0</v>
          </cell>
          <cell r="F176">
            <v>10596.100000000002</v>
          </cell>
          <cell r="G176">
            <v>0</v>
          </cell>
          <cell r="H176">
            <v>0</v>
          </cell>
          <cell r="I176">
            <v>0</v>
          </cell>
          <cell r="J176">
            <v>0</v>
          </cell>
          <cell r="K176">
            <v>10596.100000000002</v>
          </cell>
          <cell r="L176">
            <v>0</v>
          </cell>
          <cell r="M176">
            <v>9404.5101067615669</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row>
        <row r="178">
          <cell r="A178">
            <v>57275</v>
          </cell>
          <cell r="B178" t="str">
            <v>Property Taxes</v>
          </cell>
          <cell r="C178">
            <v>4766.03</v>
          </cell>
          <cell r="D178">
            <v>0</v>
          </cell>
          <cell r="E178">
            <v>0</v>
          </cell>
          <cell r="F178">
            <v>4766.03</v>
          </cell>
          <cell r="G178">
            <v>0</v>
          </cell>
          <cell r="H178">
            <v>0</v>
          </cell>
          <cell r="I178">
            <v>0</v>
          </cell>
          <cell r="J178">
            <v>0</v>
          </cell>
          <cell r="K178">
            <v>4766.03</v>
          </cell>
          <cell r="L178">
            <v>0</v>
          </cell>
          <cell r="M178">
            <v>4023.048027583603</v>
          </cell>
        </row>
        <row r="179">
          <cell r="A179">
            <v>52300</v>
          </cell>
          <cell r="B179" t="str">
            <v>Property Taxes</v>
          </cell>
          <cell r="C179">
            <v>4766.03</v>
          </cell>
          <cell r="D179">
            <v>0</v>
          </cell>
          <cell r="E179">
            <v>0</v>
          </cell>
          <cell r="F179">
            <v>4766.03</v>
          </cell>
          <cell r="G179">
            <v>0</v>
          </cell>
          <cell r="H179">
            <v>0</v>
          </cell>
          <cell r="I179">
            <v>0</v>
          </cell>
          <cell r="J179">
            <v>0</v>
          </cell>
          <cell r="K179">
            <v>4766.03</v>
          </cell>
          <cell r="L179">
            <v>0</v>
          </cell>
          <cell r="M179">
            <v>4023.048027583603</v>
          </cell>
        </row>
        <row r="180">
          <cell r="A180">
            <v>0</v>
          </cell>
          <cell r="B180">
            <v>0</v>
          </cell>
          <cell r="C180">
            <v>0</v>
          </cell>
          <cell r="D180">
            <v>0</v>
          </cell>
          <cell r="E180">
            <v>0</v>
          </cell>
          <cell r="F180">
            <v>0</v>
          </cell>
          <cell r="G180">
            <v>0</v>
          </cell>
          <cell r="H180">
            <v>0</v>
          </cell>
          <cell r="I180">
            <v>0</v>
          </cell>
          <cell r="J180">
            <v>0</v>
          </cell>
          <cell r="K180">
            <v>0</v>
          </cell>
          <cell r="L180">
            <v>0</v>
          </cell>
          <cell r="M180">
            <v>0</v>
          </cell>
        </row>
        <row r="181">
          <cell r="A181">
            <v>50050</v>
          </cell>
          <cell r="B181" t="str">
            <v>Payroll Taxes</v>
          </cell>
          <cell r="C181">
            <v>36604.350000000006</v>
          </cell>
          <cell r="D181">
            <v>210.61747890448768</v>
          </cell>
          <cell r="E181">
            <v>-453.65109390448765</v>
          </cell>
          <cell r="F181">
            <v>36361.316385000006</v>
          </cell>
          <cell r="G181" t="str">
            <v>RS-5</v>
          </cell>
          <cell r="H181">
            <v>498.12818907678019</v>
          </cell>
          <cell r="I181" t="str">
            <v>P-1</v>
          </cell>
          <cell r="J181">
            <v>524.58059410391752</v>
          </cell>
          <cell r="K181">
            <v>37384.025168180699</v>
          </cell>
          <cell r="L181">
            <v>0</v>
          </cell>
          <cell r="M181">
            <v>33179.985327203794</v>
          </cell>
        </row>
        <row r="182">
          <cell r="A182">
            <v>52050</v>
          </cell>
          <cell r="B182" t="str">
            <v>Payroll Taxes</v>
          </cell>
          <cell r="C182">
            <v>6845.9699999999993</v>
          </cell>
          <cell r="D182">
            <v>41.122995174468493</v>
          </cell>
          <cell r="E182">
            <v>-41.122995174468493</v>
          </cell>
          <cell r="F182">
            <v>6845.9699999999993</v>
          </cell>
          <cell r="G182" t="str">
            <v>RS-5</v>
          </cell>
          <cell r="H182">
            <v>122.85411225048935</v>
          </cell>
          <cell r="I182" t="str">
            <v>P-1</v>
          </cell>
          <cell r="J182">
            <v>76.671070803262069</v>
          </cell>
          <cell r="K182">
            <v>7045.4951830537511</v>
          </cell>
          <cell r="L182">
            <v>0</v>
          </cell>
          <cell r="M182">
            <v>6253.1903866676357</v>
          </cell>
        </row>
        <row r="183">
          <cell r="A183">
            <v>56050</v>
          </cell>
          <cell r="B183" t="str">
            <v>Payroll Taxes</v>
          </cell>
          <cell r="C183">
            <v>6579.9</v>
          </cell>
          <cell r="D183">
            <v>34.847374315068492</v>
          </cell>
          <cell r="E183">
            <v>-34.847374315068492</v>
          </cell>
          <cell r="F183">
            <v>6579.9</v>
          </cell>
          <cell r="G183" t="str">
            <v>RS-5</v>
          </cell>
          <cell r="H183">
            <v>104.10582248630136</v>
          </cell>
          <cell r="I183" t="str">
            <v>P-1</v>
          </cell>
          <cell r="J183">
            <v>25.638177513698636</v>
          </cell>
          <cell r="K183">
            <v>6709.6440000000002</v>
          </cell>
          <cell r="L183">
            <v>0</v>
          </cell>
          <cell r="M183">
            <v>5955.1075217081852</v>
          </cell>
        </row>
        <row r="184">
          <cell r="A184">
            <v>70050</v>
          </cell>
          <cell r="B184" t="str">
            <v>Payroll Taxes</v>
          </cell>
          <cell r="C184">
            <v>8885.9500000000007</v>
          </cell>
          <cell r="D184">
            <v>276.89138353436476</v>
          </cell>
          <cell r="E184">
            <v>-276.89138353436476</v>
          </cell>
          <cell r="F184">
            <v>8885.9500000000007</v>
          </cell>
          <cell r="G184" t="str">
            <v>RS-5</v>
          </cell>
          <cell r="H184">
            <v>92.92891895343864</v>
          </cell>
          <cell r="I184" t="str">
            <v>P-1</v>
          </cell>
          <cell r="J184">
            <v>418.73823195506111</v>
          </cell>
          <cell r="K184">
            <v>9397.6171509085016</v>
          </cell>
          <cell r="L184">
            <v>0</v>
          </cell>
          <cell r="M184">
            <v>7932.6116585393474</v>
          </cell>
        </row>
        <row r="185">
          <cell r="A185">
            <v>52400</v>
          </cell>
          <cell r="B185" t="str">
            <v>Payroll Taxes</v>
          </cell>
          <cell r="C185">
            <v>58916.170000000013</v>
          </cell>
          <cell r="D185">
            <v>563.47923192838948</v>
          </cell>
          <cell r="E185">
            <v>0</v>
          </cell>
          <cell r="F185">
            <v>58673.136385000005</v>
          </cell>
          <cell r="G185">
            <v>0</v>
          </cell>
          <cell r="H185">
            <v>818.01704276700946</v>
          </cell>
          <cell r="I185">
            <v>0</v>
          </cell>
          <cell r="J185">
            <v>0</v>
          </cell>
          <cell r="K185">
            <v>60536.781502142956</v>
          </cell>
          <cell r="L185">
            <v>0</v>
          </cell>
          <cell r="M185">
            <v>53320.894894118959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row>
        <row r="187">
          <cell r="A187">
            <v>41201</v>
          </cell>
          <cell r="B187" t="str">
            <v>Rebates and Revenue Sharing</v>
          </cell>
          <cell r="C187">
            <v>29291.059999999998</v>
          </cell>
          <cell r="D187">
            <v>0</v>
          </cell>
          <cell r="E187">
            <v>0</v>
          </cell>
          <cell r="F187">
            <v>29291.059999999998</v>
          </cell>
          <cell r="G187">
            <v>0</v>
          </cell>
          <cell r="H187">
            <v>0</v>
          </cell>
          <cell r="I187">
            <v>0</v>
          </cell>
          <cell r="J187">
            <v>0</v>
          </cell>
          <cell r="K187">
            <v>29291.059999999998</v>
          </cell>
          <cell r="L187">
            <v>0</v>
          </cell>
          <cell r="M187">
            <v>0</v>
          </cell>
        </row>
        <row r="188">
          <cell r="A188">
            <v>52700</v>
          </cell>
          <cell r="B188" t="str">
            <v>Franchise Fees</v>
          </cell>
          <cell r="C188">
            <v>29291.059999999998</v>
          </cell>
          <cell r="D188">
            <v>0</v>
          </cell>
          <cell r="E188">
            <v>0</v>
          </cell>
          <cell r="F188">
            <v>29291.059999999998</v>
          </cell>
          <cell r="G188">
            <v>0</v>
          </cell>
          <cell r="H188">
            <v>0</v>
          </cell>
          <cell r="I188">
            <v>0</v>
          </cell>
          <cell r="J188">
            <v>0</v>
          </cell>
          <cell r="K188">
            <v>29291.059999999998</v>
          </cell>
          <cell r="L188">
            <v>0</v>
          </cell>
          <cell r="M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row>
        <row r="190">
          <cell r="A190">
            <v>57170</v>
          </cell>
          <cell r="B190" t="str">
            <v>Real Estate Rental</v>
          </cell>
          <cell r="C190">
            <v>6175</v>
          </cell>
          <cell r="D190">
            <v>0</v>
          </cell>
          <cell r="E190">
            <v>0</v>
          </cell>
          <cell r="F190">
            <v>6175</v>
          </cell>
          <cell r="G190">
            <v>0</v>
          </cell>
          <cell r="H190">
            <v>0</v>
          </cell>
          <cell r="I190">
            <v>0</v>
          </cell>
          <cell r="J190">
            <v>0</v>
          </cell>
          <cell r="K190">
            <v>6175</v>
          </cell>
          <cell r="L190">
            <v>0</v>
          </cell>
          <cell r="M190">
            <v>5212.3720518605105</v>
          </cell>
        </row>
        <row r="191">
          <cell r="A191">
            <v>53200</v>
          </cell>
          <cell r="B191" t="str">
            <v>Rent-Land, Structures</v>
          </cell>
          <cell r="C191">
            <v>6175</v>
          </cell>
          <cell r="D191">
            <v>0</v>
          </cell>
          <cell r="E191">
            <v>0</v>
          </cell>
          <cell r="F191">
            <v>6175</v>
          </cell>
          <cell r="G191">
            <v>0</v>
          </cell>
          <cell r="H191">
            <v>0</v>
          </cell>
          <cell r="I191">
            <v>0</v>
          </cell>
          <cell r="J191">
            <v>0</v>
          </cell>
          <cell r="K191">
            <v>6175</v>
          </cell>
          <cell r="L191">
            <v>0</v>
          </cell>
          <cell r="M191">
            <v>5212.3720518605105</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row>
        <row r="193">
          <cell r="A193">
            <v>70269</v>
          </cell>
          <cell r="B193" t="str">
            <v>Amortization</v>
          </cell>
          <cell r="C193">
            <v>7820.51</v>
          </cell>
          <cell r="D193">
            <v>-7820.51</v>
          </cell>
          <cell r="E193">
            <v>0</v>
          </cell>
          <cell r="F193">
            <v>0</v>
          </cell>
          <cell r="G193" t="str">
            <v>RS-4</v>
          </cell>
          <cell r="H193">
            <v>0</v>
          </cell>
          <cell r="I193">
            <v>0</v>
          </cell>
          <cell r="J193">
            <v>0</v>
          </cell>
          <cell r="K193">
            <v>0</v>
          </cell>
          <cell r="L193">
            <v>0</v>
          </cell>
          <cell r="M193">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ummary"/>
      <sheetName val="Cust Count Summary"/>
      <sheetName val="Unit Counts Summary"/>
      <sheetName val="2120_IS210"/>
      <sheetName val="Spokane Reg - Price out"/>
      <sheetName val="Whitman Reg - Price Out"/>
      <sheetName val="Army Non-Reg - Price Out"/>
      <sheetName val="Harrington Non-Reg - Price Out"/>
      <sheetName val="Latah Co Non-Reg - Price Out"/>
      <sheetName val="Rockford Non-Reg - Price Out"/>
      <sheetName val="Spangle Non-Reg - Price Out"/>
      <sheetName val="Starbuck Non-Reg - Price Out"/>
      <sheetName val="Tekoa Non-Reg - Price Out"/>
      <sheetName val="RATES by Area 2017"/>
      <sheetName val="SPOKANE RATES 2017"/>
      <sheetName val="REV by Area 2017"/>
      <sheetName val="MM001"/>
      <sheetName val="Spokane Jan-Apr Rates"/>
      <sheetName val="ALL Bill Area Rates 2017"/>
      <sheetName val="SPOKANE RATES 123117"/>
    </sheetNames>
    <sheetDataSet>
      <sheetData sheetId="0">
        <row r="6">
          <cell r="B6">
            <v>393110.44000000006</v>
          </cell>
          <cell r="C6">
            <v>1066202.5249999999</v>
          </cell>
          <cell r="M6">
            <v>209976.71000000002</v>
          </cell>
        </row>
        <row r="7">
          <cell r="C7">
            <v>4815.3600000000006</v>
          </cell>
          <cell r="M7">
            <v>0</v>
          </cell>
        </row>
        <row r="9">
          <cell r="B9">
            <v>143435.76</v>
          </cell>
          <cell r="C9">
            <v>1039943.5900000001</v>
          </cell>
          <cell r="M9">
            <v>143029.72999999998</v>
          </cell>
        </row>
        <row r="12">
          <cell r="M12">
            <v>0</v>
          </cell>
        </row>
        <row r="13">
          <cell r="C13">
            <v>14059.869999999999</v>
          </cell>
          <cell r="M13">
            <v>0</v>
          </cell>
        </row>
        <row r="14">
          <cell r="B14">
            <v>36359.579999999994</v>
          </cell>
          <cell r="C14">
            <v>92934</v>
          </cell>
          <cell r="M14">
            <v>10862.6</v>
          </cell>
        </row>
        <row r="15">
          <cell r="B15">
            <v>4175</v>
          </cell>
          <cell r="M15">
            <v>0</v>
          </cell>
        </row>
        <row r="16">
          <cell r="B16">
            <v>36120.33</v>
          </cell>
          <cell r="C16">
            <v>69478.92</v>
          </cell>
          <cell r="M16">
            <v>5791.4799999999987</v>
          </cell>
        </row>
        <row r="17">
          <cell r="B17">
            <v>815.9899999999999</v>
          </cell>
          <cell r="C17">
            <v>3554.7800000000007</v>
          </cell>
          <cell r="M17">
            <v>0</v>
          </cell>
        </row>
      </sheetData>
      <sheetData sheetId="1">
        <row r="7">
          <cell r="F7">
            <v>0</v>
          </cell>
          <cell r="H7">
            <v>53.458427393430192</v>
          </cell>
          <cell r="I7">
            <v>165.36618722367407</v>
          </cell>
          <cell r="J7">
            <v>113.3008104298802</v>
          </cell>
          <cell r="K7">
            <v>58.391958387396429</v>
          </cell>
          <cell r="L7">
            <v>275.62415144552364</v>
          </cell>
        </row>
        <row r="8">
          <cell r="F8">
            <v>6.0220615327929243</v>
          </cell>
          <cell r="H8">
            <v>0</v>
          </cell>
          <cell r="I8">
            <v>19.291670128791026</v>
          </cell>
          <cell r="J8">
            <v>16.849857505712247</v>
          </cell>
          <cell r="K8">
            <v>7.0000000000000009</v>
          </cell>
          <cell r="L8">
            <v>28.958333333333332</v>
          </cell>
        </row>
        <row r="9">
          <cell r="F9">
            <v>3</v>
          </cell>
          <cell r="G9">
            <v>0</v>
          </cell>
          <cell r="H9">
            <v>0</v>
          </cell>
          <cell r="I9">
            <v>0</v>
          </cell>
          <cell r="J9">
            <v>0</v>
          </cell>
          <cell r="K9">
            <v>0</v>
          </cell>
          <cell r="L9">
            <v>0</v>
          </cell>
        </row>
        <row r="10">
          <cell r="F10">
            <v>0</v>
          </cell>
          <cell r="G10">
            <v>0</v>
          </cell>
          <cell r="H10">
            <v>0</v>
          </cell>
          <cell r="I10">
            <v>0</v>
          </cell>
          <cell r="J10">
            <v>0</v>
          </cell>
          <cell r="K10">
            <v>0</v>
          </cell>
          <cell r="L10">
            <v>0</v>
          </cell>
        </row>
        <row r="11">
          <cell r="F11">
            <v>0</v>
          </cell>
          <cell r="G11">
            <v>0</v>
          </cell>
          <cell r="H11">
            <v>0</v>
          </cell>
          <cell r="I11">
            <v>0</v>
          </cell>
          <cell r="J11">
            <v>0</v>
          </cell>
          <cell r="K11">
            <v>0</v>
          </cell>
          <cell r="L11">
            <v>0</v>
          </cell>
        </row>
        <row r="12">
          <cell r="F12">
            <v>0</v>
          </cell>
          <cell r="G12">
            <v>0</v>
          </cell>
          <cell r="H12">
            <v>0</v>
          </cell>
          <cell r="I12">
            <v>0</v>
          </cell>
          <cell r="J12">
            <v>0</v>
          </cell>
          <cell r="K12">
            <v>0</v>
          </cell>
          <cell r="L12">
            <v>0</v>
          </cell>
        </row>
      </sheetData>
      <sheetData sheetId="2">
        <row r="7">
          <cell r="B7">
            <v>620.98783825054363</v>
          </cell>
          <cell r="C7">
            <v>2374.5076555236978</v>
          </cell>
          <cell r="D7">
            <v>653.15354788624177</v>
          </cell>
        </row>
        <row r="8">
          <cell r="C8">
            <v>40.208416833667336</v>
          </cell>
          <cell r="D8">
            <v>0</v>
          </cell>
        </row>
        <row r="9">
          <cell r="B9">
            <v>89.923413025274968</v>
          </cell>
          <cell r="C9">
            <v>580.7928669923707</v>
          </cell>
          <cell r="D9">
            <v>71.208608667348187</v>
          </cell>
        </row>
        <row r="10">
          <cell r="C10">
            <v>30.333333333333332</v>
          </cell>
          <cell r="D10">
            <v>0</v>
          </cell>
        </row>
        <row r="11">
          <cell r="B11">
            <v>6.2287778808811902</v>
          </cell>
          <cell r="C11">
            <v>15.556978995740588</v>
          </cell>
          <cell r="D11">
            <v>1.9704352441613588</v>
          </cell>
        </row>
      </sheetData>
      <sheetData sheetId="3"/>
      <sheetData sheetId="4"/>
      <sheetData sheetId="5"/>
      <sheetData sheetId="6"/>
      <sheetData sheetId="7"/>
      <sheetData sheetId="8"/>
      <sheetData sheetId="9"/>
      <sheetData sheetId="10"/>
      <sheetData sheetId="11"/>
      <sheetData sheetId="12"/>
      <sheetData sheetId="13">
        <row r="6">
          <cell r="E6" t="str">
            <v>RETCKC</v>
          </cell>
          <cell r="F6">
            <v>19.010000000000002</v>
          </cell>
          <cell r="H6" t="str">
            <v>RETCKC</v>
          </cell>
          <cell r="I6">
            <v>19.010000000000002</v>
          </cell>
        </row>
        <row r="7">
          <cell r="E7" t="str">
            <v>DELTEMP-COMM</v>
          </cell>
          <cell r="F7">
            <v>54.65</v>
          </cell>
          <cell r="H7" t="str">
            <v>DELTEMP-COMM</v>
          </cell>
          <cell r="I7">
            <v>54.65</v>
          </cell>
        </row>
        <row r="8">
          <cell r="E8" t="str">
            <v>DIST-COM</v>
          </cell>
          <cell r="F8">
            <v>3.64</v>
          </cell>
          <cell r="H8" t="str">
            <v>DIST-COM</v>
          </cell>
          <cell r="I8">
            <v>3.64</v>
          </cell>
        </row>
        <row r="9">
          <cell r="E9" t="str">
            <v xml:space="preserve">DRIVEIN1-COMM </v>
          </cell>
          <cell r="F9">
            <v>6.97</v>
          </cell>
          <cell r="H9" t="str">
            <v xml:space="preserve">DRIVEIN1-COMM </v>
          </cell>
          <cell r="I9">
            <v>6.97</v>
          </cell>
        </row>
        <row r="10">
          <cell r="E10" t="str">
            <v>EXTRA-COMM</v>
          </cell>
          <cell r="F10">
            <v>4.2699999999999996</v>
          </cell>
          <cell r="H10" t="str">
            <v>EXTRA-COMM</v>
          </cell>
          <cell r="I10">
            <v>4.26</v>
          </cell>
        </row>
        <row r="11">
          <cell r="E11" t="str">
            <v>EXTRAYDG-COMM</v>
          </cell>
          <cell r="F11">
            <v>22.74</v>
          </cell>
          <cell r="H11" t="str">
            <v>EXTRAYDG-COMM</v>
          </cell>
          <cell r="I11">
            <v>20.78</v>
          </cell>
        </row>
        <row r="12">
          <cell r="E12" t="str">
            <v>OFOWCONT-COMM</v>
          </cell>
          <cell r="F12">
            <v>22.47</v>
          </cell>
          <cell r="H12" t="str">
            <v>OFOWCONT-COMM</v>
          </cell>
          <cell r="I12">
            <v>20.78</v>
          </cell>
        </row>
        <row r="13">
          <cell r="E13" t="str">
            <v>OS-COMM</v>
          </cell>
          <cell r="F13">
            <v>4.47</v>
          </cell>
          <cell r="H13" t="str">
            <v>OS-COMM</v>
          </cell>
          <cell r="I13">
            <v>4.26</v>
          </cell>
        </row>
        <row r="14">
          <cell r="E14" t="str">
            <v>OW-COMM</v>
          </cell>
          <cell r="F14">
            <v>4.47</v>
          </cell>
          <cell r="H14" t="str">
            <v>OW-COMM</v>
          </cell>
          <cell r="I14">
            <v>4.26</v>
          </cell>
        </row>
        <row r="15">
          <cell r="E15" t="str">
            <v>REDEL-COMM</v>
          </cell>
          <cell r="F15">
            <v>56.46</v>
          </cell>
          <cell r="H15" t="str">
            <v>RECCOMSVC1W001</v>
          </cell>
          <cell r="I15">
            <v>20</v>
          </cell>
        </row>
        <row r="16">
          <cell r="E16" t="str">
            <v>REINSTATE-COMM</v>
          </cell>
          <cell r="F16">
            <v>13.83</v>
          </cell>
          <cell r="H16" t="str">
            <v>REDEL-COMM</v>
          </cell>
          <cell r="I16">
            <v>56.46</v>
          </cell>
        </row>
        <row r="17">
          <cell r="E17" t="str">
            <v>RENT1.5-COMM</v>
          </cell>
          <cell r="F17">
            <v>12.81</v>
          </cell>
          <cell r="H17" t="str">
            <v>REINSTATE-COMM</v>
          </cell>
          <cell r="I17">
            <v>13.83</v>
          </cell>
        </row>
        <row r="18">
          <cell r="E18" t="str">
            <v>RENT1.5TEMP-COMM</v>
          </cell>
          <cell r="F18">
            <v>25.86</v>
          </cell>
          <cell r="H18" t="str">
            <v>RENT1.5-COMM</v>
          </cell>
          <cell r="I18">
            <v>12.81</v>
          </cell>
        </row>
        <row r="19">
          <cell r="E19" t="str">
            <v>RENT1-COMM</v>
          </cell>
          <cell r="F19">
            <v>10.66</v>
          </cell>
          <cell r="H19" t="str">
            <v>RENT1.5TEMP-COMM</v>
          </cell>
          <cell r="I19">
            <v>25.86</v>
          </cell>
        </row>
        <row r="20">
          <cell r="E20" t="str">
            <v>RENT1TEMP-COMM</v>
          </cell>
          <cell r="F20">
            <v>23.51</v>
          </cell>
          <cell r="H20" t="str">
            <v>RENT1-COMM</v>
          </cell>
          <cell r="I20">
            <v>10.66</v>
          </cell>
        </row>
        <row r="21">
          <cell r="E21" t="str">
            <v>RENT2-COMM</v>
          </cell>
          <cell r="F21">
            <v>17.59</v>
          </cell>
          <cell r="H21" t="str">
            <v>RENT1TEMP-COMM</v>
          </cell>
          <cell r="I21">
            <v>23.51</v>
          </cell>
        </row>
        <row r="22">
          <cell r="E22" t="str">
            <v>RENT2TEMP-COMM</v>
          </cell>
          <cell r="F22">
            <v>35.26</v>
          </cell>
          <cell r="H22" t="str">
            <v>RENT2-COMM</v>
          </cell>
          <cell r="I22">
            <v>17.59</v>
          </cell>
        </row>
        <row r="23">
          <cell r="E23" t="str">
            <v>RENT3-COMM</v>
          </cell>
          <cell r="F23">
            <v>21.71</v>
          </cell>
          <cell r="H23" t="str">
            <v>RENT2TEMP-COMM</v>
          </cell>
          <cell r="I23">
            <v>35.26</v>
          </cell>
        </row>
        <row r="24">
          <cell r="E24" t="str">
            <v>RENT3TEMP-COMM</v>
          </cell>
          <cell r="F24">
            <v>42.3</v>
          </cell>
          <cell r="H24" t="str">
            <v>RENT3-COMM</v>
          </cell>
          <cell r="I24">
            <v>21.71</v>
          </cell>
        </row>
        <row r="25">
          <cell r="E25" t="str">
            <v>RENT4-COMM</v>
          </cell>
          <cell r="F25">
            <v>24.58</v>
          </cell>
          <cell r="H25" t="str">
            <v>RENT3TEMP-COMM</v>
          </cell>
          <cell r="I25">
            <v>42.3</v>
          </cell>
        </row>
        <row r="26">
          <cell r="E26" t="str">
            <v>RENT4TEMP-COMM</v>
          </cell>
          <cell r="F26">
            <v>47.01</v>
          </cell>
          <cell r="H26" t="str">
            <v>RENT4-COMM</v>
          </cell>
          <cell r="I26">
            <v>24.58</v>
          </cell>
        </row>
        <row r="27">
          <cell r="E27" t="str">
            <v>RENT6-COMM</v>
          </cell>
          <cell r="F27">
            <v>32.56</v>
          </cell>
          <cell r="H27" t="str">
            <v>RENT4TEMP-COMM</v>
          </cell>
          <cell r="I27">
            <v>47.01</v>
          </cell>
        </row>
        <row r="28">
          <cell r="E28" t="str">
            <v>RENT8-COMM</v>
          </cell>
          <cell r="F28">
            <v>39.36</v>
          </cell>
          <cell r="H28" t="str">
            <v>RENT6-COMM</v>
          </cell>
          <cell r="I28">
            <v>32.56</v>
          </cell>
        </row>
        <row r="29">
          <cell r="E29" t="str">
            <v>RL001.0Y1M001</v>
          </cell>
          <cell r="F29">
            <v>17.75</v>
          </cell>
          <cell r="H29" t="str">
            <v>RENT8-COMM</v>
          </cell>
          <cell r="I29">
            <v>39.36</v>
          </cell>
        </row>
        <row r="30">
          <cell r="E30" t="str">
            <v>RL001.0Y1W001</v>
          </cell>
          <cell r="F30">
            <v>76.86</v>
          </cell>
          <cell r="H30" t="str">
            <v>RL001.0Y1M001</v>
          </cell>
          <cell r="I30">
            <v>15.75</v>
          </cell>
        </row>
        <row r="31">
          <cell r="E31" t="str">
            <v>RL001.0Y1W002</v>
          </cell>
          <cell r="F31">
            <v>153.72</v>
          </cell>
          <cell r="H31" t="str">
            <v>RL001.0Y1W001</v>
          </cell>
          <cell r="I31">
            <v>68.25</v>
          </cell>
        </row>
        <row r="32">
          <cell r="E32" t="str">
            <v>RL001.0Y3W001</v>
          </cell>
          <cell r="F32">
            <v>230.57</v>
          </cell>
          <cell r="H32" t="str">
            <v>RL001.0Y1W002</v>
          </cell>
          <cell r="I32">
            <v>136.5</v>
          </cell>
        </row>
        <row r="33">
          <cell r="E33" t="str">
            <v>RL001.5Y1M001</v>
          </cell>
          <cell r="F33">
            <v>26.58</v>
          </cell>
          <cell r="H33" t="str">
            <v>RL001.0Y2W001</v>
          </cell>
          <cell r="I33">
            <v>136.49</v>
          </cell>
        </row>
        <row r="34">
          <cell r="E34" t="str">
            <v>RL001.5Y1W001</v>
          </cell>
          <cell r="F34">
            <v>115.09</v>
          </cell>
          <cell r="H34" t="str">
            <v>RL001.0Y3W001</v>
          </cell>
          <cell r="I34">
            <v>204.74</v>
          </cell>
        </row>
        <row r="35">
          <cell r="E35" t="str">
            <v>RL001.5Y1W002</v>
          </cell>
          <cell r="F35">
            <v>230.18</v>
          </cell>
          <cell r="H35" t="str">
            <v>RL001.5Y1M001</v>
          </cell>
          <cell r="I35">
            <v>23.74</v>
          </cell>
        </row>
        <row r="36">
          <cell r="E36" t="str">
            <v>RL001.5Y1W003</v>
          </cell>
          <cell r="F36">
            <v>345.27</v>
          </cell>
          <cell r="H36" t="str">
            <v>RL001.5Y1W001</v>
          </cell>
          <cell r="I36">
            <v>102.86</v>
          </cell>
        </row>
        <row r="37">
          <cell r="E37" t="str">
            <v>RL001.5Y2W001</v>
          </cell>
          <cell r="F37">
            <v>230.18</v>
          </cell>
          <cell r="H37" t="str">
            <v>RL001.5Y1W002</v>
          </cell>
          <cell r="I37">
            <v>205.73</v>
          </cell>
        </row>
        <row r="38">
          <cell r="E38" t="str">
            <v>RL001.5Y3W001</v>
          </cell>
          <cell r="F38">
            <v>345.27</v>
          </cell>
          <cell r="H38" t="str">
            <v>RL001.5Y1W003</v>
          </cell>
          <cell r="I38">
            <v>308.58999999999997</v>
          </cell>
        </row>
        <row r="39">
          <cell r="E39" t="str">
            <v>RL002.0Y1M001</v>
          </cell>
          <cell r="F39">
            <v>35.33</v>
          </cell>
          <cell r="H39" t="str">
            <v>RL001.5Y2W001</v>
          </cell>
          <cell r="I39">
            <v>205.73</v>
          </cell>
        </row>
        <row r="40">
          <cell r="E40" t="str">
            <v>RL002.0Y1W001</v>
          </cell>
          <cell r="F40">
            <v>152.97999999999999</v>
          </cell>
          <cell r="H40" t="str">
            <v>RL001.5Y3W001</v>
          </cell>
          <cell r="I40">
            <v>308.58999999999997</v>
          </cell>
        </row>
        <row r="41">
          <cell r="E41" t="str">
            <v>RL002.0Y2W001</v>
          </cell>
          <cell r="F41">
            <v>305.95999999999998</v>
          </cell>
          <cell r="H41" t="str">
            <v>RL002.0Y1M001</v>
          </cell>
          <cell r="I41">
            <v>31.64</v>
          </cell>
        </row>
        <row r="42">
          <cell r="E42" t="str">
            <v>RL002.0Y3W001</v>
          </cell>
          <cell r="F42">
            <v>458.94</v>
          </cell>
          <cell r="H42" t="str">
            <v>RL002.0Y1W001</v>
          </cell>
          <cell r="I42">
            <v>137.13</v>
          </cell>
        </row>
        <row r="43">
          <cell r="E43" t="str">
            <v>RL003.0Y1W001</v>
          </cell>
          <cell r="F43">
            <v>214.9</v>
          </cell>
          <cell r="H43" t="str">
            <v>RL002.0Y2W001</v>
          </cell>
          <cell r="I43">
            <v>274.25</v>
          </cell>
        </row>
        <row r="44">
          <cell r="E44" t="str">
            <v>RL003.0Y1W002</v>
          </cell>
          <cell r="F44">
            <v>429.8</v>
          </cell>
          <cell r="H44" t="str">
            <v>RL002.0Y3W001</v>
          </cell>
          <cell r="I44">
            <v>411.38</v>
          </cell>
        </row>
        <row r="45">
          <cell r="E45" t="str">
            <v>RL003.0Y2W001</v>
          </cell>
          <cell r="F45">
            <v>429.8</v>
          </cell>
          <cell r="H45" t="str">
            <v>RL003.0Y1W001</v>
          </cell>
          <cell r="I45">
            <v>193.92</v>
          </cell>
        </row>
        <row r="46">
          <cell r="E46" t="str">
            <v>RL003.0Y3W001</v>
          </cell>
          <cell r="F46">
            <v>644.69000000000005</v>
          </cell>
          <cell r="H46" t="str">
            <v>RL003.0Y1W002</v>
          </cell>
          <cell r="I46">
            <v>387.83</v>
          </cell>
        </row>
        <row r="47">
          <cell r="E47" t="str">
            <v>RL004.0Y1M001</v>
          </cell>
          <cell r="F47">
            <v>65.73</v>
          </cell>
          <cell r="H47" t="str">
            <v>RL003.0Y2W001</v>
          </cell>
          <cell r="I47">
            <v>387.83</v>
          </cell>
        </row>
        <row r="48">
          <cell r="E48" t="str">
            <v>RL004.0Y1W001</v>
          </cell>
          <cell r="F48">
            <v>284.61</v>
          </cell>
          <cell r="H48" t="str">
            <v>RL003.0Y3W001</v>
          </cell>
          <cell r="I48">
            <v>581.75</v>
          </cell>
        </row>
        <row r="49">
          <cell r="E49" t="str">
            <v>RL004.0Y1W002</v>
          </cell>
          <cell r="F49">
            <v>569.22</v>
          </cell>
          <cell r="H49" t="str">
            <v>RL003.0Y3W002</v>
          </cell>
          <cell r="I49">
            <v>1163.5</v>
          </cell>
        </row>
        <row r="50">
          <cell r="E50" t="str">
            <v>RL004.0Y2W001</v>
          </cell>
          <cell r="F50">
            <v>569.22</v>
          </cell>
          <cell r="H50" t="str">
            <v>RL004.0Y1M001</v>
          </cell>
          <cell r="I50">
            <v>59.43</v>
          </cell>
        </row>
        <row r="51">
          <cell r="E51" t="str">
            <v>RL004.0Y3W001</v>
          </cell>
          <cell r="F51">
            <v>853.83</v>
          </cell>
          <cell r="H51" t="str">
            <v>RL004.0Y1W001</v>
          </cell>
          <cell r="I51">
            <v>257.54000000000002</v>
          </cell>
        </row>
        <row r="52">
          <cell r="E52" t="str">
            <v>RL004.0Y4W001</v>
          </cell>
          <cell r="F52">
            <v>1138.44</v>
          </cell>
          <cell r="H52" t="str">
            <v>RL004.0Y1W002</v>
          </cell>
          <cell r="I52">
            <v>515.09</v>
          </cell>
        </row>
        <row r="53">
          <cell r="E53" t="str">
            <v>RL006.0Y1W001</v>
          </cell>
          <cell r="F53">
            <v>412.78</v>
          </cell>
          <cell r="H53" t="str">
            <v>RL004.0Y2W001</v>
          </cell>
          <cell r="I53">
            <v>515.09</v>
          </cell>
        </row>
        <row r="54">
          <cell r="E54" t="str">
            <v>RL006.0Y1W002</v>
          </cell>
          <cell r="F54">
            <v>825.56</v>
          </cell>
          <cell r="H54" t="str">
            <v>RL004.0Y3W001</v>
          </cell>
          <cell r="I54">
            <v>772.63</v>
          </cell>
        </row>
        <row r="55">
          <cell r="E55" t="str">
            <v>RL006.0Y2W001</v>
          </cell>
          <cell r="F55">
            <v>825.56</v>
          </cell>
          <cell r="H55" t="str">
            <v>RL004.0Y4W001</v>
          </cell>
          <cell r="I55">
            <v>1030.17</v>
          </cell>
        </row>
        <row r="56">
          <cell r="E56" t="str">
            <v>RL006.0Y4W001</v>
          </cell>
          <cell r="F56">
            <v>1651.12</v>
          </cell>
          <cell r="H56" t="str">
            <v>RL006.0Y1W001</v>
          </cell>
          <cell r="I56">
            <v>375.05</v>
          </cell>
        </row>
        <row r="57">
          <cell r="E57" t="str">
            <v>RL008.0Y1W001</v>
          </cell>
          <cell r="F57">
            <v>541.03</v>
          </cell>
          <cell r="H57" t="str">
            <v>RL006.0Y1W002</v>
          </cell>
          <cell r="I57">
            <v>750.11</v>
          </cell>
        </row>
        <row r="58">
          <cell r="E58" t="str">
            <v>RL008.0Y3W001</v>
          </cell>
          <cell r="F58">
            <v>1623.1</v>
          </cell>
          <cell r="H58" t="str">
            <v>RL006.0Y2W001</v>
          </cell>
          <cell r="I58">
            <v>750.11</v>
          </cell>
        </row>
        <row r="59">
          <cell r="E59" t="str">
            <v>RL032.0G1W001COMM</v>
          </cell>
          <cell r="F59">
            <v>19.27</v>
          </cell>
          <cell r="H59" t="str">
            <v>RL006.0Y4W001</v>
          </cell>
          <cell r="I59">
            <v>1500.21</v>
          </cell>
        </row>
        <row r="60">
          <cell r="E60" t="str">
            <v>RL032.0G1W002COMM</v>
          </cell>
          <cell r="F60">
            <v>36.979999999999997</v>
          </cell>
          <cell r="H60" t="str">
            <v>RL006.0Y5W001</v>
          </cell>
          <cell r="I60">
            <v>1875.26</v>
          </cell>
        </row>
        <row r="61">
          <cell r="E61" t="str">
            <v>RL032.0G1W003COMM</v>
          </cell>
          <cell r="F61">
            <v>55.47</v>
          </cell>
          <cell r="H61" t="str">
            <v>RL008.0Y1W001</v>
          </cell>
          <cell r="I61">
            <v>488.17</v>
          </cell>
        </row>
        <row r="62">
          <cell r="E62" t="str">
            <v>RL065.0G1W001COMM</v>
          </cell>
          <cell r="F62">
            <v>36.11</v>
          </cell>
          <cell r="H62" t="str">
            <v>RL008.0Y2W001</v>
          </cell>
          <cell r="I62">
            <v>976.33</v>
          </cell>
        </row>
        <row r="63">
          <cell r="E63" t="str">
            <v>RL065.0G1W002COMM</v>
          </cell>
          <cell r="F63">
            <v>72.22</v>
          </cell>
          <cell r="H63" t="str">
            <v>RL008.0Y3W001</v>
          </cell>
          <cell r="I63">
            <v>1464.5</v>
          </cell>
        </row>
        <row r="64">
          <cell r="E64" t="str">
            <v>RL065.0G1W005COMM</v>
          </cell>
          <cell r="F64">
            <v>180.56</v>
          </cell>
          <cell r="H64" t="str">
            <v>RL032.0G1W001COMM</v>
          </cell>
          <cell r="I64">
            <v>18.5</v>
          </cell>
        </row>
        <row r="65">
          <cell r="E65" t="str">
            <v>RL090.0G1W001COMM</v>
          </cell>
          <cell r="F65">
            <v>44.34</v>
          </cell>
          <cell r="H65" t="str">
            <v>RL032.0G1W002COMM</v>
          </cell>
          <cell r="I65">
            <v>36.9</v>
          </cell>
        </row>
        <row r="66">
          <cell r="E66" t="str">
            <v>RL090.0G1W002COMM</v>
          </cell>
          <cell r="F66">
            <v>88.68</v>
          </cell>
          <cell r="H66" t="str">
            <v>RL032.0G1W003COMM</v>
          </cell>
          <cell r="I66">
            <v>55.35</v>
          </cell>
        </row>
        <row r="67">
          <cell r="E67" t="str">
            <v>RL090.0G2W001COMM</v>
          </cell>
          <cell r="F67">
            <v>88.68</v>
          </cell>
          <cell r="H67" t="str">
            <v>RL065.0G1W001COMM</v>
          </cell>
          <cell r="I67">
            <v>34.409999999999997</v>
          </cell>
        </row>
        <row r="68">
          <cell r="E68" t="str">
            <v>RL090.0G2W004COMM</v>
          </cell>
          <cell r="F68">
            <v>354.71</v>
          </cell>
          <cell r="H68" t="str">
            <v>RL065.0G1W002COMM</v>
          </cell>
          <cell r="I68">
            <v>68.83</v>
          </cell>
        </row>
        <row r="69">
          <cell r="E69" t="str">
            <v>RL1.5C-OC</v>
          </cell>
          <cell r="F69">
            <v>67.38</v>
          </cell>
          <cell r="H69" t="str">
            <v>RL065.0G1W005COMM</v>
          </cell>
          <cell r="I69">
            <v>172.07</v>
          </cell>
        </row>
        <row r="70">
          <cell r="E70" t="str">
            <v>RL1.5TC-COMM</v>
          </cell>
          <cell r="F70">
            <v>32.659999999999997</v>
          </cell>
          <cell r="H70" t="str">
            <v>RL090.0G1W001COMM</v>
          </cell>
          <cell r="I70">
            <v>41.17</v>
          </cell>
        </row>
        <row r="71">
          <cell r="E71" t="str">
            <v>RL1C-OC</v>
          </cell>
          <cell r="F71">
            <v>47.42</v>
          </cell>
          <cell r="H71" t="str">
            <v>RL090.0G1W002COMM</v>
          </cell>
          <cell r="I71">
            <v>82.33</v>
          </cell>
        </row>
        <row r="72">
          <cell r="E72" t="str">
            <v>RL1TC-COMM</v>
          </cell>
          <cell r="F72">
            <v>21.71</v>
          </cell>
          <cell r="H72" t="str">
            <v>RL090.0G2W001COMM</v>
          </cell>
          <cell r="I72">
            <v>82.33</v>
          </cell>
        </row>
        <row r="73">
          <cell r="E73" t="str">
            <v>RL2C-OC</v>
          </cell>
          <cell r="F73">
            <v>78.62</v>
          </cell>
          <cell r="H73" t="str">
            <v>RL090.0G2W004COMM</v>
          </cell>
          <cell r="I73">
            <v>329.3</v>
          </cell>
        </row>
        <row r="74">
          <cell r="E74" t="str">
            <v>RL2TC-COMM</v>
          </cell>
          <cell r="F74">
            <v>41.85</v>
          </cell>
          <cell r="H74" t="str">
            <v>RL1.5C-OC</v>
          </cell>
          <cell r="I74">
            <v>54.86</v>
          </cell>
        </row>
        <row r="75">
          <cell r="E75" t="str">
            <v>RL32C-OC</v>
          </cell>
          <cell r="F75">
            <v>12.2</v>
          </cell>
          <cell r="H75" t="str">
            <v>RL1.5TC-COMM</v>
          </cell>
          <cell r="I75">
            <v>27.66</v>
          </cell>
        </row>
        <row r="76">
          <cell r="E76" t="str">
            <v>RL3C-OC</v>
          </cell>
          <cell r="F76">
            <v>103.6</v>
          </cell>
          <cell r="H76" t="str">
            <v>RL1C-OC</v>
          </cell>
          <cell r="I76">
            <v>38.159999999999997</v>
          </cell>
        </row>
        <row r="77">
          <cell r="E77" t="str">
            <v>RL3TC-COMM</v>
          </cell>
          <cell r="F77">
            <v>58.91</v>
          </cell>
          <cell r="H77" t="str">
            <v>RL1TC-COMM</v>
          </cell>
          <cell r="I77">
            <v>18.36</v>
          </cell>
        </row>
        <row r="78">
          <cell r="E78" t="str">
            <v>RL4C-OC</v>
          </cell>
          <cell r="F78">
            <v>121.77</v>
          </cell>
          <cell r="H78" t="str">
            <v>RL2C-OC</v>
          </cell>
          <cell r="I78">
            <v>64.63</v>
          </cell>
        </row>
        <row r="79">
          <cell r="E79" t="str">
            <v>RL4TC-COMM</v>
          </cell>
          <cell r="F79">
            <v>78.62</v>
          </cell>
          <cell r="H79" t="str">
            <v>RL2TC-COMM</v>
          </cell>
          <cell r="I79">
            <v>38.18</v>
          </cell>
        </row>
        <row r="80">
          <cell r="E80" t="str">
            <v>ROLL-COMM</v>
          </cell>
          <cell r="F80">
            <v>5.89</v>
          </cell>
          <cell r="H80" t="str">
            <v>RL32C-OC</v>
          </cell>
          <cell r="I80">
            <v>11.64</v>
          </cell>
        </row>
        <row r="81">
          <cell r="E81" t="str">
            <v>TIME-COMM</v>
          </cell>
          <cell r="F81">
            <v>95.4</v>
          </cell>
          <cell r="H81" t="str">
            <v>RL3C-OC</v>
          </cell>
          <cell r="I81">
            <v>83.33</v>
          </cell>
        </row>
        <row r="82">
          <cell r="E82" t="str">
            <v>TRIP1-COMM</v>
          </cell>
          <cell r="F82">
            <v>40.33</v>
          </cell>
          <cell r="H82" t="str">
            <v>RL3TC-COMM</v>
          </cell>
          <cell r="I82">
            <v>51.27</v>
          </cell>
        </row>
        <row r="83">
          <cell r="E83" t="str">
            <v>UNLCKC</v>
          </cell>
          <cell r="F83">
            <v>10.78</v>
          </cell>
          <cell r="H83" t="str">
            <v>RL4C-OC</v>
          </cell>
          <cell r="I83">
            <v>103.23</v>
          </cell>
        </row>
        <row r="84">
          <cell r="E84" t="str">
            <v>BULKY-RES</v>
          </cell>
          <cell r="F84">
            <v>22.74</v>
          </cell>
          <cell r="H84" t="str">
            <v>RL4TC-COMM</v>
          </cell>
          <cell r="I84">
            <v>67.27</v>
          </cell>
        </row>
        <row r="85">
          <cell r="E85" t="str">
            <v>DIST-RES</v>
          </cell>
          <cell r="F85">
            <v>6.93</v>
          </cell>
          <cell r="H85" t="str">
            <v>RL6C-OC</v>
          </cell>
          <cell r="I85">
            <v>139.16</v>
          </cell>
        </row>
        <row r="86">
          <cell r="E86" t="str">
            <v>DRIVEIN1-RES</v>
          </cell>
          <cell r="F86">
            <v>13.94</v>
          </cell>
          <cell r="H86" t="str">
            <v>RL8C-OC</v>
          </cell>
          <cell r="I86">
            <v>176.15</v>
          </cell>
        </row>
        <row r="87">
          <cell r="E87" t="str">
            <v>EXTRA-RES</v>
          </cell>
          <cell r="F87">
            <v>4.47</v>
          </cell>
          <cell r="H87" t="str">
            <v>ROLL-COMM</v>
          </cell>
          <cell r="I87">
            <v>5.89</v>
          </cell>
        </row>
        <row r="88">
          <cell r="E88" t="str">
            <v>EXTRYDG-RES</v>
          </cell>
          <cell r="F88">
            <v>22.74</v>
          </cell>
          <cell r="H88" t="str">
            <v>TIME-COMM</v>
          </cell>
          <cell r="I88">
            <v>107.53</v>
          </cell>
        </row>
        <row r="89">
          <cell r="E89" t="str">
            <v>OS-RES</v>
          </cell>
          <cell r="F89">
            <v>4.47</v>
          </cell>
          <cell r="H89" t="str">
            <v>TRIP1-COMM</v>
          </cell>
          <cell r="I89">
            <v>40.33</v>
          </cell>
        </row>
        <row r="90">
          <cell r="E90" t="str">
            <v>OW-RES</v>
          </cell>
          <cell r="F90">
            <v>4.47</v>
          </cell>
          <cell r="H90" t="str">
            <v>UNLCKC</v>
          </cell>
          <cell r="I90">
            <v>10.78</v>
          </cell>
        </row>
        <row r="91">
          <cell r="E91" t="str">
            <v>REDEL-RES</v>
          </cell>
          <cell r="F91">
            <v>23.04</v>
          </cell>
          <cell r="H91" t="str">
            <v>BULKY-RES</v>
          </cell>
          <cell r="I91">
            <v>20.78</v>
          </cell>
        </row>
        <row r="92">
          <cell r="E92" t="str">
            <v>REINSTATE-RES</v>
          </cell>
          <cell r="F92">
            <v>13.83</v>
          </cell>
          <cell r="H92" t="str">
            <v>DIST-RES</v>
          </cell>
          <cell r="I92">
            <v>7.28</v>
          </cell>
        </row>
        <row r="93">
          <cell r="E93" t="str">
            <v>RL020.0G1W001</v>
          </cell>
          <cell r="F93">
            <v>30.6</v>
          </cell>
          <cell r="H93" t="str">
            <v>DRIVEIN1-RES</v>
          </cell>
          <cell r="I93">
            <v>13.94</v>
          </cell>
        </row>
        <row r="94">
          <cell r="E94" t="str">
            <v>RL032.0G1M001</v>
          </cell>
          <cell r="F94">
            <v>23.78</v>
          </cell>
          <cell r="H94" t="str">
            <v>EXTRA-RES</v>
          </cell>
          <cell r="I94">
            <v>4.16</v>
          </cell>
        </row>
        <row r="95">
          <cell r="E95" t="str">
            <v>RL032.0G1W001</v>
          </cell>
          <cell r="F95">
            <v>37.64</v>
          </cell>
          <cell r="H95" t="str">
            <v>EXTRYDG-RES</v>
          </cell>
          <cell r="I95">
            <v>20.78</v>
          </cell>
        </row>
        <row r="96">
          <cell r="E96" t="str">
            <v>RL032.0G1W002</v>
          </cell>
          <cell r="F96">
            <v>53.16</v>
          </cell>
          <cell r="H96" t="str">
            <v>OS-RES</v>
          </cell>
          <cell r="I96">
            <v>4.16</v>
          </cell>
        </row>
        <row r="97">
          <cell r="E97" t="str">
            <v>RL032.0G1W003</v>
          </cell>
          <cell r="F97">
            <v>75.88</v>
          </cell>
          <cell r="H97" t="str">
            <v>OW-RES</v>
          </cell>
          <cell r="I97">
            <v>4.16</v>
          </cell>
        </row>
        <row r="98">
          <cell r="E98" t="str">
            <v>RL032.0G1W004</v>
          </cell>
          <cell r="F98">
            <v>109.72</v>
          </cell>
          <cell r="H98" t="str">
            <v>REDEL-RES</v>
          </cell>
          <cell r="I98">
            <v>23.04</v>
          </cell>
        </row>
        <row r="99">
          <cell r="E99" t="str">
            <v>RL065.0G1W001</v>
          </cell>
          <cell r="F99">
            <v>56.66</v>
          </cell>
          <cell r="H99" t="str">
            <v>REINSTATE-RES</v>
          </cell>
          <cell r="I99">
            <v>13.83</v>
          </cell>
        </row>
        <row r="100">
          <cell r="E100" t="str">
            <v>RL065.0G1W002</v>
          </cell>
          <cell r="F100">
            <v>113.32</v>
          </cell>
          <cell r="H100" t="str">
            <v>RL020.0G1W001</v>
          </cell>
          <cell r="I100">
            <v>28.54</v>
          </cell>
        </row>
        <row r="101">
          <cell r="E101" t="str">
            <v>RL065.0G1W003</v>
          </cell>
          <cell r="F101">
            <v>169.98</v>
          </cell>
          <cell r="H101" t="str">
            <v>RL032.0G1M001</v>
          </cell>
          <cell r="I101">
            <v>22.92</v>
          </cell>
        </row>
        <row r="102">
          <cell r="E102" t="str">
            <v>RL090.0G1W001</v>
          </cell>
          <cell r="F102">
            <v>70.86</v>
          </cell>
          <cell r="H102" t="str">
            <v>RL032.0G1W001</v>
          </cell>
          <cell r="I102">
            <v>36.4</v>
          </cell>
        </row>
        <row r="103">
          <cell r="E103" t="str">
            <v>RL090.0G1W002</v>
          </cell>
          <cell r="F103">
            <v>141.72</v>
          </cell>
          <cell r="H103" t="str">
            <v>RL032.0G1W002</v>
          </cell>
          <cell r="I103">
            <v>48.38</v>
          </cell>
        </row>
        <row r="104">
          <cell r="E104" t="str">
            <v>RL090.0G1W003</v>
          </cell>
          <cell r="F104">
            <v>212.58</v>
          </cell>
          <cell r="H104" t="str">
            <v>RL032.0G1W003</v>
          </cell>
          <cell r="I104">
            <v>64.22</v>
          </cell>
        </row>
        <row r="105">
          <cell r="E105" t="str">
            <v>RL32R-OC</v>
          </cell>
          <cell r="F105">
            <v>13.04</v>
          </cell>
          <cell r="H105" t="str">
            <v>RL032.0G1W004</v>
          </cell>
          <cell r="I105">
            <v>83.86</v>
          </cell>
        </row>
        <row r="106">
          <cell r="E106" t="str">
            <v>TIME-RES</v>
          </cell>
          <cell r="F106">
            <v>95.4</v>
          </cell>
          <cell r="H106" t="str">
            <v>RL065.0G1W001</v>
          </cell>
          <cell r="I106">
            <v>51.82</v>
          </cell>
        </row>
        <row r="107">
          <cell r="E107" t="str">
            <v>TRIP-RES</v>
          </cell>
          <cell r="F107">
            <v>8.4700000000000006</v>
          </cell>
          <cell r="H107" t="str">
            <v>RL065.0G1W002</v>
          </cell>
          <cell r="I107">
            <v>103.64</v>
          </cell>
        </row>
        <row r="108">
          <cell r="E108" t="str">
            <v>WI1-RES</v>
          </cell>
          <cell r="F108">
            <v>7.28</v>
          </cell>
          <cell r="H108" t="str">
            <v>RL065.0G1W003</v>
          </cell>
          <cell r="I108">
            <v>155.46</v>
          </cell>
        </row>
        <row r="109">
          <cell r="E109" t="str">
            <v>DEL-RO</v>
          </cell>
          <cell r="F109">
            <v>76.48</v>
          </cell>
          <cell r="H109" t="str">
            <v>RL090.0G1W001</v>
          </cell>
          <cell r="I109">
            <v>64.12</v>
          </cell>
        </row>
        <row r="110">
          <cell r="E110" t="str">
            <v>DISP-RO</v>
          </cell>
          <cell r="F110">
            <v>104.5</v>
          </cell>
          <cell r="H110" t="str">
            <v>RL090.0G1W002</v>
          </cell>
          <cell r="I110">
            <v>128.24</v>
          </cell>
        </row>
        <row r="111">
          <cell r="E111" t="str">
            <v>HAUL25-RO</v>
          </cell>
          <cell r="F111">
            <v>258.64</v>
          </cell>
          <cell r="H111" t="str">
            <v>RL090.0G1W003</v>
          </cell>
          <cell r="I111">
            <v>192.36</v>
          </cell>
        </row>
        <row r="112">
          <cell r="E112" t="str">
            <v>HAUL25TEMP-RO</v>
          </cell>
          <cell r="F112">
            <v>258.64</v>
          </cell>
          <cell r="H112" t="str">
            <v>RL32R-OC</v>
          </cell>
          <cell r="I112">
            <v>12.61</v>
          </cell>
        </row>
        <row r="113">
          <cell r="E113" t="str">
            <v>HAUL40-RO</v>
          </cell>
          <cell r="F113">
            <v>372.65</v>
          </cell>
          <cell r="H113" t="str">
            <v>RL90R-OC</v>
          </cell>
          <cell r="I113">
            <v>12.61</v>
          </cell>
        </row>
        <row r="114">
          <cell r="E114" t="str">
            <v>HAUL40TEMP-RO</v>
          </cell>
          <cell r="F114">
            <v>356.68</v>
          </cell>
          <cell r="H114" t="str">
            <v>RRECWGBG</v>
          </cell>
          <cell r="I114">
            <v>19.96</v>
          </cell>
        </row>
        <row r="115">
          <cell r="E115" t="str">
            <v>HAUL-CP</v>
          </cell>
          <cell r="F115">
            <v>223.51</v>
          </cell>
          <cell r="H115" t="str">
            <v>TIME-RES</v>
          </cell>
          <cell r="I115">
            <v>107.53</v>
          </cell>
        </row>
        <row r="116">
          <cell r="E116" t="str">
            <v>MILE-RO</v>
          </cell>
          <cell r="F116">
            <v>5.54</v>
          </cell>
          <cell r="H116" t="str">
            <v>TRIP-RES</v>
          </cell>
          <cell r="I116">
            <v>8.4700000000000006</v>
          </cell>
        </row>
        <row r="117">
          <cell r="E117" t="str">
            <v>RENT25MO-RO</v>
          </cell>
          <cell r="F117">
            <v>101.52</v>
          </cell>
          <cell r="H117" t="str">
            <v>WI1-RES</v>
          </cell>
          <cell r="I117">
            <v>7.28</v>
          </cell>
        </row>
        <row r="118">
          <cell r="E118" t="str">
            <v>RENT40MO-RO</v>
          </cell>
          <cell r="F118">
            <v>126.82</v>
          </cell>
          <cell r="H118" t="str">
            <v>DEL-RO</v>
          </cell>
          <cell r="I118">
            <v>74.37</v>
          </cell>
        </row>
        <row r="119">
          <cell r="E119" t="str">
            <v>TIME-RO</v>
          </cell>
          <cell r="F119">
            <v>95.4</v>
          </cell>
          <cell r="H119" t="str">
            <v>DISP-RO</v>
          </cell>
          <cell r="I119">
            <v>106</v>
          </cell>
        </row>
        <row r="120">
          <cell r="H120" t="str">
            <v>HAUL25-RO</v>
          </cell>
          <cell r="I120">
            <v>241.93</v>
          </cell>
        </row>
        <row r="121">
          <cell r="H121" t="str">
            <v>HAUL25TEMP-RO</v>
          </cell>
          <cell r="I121">
            <v>223.49</v>
          </cell>
        </row>
        <row r="122">
          <cell r="H122" t="str">
            <v>HAUL40-RO</v>
          </cell>
          <cell r="I122">
            <v>346.56</v>
          </cell>
        </row>
        <row r="123">
          <cell r="H123" t="str">
            <v>HAUL40TEMP-RO</v>
          </cell>
          <cell r="I123">
            <v>330.7</v>
          </cell>
        </row>
        <row r="124">
          <cell r="H124" t="str">
            <v>HAUL-CP</v>
          </cell>
          <cell r="I124">
            <v>223.51</v>
          </cell>
        </row>
        <row r="125">
          <cell r="H125" t="str">
            <v>MILE-RO</v>
          </cell>
          <cell r="I125">
            <v>5.54</v>
          </cell>
        </row>
        <row r="126">
          <cell r="H126" t="str">
            <v>RENT25MO-RO</v>
          </cell>
          <cell r="I126">
            <v>101.52</v>
          </cell>
        </row>
        <row r="127">
          <cell r="H127" t="str">
            <v>RENT40MO-RO</v>
          </cell>
          <cell r="I127">
            <v>126.82</v>
          </cell>
        </row>
        <row r="128">
          <cell r="H128" t="str">
            <v>TIME-RO</v>
          </cell>
          <cell r="I128">
            <v>107.53</v>
          </cell>
        </row>
      </sheetData>
      <sheetData sheetId="14">
        <row r="4">
          <cell r="D4" t="str">
            <v>BULKY-RES</v>
          </cell>
          <cell r="E4">
            <v>22.8</v>
          </cell>
        </row>
        <row r="5">
          <cell r="D5" t="str">
            <v>DISP-RO</v>
          </cell>
          <cell r="E5">
            <v>104.5</v>
          </cell>
        </row>
        <row r="6">
          <cell r="D6" t="str">
            <v>EXTRA-COMM</v>
          </cell>
          <cell r="E6">
            <v>4.49</v>
          </cell>
        </row>
        <row r="7">
          <cell r="D7" t="str">
            <v>EXTRA-RES</v>
          </cell>
          <cell r="E7">
            <v>4.49</v>
          </cell>
        </row>
        <row r="8">
          <cell r="D8" t="str">
            <v>EXTRAYDG-COMM</v>
          </cell>
          <cell r="E8">
            <v>22.8</v>
          </cell>
        </row>
        <row r="9">
          <cell r="D9" t="str">
            <v>EXTRYDG-RES</v>
          </cell>
          <cell r="E9">
            <v>22.8</v>
          </cell>
        </row>
        <row r="10">
          <cell r="D10" t="str">
            <v>OFOWCONT-COMM</v>
          </cell>
          <cell r="E10">
            <v>22.8</v>
          </cell>
        </row>
        <row r="11">
          <cell r="D11" t="str">
            <v>OS-COMM</v>
          </cell>
          <cell r="E11">
            <v>4.49</v>
          </cell>
        </row>
        <row r="12">
          <cell r="D12" t="str">
            <v>OS-RES</v>
          </cell>
          <cell r="E12">
            <v>4.49</v>
          </cell>
        </row>
        <row r="13">
          <cell r="D13" t="str">
            <v>OW-COMM</v>
          </cell>
          <cell r="E13">
            <v>4.49</v>
          </cell>
        </row>
        <row r="14">
          <cell r="D14" t="str">
            <v>OW-RES</v>
          </cell>
          <cell r="E14">
            <v>4.49</v>
          </cell>
        </row>
        <row r="15">
          <cell r="D15" t="str">
            <v>RL001.0Y1M001</v>
          </cell>
          <cell r="E15">
            <v>17.829999999999998</v>
          </cell>
        </row>
        <row r="16">
          <cell r="D16" t="str">
            <v>RL001.0Y1W001</v>
          </cell>
          <cell r="E16">
            <v>77.2</v>
          </cell>
        </row>
        <row r="17">
          <cell r="D17" t="str">
            <v>RL001.0Y3W001</v>
          </cell>
          <cell r="E17">
            <v>231.6</v>
          </cell>
        </row>
        <row r="18">
          <cell r="D18" t="str">
            <v>RL001.5Y1M001</v>
          </cell>
          <cell r="E18">
            <v>26.7</v>
          </cell>
        </row>
        <row r="19">
          <cell r="D19" t="str">
            <v>RL001.5Y1W001</v>
          </cell>
          <cell r="E19">
            <v>115.61</v>
          </cell>
        </row>
        <row r="20">
          <cell r="D20" t="str">
            <v>RL001.5Y1W002</v>
          </cell>
          <cell r="E20">
            <v>231.22</v>
          </cell>
        </row>
        <row r="21">
          <cell r="D21" t="str">
            <v>RL001.5Y1W003</v>
          </cell>
          <cell r="E21">
            <v>346.83</v>
          </cell>
        </row>
        <row r="22">
          <cell r="D22" t="str">
            <v>RL001.5Y2W001</v>
          </cell>
          <cell r="E22">
            <v>231.22</v>
          </cell>
        </row>
        <row r="23">
          <cell r="D23" t="str">
            <v>RL001.5Y3W001</v>
          </cell>
          <cell r="E23">
            <v>346.83</v>
          </cell>
        </row>
        <row r="24">
          <cell r="D24" t="str">
            <v>RL002.0Y1M001</v>
          </cell>
          <cell r="E24">
            <v>35.49</v>
          </cell>
        </row>
        <row r="25">
          <cell r="D25" t="str">
            <v>RL002.0Y1W001</v>
          </cell>
          <cell r="E25">
            <v>153.66999999999999</v>
          </cell>
        </row>
        <row r="26">
          <cell r="D26" t="str">
            <v>RL002.0Y2W001</v>
          </cell>
          <cell r="E26">
            <v>307.33999999999997</v>
          </cell>
        </row>
        <row r="27">
          <cell r="D27" t="str">
            <v>RL002.0Y3W001</v>
          </cell>
          <cell r="E27">
            <v>461.01</v>
          </cell>
        </row>
        <row r="28">
          <cell r="D28" t="str">
            <v>RL003.0Y1W001</v>
          </cell>
          <cell r="E28">
            <v>215.89</v>
          </cell>
        </row>
        <row r="29">
          <cell r="D29" t="str">
            <v>RL003.0Y1W002</v>
          </cell>
          <cell r="E29">
            <v>431.78</v>
          </cell>
        </row>
        <row r="30">
          <cell r="D30" t="str">
            <v>RL003.0Y2W001</v>
          </cell>
          <cell r="E30">
            <v>431.78</v>
          </cell>
        </row>
        <row r="31">
          <cell r="D31" t="str">
            <v>RL003.0Y3W001</v>
          </cell>
          <cell r="E31">
            <v>647.66999999999996</v>
          </cell>
        </row>
        <row r="32">
          <cell r="D32" t="str">
            <v>RL004.0Y1M001</v>
          </cell>
          <cell r="E32">
            <v>66.02</v>
          </cell>
        </row>
        <row r="33">
          <cell r="D33" t="str">
            <v>RL004.0Y1W001</v>
          </cell>
          <cell r="E33">
            <v>285.87</v>
          </cell>
        </row>
        <row r="34">
          <cell r="D34" t="str">
            <v>RL004.0Y1W002</v>
          </cell>
          <cell r="E34">
            <v>571.74</v>
          </cell>
        </row>
        <row r="35">
          <cell r="D35" t="str">
            <v>RL004.0Y2W001</v>
          </cell>
          <cell r="E35">
            <v>571.74</v>
          </cell>
        </row>
        <row r="36">
          <cell r="D36" t="str">
            <v>RL004.0Y3W001</v>
          </cell>
          <cell r="E36">
            <v>857.61</v>
          </cell>
        </row>
        <row r="37">
          <cell r="D37" t="str">
            <v>RL004.0Y4W001</v>
          </cell>
          <cell r="E37">
            <v>1143.48</v>
          </cell>
        </row>
        <row r="38">
          <cell r="D38" t="str">
            <v>RL006.0Y1W001</v>
          </cell>
          <cell r="E38">
            <v>414.51</v>
          </cell>
        </row>
        <row r="39">
          <cell r="D39" t="str">
            <v>RL006.0Y1W002</v>
          </cell>
          <cell r="E39">
            <v>829.02</v>
          </cell>
        </row>
        <row r="40">
          <cell r="D40" t="str">
            <v>RL006.0Y2W001</v>
          </cell>
          <cell r="E40">
            <v>829.02</v>
          </cell>
        </row>
        <row r="41">
          <cell r="D41" t="str">
            <v>RL006.0Y4W001</v>
          </cell>
          <cell r="E41">
            <v>1658.04</v>
          </cell>
        </row>
        <row r="42">
          <cell r="D42" t="str">
            <v>RL008.0Y1W001</v>
          </cell>
          <cell r="E42">
            <v>543.07000000000005</v>
          </cell>
        </row>
        <row r="43">
          <cell r="D43" t="str">
            <v>RL008.0Y3W001</v>
          </cell>
          <cell r="E43">
            <v>1629.21</v>
          </cell>
        </row>
        <row r="44">
          <cell r="D44" t="str">
            <v>RL020.0G1W001</v>
          </cell>
          <cell r="E44">
            <v>30.68</v>
          </cell>
        </row>
        <row r="45">
          <cell r="D45" t="str">
            <v>RL032.0G1M001</v>
          </cell>
          <cell r="E45">
            <v>23.82</v>
          </cell>
        </row>
        <row r="46">
          <cell r="D46" t="str">
            <v>RL032.0G1W001</v>
          </cell>
          <cell r="E46">
            <v>37.78</v>
          </cell>
        </row>
        <row r="47">
          <cell r="D47" t="str">
            <v>RL032.0G1W001COMM</v>
          </cell>
          <cell r="E47">
            <v>19.309999999999999</v>
          </cell>
        </row>
        <row r="48">
          <cell r="D48" t="str">
            <v>RL032.0G1W002</v>
          </cell>
          <cell r="E48">
            <v>53.38</v>
          </cell>
        </row>
        <row r="49">
          <cell r="D49" t="str">
            <v>RL032.0G1W002COMM</v>
          </cell>
          <cell r="E49">
            <v>37.06</v>
          </cell>
        </row>
        <row r="50">
          <cell r="D50" t="str">
            <v>RL032.0G1W003</v>
          </cell>
          <cell r="E50">
            <v>76.2</v>
          </cell>
        </row>
        <row r="51">
          <cell r="D51" t="str">
            <v>RL032.0G1W003COMM</v>
          </cell>
          <cell r="E51">
            <v>55.6</v>
          </cell>
        </row>
        <row r="52">
          <cell r="D52" t="str">
            <v>RL032.0G1W004</v>
          </cell>
          <cell r="E52">
            <v>110.12</v>
          </cell>
        </row>
        <row r="53">
          <cell r="D53" t="str">
            <v>RL065.0G1W001</v>
          </cell>
          <cell r="E53">
            <v>56.86</v>
          </cell>
        </row>
        <row r="54">
          <cell r="D54" t="str">
            <v>RL065.0G1W001COMM</v>
          </cell>
          <cell r="E54">
            <v>36.200000000000003</v>
          </cell>
        </row>
        <row r="55">
          <cell r="D55" t="str">
            <v>RL065.0G1W002</v>
          </cell>
          <cell r="E55">
            <v>113.72</v>
          </cell>
        </row>
        <row r="56">
          <cell r="D56" t="str">
            <v>RL065.0G1W002COMM</v>
          </cell>
          <cell r="E56">
            <v>72.400000000000006</v>
          </cell>
        </row>
        <row r="57">
          <cell r="D57" t="str">
            <v>RL065.0G1W003</v>
          </cell>
          <cell r="E57">
            <v>170.58</v>
          </cell>
        </row>
        <row r="58">
          <cell r="D58" t="str">
            <v>RL065.0G1W005COMM</v>
          </cell>
          <cell r="E58">
            <v>181</v>
          </cell>
        </row>
        <row r="59">
          <cell r="D59" t="str">
            <v>RL090.0G1W001</v>
          </cell>
          <cell r="E59">
            <v>71.14</v>
          </cell>
        </row>
        <row r="60">
          <cell r="D60" t="str">
            <v>RL090.0G1W001COMM</v>
          </cell>
          <cell r="E60">
            <v>44.5</v>
          </cell>
        </row>
        <row r="61">
          <cell r="D61" t="str">
            <v>RL090.0G1W002</v>
          </cell>
          <cell r="E61">
            <v>142.28</v>
          </cell>
        </row>
        <row r="62">
          <cell r="D62" t="str">
            <v>RL090.0G1W002COMM</v>
          </cell>
          <cell r="E62">
            <v>88.94</v>
          </cell>
        </row>
        <row r="63">
          <cell r="D63" t="str">
            <v>RL090.0G1W003</v>
          </cell>
          <cell r="E63">
            <v>213.42</v>
          </cell>
        </row>
        <row r="64">
          <cell r="D64" t="str">
            <v>RL090.0G2W001COMM</v>
          </cell>
          <cell r="E64">
            <v>88.94</v>
          </cell>
        </row>
        <row r="65">
          <cell r="D65" t="str">
            <v>RL090.0G2W004COMM</v>
          </cell>
          <cell r="E65">
            <v>355.75</v>
          </cell>
        </row>
        <row r="66">
          <cell r="D66" t="str">
            <v>RL1.5C-OC</v>
          </cell>
          <cell r="E66">
            <v>67.5</v>
          </cell>
        </row>
        <row r="67">
          <cell r="D67" t="str">
            <v>RL1.5TC-COMM</v>
          </cell>
          <cell r="E67">
            <v>32.78</v>
          </cell>
        </row>
        <row r="68">
          <cell r="D68" t="str">
            <v>RL1C-OC</v>
          </cell>
          <cell r="E68">
            <v>47.5</v>
          </cell>
        </row>
        <row r="69">
          <cell r="D69" t="str">
            <v>RL1TC-COMM</v>
          </cell>
          <cell r="E69">
            <v>21.79</v>
          </cell>
        </row>
        <row r="70">
          <cell r="D70" t="str">
            <v>RL2C-OC</v>
          </cell>
          <cell r="E70">
            <v>78.78</v>
          </cell>
        </row>
        <row r="71">
          <cell r="D71" t="str">
            <v>RL2TC-COMM</v>
          </cell>
          <cell r="E71">
            <v>42.01</v>
          </cell>
        </row>
        <row r="72">
          <cell r="D72" t="str">
            <v>RL32C-OC</v>
          </cell>
          <cell r="E72">
            <v>13.06</v>
          </cell>
        </row>
        <row r="73">
          <cell r="D73" t="str">
            <v>RL32R-OC</v>
          </cell>
          <cell r="E73">
            <v>13.06</v>
          </cell>
        </row>
        <row r="74">
          <cell r="D74" t="str">
            <v>RL3C-OC</v>
          </cell>
          <cell r="E74">
            <v>103.83</v>
          </cell>
        </row>
        <row r="75">
          <cell r="D75" t="str">
            <v>RL3TC-COMM</v>
          </cell>
          <cell r="E75">
            <v>59.14</v>
          </cell>
        </row>
        <row r="76">
          <cell r="D76" t="str">
            <v>RL4C-OC</v>
          </cell>
          <cell r="E76">
            <v>122.06</v>
          </cell>
        </row>
        <row r="77">
          <cell r="D77" t="str">
            <v>RL4TC-COMM</v>
          </cell>
          <cell r="E77">
            <v>78.91</v>
          </cell>
        </row>
        <row r="78">
          <cell r="D78" t="str">
            <v>Grand Total</v>
          </cell>
          <cell r="E78">
            <v>4.49</v>
          </cell>
        </row>
      </sheetData>
      <sheetData sheetId="15">
        <row r="6">
          <cell r="Q6" t="str">
            <v>BULKY-RES</v>
          </cell>
          <cell r="R6">
            <v>0</v>
          </cell>
          <cell r="S6">
            <v>182.4</v>
          </cell>
          <cell r="T6">
            <v>182.4</v>
          </cell>
          <cell r="V6" t="str">
            <v>ADJ-FIN</v>
          </cell>
          <cell r="W6">
            <v>-76.989999999999995</v>
          </cell>
        </row>
        <row r="7">
          <cell r="Q7" t="str">
            <v>DEL-RO</v>
          </cell>
          <cell r="R7">
            <v>305.92</v>
          </cell>
          <cell r="S7">
            <v>1603.9700000000003</v>
          </cell>
          <cell r="T7">
            <v>1909.8900000000003</v>
          </cell>
          <cell r="V7" t="str">
            <v>BULKY-RES</v>
          </cell>
          <cell r="W7">
            <v>259.59000000000003</v>
          </cell>
        </row>
        <row r="8">
          <cell r="Q8" t="str">
            <v>DELTEMP-COMM</v>
          </cell>
          <cell r="R8">
            <v>54.65</v>
          </cell>
          <cell r="S8">
            <v>437.2</v>
          </cell>
          <cell r="T8">
            <v>491.84999999999997</v>
          </cell>
          <cell r="V8" t="str">
            <v>CLEAN1YD-COMM</v>
          </cell>
          <cell r="W8">
            <v>15.56</v>
          </cell>
        </row>
        <row r="9">
          <cell r="Q9" t="str">
            <v>DISP-RO</v>
          </cell>
          <cell r="R9">
            <v>7502.9500000000007</v>
          </cell>
          <cell r="S9">
            <v>28617.379999999997</v>
          </cell>
          <cell r="T9">
            <v>36120.33</v>
          </cell>
          <cell r="V9" t="str">
            <v>DAMAGE-RO</v>
          </cell>
          <cell r="W9">
            <v>700.7</v>
          </cell>
        </row>
        <row r="10">
          <cell r="Q10" t="str">
            <v>DIST-COM</v>
          </cell>
          <cell r="R10">
            <v>10.92</v>
          </cell>
          <cell r="S10">
            <v>32.76</v>
          </cell>
          <cell r="T10">
            <v>43.68</v>
          </cell>
          <cell r="V10" t="str">
            <v>DEL-RO</v>
          </cell>
          <cell r="W10">
            <v>6172.68</v>
          </cell>
        </row>
        <row r="11">
          <cell r="Q11" t="str">
            <v xml:space="preserve">DRIVEIN1-COMM </v>
          </cell>
          <cell r="R11">
            <v>20.91</v>
          </cell>
          <cell r="S11">
            <v>62.73</v>
          </cell>
          <cell r="T11">
            <v>83.64</v>
          </cell>
          <cell r="V11" t="str">
            <v>DELTEMP-COMM</v>
          </cell>
          <cell r="W11">
            <v>5199.1499999999996</v>
          </cell>
        </row>
        <row r="12">
          <cell r="Q12" t="str">
            <v>DRIVEIN1-RES</v>
          </cell>
          <cell r="R12">
            <v>864.28</v>
          </cell>
          <cell r="S12">
            <v>2143.27</v>
          </cell>
          <cell r="T12">
            <v>3007.55</v>
          </cell>
          <cell r="V12" t="str">
            <v>DISP-RO</v>
          </cell>
          <cell r="W12">
            <v>69478.92</v>
          </cell>
        </row>
        <row r="13">
          <cell r="Q13" t="str">
            <v>EFUEL-ACCT ADJ</v>
          </cell>
          <cell r="R13">
            <v>0</v>
          </cell>
          <cell r="S13">
            <v>0</v>
          </cell>
          <cell r="T13">
            <v>0</v>
          </cell>
          <cell r="V13" t="str">
            <v>DIST-COM</v>
          </cell>
          <cell r="W13">
            <v>88.27000000000001</v>
          </cell>
        </row>
        <row r="14">
          <cell r="Q14" t="str">
            <v>EFUEL-COM</v>
          </cell>
          <cell r="R14">
            <v>0</v>
          </cell>
          <cell r="S14">
            <v>0</v>
          </cell>
          <cell r="T14">
            <v>0</v>
          </cell>
          <cell r="V14" t="str">
            <v>DIST-RES</v>
          </cell>
          <cell r="W14">
            <v>86.800000000000011</v>
          </cell>
        </row>
        <row r="15">
          <cell r="Q15" t="str">
            <v>EFUEL-RES</v>
          </cell>
          <cell r="R15">
            <v>0</v>
          </cell>
          <cell r="S15">
            <v>0</v>
          </cell>
          <cell r="T15">
            <v>0</v>
          </cell>
          <cell r="V15" t="str">
            <v xml:space="preserve">DRIVEIN1-COMM </v>
          </cell>
          <cell r="W15">
            <v>501.84</v>
          </cell>
        </row>
        <row r="16">
          <cell r="Q16" t="str">
            <v>EFUEL-RO</v>
          </cell>
          <cell r="R16">
            <v>0</v>
          </cell>
          <cell r="S16">
            <v>0</v>
          </cell>
          <cell r="T16">
            <v>0</v>
          </cell>
          <cell r="V16" t="str">
            <v>DRIVEIN1-RES</v>
          </cell>
          <cell r="W16">
            <v>5602.1400000000021</v>
          </cell>
        </row>
        <row r="17">
          <cell r="Q17" t="str">
            <v>EXTRA-COMM</v>
          </cell>
          <cell r="R17">
            <v>686.88</v>
          </cell>
          <cell r="S17">
            <v>2044.9700000000005</v>
          </cell>
          <cell r="T17">
            <v>2731.85</v>
          </cell>
          <cell r="V17" t="str">
            <v>EFUEL-ACCT ADJ</v>
          </cell>
          <cell r="W17">
            <v>0</v>
          </cell>
        </row>
        <row r="18">
          <cell r="Q18" t="str">
            <v>EXTRA-RES</v>
          </cell>
          <cell r="R18">
            <v>848.96</v>
          </cell>
          <cell r="S18">
            <v>4598.93</v>
          </cell>
          <cell r="T18">
            <v>5447.8899999999994</v>
          </cell>
          <cell r="V18" t="str">
            <v>EFUEL-COM</v>
          </cell>
          <cell r="W18">
            <v>0</v>
          </cell>
        </row>
        <row r="19">
          <cell r="Q19" t="str">
            <v>EXTRAYDG-COMM</v>
          </cell>
          <cell r="R19">
            <v>0</v>
          </cell>
          <cell r="S19">
            <v>182.40000000000003</v>
          </cell>
          <cell r="T19">
            <v>182.40000000000003</v>
          </cell>
          <cell r="V19" t="str">
            <v>EFUEL-RES</v>
          </cell>
          <cell r="W19">
            <v>0</v>
          </cell>
        </row>
        <row r="20">
          <cell r="Q20" t="str">
            <v>EXTRYDG-RES</v>
          </cell>
          <cell r="R20">
            <v>22.61</v>
          </cell>
          <cell r="S20">
            <v>45.6</v>
          </cell>
          <cell r="T20">
            <v>68.209999999999994</v>
          </cell>
          <cell r="V20" t="str">
            <v>EFUEL-RO</v>
          </cell>
          <cell r="W20">
            <v>0</v>
          </cell>
        </row>
        <row r="21">
          <cell r="Q21" t="str">
            <v>FINCHG</v>
          </cell>
          <cell r="R21">
            <v>179.14</v>
          </cell>
          <cell r="S21">
            <v>617.83999999999992</v>
          </cell>
          <cell r="T21">
            <v>796.98</v>
          </cell>
          <cell r="V21" t="str">
            <v>EXTRA-COMM</v>
          </cell>
          <cell r="W21">
            <v>14080.189999999999</v>
          </cell>
        </row>
        <row r="22">
          <cell r="Q22" t="str">
            <v>HAUL25-RO</v>
          </cell>
          <cell r="R22">
            <v>1753.4499999999998</v>
          </cell>
          <cell r="S22">
            <v>4857.1299999999992</v>
          </cell>
          <cell r="T22">
            <v>6610.5799999999981</v>
          </cell>
          <cell r="V22" t="str">
            <v>EXTRA-RES</v>
          </cell>
          <cell r="W22">
            <v>16949.2</v>
          </cell>
        </row>
        <row r="23">
          <cell r="Q23" t="str">
            <v>HAUL25TEMP-RO</v>
          </cell>
          <cell r="R23">
            <v>1293.2</v>
          </cell>
          <cell r="S23">
            <v>6983.28</v>
          </cell>
          <cell r="T23">
            <v>8276.48</v>
          </cell>
          <cell r="V23" t="str">
            <v>EXTRAYDG-COMM</v>
          </cell>
          <cell r="W23">
            <v>8070.18</v>
          </cell>
        </row>
        <row r="24">
          <cell r="Q24" t="str">
            <v>HAUL40TEMP-RO</v>
          </cell>
          <cell r="R24">
            <v>713.36</v>
          </cell>
          <cell r="S24">
            <v>5706.88</v>
          </cell>
          <cell r="T24">
            <v>6420.24</v>
          </cell>
          <cell r="V24" t="str">
            <v>EXTRYDG-RES</v>
          </cell>
          <cell r="W24">
            <v>1308.7500000000002</v>
          </cell>
        </row>
        <row r="25">
          <cell r="Q25" t="str">
            <v>HAUL-CP</v>
          </cell>
          <cell r="R25">
            <v>223.51</v>
          </cell>
          <cell r="S25">
            <v>1341.06</v>
          </cell>
          <cell r="T25">
            <v>1564.57</v>
          </cell>
          <cell r="V25" t="str">
            <v>FINCHG</v>
          </cell>
          <cell r="W25">
            <v>3441.6700000000005</v>
          </cell>
        </row>
        <row r="26">
          <cell r="Q26" t="str">
            <v>HAULREC-RO</v>
          </cell>
          <cell r="R26">
            <v>1100</v>
          </cell>
          <cell r="S26">
            <v>3075</v>
          </cell>
          <cell r="T26">
            <v>4175</v>
          </cell>
          <cell r="V26" t="str">
            <v>GOOD-RES</v>
          </cell>
          <cell r="W26">
            <v>-3.01</v>
          </cell>
        </row>
        <row r="27">
          <cell r="Q27" t="str">
            <v>MILE-RO</v>
          </cell>
          <cell r="R27">
            <v>1069.22</v>
          </cell>
          <cell r="S27">
            <v>7013.64</v>
          </cell>
          <cell r="T27">
            <v>8082.8600000000006</v>
          </cell>
          <cell r="V27" t="str">
            <v>HAUL25-RO</v>
          </cell>
          <cell r="W27">
            <v>7281.8300000000008</v>
          </cell>
        </row>
        <row r="28">
          <cell r="Q28" t="str">
            <v>OS-RES</v>
          </cell>
          <cell r="R28">
            <v>4.4400000000000004</v>
          </cell>
          <cell r="S28">
            <v>89.47</v>
          </cell>
          <cell r="T28">
            <v>93.91</v>
          </cell>
          <cell r="V28" t="str">
            <v>HAUL25TEMP-RO</v>
          </cell>
          <cell r="W28">
            <v>16091.28</v>
          </cell>
        </row>
        <row r="29">
          <cell r="Q29" t="str">
            <v>OW-RES</v>
          </cell>
          <cell r="R29">
            <v>13.32</v>
          </cell>
          <cell r="S29">
            <v>35.920000000000009</v>
          </cell>
          <cell r="T29">
            <v>49.240000000000009</v>
          </cell>
          <cell r="V29" t="str">
            <v>HAUL40-RO</v>
          </cell>
          <cell r="W29">
            <v>3171.8399999999997</v>
          </cell>
        </row>
        <row r="30">
          <cell r="Q30" t="str">
            <v>REDEL-RES</v>
          </cell>
          <cell r="R30">
            <v>23.04</v>
          </cell>
          <cell r="S30">
            <v>46.08</v>
          </cell>
          <cell r="T30">
            <v>69.12</v>
          </cell>
          <cell r="V30" t="str">
            <v>HAUL40TEMP-RO</v>
          </cell>
          <cell r="W30">
            <v>24471.800000000003</v>
          </cell>
        </row>
        <row r="31">
          <cell r="Q31" t="str">
            <v>REINSTATE-RES</v>
          </cell>
          <cell r="R31">
            <v>41.49</v>
          </cell>
          <cell r="S31">
            <v>207.45000000000002</v>
          </cell>
          <cell r="T31">
            <v>248.94000000000003</v>
          </cell>
          <cell r="V31" t="str">
            <v>HAULMEDADDL6-COMM</v>
          </cell>
          <cell r="W31">
            <v>1592.48</v>
          </cell>
        </row>
        <row r="32">
          <cell r="Q32" t="str">
            <v>RENT1.5-COMM</v>
          </cell>
          <cell r="R32">
            <v>406.71</v>
          </cell>
          <cell r="S32">
            <v>1652.2700000000002</v>
          </cell>
          <cell r="T32">
            <v>2058.98</v>
          </cell>
          <cell r="V32" t="str">
            <v>HAULMEDADDL-COMM</v>
          </cell>
          <cell r="W32">
            <v>6659.12</v>
          </cell>
        </row>
        <row r="33">
          <cell r="Q33" t="str">
            <v>RENT1.5TEMP-COMM</v>
          </cell>
          <cell r="R33">
            <v>0</v>
          </cell>
          <cell r="S33">
            <v>8.6199999999999992</v>
          </cell>
          <cell r="T33">
            <v>8.6199999999999992</v>
          </cell>
          <cell r="V33" t="str">
            <v>HAULMED-COMM</v>
          </cell>
          <cell r="W33">
            <v>5808.2699999999995</v>
          </cell>
        </row>
        <row r="34">
          <cell r="Q34" t="str">
            <v>RENT1-COMM</v>
          </cell>
          <cell r="R34">
            <v>850.1400000000001</v>
          </cell>
          <cell r="S34">
            <v>2534.4200000000005</v>
          </cell>
          <cell r="T34">
            <v>3384.5600000000004</v>
          </cell>
          <cell r="V34" t="str">
            <v>MILE-RO</v>
          </cell>
          <cell r="W34">
            <v>22641.980000000003</v>
          </cell>
        </row>
        <row r="35">
          <cell r="Q35" t="str">
            <v>RENT25MO-RO</v>
          </cell>
          <cell r="R35">
            <v>358.70000000000005</v>
          </cell>
          <cell r="S35">
            <v>1986.4</v>
          </cell>
          <cell r="T35">
            <v>2345.1</v>
          </cell>
          <cell r="V35" t="str">
            <v>OS-COMM</v>
          </cell>
          <cell r="W35">
            <v>25.559999999999995</v>
          </cell>
        </row>
        <row r="36">
          <cell r="Q36" t="str">
            <v>RENT2-COMM</v>
          </cell>
          <cell r="R36">
            <v>527.70000000000005</v>
          </cell>
          <cell r="S36">
            <v>1416</v>
          </cell>
          <cell r="T36">
            <v>1943.6999999999998</v>
          </cell>
          <cell r="V36" t="str">
            <v>OS-RES</v>
          </cell>
          <cell r="W36">
            <v>166.42</v>
          </cell>
        </row>
        <row r="37">
          <cell r="Q37" t="str">
            <v>RENT2TEMP-COMM</v>
          </cell>
          <cell r="R37">
            <v>11.75</v>
          </cell>
          <cell r="S37">
            <v>32.909999999999997</v>
          </cell>
          <cell r="T37">
            <v>44.66</v>
          </cell>
          <cell r="V37" t="str">
            <v>OW-RES</v>
          </cell>
          <cell r="W37">
            <v>95.64</v>
          </cell>
        </row>
        <row r="38">
          <cell r="Q38" t="str">
            <v>RENT3-COMM</v>
          </cell>
          <cell r="R38">
            <v>379.93</v>
          </cell>
          <cell r="S38">
            <v>1063.79</v>
          </cell>
          <cell r="T38">
            <v>1443.7199999999998</v>
          </cell>
          <cell r="V38" t="str">
            <v>PUREDEL1-COMM</v>
          </cell>
          <cell r="W38">
            <v>25.35</v>
          </cell>
        </row>
        <row r="39">
          <cell r="Q39" t="str">
            <v>RENT3TEMP-COMM</v>
          </cell>
          <cell r="R39">
            <v>0</v>
          </cell>
          <cell r="S39">
            <v>49.35</v>
          </cell>
          <cell r="T39">
            <v>49.35</v>
          </cell>
          <cell r="V39" t="str">
            <v>RECCOMSVC1W001</v>
          </cell>
          <cell r="W39">
            <v>7280</v>
          </cell>
        </row>
        <row r="40">
          <cell r="Q40" t="str">
            <v>RENT40MO-RO</v>
          </cell>
          <cell r="R40">
            <v>71.87</v>
          </cell>
          <cell r="S40">
            <v>1077.99</v>
          </cell>
          <cell r="T40">
            <v>1149.8599999999999</v>
          </cell>
          <cell r="V40" t="str">
            <v>REDEL-COMM</v>
          </cell>
          <cell r="W40">
            <v>56.46</v>
          </cell>
        </row>
        <row r="41">
          <cell r="Q41" t="str">
            <v>RENT4-COMM</v>
          </cell>
          <cell r="R41">
            <v>602.22</v>
          </cell>
          <cell r="S41">
            <v>2132.3200000000002</v>
          </cell>
          <cell r="T41">
            <v>2734.5400000000004</v>
          </cell>
          <cell r="V41" t="str">
            <v>REDEL-RES</v>
          </cell>
          <cell r="W41">
            <v>322.56</v>
          </cell>
        </row>
        <row r="42">
          <cell r="Q42" t="str">
            <v>RENT4TEMP-COMM</v>
          </cell>
          <cell r="R42">
            <v>47.01</v>
          </cell>
          <cell r="S42">
            <v>488.9</v>
          </cell>
          <cell r="T42">
            <v>535.91</v>
          </cell>
          <cell r="V42" t="str">
            <v>REINSTATE-COMM</v>
          </cell>
          <cell r="W42">
            <v>179.79000000000002</v>
          </cell>
        </row>
        <row r="43">
          <cell r="Q43" t="str">
            <v>RENT6-COMM</v>
          </cell>
          <cell r="R43">
            <v>195.36</v>
          </cell>
          <cell r="S43">
            <v>586.08000000000004</v>
          </cell>
          <cell r="T43">
            <v>781.44</v>
          </cell>
          <cell r="V43" t="str">
            <v>REINSTATE-RES</v>
          </cell>
          <cell r="W43">
            <v>1244.7</v>
          </cell>
        </row>
        <row r="44">
          <cell r="Q44" t="str">
            <v>RETCKC</v>
          </cell>
          <cell r="R44">
            <v>0</v>
          </cell>
          <cell r="S44">
            <v>19.010000000000002</v>
          </cell>
          <cell r="T44">
            <v>19.010000000000002</v>
          </cell>
          <cell r="V44" t="str">
            <v>RENT1.5-COMM</v>
          </cell>
          <cell r="W44">
            <v>14565.029999999999</v>
          </cell>
        </row>
        <row r="45">
          <cell r="Q45" t="str">
            <v>RL001.0Y1M001</v>
          </cell>
          <cell r="R45">
            <v>52.71</v>
          </cell>
          <cell r="S45">
            <v>53.489999999999995</v>
          </cell>
          <cell r="T45">
            <v>106.19999999999999</v>
          </cell>
          <cell r="V45" t="str">
            <v>RENT1.5TEMP-COMM</v>
          </cell>
          <cell r="W45">
            <v>51.72</v>
          </cell>
        </row>
        <row r="46">
          <cell r="Q46" t="str">
            <v>RL001.0Y1W001</v>
          </cell>
          <cell r="R46">
            <v>6048.36</v>
          </cell>
          <cell r="S46">
            <v>18354.300000000003</v>
          </cell>
          <cell r="T46">
            <v>24402.66</v>
          </cell>
          <cell r="V46" t="str">
            <v>RENT1-COMM</v>
          </cell>
          <cell r="W46">
            <v>32438.83</v>
          </cell>
        </row>
        <row r="47">
          <cell r="Q47" t="str">
            <v>RL001.5Y1W001</v>
          </cell>
          <cell r="R47">
            <v>3534.3099999999995</v>
          </cell>
          <cell r="S47">
            <v>12919.41</v>
          </cell>
          <cell r="T47">
            <v>16453.72</v>
          </cell>
          <cell r="V47" t="str">
            <v>RENT1TEMP-COMM</v>
          </cell>
          <cell r="W47">
            <v>82.29</v>
          </cell>
        </row>
        <row r="48">
          <cell r="Q48" t="str">
            <v>RL001.5Y1W002</v>
          </cell>
          <cell r="R48">
            <v>0</v>
          </cell>
          <cell r="S48">
            <v>867.07999999999993</v>
          </cell>
          <cell r="T48">
            <v>867.07999999999993</v>
          </cell>
          <cell r="V48" t="str">
            <v>RENT25MO-RO</v>
          </cell>
          <cell r="W48">
            <v>5320.44</v>
          </cell>
        </row>
        <row r="49">
          <cell r="Q49" t="str">
            <v>RL001.5Y1W003</v>
          </cell>
          <cell r="R49">
            <v>85.51</v>
          </cell>
          <cell r="S49">
            <v>1127.2</v>
          </cell>
          <cell r="T49">
            <v>1212.71</v>
          </cell>
          <cell r="V49" t="str">
            <v>RENT2-COMM</v>
          </cell>
          <cell r="W49">
            <v>12475.750000000002</v>
          </cell>
        </row>
        <row r="50">
          <cell r="Q50" t="str">
            <v>RL002.0Y1W001</v>
          </cell>
          <cell r="R50">
            <v>4547.7</v>
          </cell>
          <cell r="S50">
            <v>12370.44</v>
          </cell>
          <cell r="T50">
            <v>16918.140000000003</v>
          </cell>
          <cell r="V50" t="str">
            <v>RENT2TEMP-COMM</v>
          </cell>
          <cell r="W50">
            <v>644.11</v>
          </cell>
        </row>
        <row r="51">
          <cell r="Q51" t="str">
            <v>RL003.0Y1W001</v>
          </cell>
          <cell r="R51">
            <v>1915.7400000000002</v>
          </cell>
          <cell r="S51">
            <v>6692.5899999999983</v>
          </cell>
          <cell r="T51">
            <v>8608.3299999999981</v>
          </cell>
          <cell r="V51" t="str">
            <v>RENT3-COMM</v>
          </cell>
          <cell r="W51">
            <v>9636.7900000000009</v>
          </cell>
        </row>
        <row r="52">
          <cell r="Q52" t="str">
            <v>RL003.0Y1W002</v>
          </cell>
          <cell r="R52">
            <v>1809.3100000000002</v>
          </cell>
          <cell r="S52">
            <v>3886.0199999999986</v>
          </cell>
          <cell r="T52">
            <v>5695.3299999999981</v>
          </cell>
          <cell r="V52" t="str">
            <v>RENT3TEMP-COMM</v>
          </cell>
          <cell r="W52">
            <v>2093.85</v>
          </cell>
        </row>
        <row r="53">
          <cell r="Q53" t="str">
            <v>RL004.0Y1W001</v>
          </cell>
          <cell r="R53">
            <v>4228.9500000000007</v>
          </cell>
          <cell r="S53">
            <v>14507.9</v>
          </cell>
          <cell r="T53">
            <v>18736.850000000002</v>
          </cell>
          <cell r="V53" t="str">
            <v>RENT40MO-RO</v>
          </cell>
          <cell r="W53">
            <v>7435.5899999999992</v>
          </cell>
        </row>
        <row r="54">
          <cell r="Q54" t="str">
            <v>RL004.0Y1W002</v>
          </cell>
          <cell r="R54">
            <v>2678.34</v>
          </cell>
          <cell r="S54">
            <v>10291.319999999998</v>
          </cell>
          <cell r="T54">
            <v>12969.659999999998</v>
          </cell>
          <cell r="V54" t="str">
            <v>RENT4-COMM</v>
          </cell>
          <cell r="W54">
            <v>6741.15</v>
          </cell>
        </row>
        <row r="55">
          <cell r="Q55" t="str">
            <v>RL006.0Y1W002</v>
          </cell>
          <cell r="R55">
            <v>2454.6000000000004</v>
          </cell>
          <cell r="S55">
            <v>7461.1800000000021</v>
          </cell>
          <cell r="T55">
            <v>9915.7800000000025</v>
          </cell>
          <cell r="V55" t="str">
            <v>RENT4TEMP-COMM</v>
          </cell>
          <cell r="W55">
            <v>3868.1099999999997</v>
          </cell>
        </row>
        <row r="56">
          <cell r="Q56" t="str">
            <v>RL020.0G1W001</v>
          </cell>
          <cell r="R56">
            <v>281.39</v>
          </cell>
          <cell r="S56">
            <v>655.41000000000008</v>
          </cell>
          <cell r="T56">
            <v>936.80000000000018</v>
          </cell>
          <cell r="V56" t="str">
            <v>RENT6-COMM</v>
          </cell>
          <cell r="W56">
            <v>5421.3500000000013</v>
          </cell>
        </row>
        <row r="57">
          <cell r="Q57" t="str">
            <v>RL032.0G1M001</v>
          </cell>
          <cell r="R57">
            <v>296.5</v>
          </cell>
          <cell r="S57">
            <v>1035.8699999999999</v>
          </cell>
          <cell r="T57">
            <v>1332.37</v>
          </cell>
          <cell r="V57" t="str">
            <v>RENT8-COMM</v>
          </cell>
          <cell r="W57">
            <v>944.64000000000021</v>
          </cell>
        </row>
        <row r="58">
          <cell r="Q58" t="str">
            <v>RL032.0G1W001</v>
          </cell>
          <cell r="R58">
            <v>24791.43</v>
          </cell>
          <cell r="S58">
            <v>76170.959999999992</v>
          </cell>
          <cell r="T58">
            <v>100962.39000000001</v>
          </cell>
          <cell r="V58" t="str">
            <v>RETCKC</v>
          </cell>
          <cell r="W58">
            <v>190.10000000000002</v>
          </cell>
        </row>
        <row r="59">
          <cell r="Q59" t="str">
            <v>RL032.0G1W001COMM</v>
          </cell>
          <cell r="R59">
            <v>573.6</v>
          </cell>
          <cell r="S59">
            <v>1716.0899999999997</v>
          </cell>
          <cell r="T59">
            <v>2289.6899999999996</v>
          </cell>
          <cell r="V59" t="str">
            <v>RL001.0Y1M001</v>
          </cell>
          <cell r="W59">
            <v>189</v>
          </cell>
        </row>
        <row r="60">
          <cell r="Q60" t="str">
            <v>RL032.0G1W002</v>
          </cell>
          <cell r="R60">
            <v>10165.075000000001</v>
          </cell>
          <cell r="S60">
            <v>31622.990000000005</v>
          </cell>
          <cell r="T60">
            <v>41788.065000000002</v>
          </cell>
          <cell r="V60" t="str">
            <v>RL001.0Y1W001</v>
          </cell>
          <cell r="W60">
            <v>209582.46000000002</v>
          </cell>
        </row>
        <row r="61">
          <cell r="Q61" t="str">
            <v>RL032.0G1W002COMM</v>
          </cell>
          <cell r="R61">
            <v>55.08</v>
          </cell>
          <cell r="S61">
            <v>333.54</v>
          </cell>
          <cell r="T61">
            <v>388.62</v>
          </cell>
          <cell r="V61" t="str">
            <v>RL001.0Y1W002</v>
          </cell>
          <cell r="W61">
            <v>1365</v>
          </cell>
        </row>
        <row r="62">
          <cell r="Q62" t="str">
            <v>RL032.0G1W003</v>
          </cell>
          <cell r="R62">
            <v>112.83</v>
          </cell>
          <cell r="S62">
            <v>418.61</v>
          </cell>
          <cell r="T62">
            <v>531.43999999999994</v>
          </cell>
          <cell r="V62" t="str">
            <v>RL001.0Y3W001</v>
          </cell>
          <cell r="W62">
            <v>2456.88</v>
          </cell>
        </row>
        <row r="63">
          <cell r="Q63" t="str">
            <v>RL065.0G1W001</v>
          </cell>
          <cell r="R63">
            <v>24227.340000000004</v>
          </cell>
          <cell r="S63">
            <v>73789.289999999994</v>
          </cell>
          <cell r="T63">
            <v>98016.62999999999</v>
          </cell>
          <cell r="V63" t="str">
            <v>RL001.5Y1M001</v>
          </cell>
          <cell r="W63">
            <v>1424.4000000000003</v>
          </cell>
        </row>
        <row r="64">
          <cell r="Q64" t="str">
            <v>RL065.0G1W001COMM</v>
          </cell>
          <cell r="R64">
            <v>457.73</v>
          </cell>
          <cell r="S64">
            <v>1303.1999999999998</v>
          </cell>
          <cell r="T64">
            <v>1760.9299999999996</v>
          </cell>
          <cell r="V64" t="str">
            <v>RL001.5Y1W001</v>
          </cell>
          <cell r="W64">
            <v>110860.82999999999</v>
          </cell>
        </row>
        <row r="65">
          <cell r="Q65" t="str">
            <v>RL065.0G1W002</v>
          </cell>
          <cell r="R65">
            <v>160.07999999999998</v>
          </cell>
          <cell r="S65">
            <v>511.74000000000007</v>
          </cell>
          <cell r="T65">
            <v>671.82</v>
          </cell>
          <cell r="V65" t="str">
            <v>RL001.5Y1W002</v>
          </cell>
          <cell r="W65">
            <v>3394.5499999999997</v>
          </cell>
        </row>
        <row r="66">
          <cell r="Q66" t="str">
            <v>RL090.0G1W001</v>
          </cell>
          <cell r="R66">
            <v>30902.79</v>
          </cell>
          <cell r="S66">
            <v>104773.01500000001</v>
          </cell>
          <cell r="T66">
            <v>135675.80500000002</v>
          </cell>
          <cell r="V66" t="str">
            <v>RL001.5Y1W003</v>
          </cell>
          <cell r="W66">
            <v>3085.9</v>
          </cell>
        </row>
        <row r="67">
          <cell r="Q67" t="str">
            <v>RL090.0G1W001COMM</v>
          </cell>
          <cell r="R67">
            <v>782.07</v>
          </cell>
          <cell r="S67">
            <v>2403</v>
          </cell>
          <cell r="T67">
            <v>3185.07</v>
          </cell>
          <cell r="V67" t="str">
            <v>RL001.5Y2W001</v>
          </cell>
          <cell r="W67">
            <v>16458.400000000005</v>
          </cell>
        </row>
        <row r="68">
          <cell r="Q68" t="str">
            <v>RL090.0G1W002</v>
          </cell>
          <cell r="R68">
            <v>474.255</v>
          </cell>
          <cell r="S68">
            <v>2274.0650000000001</v>
          </cell>
          <cell r="T68">
            <v>2748.32</v>
          </cell>
          <cell r="V68" t="str">
            <v>RL001.5Y3W001</v>
          </cell>
          <cell r="W68">
            <v>7406.1600000000008</v>
          </cell>
        </row>
        <row r="69">
          <cell r="Q69" t="str">
            <v>RL090.0G1W002COMM</v>
          </cell>
          <cell r="R69">
            <v>264.24</v>
          </cell>
          <cell r="S69">
            <v>800.46</v>
          </cell>
          <cell r="T69">
            <v>1064.7000000000003</v>
          </cell>
          <cell r="V69" t="str">
            <v>RL002.0Y1M001</v>
          </cell>
          <cell r="W69">
            <v>1139.04</v>
          </cell>
        </row>
        <row r="70">
          <cell r="Q70" t="str">
            <v>RL090.0G1W003</v>
          </cell>
          <cell r="R70">
            <v>299.88</v>
          </cell>
          <cell r="S70">
            <v>953.6400000000001</v>
          </cell>
          <cell r="T70">
            <v>1253.5200000000002</v>
          </cell>
          <cell r="V70" t="str">
            <v>RL002.0Y1W001</v>
          </cell>
          <cell r="W70">
            <v>90947.27</v>
          </cell>
        </row>
        <row r="71">
          <cell r="Q71" t="str">
            <v>RL1.5C-OC</v>
          </cell>
          <cell r="R71">
            <v>268.52</v>
          </cell>
          <cell r="S71">
            <v>472.5</v>
          </cell>
          <cell r="T71">
            <v>741.02</v>
          </cell>
          <cell r="V71" t="str">
            <v>RL002.0Y2W001</v>
          </cell>
          <cell r="W71">
            <v>6582</v>
          </cell>
        </row>
        <row r="72">
          <cell r="Q72" t="str">
            <v>RL1.5TC-COMM</v>
          </cell>
          <cell r="R72">
            <v>0</v>
          </cell>
          <cell r="S72">
            <v>32.78</v>
          </cell>
          <cell r="T72">
            <v>32.78</v>
          </cell>
          <cell r="V72" t="str">
            <v>RL002.0Y3W001</v>
          </cell>
          <cell r="W72">
            <v>9873.1200000000008</v>
          </cell>
        </row>
        <row r="73">
          <cell r="Q73" t="str">
            <v>RL2TC-COMM</v>
          </cell>
          <cell r="R73">
            <v>41.53</v>
          </cell>
          <cell r="S73">
            <v>42.01</v>
          </cell>
          <cell r="T73">
            <v>83.539999999999992</v>
          </cell>
          <cell r="V73" t="str">
            <v>RL003.0Y1W001</v>
          </cell>
          <cell r="W73">
            <v>68647.680000000008</v>
          </cell>
        </row>
        <row r="74">
          <cell r="Q74" t="str">
            <v>RL32C-OC</v>
          </cell>
          <cell r="R74">
            <v>0</v>
          </cell>
          <cell r="S74">
            <v>26.12</v>
          </cell>
          <cell r="T74">
            <v>26.12</v>
          </cell>
          <cell r="V74" t="str">
            <v>RL003.0Y1W002</v>
          </cell>
          <cell r="W74">
            <v>6787.0199999999995</v>
          </cell>
        </row>
        <row r="75">
          <cell r="Q75" t="str">
            <v>RL3TC-COMM</v>
          </cell>
          <cell r="R75">
            <v>0</v>
          </cell>
          <cell r="S75">
            <v>118.28</v>
          </cell>
          <cell r="T75">
            <v>118.28</v>
          </cell>
          <cell r="V75" t="str">
            <v>RL003.0Y2W001</v>
          </cell>
          <cell r="W75">
            <v>23269.800000000003</v>
          </cell>
        </row>
        <row r="76">
          <cell r="Q76" t="str">
            <v>RL4TC-COMM</v>
          </cell>
          <cell r="R76">
            <v>156</v>
          </cell>
          <cell r="S76">
            <v>1183.6499999999999</v>
          </cell>
          <cell r="T76">
            <v>1339.6499999999999</v>
          </cell>
          <cell r="V76" t="str">
            <v>RL003.0Y3W001</v>
          </cell>
          <cell r="W76">
            <v>6981</v>
          </cell>
        </row>
        <row r="77">
          <cell r="Q77" t="str">
            <v>RL90R-OC</v>
          </cell>
          <cell r="R77">
            <v>26.02</v>
          </cell>
          <cell r="S77">
            <v>0</v>
          </cell>
          <cell r="T77">
            <v>26.02</v>
          </cell>
          <cell r="V77" t="str">
            <v>RL003.0Y3W002</v>
          </cell>
          <cell r="W77">
            <v>11053.26</v>
          </cell>
        </row>
        <row r="78">
          <cell r="Q78" t="str">
            <v>Grand Total</v>
          </cell>
          <cell r="R78">
            <v>141875.53</v>
          </cell>
          <cell r="S78">
            <v>472141.57000000007</v>
          </cell>
          <cell r="T78">
            <v>614017.1</v>
          </cell>
          <cell r="V78" t="str">
            <v>RL004.0Y1W001</v>
          </cell>
          <cell r="W78">
            <v>43073.64</v>
          </cell>
        </row>
        <row r="79">
          <cell r="V79" t="str">
            <v>RL004.0Y1W002</v>
          </cell>
          <cell r="W79">
            <v>19058.34</v>
          </cell>
        </row>
        <row r="80">
          <cell r="V80" t="str">
            <v>RL004.0Y2W001</v>
          </cell>
          <cell r="W80">
            <v>5150.9000000000005</v>
          </cell>
        </row>
        <row r="81">
          <cell r="V81" t="str">
            <v>RL004.0Y3W001</v>
          </cell>
          <cell r="W81">
            <v>9271.56</v>
          </cell>
        </row>
        <row r="82">
          <cell r="V82" t="str">
            <v>RL004.0Y4W001</v>
          </cell>
          <cell r="W82">
            <v>12362.04</v>
          </cell>
        </row>
        <row r="83">
          <cell r="V83" t="str">
            <v>RL006.0Y1W001</v>
          </cell>
          <cell r="W83">
            <v>40130.36</v>
          </cell>
        </row>
        <row r="84">
          <cell r="V84" t="str">
            <v>RL006.0Y1W002</v>
          </cell>
          <cell r="W84">
            <v>7501.0999999999985</v>
          </cell>
        </row>
        <row r="85">
          <cell r="V85" t="str">
            <v>RL006.0Y2W001</v>
          </cell>
          <cell r="W85">
            <v>9001.32</v>
          </cell>
        </row>
        <row r="86">
          <cell r="V86" t="str">
            <v>RL006.0Y4W001</v>
          </cell>
          <cell r="W86">
            <v>18002.519999999997</v>
          </cell>
        </row>
        <row r="87">
          <cell r="V87" t="str">
            <v>RL006.0Y5W001</v>
          </cell>
          <cell r="W87">
            <v>22503.119999999995</v>
          </cell>
        </row>
        <row r="88">
          <cell r="V88" t="str">
            <v>RL008.0Y1W001</v>
          </cell>
          <cell r="W88">
            <v>5858.04</v>
          </cell>
        </row>
        <row r="89">
          <cell r="V89" t="str">
            <v>RL008.0Y2W001</v>
          </cell>
          <cell r="W89">
            <v>11715.960000000001</v>
          </cell>
        </row>
        <row r="90">
          <cell r="V90" t="str">
            <v>RL020.0G1W001</v>
          </cell>
          <cell r="W90">
            <v>3692.7450000000003</v>
          </cell>
        </row>
        <row r="91">
          <cell r="V91" t="str">
            <v>RL032.0G1M001</v>
          </cell>
          <cell r="W91">
            <v>5895.31</v>
          </cell>
        </row>
        <row r="92">
          <cell r="V92" t="str">
            <v>RL032.0G1W001</v>
          </cell>
          <cell r="W92">
            <v>211713.65</v>
          </cell>
        </row>
        <row r="93">
          <cell r="V93" t="str">
            <v>RL032.0G1W001COMM</v>
          </cell>
          <cell r="W93">
            <v>10614.42</v>
          </cell>
        </row>
        <row r="94">
          <cell r="V94" t="str">
            <v>RL032.0G1W002</v>
          </cell>
          <cell r="W94">
            <v>48301.590000000004</v>
          </cell>
        </row>
        <row r="95">
          <cell r="V95" t="str">
            <v>RL032.0G1W002COMM</v>
          </cell>
          <cell r="W95">
            <v>2887.43</v>
          </cell>
        </row>
        <row r="96">
          <cell r="V96" t="str">
            <v>RL032.0G1W003</v>
          </cell>
          <cell r="W96">
            <v>4294.05</v>
          </cell>
        </row>
        <row r="97">
          <cell r="V97" t="str">
            <v>RL032.0G1W004</v>
          </cell>
          <cell r="W97">
            <v>502.88500000000005</v>
          </cell>
        </row>
        <row r="98">
          <cell r="V98" t="str">
            <v>RL065.0G1W001</v>
          </cell>
          <cell r="W98">
            <v>270469.49500000005</v>
          </cell>
        </row>
        <row r="99">
          <cell r="V99" t="str">
            <v>RL065.0G1W001COMM</v>
          </cell>
          <cell r="W99">
            <v>15178.949999999999</v>
          </cell>
        </row>
        <row r="100">
          <cell r="V100" t="str">
            <v>RL065.0G1W002</v>
          </cell>
          <cell r="W100">
            <v>3080.11</v>
          </cell>
        </row>
        <row r="101">
          <cell r="V101" t="str">
            <v>RL065.0G1W002COMM</v>
          </cell>
          <cell r="W101">
            <v>3303.8400000000006</v>
          </cell>
        </row>
        <row r="102">
          <cell r="V102" t="str">
            <v>RL065.0G1W003</v>
          </cell>
          <cell r="W102">
            <v>1860.7500000000002</v>
          </cell>
        </row>
        <row r="103">
          <cell r="V103" t="str">
            <v>RL065.0G1W005COMM</v>
          </cell>
          <cell r="W103">
            <v>2064.8399999999997</v>
          </cell>
        </row>
        <row r="104">
          <cell r="V104" t="str">
            <v>RL090.0G1W001</v>
          </cell>
          <cell r="W104">
            <v>480282.98</v>
          </cell>
        </row>
        <row r="105">
          <cell r="V105" t="str">
            <v>RL090.0G1W001COMM</v>
          </cell>
          <cell r="W105">
            <v>66345.48</v>
          </cell>
        </row>
        <row r="106">
          <cell r="V106" t="str">
            <v>RL090.0G1W002</v>
          </cell>
          <cell r="W106">
            <v>9665.31</v>
          </cell>
        </row>
        <row r="107">
          <cell r="V107" t="str">
            <v>RL090.0G1W002COMM</v>
          </cell>
          <cell r="W107">
            <v>12915.13</v>
          </cell>
        </row>
        <row r="108">
          <cell r="V108" t="str">
            <v>RL090.0G2W001COMM</v>
          </cell>
          <cell r="W108">
            <v>987.97000000000025</v>
          </cell>
        </row>
        <row r="109">
          <cell r="V109" t="str">
            <v>RL090.0G2W004COMM</v>
          </cell>
          <cell r="W109">
            <v>3951.6000000000008</v>
          </cell>
        </row>
        <row r="110">
          <cell r="V110" t="str">
            <v>RL1.5C-OC</v>
          </cell>
          <cell r="W110">
            <v>1261.1199999999997</v>
          </cell>
        </row>
        <row r="111">
          <cell r="V111" t="str">
            <v>RL1.5TC-COMM</v>
          </cell>
          <cell r="W111">
            <v>165.96</v>
          </cell>
        </row>
        <row r="112">
          <cell r="V112" t="str">
            <v>RL1C-OC</v>
          </cell>
          <cell r="W112">
            <v>343.43999999999994</v>
          </cell>
        </row>
        <row r="113">
          <cell r="V113" t="str">
            <v>RL1TC-COMM</v>
          </cell>
          <cell r="W113">
            <v>110.16</v>
          </cell>
        </row>
        <row r="114">
          <cell r="V114" t="str">
            <v>RL2C-OC</v>
          </cell>
          <cell r="W114">
            <v>1679.9599999999996</v>
          </cell>
        </row>
        <row r="115">
          <cell r="V115" t="str">
            <v>RL2TC-COMM</v>
          </cell>
          <cell r="W115">
            <v>1030.44</v>
          </cell>
        </row>
        <row r="116">
          <cell r="V116" t="str">
            <v>RL32C-OC</v>
          </cell>
          <cell r="W116">
            <v>197.88</v>
          </cell>
        </row>
        <row r="117">
          <cell r="V117" t="str">
            <v>RL32R-OC</v>
          </cell>
          <cell r="W117">
            <v>176.54</v>
          </cell>
        </row>
        <row r="118">
          <cell r="V118" t="str">
            <v>RL3C-OC</v>
          </cell>
          <cell r="W118">
            <v>916.63000000000011</v>
          </cell>
        </row>
        <row r="119">
          <cell r="V119" t="str">
            <v>RL3TC-COMM</v>
          </cell>
          <cell r="W119">
            <v>3024.9299999999994</v>
          </cell>
        </row>
        <row r="120">
          <cell r="V120" t="str">
            <v>RL4C-OC</v>
          </cell>
          <cell r="W120">
            <v>1341.99</v>
          </cell>
        </row>
        <row r="121">
          <cell r="V121" t="str">
            <v>RL4TC-COMM</v>
          </cell>
          <cell r="W121">
            <v>8038.7599999999993</v>
          </cell>
        </row>
        <row r="122">
          <cell r="V122" t="str">
            <v>RL6C-OC</v>
          </cell>
          <cell r="W122">
            <v>298.86</v>
          </cell>
        </row>
        <row r="123">
          <cell r="V123" t="str">
            <v>RL8C-OC</v>
          </cell>
          <cell r="W123">
            <v>176.15</v>
          </cell>
        </row>
        <row r="124">
          <cell r="V124" t="str">
            <v>RL90C-OC</v>
          </cell>
          <cell r="W124">
            <v>88.22999999999999</v>
          </cell>
        </row>
        <row r="125">
          <cell r="V125" t="str">
            <v>RL90R-OC</v>
          </cell>
          <cell r="W125">
            <v>214.37</v>
          </cell>
        </row>
        <row r="126">
          <cell r="V126" t="str">
            <v>ROLL-COMM</v>
          </cell>
          <cell r="W126">
            <v>212.04000000000008</v>
          </cell>
        </row>
        <row r="127">
          <cell r="V127" t="str">
            <v>ROSVC</v>
          </cell>
          <cell r="W127">
            <v>346.56</v>
          </cell>
        </row>
        <row r="128">
          <cell r="V128" t="str">
            <v>RRECWGBG</v>
          </cell>
          <cell r="W128">
            <v>4815.3600000000006</v>
          </cell>
        </row>
        <row r="129">
          <cell r="V129" t="str">
            <v>TRIP1-COMM</v>
          </cell>
          <cell r="W129">
            <v>80.66</v>
          </cell>
        </row>
        <row r="130">
          <cell r="V130" t="str">
            <v>TRIP-RES</v>
          </cell>
          <cell r="W130">
            <v>16.940000000000001</v>
          </cell>
        </row>
        <row r="131">
          <cell r="V131" t="str">
            <v>UNLCKC</v>
          </cell>
          <cell r="W131">
            <v>388.07999999999987</v>
          </cell>
        </row>
        <row r="132">
          <cell r="V132" t="str">
            <v>Grand Total</v>
          </cell>
          <cell r="W132">
            <v>2298966.7350000013</v>
          </cell>
        </row>
      </sheetData>
      <sheetData sheetId="16"/>
      <sheetData sheetId="17">
        <row r="2">
          <cell r="F2" t="str">
            <v>RL001.0Y1M001</v>
          </cell>
          <cell r="G2" t="str">
            <v>RL 1 YD 1X MO 1</v>
          </cell>
          <cell r="H2">
            <v>17.57</v>
          </cell>
        </row>
        <row r="3">
          <cell r="F3" t="str">
            <v>RL001.0Y1M001</v>
          </cell>
          <cell r="G3" t="str">
            <v>RL 1 YD 1X MO 1</v>
          </cell>
          <cell r="H3">
            <v>17.57</v>
          </cell>
        </row>
        <row r="4">
          <cell r="F4" t="str">
            <v>RL001.0Y1W001</v>
          </cell>
          <cell r="G4" t="str">
            <v>RL 1 YD 1X WK 1</v>
          </cell>
          <cell r="H4">
            <v>76.08</v>
          </cell>
        </row>
        <row r="5">
          <cell r="F5" t="str">
            <v>RL001.0Y1W001</v>
          </cell>
          <cell r="G5" t="str">
            <v>RL 1 YD 1X WK 1</v>
          </cell>
          <cell r="H5">
            <v>76.08</v>
          </cell>
        </row>
        <row r="6">
          <cell r="F6" t="str">
            <v>RL001.0Y3W001</v>
          </cell>
          <cell r="G6" t="str">
            <v>RL 1 YD 3X WK 1</v>
          </cell>
          <cell r="H6">
            <v>228.24</v>
          </cell>
        </row>
        <row r="7">
          <cell r="F7" t="str">
            <v>RL001.0Y3W001</v>
          </cell>
          <cell r="G7" t="str">
            <v>RL 1 YD 3X WK 1</v>
          </cell>
          <cell r="H7">
            <v>228.24</v>
          </cell>
        </row>
        <row r="8">
          <cell r="F8" t="str">
            <v>RL001.5Y1M001</v>
          </cell>
          <cell r="G8" t="str">
            <v>RL 1.5 YD 1X MO 1</v>
          </cell>
          <cell r="H8">
            <v>26.33</v>
          </cell>
        </row>
        <row r="9">
          <cell r="F9" t="str">
            <v>RL001.5Y1M001</v>
          </cell>
          <cell r="G9" t="str">
            <v>RL 1.5 YD 1X MO 1</v>
          </cell>
          <cell r="H9">
            <v>26.33</v>
          </cell>
        </row>
        <row r="10">
          <cell r="F10" t="str">
            <v>RL001.5Y1W001</v>
          </cell>
          <cell r="G10" t="str">
            <v>RL 1.5 YD 1X WK 1</v>
          </cell>
          <cell r="H10">
            <v>114.01</v>
          </cell>
        </row>
        <row r="11">
          <cell r="F11" t="str">
            <v>RL001.5Y1W001</v>
          </cell>
          <cell r="G11" t="str">
            <v>RL 1.5 YD 1X WK 1</v>
          </cell>
          <cell r="H11">
            <v>114.01</v>
          </cell>
        </row>
        <row r="12">
          <cell r="F12" t="str">
            <v>RL001.5Y1W002</v>
          </cell>
          <cell r="G12" t="str">
            <v>RL 1.5 YD 1X WK 2</v>
          </cell>
          <cell r="H12">
            <v>228.02</v>
          </cell>
        </row>
        <row r="13">
          <cell r="F13" t="str">
            <v>RL001.5Y1W002</v>
          </cell>
          <cell r="G13" t="str">
            <v>RL 1.5 YD 1X WK 2</v>
          </cell>
          <cell r="H13">
            <v>228.02</v>
          </cell>
        </row>
        <row r="14">
          <cell r="F14" t="str">
            <v>RL001.5Y1W003</v>
          </cell>
          <cell r="G14" t="str">
            <v>RL 1.5 YD 1X WK 3</v>
          </cell>
          <cell r="H14">
            <v>342.03</v>
          </cell>
        </row>
        <row r="15">
          <cell r="F15" t="str">
            <v>RL001.5Y1W003</v>
          </cell>
          <cell r="G15" t="str">
            <v>RL 1.5 YD 1X WK 3</v>
          </cell>
          <cell r="H15">
            <v>342.03</v>
          </cell>
        </row>
        <row r="16">
          <cell r="F16" t="str">
            <v>RL001.5Y2W001</v>
          </cell>
          <cell r="G16" t="str">
            <v>RL 1.5 YD 2X WK 1</v>
          </cell>
          <cell r="H16">
            <v>228.02</v>
          </cell>
        </row>
        <row r="17">
          <cell r="F17" t="str">
            <v>RL001.5Y2W001</v>
          </cell>
          <cell r="G17" t="str">
            <v>RL 1.5 YD 2X WK 1</v>
          </cell>
          <cell r="H17">
            <v>228.02</v>
          </cell>
        </row>
        <row r="18">
          <cell r="F18" t="str">
            <v>RL001.5Y3W001</v>
          </cell>
          <cell r="G18" t="str">
            <v>RL 1.5 YD 3X WK 1</v>
          </cell>
          <cell r="H18">
            <v>342.03</v>
          </cell>
        </row>
        <row r="19">
          <cell r="F19" t="str">
            <v>RL001.5Y3W001</v>
          </cell>
          <cell r="G19" t="str">
            <v>RL 1.5 YD 3X WK 1</v>
          </cell>
          <cell r="H19">
            <v>342.03</v>
          </cell>
        </row>
        <row r="20">
          <cell r="F20" t="str">
            <v>RL002.0Y1M001</v>
          </cell>
          <cell r="G20" t="str">
            <v>RL 2 YD 1X MO 1</v>
          </cell>
          <cell r="H20">
            <v>35.01</v>
          </cell>
        </row>
        <row r="21">
          <cell r="F21" t="str">
            <v>RL002.0Y1M001</v>
          </cell>
          <cell r="G21" t="str">
            <v>RL 2 YD 1X MO 1</v>
          </cell>
          <cell r="H21">
            <v>35.01</v>
          </cell>
        </row>
        <row r="22">
          <cell r="F22" t="str">
            <v>RL002.0Y1W001</v>
          </cell>
          <cell r="G22" t="str">
            <v>RL 2 YD 1X WK 1</v>
          </cell>
          <cell r="H22">
            <v>151.59</v>
          </cell>
        </row>
        <row r="23">
          <cell r="F23" t="str">
            <v>RL002.0Y1W001</v>
          </cell>
          <cell r="G23" t="str">
            <v>RL 2 YD 1X WK 1</v>
          </cell>
          <cell r="H23">
            <v>151.59</v>
          </cell>
        </row>
        <row r="24">
          <cell r="F24" t="str">
            <v>RL002.0Y2W001</v>
          </cell>
          <cell r="G24" t="str">
            <v>RL 2 YD 2X WK 1</v>
          </cell>
          <cell r="H24">
            <v>303.18</v>
          </cell>
        </row>
        <row r="25">
          <cell r="F25" t="str">
            <v>RL002.0Y2W001</v>
          </cell>
          <cell r="G25" t="str">
            <v>RL 2 YD 2X WK 1</v>
          </cell>
          <cell r="H25">
            <v>303.18</v>
          </cell>
        </row>
        <row r="26">
          <cell r="F26" t="str">
            <v>RL002.0Y3W001</v>
          </cell>
          <cell r="G26" t="str">
            <v>RL 2 YD 3X WK 1</v>
          </cell>
          <cell r="H26">
            <v>454.77</v>
          </cell>
        </row>
        <row r="27">
          <cell r="F27" t="str">
            <v>RL002.0Y3W001</v>
          </cell>
          <cell r="G27" t="str">
            <v>RL 2 YD 3X WK 1</v>
          </cell>
          <cell r="H27">
            <v>454.77</v>
          </cell>
        </row>
        <row r="28">
          <cell r="F28" t="str">
            <v>RL003.0Y1W001</v>
          </cell>
          <cell r="G28" t="str">
            <v>RL 3 YD 1X WK 1</v>
          </cell>
          <cell r="H28">
            <v>212.86</v>
          </cell>
        </row>
        <row r="29">
          <cell r="F29" t="str">
            <v>RL003.0Y1W001</v>
          </cell>
          <cell r="G29" t="str">
            <v>RL 3 YD 1X WK 1</v>
          </cell>
          <cell r="H29">
            <v>212.86</v>
          </cell>
        </row>
        <row r="30">
          <cell r="F30" t="str">
            <v>RL003.0Y1W002</v>
          </cell>
          <cell r="G30" t="str">
            <v>RL 3 YD 1X WK 2</v>
          </cell>
          <cell r="H30">
            <v>425.72</v>
          </cell>
        </row>
        <row r="31">
          <cell r="F31" t="str">
            <v>RL003.0Y1W002</v>
          </cell>
          <cell r="G31" t="str">
            <v>RL 3 YD 1X WK 2</v>
          </cell>
          <cell r="H31">
            <v>425.72</v>
          </cell>
        </row>
        <row r="32">
          <cell r="F32" t="str">
            <v>RL003.0Y2W001</v>
          </cell>
          <cell r="G32" t="str">
            <v>RL 3 YD 2X WK 1</v>
          </cell>
          <cell r="H32">
            <v>425.72</v>
          </cell>
        </row>
        <row r="33">
          <cell r="F33" t="str">
            <v>RL003.0Y2W001</v>
          </cell>
          <cell r="G33" t="str">
            <v>RL 3 YD 2X WK 1</v>
          </cell>
          <cell r="H33">
            <v>425.72</v>
          </cell>
        </row>
        <row r="34">
          <cell r="F34" t="str">
            <v>RL003.0Y3W001</v>
          </cell>
          <cell r="G34" t="str">
            <v>RL 3 YD 3X WK 1</v>
          </cell>
          <cell r="H34">
            <v>638.58000000000004</v>
          </cell>
        </row>
        <row r="35">
          <cell r="F35" t="str">
            <v>RL003.0Y3W001</v>
          </cell>
          <cell r="G35" t="str">
            <v>RL 3 YD 3X WK 1</v>
          </cell>
          <cell r="H35">
            <v>638.58000000000004</v>
          </cell>
        </row>
        <row r="36">
          <cell r="F36" t="str">
            <v>RL004.0Y1M001</v>
          </cell>
          <cell r="G36" t="str">
            <v>RL 4 YD 1X M0 1</v>
          </cell>
          <cell r="H36">
            <v>65.11</v>
          </cell>
        </row>
        <row r="37">
          <cell r="F37" t="str">
            <v>RL004.0Y1M001</v>
          </cell>
          <cell r="G37" t="str">
            <v>RL 4 YD 1X M0 1</v>
          </cell>
          <cell r="H37">
            <v>65.11</v>
          </cell>
        </row>
        <row r="38">
          <cell r="F38" t="str">
            <v>RL004.0Y1W001</v>
          </cell>
          <cell r="G38" t="str">
            <v>RL 4 YD 1X WK 1</v>
          </cell>
          <cell r="H38">
            <v>281.93</v>
          </cell>
        </row>
        <row r="39">
          <cell r="F39" t="str">
            <v>RL004.0Y1W001</v>
          </cell>
          <cell r="G39" t="str">
            <v>RL 4 YD 1X WK 1</v>
          </cell>
          <cell r="H39">
            <v>281.93</v>
          </cell>
        </row>
        <row r="40">
          <cell r="F40" t="str">
            <v>RL004.0Y1W002</v>
          </cell>
          <cell r="G40" t="str">
            <v>RL 4 YD 1X WK 2</v>
          </cell>
          <cell r="H40">
            <v>563.86</v>
          </cell>
        </row>
        <row r="41">
          <cell r="F41" t="str">
            <v>RL004.0Y1W002</v>
          </cell>
          <cell r="G41" t="str">
            <v>RL 4 YD 1X WK 2</v>
          </cell>
          <cell r="H41">
            <v>563.86</v>
          </cell>
        </row>
        <row r="42">
          <cell r="F42" t="str">
            <v>RL004.0Y2W001</v>
          </cell>
          <cell r="G42" t="str">
            <v>RL 4 YD 2X WK 1</v>
          </cell>
          <cell r="H42">
            <v>563.86</v>
          </cell>
        </row>
        <row r="43">
          <cell r="F43" t="str">
            <v>RL004.0Y2W001</v>
          </cell>
          <cell r="G43" t="str">
            <v>RL 4 YD 2X WK 1</v>
          </cell>
          <cell r="H43">
            <v>563.86</v>
          </cell>
        </row>
        <row r="44">
          <cell r="F44" t="str">
            <v>RL004.0Y3W001</v>
          </cell>
          <cell r="G44" t="str">
            <v>RL 4 YD 3X WK 1</v>
          </cell>
          <cell r="H44">
            <v>845.79</v>
          </cell>
        </row>
        <row r="45">
          <cell r="F45" t="str">
            <v>RL004.0Y3W001</v>
          </cell>
          <cell r="G45" t="str">
            <v>RL 4 YD 3X WK 1</v>
          </cell>
          <cell r="H45">
            <v>845.79</v>
          </cell>
        </row>
        <row r="46">
          <cell r="F46" t="str">
            <v>RL004.0Y4W001</v>
          </cell>
          <cell r="G46" t="str">
            <v>RL 4 YD 4X WK 1</v>
          </cell>
          <cell r="H46">
            <v>1127.72</v>
          </cell>
        </row>
        <row r="47">
          <cell r="F47" t="str">
            <v>RL004.0Y4W001</v>
          </cell>
          <cell r="G47" t="str">
            <v>RL 4 YD 4X WK 1</v>
          </cell>
          <cell r="H47">
            <v>1127.72</v>
          </cell>
        </row>
        <row r="48">
          <cell r="F48" t="str">
            <v>RL006.0Y1W001</v>
          </cell>
          <cell r="G48" t="str">
            <v>RL 6 YD 1X WK 1</v>
          </cell>
          <cell r="H48">
            <v>409.1</v>
          </cell>
        </row>
        <row r="49">
          <cell r="F49" t="str">
            <v>RL006.0Y1W001</v>
          </cell>
          <cell r="G49" t="str">
            <v>RL 6 YD 1X WK 1</v>
          </cell>
          <cell r="H49">
            <v>409.1</v>
          </cell>
        </row>
        <row r="50">
          <cell r="F50" t="str">
            <v>RL006.0Y1W002</v>
          </cell>
          <cell r="G50" t="str">
            <v>RL 6 YD 1X WK 2</v>
          </cell>
          <cell r="H50">
            <v>818.2</v>
          </cell>
        </row>
        <row r="51">
          <cell r="F51" t="str">
            <v>RL006.0Y1W002</v>
          </cell>
          <cell r="G51" t="str">
            <v>RL 6 YD 1X WK 2</v>
          </cell>
          <cell r="H51">
            <v>818.2</v>
          </cell>
        </row>
        <row r="52">
          <cell r="F52" t="str">
            <v>RL006.0Y2W001</v>
          </cell>
          <cell r="G52" t="str">
            <v>RL 6 YD 2X WK 1</v>
          </cell>
          <cell r="H52">
            <v>818.2</v>
          </cell>
        </row>
        <row r="53">
          <cell r="F53" t="str">
            <v>RL006.0Y2W001</v>
          </cell>
          <cell r="G53" t="str">
            <v>RL 6 YD 2X WK 1</v>
          </cell>
          <cell r="H53">
            <v>818.2</v>
          </cell>
        </row>
        <row r="54">
          <cell r="F54" t="str">
            <v>RL006.0Y4W001</v>
          </cell>
          <cell r="G54" t="str">
            <v>RL 6 YD 4X WK 1</v>
          </cell>
          <cell r="H54">
            <v>1636.4</v>
          </cell>
        </row>
        <row r="55">
          <cell r="F55" t="str">
            <v>RL006.0Y4W001</v>
          </cell>
          <cell r="G55" t="str">
            <v>RL 6 YD 4X WK 1</v>
          </cell>
          <cell r="H55">
            <v>1636.4</v>
          </cell>
        </row>
        <row r="56">
          <cell r="F56" t="str">
            <v>RL008.0Y1W001</v>
          </cell>
          <cell r="G56" t="str">
            <v>RL 8 YD 1X WK 1</v>
          </cell>
          <cell r="H56">
            <v>536.79</v>
          </cell>
        </row>
        <row r="57">
          <cell r="F57" t="str">
            <v>RL008.0Y1W001</v>
          </cell>
          <cell r="G57" t="str">
            <v>RL 8 YD 1X WK 1</v>
          </cell>
          <cell r="H57">
            <v>536.79</v>
          </cell>
        </row>
        <row r="58">
          <cell r="F58" t="str">
            <v>RL008.0Y3W001</v>
          </cell>
          <cell r="G58" t="str">
            <v>RL 8 YD 3X WK 1</v>
          </cell>
          <cell r="H58">
            <v>1610.37</v>
          </cell>
        </row>
        <row r="59">
          <cell r="F59" t="str">
            <v>RL008.0Y3W001</v>
          </cell>
          <cell r="G59" t="str">
            <v>RL 8 YD 3X WK 1</v>
          </cell>
          <cell r="H59">
            <v>1610.37</v>
          </cell>
        </row>
        <row r="60">
          <cell r="F60" t="str">
            <v>RL032.0G1W001COMM</v>
          </cell>
          <cell r="G60" t="str">
            <v>RL 32 GL 1X WK COMM 1</v>
          </cell>
          <cell r="H60">
            <v>19.12</v>
          </cell>
        </row>
        <row r="61">
          <cell r="F61" t="str">
            <v>RL032.0G1W001COMM</v>
          </cell>
          <cell r="G61" t="str">
            <v>RL 32 GL 1X WK COMM 1</v>
          </cell>
          <cell r="H61">
            <v>19.12</v>
          </cell>
        </row>
        <row r="62">
          <cell r="F62" t="str">
            <v>RL032.0G1W002COMM</v>
          </cell>
          <cell r="G62" t="str">
            <v>RL 32 GL 1X WK COMM 2</v>
          </cell>
          <cell r="H62">
            <v>36.72</v>
          </cell>
        </row>
        <row r="63">
          <cell r="F63" t="str">
            <v>RL032.0G1W002COMM</v>
          </cell>
          <cell r="G63" t="str">
            <v>RL 32 GL 1X WK COMM 2</v>
          </cell>
          <cell r="H63">
            <v>36.72</v>
          </cell>
        </row>
        <row r="64">
          <cell r="F64" t="str">
            <v>RL032.0G1W003COMM</v>
          </cell>
          <cell r="G64" t="str">
            <v>RL 32 GL 1X WK COMM 3</v>
          </cell>
          <cell r="H64">
            <v>55.08</v>
          </cell>
        </row>
        <row r="65">
          <cell r="F65" t="str">
            <v>RL032.0G1W003COMM</v>
          </cell>
          <cell r="G65" t="str">
            <v>RL 32 GL 1X WK COMM 3</v>
          </cell>
          <cell r="H65">
            <v>55.08</v>
          </cell>
        </row>
        <row r="66">
          <cell r="F66" t="str">
            <v>RL065.0G1W001COMM</v>
          </cell>
          <cell r="G66" t="str">
            <v>RL 65 GL 1X WK COMM 1</v>
          </cell>
          <cell r="H66">
            <v>35.9</v>
          </cell>
        </row>
        <row r="67">
          <cell r="F67" t="str">
            <v>RL065.0G1W001COMM</v>
          </cell>
          <cell r="G67" t="str">
            <v>RL 65 GL 1X WK COMM 1</v>
          </cell>
          <cell r="H67">
            <v>35.9</v>
          </cell>
        </row>
        <row r="68">
          <cell r="F68" t="str">
            <v>RL065.0G1W002COMM</v>
          </cell>
          <cell r="G68" t="str">
            <v>RL 65 GL 1X WK COMM 2</v>
          </cell>
          <cell r="H68">
            <v>71.8</v>
          </cell>
        </row>
        <row r="69">
          <cell r="F69" t="str">
            <v>RL065.0G1W002COMM</v>
          </cell>
          <cell r="G69" t="str">
            <v>RL 65 GL 1X WK COMM 2</v>
          </cell>
          <cell r="H69">
            <v>71.8</v>
          </cell>
        </row>
        <row r="70">
          <cell r="F70" t="str">
            <v>RL065.0G1W005COMM</v>
          </cell>
          <cell r="G70" t="str">
            <v>RL 65 GL 1X WK COMM 5</v>
          </cell>
          <cell r="H70">
            <v>179.5</v>
          </cell>
        </row>
        <row r="71">
          <cell r="F71" t="str">
            <v>RL065.0G1W005COMM</v>
          </cell>
          <cell r="G71" t="str">
            <v>RL 65 GL 1X WK COMM 5</v>
          </cell>
          <cell r="H71">
            <v>179.5</v>
          </cell>
        </row>
        <row r="72">
          <cell r="F72" t="str">
            <v>RL090.0G1W001COMM</v>
          </cell>
          <cell r="G72" t="str">
            <v>RL 90 GL 1X WK COMM 1</v>
          </cell>
          <cell r="H72">
            <v>44.06</v>
          </cell>
        </row>
        <row r="73">
          <cell r="F73" t="str">
            <v>RL090.0G1W001COMM</v>
          </cell>
          <cell r="G73" t="str">
            <v>RL 90 GL 1X WK COMM 1</v>
          </cell>
          <cell r="H73">
            <v>44.06</v>
          </cell>
        </row>
        <row r="74">
          <cell r="F74" t="str">
            <v>RL090.0G1W002COMM</v>
          </cell>
          <cell r="G74" t="str">
            <v>RL 90 GL 1X WK COMM 2</v>
          </cell>
          <cell r="H74">
            <v>88.08</v>
          </cell>
        </row>
        <row r="75">
          <cell r="F75" t="str">
            <v>RL090.0G1W002COMM</v>
          </cell>
          <cell r="G75" t="str">
            <v>RL 90 GL 1X WK COMM 2</v>
          </cell>
          <cell r="H75">
            <v>88.08</v>
          </cell>
        </row>
        <row r="76">
          <cell r="F76" t="str">
            <v>RL090.0G2W001COMM</v>
          </cell>
          <cell r="G76" t="str">
            <v>RL 90 GL 2X WK COMM 1</v>
          </cell>
          <cell r="H76">
            <v>88.08</v>
          </cell>
        </row>
        <row r="77">
          <cell r="F77" t="str">
            <v>RL090.0G2W001COMM</v>
          </cell>
          <cell r="G77" t="str">
            <v>RL 90 GL 2X WK COMM 1</v>
          </cell>
          <cell r="H77">
            <v>88.08</v>
          </cell>
        </row>
        <row r="78">
          <cell r="F78" t="str">
            <v>RL090.0G2W004COMM</v>
          </cell>
          <cell r="G78" t="str">
            <v>RL 90 GL 2X WK COMM 4</v>
          </cell>
          <cell r="H78">
            <v>352.28</v>
          </cell>
        </row>
        <row r="79">
          <cell r="F79" t="str">
            <v>RL090.0G2W004COMM</v>
          </cell>
          <cell r="G79" t="str">
            <v>RL 90 GL 2X WK COMM 4</v>
          </cell>
          <cell r="H79">
            <v>352.28</v>
          </cell>
        </row>
        <row r="80">
          <cell r="F80" t="str">
            <v>EXTRA-COMM</v>
          </cell>
          <cell r="G80" t="str">
            <v>EXTRA CAN, BAG, BOX-COMM</v>
          </cell>
          <cell r="H80">
            <v>4.24</v>
          </cell>
        </row>
        <row r="81">
          <cell r="F81" t="str">
            <v>EXTRA-COMM</v>
          </cell>
          <cell r="G81" t="str">
            <v>EXTRA CAN, BAG, BOX-COMM</v>
          </cell>
          <cell r="H81">
            <v>4.24</v>
          </cell>
        </row>
        <row r="82">
          <cell r="F82" t="str">
            <v>EXTRAYDG-COMM</v>
          </cell>
          <cell r="G82" t="str">
            <v>EXTRA YARDAGE - COMM</v>
          </cell>
          <cell r="H82">
            <v>22.61</v>
          </cell>
        </row>
        <row r="83">
          <cell r="F83" t="str">
            <v>EXTRAYDG-COMM</v>
          </cell>
          <cell r="G83" t="str">
            <v>EXTRA YARDAGE - COMM</v>
          </cell>
          <cell r="H83">
            <v>22.61</v>
          </cell>
        </row>
        <row r="84">
          <cell r="F84" t="str">
            <v>OFOWCONT-COMM</v>
          </cell>
          <cell r="G84" t="str">
            <v>OVERFILL/WEIGHT CONT-COMM</v>
          </cell>
          <cell r="H84">
            <v>22.61</v>
          </cell>
        </row>
        <row r="85">
          <cell r="F85" t="str">
            <v>OFOWCONT-COMM</v>
          </cell>
          <cell r="G85" t="str">
            <v>OVERFILL/WEIGHT CONT-COMM</v>
          </cell>
          <cell r="H85">
            <v>22.61</v>
          </cell>
        </row>
        <row r="86">
          <cell r="F86" t="str">
            <v>OS-COMM</v>
          </cell>
          <cell r="G86" t="str">
            <v>OVERSIZE CAN - COMM</v>
          </cell>
          <cell r="H86">
            <v>4.22</v>
          </cell>
        </row>
        <row r="87">
          <cell r="F87" t="str">
            <v>OS-COMM</v>
          </cell>
          <cell r="G87" t="str">
            <v>OVERSIZE CAN - COMM</v>
          </cell>
          <cell r="H87">
            <v>4.22</v>
          </cell>
        </row>
        <row r="88">
          <cell r="F88" t="str">
            <v>OW-COMM</v>
          </cell>
          <cell r="G88" t="str">
            <v>OVERFILL/WEIGHT CAN-COMM</v>
          </cell>
          <cell r="H88">
            <v>4.22</v>
          </cell>
        </row>
        <row r="89">
          <cell r="F89" t="str">
            <v>OW-COMM</v>
          </cell>
          <cell r="G89" t="str">
            <v>OVERFILL/WEIGHT CAN-COMM</v>
          </cell>
          <cell r="H89">
            <v>4.22</v>
          </cell>
        </row>
        <row r="90">
          <cell r="F90" t="str">
            <v>RL1.5C-OC</v>
          </cell>
          <cell r="G90" t="str">
            <v>1 RL 1.5 YD ON CALL-COMM</v>
          </cell>
          <cell r="H90">
            <v>67.13</v>
          </cell>
        </row>
        <row r="91">
          <cell r="F91" t="str">
            <v>RL1.5C-OC</v>
          </cell>
          <cell r="G91" t="str">
            <v>1 RL 1.5 YD ON CALL-COMM</v>
          </cell>
          <cell r="H91">
            <v>67.13</v>
          </cell>
        </row>
        <row r="92">
          <cell r="F92" t="str">
            <v>RL1.5TC-COMM</v>
          </cell>
          <cell r="G92" t="str">
            <v>RL TEMPORARY 1.5 YD-COMM</v>
          </cell>
          <cell r="H92">
            <v>32.409999999999997</v>
          </cell>
        </row>
        <row r="93">
          <cell r="F93" t="str">
            <v>RL1.5TC-COMM</v>
          </cell>
          <cell r="G93" t="str">
            <v>RL TEMPORARY 1.5 YD-COMM</v>
          </cell>
          <cell r="H93">
            <v>32.409999999999997</v>
          </cell>
        </row>
        <row r="94">
          <cell r="F94" t="str">
            <v>RL1C-OC</v>
          </cell>
          <cell r="G94" t="str">
            <v>1 RL 1 YD ON CALL-COMM</v>
          </cell>
          <cell r="H94">
            <v>47.24</v>
          </cell>
        </row>
        <row r="95">
          <cell r="F95" t="str">
            <v>RL1C-OC</v>
          </cell>
          <cell r="G95" t="str">
            <v>1 RL 1 YD ON CALL-COMM</v>
          </cell>
          <cell r="H95">
            <v>47.24</v>
          </cell>
        </row>
        <row r="96">
          <cell r="F96" t="str">
            <v>RL1TC-COMM</v>
          </cell>
          <cell r="G96" t="str">
            <v>RL TEMPORARY 1 YD-COMM</v>
          </cell>
          <cell r="H96">
            <v>21.53</v>
          </cell>
        </row>
        <row r="97">
          <cell r="F97" t="str">
            <v>RL1TC-COMM</v>
          </cell>
          <cell r="G97" t="str">
            <v>RL TEMPORARY 1 YD-COMM</v>
          </cell>
          <cell r="H97">
            <v>21.53</v>
          </cell>
        </row>
        <row r="98">
          <cell r="F98" t="str">
            <v>RL2C-OC</v>
          </cell>
          <cell r="G98" t="str">
            <v>1 RL 2 YD ON CALL-COMM</v>
          </cell>
          <cell r="H98">
            <v>78.3</v>
          </cell>
        </row>
        <row r="99">
          <cell r="F99" t="str">
            <v>RL2C-OC</v>
          </cell>
          <cell r="G99" t="str">
            <v>1 RL 2 YD ON CALL-COMM</v>
          </cell>
          <cell r="H99">
            <v>78.3</v>
          </cell>
        </row>
        <row r="100">
          <cell r="F100" t="str">
            <v>RL2TC-COMM</v>
          </cell>
          <cell r="G100" t="str">
            <v>RL TEMPORARY 2 YD-COMM</v>
          </cell>
          <cell r="H100">
            <v>41.53</v>
          </cell>
        </row>
        <row r="101">
          <cell r="F101" t="str">
            <v>RL2TC-COMM</v>
          </cell>
          <cell r="G101" t="str">
            <v>RL TEMPORARY 2 YD-COMM</v>
          </cell>
          <cell r="H101">
            <v>41.53</v>
          </cell>
        </row>
        <row r="102">
          <cell r="F102" t="str">
            <v>RL32C-OC</v>
          </cell>
          <cell r="G102" t="str">
            <v>1 RL 32 GL ON CALL - COMM</v>
          </cell>
          <cell r="H102">
            <v>13.01</v>
          </cell>
        </row>
        <row r="103">
          <cell r="F103" t="str">
            <v>RL32C-OC</v>
          </cell>
          <cell r="G103" t="str">
            <v>1 RL 32 GL ON CALL - COMM</v>
          </cell>
          <cell r="H103">
            <v>13.01</v>
          </cell>
        </row>
        <row r="104">
          <cell r="F104" t="str">
            <v>RL3C-OC</v>
          </cell>
          <cell r="G104" t="str">
            <v>1 RL 3 YD ON CALL-COMM</v>
          </cell>
          <cell r="H104">
            <v>103.13</v>
          </cell>
        </row>
        <row r="105">
          <cell r="F105" t="str">
            <v>RL3C-OC</v>
          </cell>
          <cell r="G105" t="str">
            <v>1 RL 3 YD ON CALL-COMM</v>
          </cell>
          <cell r="H105">
            <v>103.13</v>
          </cell>
        </row>
        <row r="106">
          <cell r="F106" t="str">
            <v>RL3TC-COMM</v>
          </cell>
          <cell r="G106" t="str">
            <v>RL TEMPORARY 3 YD - COMM</v>
          </cell>
          <cell r="H106">
            <v>58.44</v>
          </cell>
        </row>
        <row r="107">
          <cell r="F107" t="str">
            <v>RL3TC-COMM</v>
          </cell>
          <cell r="G107" t="str">
            <v>RL TEMPORARY 3 YD - COMM</v>
          </cell>
          <cell r="H107">
            <v>58.44</v>
          </cell>
        </row>
        <row r="108">
          <cell r="F108" t="str">
            <v>RL4C-OC</v>
          </cell>
          <cell r="G108" t="str">
            <v>1 RL 4 YD ON CALL-COMM</v>
          </cell>
          <cell r="H108">
            <v>121.15</v>
          </cell>
        </row>
        <row r="109">
          <cell r="F109" t="str">
            <v>RL4C-OC</v>
          </cell>
          <cell r="G109" t="str">
            <v>1 RL 4 YD ON CALL-COMM</v>
          </cell>
          <cell r="H109">
            <v>121.15</v>
          </cell>
        </row>
        <row r="110">
          <cell r="F110" t="str">
            <v>RL4TC-COMM</v>
          </cell>
          <cell r="G110" t="str">
            <v>RL TEMPORARY 4 YD-COMM</v>
          </cell>
          <cell r="H110">
            <v>78</v>
          </cell>
        </row>
        <row r="111">
          <cell r="F111" t="str">
            <v>RL4TC-COMM</v>
          </cell>
          <cell r="G111" t="str">
            <v>RL TEMPORARY 4 YD-COMM</v>
          </cell>
          <cell r="H111">
            <v>78</v>
          </cell>
        </row>
        <row r="112">
          <cell r="F112" t="str">
            <v>RL020.0G1W001</v>
          </cell>
          <cell r="G112" t="str">
            <v>RL 20 GL 1X WK 1</v>
          </cell>
          <cell r="H112">
            <v>30.42</v>
          </cell>
        </row>
        <row r="113">
          <cell r="F113" t="str">
            <v>RL020.0G1W001</v>
          </cell>
          <cell r="G113" t="str">
            <v>RL 20 GL 1X WK 1</v>
          </cell>
          <cell r="H113">
            <v>30.42</v>
          </cell>
        </row>
        <row r="114">
          <cell r="F114" t="str">
            <v>RL032.0G1M001</v>
          </cell>
          <cell r="G114" t="str">
            <v>RL 32 GL 1X MO 1</v>
          </cell>
          <cell r="H114">
            <v>23.72</v>
          </cell>
        </row>
        <row r="115">
          <cell r="F115" t="str">
            <v>RL032.0G1M001</v>
          </cell>
          <cell r="G115" t="str">
            <v>RL 32 GL 1X MO 1</v>
          </cell>
          <cell r="H115">
            <v>23.72</v>
          </cell>
        </row>
        <row r="116">
          <cell r="F116" t="str">
            <v>RL032.0G1W001</v>
          </cell>
          <cell r="G116" t="str">
            <v>RL 32 GL 1X WK 1</v>
          </cell>
          <cell r="H116">
            <v>37.340000000000003</v>
          </cell>
        </row>
        <row r="117">
          <cell r="F117" t="str">
            <v>RL032.0G1W001</v>
          </cell>
          <cell r="G117" t="str">
            <v>RL 32 GL 1X WK 1</v>
          </cell>
          <cell r="H117">
            <v>37.340000000000003</v>
          </cell>
        </row>
        <row r="118">
          <cell r="F118" t="str">
            <v>RL032.0G1W002</v>
          </cell>
          <cell r="G118" t="str">
            <v>RL 32 GL 1X WK 2</v>
          </cell>
          <cell r="H118">
            <v>52.72</v>
          </cell>
        </row>
        <row r="119">
          <cell r="F119" t="str">
            <v>RL032.0G1W002</v>
          </cell>
          <cell r="G119" t="str">
            <v>RL 32 GL 1X WK 2</v>
          </cell>
          <cell r="H119">
            <v>52.72</v>
          </cell>
        </row>
        <row r="120">
          <cell r="F120" t="str">
            <v>RL032.0G1W003</v>
          </cell>
          <cell r="G120" t="str">
            <v>RL 32 GL 1X WK 3</v>
          </cell>
          <cell r="H120">
            <v>75.22</v>
          </cell>
        </row>
        <row r="121">
          <cell r="F121" t="str">
            <v>RL032.0G1W003</v>
          </cell>
          <cell r="G121" t="str">
            <v>RL 32 GL 1X WK 3</v>
          </cell>
          <cell r="H121">
            <v>75.22</v>
          </cell>
        </row>
        <row r="122">
          <cell r="F122" t="str">
            <v>RL032.0G1W004</v>
          </cell>
          <cell r="G122" t="str">
            <v>RL 32 GL 1X WK 4</v>
          </cell>
          <cell r="H122">
            <v>108.88</v>
          </cell>
        </row>
        <row r="123">
          <cell r="F123" t="str">
            <v>RL032.0G1W004</v>
          </cell>
          <cell r="G123" t="str">
            <v>RL 32 GL 1X WK 4</v>
          </cell>
          <cell r="H123">
            <v>108.88</v>
          </cell>
        </row>
        <row r="124">
          <cell r="F124" t="str">
            <v>RL065.0G1W001</v>
          </cell>
          <cell r="G124" t="str">
            <v>RL 65 GL 1X WK 1</v>
          </cell>
          <cell r="H124">
            <v>56.26</v>
          </cell>
        </row>
        <row r="125">
          <cell r="F125" t="str">
            <v>RL065.0G1W001</v>
          </cell>
          <cell r="G125" t="str">
            <v>RL 65 GL 1X WK 1</v>
          </cell>
          <cell r="H125">
            <v>56.26</v>
          </cell>
        </row>
        <row r="126">
          <cell r="F126" t="str">
            <v>RL090.0G1W001</v>
          </cell>
          <cell r="G126" t="str">
            <v>RL 90 GL 1X WK 1</v>
          </cell>
          <cell r="H126">
            <v>70.260000000000005</v>
          </cell>
        </row>
        <row r="127">
          <cell r="F127" t="str">
            <v>RL090.0G1W001</v>
          </cell>
          <cell r="G127" t="str">
            <v>RL 90 GL 1X WK 1</v>
          </cell>
          <cell r="H127">
            <v>70.260000000000005</v>
          </cell>
        </row>
        <row r="128">
          <cell r="F128" t="str">
            <v>RL090.0G1W002</v>
          </cell>
          <cell r="G128" t="str">
            <v>RL 90 GL 1X WK 2</v>
          </cell>
          <cell r="H128">
            <v>140.52000000000001</v>
          </cell>
        </row>
        <row r="129">
          <cell r="F129" t="str">
            <v>RL090.0G1W002</v>
          </cell>
          <cell r="G129" t="str">
            <v>RL 90 GL 1X WK 2</v>
          </cell>
          <cell r="H129">
            <v>140.52000000000001</v>
          </cell>
        </row>
        <row r="130">
          <cell r="F130" t="str">
            <v>RL065.0G1W002</v>
          </cell>
          <cell r="G130" t="str">
            <v>RL 65 GL 1X WK 2</v>
          </cell>
          <cell r="H130">
            <v>106.72</v>
          </cell>
        </row>
        <row r="131">
          <cell r="F131" t="str">
            <v>RL065.0G1W002</v>
          </cell>
          <cell r="G131" t="str">
            <v>RL 65 GL 1X WK 2</v>
          </cell>
          <cell r="H131">
            <v>106.72</v>
          </cell>
        </row>
        <row r="132">
          <cell r="F132" t="str">
            <v>RL065.0G1W003</v>
          </cell>
          <cell r="G132" t="str">
            <v>RL 65 GL 1X WK 3</v>
          </cell>
          <cell r="H132">
            <v>160.08000000000001</v>
          </cell>
        </row>
        <row r="133">
          <cell r="F133" t="str">
            <v>RL065.0G1W003</v>
          </cell>
          <cell r="G133" t="str">
            <v>RL 65 GL 1X WK 3</v>
          </cell>
          <cell r="H133">
            <v>160.08000000000001</v>
          </cell>
        </row>
        <row r="134">
          <cell r="F134" t="str">
            <v>RL090.0G1W003</v>
          </cell>
          <cell r="G134" t="str">
            <v>RL 90 GL 1X WK 3</v>
          </cell>
          <cell r="H134">
            <v>199.92</v>
          </cell>
        </row>
        <row r="135">
          <cell r="F135" t="str">
            <v>RL090.0G1W003</v>
          </cell>
          <cell r="G135" t="str">
            <v>RL 90 GL 1X WK 3</v>
          </cell>
          <cell r="H135">
            <v>199.92</v>
          </cell>
        </row>
        <row r="136">
          <cell r="F136" t="str">
            <v>BULKY-RES</v>
          </cell>
          <cell r="G136" t="str">
            <v>BULKY ITEM PICK UP-RES</v>
          </cell>
          <cell r="H136">
            <v>22.61</v>
          </cell>
        </row>
        <row r="137">
          <cell r="F137" t="str">
            <v>BULKY-RES</v>
          </cell>
          <cell r="G137" t="str">
            <v>BULKY ITEM PICK UP-RES</v>
          </cell>
          <cell r="H137">
            <v>22.61</v>
          </cell>
        </row>
        <row r="138">
          <cell r="F138" t="str">
            <v>EXTRA-RES</v>
          </cell>
          <cell r="G138" t="str">
            <v>EXTRA CAN, BAG, BOX-RES</v>
          </cell>
          <cell r="H138">
            <v>4.4400000000000004</v>
          </cell>
        </row>
        <row r="139">
          <cell r="F139" t="str">
            <v>EXTRA-RES</v>
          </cell>
          <cell r="G139" t="str">
            <v>EXTRA CAN, BAG, BOX-RES</v>
          </cell>
          <cell r="H139">
            <v>4.4400000000000004</v>
          </cell>
        </row>
        <row r="140">
          <cell r="F140" t="str">
            <v>EXTRYDG-RES</v>
          </cell>
          <cell r="G140" t="str">
            <v>EXTRA YARDAGE - RES</v>
          </cell>
          <cell r="H140">
            <v>22.61</v>
          </cell>
        </row>
        <row r="141">
          <cell r="F141" t="str">
            <v>EXTRYDG-RES</v>
          </cell>
          <cell r="G141" t="str">
            <v>EXTRA YARDAGE - RES</v>
          </cell>
          <cell r="H141">
            <v>22.61</v>
          </cell>
        </row>
        <row r="142">
          <cell r="F142" t="str">
            <v>OS-RES</v>
          </cell>
          <cell r="G142" t="str">
            <v>OVERSIZE CAN - RES</v>
          </cell>
          <cell r="H142">
            <v>4.4400000000000004</v>
          </cell>
        </row>
        <row r="143">
          <cell r="F143" t="str">
            <v>OS-RES</v>
          </cell>
          <cell r="G143" t="str">
            <v>OVERSIZE CAN - RES</v>
          </cell>
          <cell r="H143">
            <v>4.4400000000000004</v>
          </cell>
        </row>
        <row r="144">
          <cell r="F144" t="str">
            <v>OW-RES</v>
          </cell>
          <cell r="G144" t="str">
            <v>OVERFILL/WEIGHT CAN-RES</v>
          </cell>
          <cell r="H144">
            <v>4.4400000000000004</v>
          </cell>
        </row>
        <row r="145">
          <cell r="F145" t="str">
            <v>OW-RES</v>
          </cell>
          <cell r="G145" t="str">
            <v>OVERFILL/WEIGHT CAN-RES</v>
          </cell>
          <cell r="H145">
            <v>4.4400000000000004</v>
          </cell>
        </row>
        <row r="146">
          <cell r="F146" t="str">
            <v>RL32R-OC</v>
          </cell>
          <cell r="G146" t="str">
            <v>1 RL 32 GL ON CALL-RES</v>
          </cell>
          <cell r="H146">
            <v>13.01</v>
          </cell>
        </row>
        <row r="147">
          <cell r="F147" t="str">
            <v>RL32R-OC</v>
          </cell>
          <cell r="G147" t="str">
            <v>1 RL 32 GL ON CALL-RES</v>
          </cell>
          <cell r="H147">
            <v>13.01</v>
          </cell>
        </row>
      </sheetData>
      <sheetData sheetId="18"/>
      <sheetData sheetId="1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0 BS"/>
      <sheetName val="2120 IS"/>
      <sheetName val="Consolidated IS"/>
      <sheetName val="Restating Adj's"/>
      <sheetName val="Pro Forma Adj's"/>
      <sheetName val="Ratios"/>
      <sheetName val="LG"/>
      <sheetName val="LG - Packer,RO"/>
      <sheetName val="LG - Recycle"/>
      <sheetName val="Spokane Reg - Price out"/>
      <sheetName val="Whitman Reg - Price Out"/>
      <sheetName val="Rate Sheet"/>
      <sheetName val="References"/>
      <sheetName val="2120 Depr Summary"/>
      <sheetName val="2120 Depr"/>
      <sheetName val="Disposal"/>
      <sheetName val="40131 Disposal"/>
      <sheetName val="Empire Payroll"/>
      <sheetName val="DivCon-DVP Alloc In"/>
      <sheetName val="Corp-OH"/>
      <sheetName val="Region OH Calc"/>
      <sheetName val="Corp-BS"/>
      <sheetName val="Corp-IS"/>
      <sheetName val="B&amp;O Taxes"/>
      <sheetName val="70095 Detail"/>
      <sheetName val="70195 Detail"/>
      <sheetName val="Empire BS 6-30-15"/>
      <sheetName val="Sheet7"/>
    </sheetNames>
    <sheetDataSet>
      <sheetData sheetId="0"/>
      <sheetData sheetId="1"/>
      <sheetData sheetId="2">
        <row r="25">
          <cell r="A25">
            <v>41150</v>
          </cell>
          <cell r="B25" t="str">
            <v>Wages Mechanics</v>
          </cell>
        </row>
        <row r="87">
          <cell r="A87">
            <v>59344</v>
          </cell>
          <cell r="B87" t="str">
            <v>WC - Prior Year Claims</v>
          </cell>
        </row>
        <row r="88">
          <cell r="A88">
            <v>45300</v>
          </cell>
        </row>
        <row r="141">
          <cell r="A141">
            <v>70095</v>
          </cell>
          <cell r="B141" t="str">
            <v>Employee Comm Activity</v>
          </cell>
        </row>
        <row r="147">
          <cell r="A147">
            <v>70195</v>
          </cell>
          <cell r="B147" t="str">
            <v>Dues and Subscriptions</v>
          </cell>
        </row>
        <row r="162">
          <cell r="A162">
            <v>51260</v>
          </cell>
          <cell r="B162" t="str">
            <v>Depreciation Trks</v>
          </cell>
        </row>
        <row r="163">
          <cell r="A163">
            <v>54260</v>
          </cell>
          <cell r="B163" t="str">
            <v>Depreciation Cont, DB</v>
          </cell>
        </row>
        <row r="164">
          <cell r="A164">
            <v>0</v>
          </cell>
          <cell r="B164" t="str">
            <v>Depreciation Service</v>
          </cell>
        </row>
        <row r="165">
          <cell r="A165">
            <v>57260</v>
          </cell>
          <cell r="B165" t="str">
            <v>Depreciation Shop</v>
          </cell>
        </row>
        <row r="166">
          <cell r="A166">
            <v>70260</v>
          </cell>
          <cell r="B166" t="str">
            <v>Depreciation Office</v>
          </cell>
        </row>
        <row r="167">
          <cell r="A167">
            <v>0</v>
          </cell>
          <cell r="B167" t="str">
            <v>Leasehold Improvements</v>
          </cell>
        </row>
      </sheetData>
      <sheetData sheetId="3"/>
      <sheetData sheetId="4"/>
      <sheetData sheetId="5">
        <row r="17">
          <cell r="C17">
            <v>0.84410883430939443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Study Summary"/>
      <sheetName val="1.2.2018-1.5.2018"/>
      <sheetName val="1.8.2018-1.12.2018"/>
      <sheetName val="1.15.2018-1.19.2018"/>
      <sheetName val="1.22.2018-1.26.2018"/>
    </sheetNames>
    <sheetDataSet>
      <sheetData sheetId="0">
        <row r="6">
          <cell r="B6">
            <v>226.75</v>
          </cell>
          <cell r="C6">
            <v>74.625</v>
          </cell>
          <cell r="D6">
            <v>19.25</v>
          </cell>
        </row>
        <row r="8">
          <cell r="B8">
            <v>0.5</v>
          </cell>
          <cell r="D8">
            <v>4.25</v>
          </cell>
        </row>
        <row r="10">
          <cell r="B10">
            <v>9.625</v>
          </cell>
          <cell r="D10">
            <v>1.75</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Area Disposal"/>
      <sheetName val="References"/>
      <sheetName val="Allocations 2017"/>
      <sheetName val="Spokane Reg"/>
      <sheetName val="Whitman Reg"/>
      <sheetName val="Spokane Non-Reg"/>
      <sheetName val="Whitman Non-Reg"/>
      <sheetName val="RATES by Area 2017"/>
      <sheetName val="REV by Area 2017"/>
    </sheetNames>
    <sheetDataSet>
      <sheetData sheetId="0"/>
      <sheetData sheetId="1"/>
      <sheetData sheetId="2"/>
      <sheetData sheetId="3">
        <row r="63">
          <cell r="T63">
            <v>4304304.1795195919</v>
          </cell>
        </row>
      </sheetData>
      <sheetData sheetId="4">
        <row r="99">
          <cell r="O99">
            <v>18545320.216570791</v>
          </cell>
        </row>
      </sheetData>
      <sheetData sheetId="5">
        <row r="65">
          <cell r="N65">
            <v>1298771.5434124987</v>
          </cell>
        </row>
      </sheetData>
      <sheetData sheetId="6">
        <row r="65">
          <cell r="T65">
            <v>1879442.2216803492</v>
          </cell>
        </row>
      </sheetData>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0 Depr Summary"/>
      <sheetName val="Truck Depr - w Salvage "/>
      <sheetName val="Depr - Cont, Shop, Serv, Office"/>
      <sheetName val="2120 Depr - Orig"/>
    </sheetNames>
    <sheetDataSet>
      <sheetData sheetId="0">
        <row r="7">
          <cell r="B7">
            <v>1791963.34</v>
          </cell>
          <cell r="D7">
            <v>1791963.34</v>
          </cell>
          <cell r="E7">
            <v>200001.19499047616</v>
          </cell>
          <cell r="F7">
            <v>692216.98742857145</v>
          </cell>
          <cell r="G7">
            <v>892218.18241904769</v>
          </cell>
          <cell r="H7">
            <v>856853.74840952386</v>
          </cell>
        </row>
        <row r="9">
          <cell r="B9">
            <v>564059.43999999994</v>
          </cell>
          <cell r="D9">
            <v>564059.43999999994</v>
          </cell>
          <cell r="E9">
            <v>49844.171433333337</v>
          </cell>
          <cell r="F9">
            <v>126625.70436666667</v>
          </cell>
          <cell r="G9">
            <v>176469.87580000001</v>
          </cell>
          <cell r="H9">
            <v>397660.00799999997</v>
          </cell>
        </row>
        <row r="11">
          <cell r="B11">
            <v>127259.98999999999</v>
          </cell>
          <cell r="D11">
            <v>127259.98999999999</v>
          </cell>
          <cell r="E11">
            <v>19391.998476190471</v>
          </cell>
          <cell r="F11">
            <v>87263.993142857129</v>
          </cell>
          <cell r="G11">
            <v>106655.99161904759</v>
          </cell>
          <cell r="H11">
            <v>30299.997619047626</v>
          </cell>
        </row>
        <row r="13">
          <cell r="B13">
            <v>223251</v>
          </cell>
          <cell r="D13">
            <v>223251</v>
          </cell>
          <cell r="E13">
            <v>34444.44</v>
          </cell>
          <cell r="F13">
            <v>51028.799999999996</v>
          </cell>
          <cell r="G13">
            <v>85473.24</v>
          </cell>
          <cell r="H13">
            <v>154999.97999999998</v>
          </cell>
        </row>
        <row r="15">
          <cell r="B15">
            <v>42000</v>
          </cell>
          <cell r="D15">
            <v>42000</v>
          </cell>
          <cell r="E15">
            <v>2800</v>
          </cell>
          <cell r="F15">
            <v>33600</v>
          </cell>
          <cell r="G15">
            <v>36400</v>
          </cell>
          <cell r="H15">
            <v>0</v>
          </cell>
        </row>
        <row r="20">
          <cell r="B20">
            <v>405680.15500000003</v>
          </cell>
          <cell r="D20">
            <v>405680.15500000003</v>
          </cell>
          <cell r="E20">
            <v>9794.1756388891026</v>
          </cell>
          <cell r="F20">
            <v>314844.85145833349</v>
          </cell>
          <cell r="G20">
            <v>327779.96209722385</v>
          </cell>
          <cell r="H20">
            <v>118704.76822222144</v>
          </cell>
        </row>
        <row r="22">
          <cell r="B22">
            <v>159627.87</v>
          </cell>
          <cell r="D22">
            <v>159627.87</v>
          </cell>
          <cell r="E22">
            <v>10844.113666666801</v>
          </cell>
          <cell r="F22">
            <v>96116.693142857024</v>
          </cell>
          <cell r="G22">
            <v>106960.80680952383</v>
          </cell>
          <cell r="H22">
            <v>49436.05002380957</v>
          </cell>
        </row>
        <row r="24">
          <cell r="B24">
            <v>75075</v>
          </cell>
          <cell r="D24">
            <v>75075</v>
          </cell>
          <cell r="E24">
            <v>5967.8321071429245</v>
          </cell>
          <cell r="F24">
            <v>44233.76046428574</v>
          </cell>
          <cell r="G24">
            <v>50201.592571428664</v>
          </cell>
          <cell r="H24">
            <v>27857.323482142798</v>
          </cell>
        </row>
        <row r="26">
          <cell r="B26">
            <v>160510.9</v>
          </cell>
          <cell r="D26">
            <v>160510.9</v>
          </cell>
          <cell r="E26">
            <v>6309.0086666668276</v>
          </cell>
          <cell r="F26">
            <v>90693.954444444156</v>
          </cell>
          <cell r="G26">
            <v>97002.963111110977</v>
          </cell>
          <cell r="H26">
            <v>55019.441222222435</v>
          </cell>
        </row>
        <row r="30">
          <cell r="B30">
            <v>73117.08</v>
          </cell>
          <cell r="D30">
            <v>73117.08</v>
          </cell>
          <cell r="E30">
            <v>2915.617999999406</v>
          </cell>
          <cell r="F30">
            <v>27152</v>
          </cell>
          <cell r="G30">
            <v>30067.617999999406</v>
          </cell>
          <cell r="H30">
            <v>19262.06433333363</v>
          </cell>
        </row>
        <row r="32">
          <cell r="B32">
            <v>103144.4</v>
          </cell>
          <cell r="D32">
            <v>102904.4</v>
          </cell>
          <cell r="E32">
            <v>8079.0643333333646</v>
          </cell>
          <cell r="F32">
            <v>77252.812583333172</v>
          </cell>
          <cell r="G32">
            <v>85331.876916666544</v>
          </cell>
          <cell r="H32">
            <v>11172.388583333483</v>
          </cell>
        </row>
        <row r="34">
          <cell r="B34">
            <v>22196.31</v>
          </cell>
          <cell r="D34">
            <v>22196.31</v>
          </cell>
          <cell r="E34">
            <v>1837.4678333333475</v>
          </cell>
          <cell r="F34">
            <v>17100.838999999989</v>
          </cell>
          <cell r="G34">
            <v>18938.306833333339</v>
          </cell>
          <cell r="H34">
            <v>3708.0120833333358</v>
          </cell>
        </row>
        <row r="38">
          <cell r="B38">
            <v>266028.78000000003</v>
          </cell>
          <cell r="D38">
            <v>266028.78000000003</v>
          </cell>
          <cell r="E38">
            <v>18479.209800000001</v>
          </cell>
          <cell r="F38">
            <v>140459.14605555593</v>
          </cell>
          <cell r="G38">
            <v>158938.35585555594</v>
          </cell>
          <cell r="H38">
            <v>115634.25904444407</v>
          </cell>
        </row>
      </sheetData>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ummary"/>
      <sheetName val="Empire Payroll"/>
      <sheetName val="Employee Pay &amp; Hours"/>
      <sheetName val="2017 P&amp;L"/>
      <sheetName val="Safety PR"/>
      <sheetName val="Driver JE"/>
      <sheetName val="Mechanic JE"/>
      <sheetName val="Supervisor JE"/>
      <sheetName val="G&amp;A JE"/>
      <sheetName val="EE Listing"/>
      <sheetName val="Raises"/>
      <sheetName val="PIVOT"/>
      <sheetName val="Original PR Report"/>
      <sheetName val="Transfers"/>
    </sheetNames>
    <sheetDataSet>
      <sheetData sheetId="0"/>
      <sheetData sheetId="1"/>
      <sheetData sheetId="2">
        <row r="2">
          <cell r="B2">
            <v>0</v>
          </cell>
          <cell r="C2" t="str">
            <v>Bonus - Safety</v>
          </cell>
          <cell r="D2">
            <v>0</v>
          </cell>
          <cell r="E2" t="str">
            <v>Bonus - Tooty</v>
          </cell>
          <cell r="F2">
            <v>0</v>
          </cell>
          <cell r="G2" t="str">
            <v>Bonus OT</v>
          </cell>
          <cell r="H2">
            <v>0</v>
          </cell>
          <cell r="I2" t="str">
            <v>Holiday Pay</v>
          </cell>
          <cell r="J2">
            <v>0</v>
          </cell>
          <cell r="K2" t="str">
            <v>Overtime</v>
          </cell>
          <cell r="L2">
            <v>0</v>
          </cell>
          <cell r="M2" t="str">
            <v>Regular Hourly Pay</v>
          </cell>
          <cell r="N2">
            <v>0</v>
          </cell>
          <cell r="O2" t="str">
            <v>Regular Salary Pay</v>
          </cell>
          <cell r="P2">
            <v>0</v>
          </cell>
          <cell r="Q2" t="str">
            <v>Sick</v>
          </cell>
          <cell r="R2">
            <v>0</v>
          </cell>
          <cell r="S2" t="str">
            <v>Sick Time Payout</v>
          </cell>
          <cell r="T2">
            <v>0</v>
          </cell>
          <cell r="U2" t="str">
            <v>Vacation</v>
          </cell>
          <cell r="V2">
            <v>0</v>
          </cell>
          <cell r="W2" t="str">
            <v>Vacation Payout</v>
          </cell>
          <cell r="X2">
            <v>0</v>
          </cell>
          <cell r="Y2" t="str">
            <v>Total Sum of Result Line Hours</v>
          </cell>
          <cell r="Z2" t="str">
            <v>Total Sum of Result Line Amount</v>
          </cell>
          <cell r="AA2">
            <v>0</v>
          </cell>
          <cell r="AB2" t="str">
            <v>REGULAR</v>
          </cell>
          <cell r="AC2" t="str">
            <v>OVERTIME</v>
          </cell>
          <cell r="AD2" t="str">
            <v>VACATION/ PTO</v>
          </cell>
          <cell r="AE2" t="str">
            <v>HOLIDAY</v>
          </cell>
          <cell r="AF2" t="str">
            <v>OTHER</v>
          </cell>
          <cell r="AG2" t="str">
            <v>REGULAR</v>
          </cell>
          <cell r="AH2" t="str">
            <v>OVERTIME</v>
          </cell>
          <cell r="AI2" t="str">
            <v>VACATION/ PTO</v>
          </cell>
          <cell r="AJ2" t="str">
            <v>HOLIDAY</v>
          </cell>
          <cell r="AK2" t="str">
            <v>BONUS</v>
          </cell>
          <cell r="AL2" t="str">
            <v>OTHER</v>
          </cell>
        </row>
        <row r="3">
          <cell r="B3" t="str">
            <v>Employee ID</v>
          </cell>
          <cell r="C3" t="str">
            <v>Sum of Result Line Hours</v>
          </cell>
          <cell r="D3" t="str">
            <v>Sum of Result Line Amount</v>
          </cell>
          <cell r="E3" t="str">
            <v>Sum of Result Line Hours</v>
          </cell>
          <cell r="F3" t="str">
            <v>Sum of Result Line Amount</v>
          </cell>
          <cell r="G3" t="str">
            <v>Sum of Result Line Hours</v>
          </cell>
          <cell r="H3" t="str">
            <v>Sum of Result Line Amount</v>
          </cell>
          <cell r="I3" t="str">
            <v>Sum of Result Line Hours</v>
          </cell>
          <cell r="J3" t="str">
            <v>Sum of Result Line Amount</v>
          </cell>
          <cell r="K3" t="str">
            <v>Sum of Result Line Hours</v>
          </cell>
          <cell r="L3" t="str">
            <v>Sum of Result Line Amount</v>
          </cell>
          <cell r="M3" t="str">
            <v>Sum of Result Line Hours</v>
          </cell>
          <cell r="N3" t="str">
            <v>Sum of Result Line Amount</v>
          </cell>
          <cell r="O3" t="str">
            <v>Sum of Result Line Hours</v>
          </cell>
          <cell r="P3" t="str">
            <v>Sum of Result Line Amount</v>
          </cell>
          <cell r="Q3" t="str">
            <v>Sum of Result Line Hours</v>
          </cell>
          <cell r="R3" t="str">
            <v>Sum of Result Line Amount</v>
          </cell>
          <cell r="S3" t="str">
            <v>Sum of Result Line Hours</v>
          </cell>
          <cell r="T3" t="str">
            <v>Sum of Result Line Amount</v>
          </cell>
          <cell r="U3" t="str">
            <v>Sum of Result Line Hours</v>
          </cell>
          <cell r="V3" t="str">
            <v>Sum of Result Line Amount</v>
          </cell>
          <cell r="W3" t="str">
            <v>Sum of Result Line Hours</v>
          </cell>
          <cell r="X3" t="str">
            <v>Sum of Result Line Amount</v>
          </cell>
          <cell r="Y3">
            <v>0</v>
          </cell>
          <cell r="Z3">
            <v>0</v>
          </cell>
          <cell r="AA3">
            <v>0</v>
          </cell>
          <cell r="AB3" t="str">
            <v>Hours</v>
          </cell>
          <cell r="AC3" t="str">
            <v>Hours</v>
          </cell>
          <cell r="AD3" t="str">
            <v>Hours</v>
          </cell>
          <cell r="AE3" t="str">
            <v>Hours</v>
          </cell>
          <cell r="AF3" t="str">
            <v>Hours</v>
          </cell>
          <cell r="AG3" t="str">
            <v>Pay</v>
          </cell>
          <cell r="AH3" t="str">
            <v>Pay</v>
          </cell>
          <cell r="AI3" t="str">
            <v>Pay</v>
          </cell>
          <cell r="AJ3" t="str">
            <v>Pay</v>
          </cell>
          <cell r="AK3" t="str">
            <v>Pay</v>
          </cell>
          <cell r="AL3" t="str">
            <v>Pay</v>
          </cell>
        </row>
        <row r="4">
          <cell r="B4" t="str">
            <v>154760</v>
          </cell>
          <cell r="C4">
            <v>0</v>
          </cell>
          <cell r="D4">
            <v>0</v>
          </cell>
          <cell r="E4">
            <v>0</v>
          </cell>
          <cell r="F4">
            <v>0</v>
          </cell>
          <cell r="G4">
            <v>0</v>
          </cell>
          <cell r="H4">
            <v>0</v>
          </cell>
          <cell r="I4">
            <v>48</v>
          </cell>
          <cell r="J4">
            <v>1607.0399999999997</v>
          </cell>
          <cell r="K4">
            <v>0</v>
          </cell>
          <cell r="L4">
            <v>0</v>
          </cell>
          <cell r="M4">
            <v>0</v>
          </cell>
          <cell r="N4">
            <v>0</v>
          </cell>
          <cell r="O4">
            <v>1992</v>
          </cell>
          <cell r="P4">
            <v>66676.819999999992</v>
          </cell>
          <cell r="Q4">
            <v>0</v>
          </cell>
          <cell r="R4">
            <v>0</v>
          </cell>
          <cell r="S4">
            <v>0</v>
          </cell>
          <cell r="T4">
            <v>0</v>
          </cell>
          <cell r="U4">
            <v>40</v>
          </cell>
          <cell r="V4">
            <v>1339.2</v>
          </cell>
          <cell r="W4">
            <v>0</v>
          </cell>
          <cell r="X4">
            <v>0</v>
          </cell>
          <cell r="Y4">
            <v>2080</v>
          </cell>
          <cell r="Z4">
            <v>69623.059999999983</v>
          </cell>
          <cell r="AA4">
            <v>0</v>
          </cell>
          <cell r="AB4">
            <v>1992</v>
          </cell>
          <cell r="AC4">
            <v>0</v>
          </cell>
          <cell r="AD4">
            <v>40</v>
          </cell>
          <cell r="AE4">
            <v>48</v>
          </cell>
          <cell r="AF4">
            <v>0</v>
          </cell>
          <cell r="AG4">
            <v>66676.819999999992</v>
          </cell>
          <cell r="AH4">
            <v>0</v>
          </cell>
          <cell r="AI4">
            <v>1339.2</v>
          </cell>
          <cell r="AJ4">
            <v>1607.0399999999997</v>
          </cell>
          <cell r="AK4">
            <v>0</v>
          </cell>
          <cell r="AL4">
            <v>0</v>
          </cell>
        </row>
        <row r="5">
          <cell r="B5" t="str">
            <v>300154</v>
          </cell>
          <cell r="C5">
            <v>0</v>
          </cell>
          <cell r="D5">
            <v>1501.9999999999989</v>
          </cell>
          <cell r="E5">
            <v>0</v>
          </cell>
          <cell r="F5">
            <v>0</v>
          </cell>
          <cell r="G5">
            <v>0</v>
          </cell>
          <cell r="H5">
            <v>0</v>
          </cell>
          <cell r="I5">
            <v>32</v>
          </cell>
          <cell r="J5">
            <v>587.44000000000005</v>
          </cell>
          <cell r="K5">
            <v>71.083334000000008</v>
          </cell>
          <cell r="L5">
            <v>1984.369999999999</v>
          </cell>
          <cell r="M5">
            <v>1802.116665</v>
          </cell>
          <cell r="N5">
            <v>32885.289999999986</v>
          </cell>
          <cell r="O5">
            <v>0</v>
          </cell>
          <cell r="P5">
            <v>0</v>
          </cell>
          <cell r="Q5">
            <v>16</v>
          </cell>
          <cell r="R5">
            <v>298.72000000000003</v>
          </cell>
          <cell r="S5">
            <v>0</v>
          </cell>
          <cell r="T5">
            <v>0</v>
          </cell>
          <cell r="U5">
            <v>40</v>
          </cell>
          <cell r="V5">
            <v>746.8</v>
          </cell>
          <cell r="W5">
            <v>0</v>
          </cell>
          <cell r="X5">
            <v>0</v>
          </cell>
          <cell r="Y5">
            <v>1961.1999989999999</v>
          </cell>
          <cell r="Z5">
            <v>38004.619999999988</v>
          </cell>
          <cell r="AA5">
            <v>0</v>
          </cell>
          <cell r="AB5">
            <v>1802.116665</v>
          </cell>
          <cell r="AC5">
            <v>71.083334000000008</v>
          </cell>
          <cell r="AD5">
            <v>56</v>
          </cell>
          <cell r="AE5">
            <v>32</v>
          </cell>
          <cell r="AF5">
            <v>0</v>
          </cell>
          <cell r="AG5">
            <v>32885.289999999986</v>
          </cell>
          <cell r="AH5">
            <v>1984.369999999999</v>
          </cell>
          <cell r="AI5">
            <v>1045.52</v>
          </cell>
          <cell r="AJ5">
            <v>587.44000000000005</v>
          </cell>
          <cell r="AK5">
            <v>1501.9999999999989</v>
          </cell>
          <cell r="AL5">
            <v>0</v>
          </cell>
        </row>
        <row r="6">
          <cell r="B6" t="str">
            <v>116872</v>
          </cell>
          <cell r="C6">
            <v>0</v>
          </cell>
          <cell r="D6">
            <v>1566.9999999999993</v>
          </cell>
          <cell r="E6">
            <v>0</v>
          </cell>
          <cell r="F6">
            <v>0</v>
          </cell>
          <cell r="G6">
            <v>0</v>
          </cell>
          <cell r="H6">
            <v>14.66</v>
          </cell>
          <cell r="I6">
            <v>48</v>
          </cell>
          <cell r="J6">
            <v>977.19999999999993</v>
          </cell>
          <cell r="K6">
            <v>60.166666999999997</v>
          </cell>
          <cell r="L6">
            <v>1854.5200000000004</v>
          </cell>
          <cell r="M6">
            <v>2007.75</v>
          </cell>
          <cell r="N6">
            <v>40802.859999999971</v>
          </cell>
          <cell r="O6">
            <v>0</v>
          </cell>
          <cell r="P6">
            <v>0</v>
          </cell>
          <cell r="Q6">
            <v>35</v>
          </cell>
          <cell r="R6">
            <v>710.15</v>
          </cell>
          <cell r="S6">
            <v>0</v>
          </cell>
          <cell r="T6">
            <v>0</v>
          </cell>
          <cell r="U6">
            <v>120</v>
          </cell>
          <cell r="V6">
            <v>2484</v>
          </cell>
          <cell r="W6">
            <v>0</v>
          </cell>
          <cell r="X6">
            <v>0</v>
          </cell>
          <cell r="Y6">
            <v>2270.916667</v>
          </cell>
          <cell r="Z6">
            <v>48410.38999999997</v>
          </cell>
          <cell r="AA6">
            <v>0</v>
          </cell>
          <cell r="AB6">
            <v>2007.75</v>
          </cell>
          <cell r="AC6">
            <v>60.166666999999997</v>
          </cell>
          <cell r="AD6">
            <v>155</v>
          </cell>
          <cell r="AE6">
            <v>48</v>
          </cell>
          <cell r="AF6">
            <v>0</v>
          </cell>
          <cell r="AG6">
            <v>40802.859999999971</v>
          </cell>
          <cell r="AH6">
            <v>1854.5200000000004</v>
          </cell>
          <cell r="AI6">
            <v>3194.15</v>
          </cell>
          <cell r="AJ6">
            <v>977.19999999999993</v>
          </cell>
          <cell r="AK6">
            <v>1581.6599999999994</v>
          </cell>
          <cell r="AL6">
            <v>0</v>
          </cell>
        </row>
        <row r="7">
          <cell r="B7" t="str">
            <v>102379</v>
          </cell>
          <cell r="C7">
            <v>0</v>
          </cell>
          <cell r="D7">
            <v>877.00000000000034</v>
          </cell>
          <cell r="E7">
            <v>0</v>
          </cell>
          <cell r="F7">
            <v>0</v>
          </cell>
          <cell r="G7">
            <v>0</v>
          </cell>
          <cell r="H7">
            <v>33.43</v>
          </cell>
          <cell r="I7">
            <v>48</v>
          </cell>
          <cell r="J7">
            <v>1002.7199999999999</v>
          </cell>
          <cell r="K7">
            <v>257.33334100000002</v>
          </cell>
          <cell r="L7">
            <v>8094.8700000000017</v>
          </cell>
          <cell r="M7">
            <v>1918.166667</v>
          </cell>
          <cell r="N7">
            <v>40003.439999999988</v>
          </cell>
          <cell r="O7">
            <v>0</v>
          </cell>
          <cell r="P7">
            <v>0</v>
          </cell>
          <cell r="Q7">
            <v>50</v>
          </cell>
          <cell r="R7">
            <v>1041</v>
          </cell>
          <cell r="S7">
            <v>0</v>
          </cell>
          <cell r="T7">
            <v>0</v>
          </cell>
          <cell r="U7">
            <v>200</v>
          </cell>
          <cell r="V7">
            <v>4180.8</v>
          </cell>
          <cell r="W7">
            <v>0</v>
          </cell>
          <cell r="X7">
            <v>0</v>
          </cell>
          <cell r="Y7">
            <v>2473.500008</v>
          </cell>
          <cell r="Z7">
            <v>55233.259999999995</v>
          </cell>
          <cell r="AA7">
            <v>0</v>
          </cell>
          <cell r="AB7">
            <v>1918.166667</v>
          </cell>
          <cell r="AC7">
            <v>257.33334100000002</v>
          </cell>
          <cell r="AD7">
            <v>250</v>
          </cell>
          <cell r="AE7">
            <v>48</v>
          </cell>
          <cell r="AF7">
            <v>0</v>
          </cell>
          <cell r="AG7">
            <v>40003.439999999988</v>
          </cell>
          <cell r="AH7">
            <v>8094.8700000000017</v>
          </cell>
          <cell r="AI7">
            <v>5221.8</v>
          </cell>
          <cell r="AJ7">
            <v>1002.7199999999999</v>
          </cell>
          <cell r="AK7">
            <v>910.43000000000029</v>
          </cell>
          <cell r="AL7">
            <v>0</v>
          </cell>
        </row>
        <row r="8">
          <cell r="B8" t="str">
            <v>102490</v>
          </cell>
          <cell r="C8">
            <v>0</v>
          </cell>
          <cell r="D8">
            <v>1282.0000000000002</v>
          </cell>
          <cell r="E8">
            <v>0</v>
          </cell>
          <cell r="F8">
            <v>0</v>
          </cell>
          <cell r="G8">
            <v>0</v>
          </cell>
          <cell r="H8">
            <v>40.909999999999997</v>
          </cell>
          <cell r="I8">
            <v>48</v>
          </cell>
          <cell r="J8">
            <v>977.19999999999993</v>
          </cell>
          <cell r="K8">
            <v>209.24999899999995</v>
          </cell>
          <cell r="L8">
            <v>6436.4300000000021</v>
          </cell>
          <cell r="M8">
            <v>1982.3333339999999</v>
          </cell>
          <cell r="N8">
            <v>40303.549999999967</v>
          </cell>
          <cell r="O8">
            <v>0</v>
          </cell>
          <cell r="P8">
            <v>0</v>
          </cell>
          <cell r="Q8">
            <v>28</v>
          </cell>
          <cell r="R8">
            <v>568.12</v>
          </cell>
          <cell r="S8">
            <v>0</v>
          </cell>
          <cell r="T8">
            <v>0</v>
          </cell>
          <cell r="U8">
            <v>160</v>
          </cell>
          <cell r="V8">
            <v>3246.4</v>
          </cell>
          <cell r="W8">
            <v>0</v>
          </cell>
          <cell r="X8">
            <v>0</v>
          </cell>
          <cell r="Y8">
            <v>2427.583333</v>
          </cell>
          <cell r="Z8">
            <v>52854.609999999971</v>
          </cell>
          <cell r="AA8">
            <v>0</v>
          </cell>
          <cell r="AB8">
            <v>1982.3333339999999</v>
          </cell>
          <cell r="AC8">
            <v>209.24999899999995</v>
          </cell>
          <cell r="AD8">
            <v>188</v>
          </cell>
          <cell r="AE8">
            <v>48</v>
          </cell>
          <cell r="AF8">
            <v>0</v>
          </cell>
          <cell r="AG8">
            <v>40303.549999999967</v>
          </cell>
          <cell r="AH8">
            <v>6436.4300000000021</v>
          </cell>
          <cell r="AI8">
            <v>3814.52</v>
          </cell>
          <cell r="AJ8">
            <v>977.19999999999993</v>
          </cell>
          <cell r="AK8">
            <v>1322.9100000000003</v>
          </cell>
          <cell r="AL8">
            <v>0</v>
          </cell>
        </row>
        <row r="9">
          <cell r="B9" t="str">
            <v>102977</v>
          </cell>
          <cell r="C9">
            <v>0</v>
          </cell>
          <cell r="D9">
            <v>1473.9999999999998</v>
          </cell>
          <cell r="E9">
            <v>0</v>
          </cell>
          <cell r="F9">
            <v>0</v>
          </cell>
          <cell r="G9">
            <v>0</v>
          </cell>
          <cell r="H9">
            <v>81.44</v>
          </cell>
          <cell r="I9">
            <v>48</v>
          </cell>
          <cell r="J9">
            <v>977.19999999999993</v>
          </cell>
          <cell r="K9">
            <v>296.33333599999997</v>
          </cell>
          <cell r="L9">
            <v>9122.119999999999</v>
          </cell>
          <cell r="M9">
            <v>2000.0000009999999</v>
          </cell>
          <cell r="N9">
            <v>40662.009999999966</v>
          </cell>
          <cell r="O9">
            <v>0</v>
          </cell>
          <cell r="P9">
            <v>0</v>
          </cell>
          <cell r="Q9">
            <v>0</v>
          </cell>
          <cell r="R9">
            <v>0</v>
          </cell>
          <cell r="S9">
            <v>0</v>
          </cell>
          <cell r="T9">
            <v>0</v>
          </cell>
          <cell r="U9">
            <v>128</v>
          </cell>
          <cell r="V9">
            <v>2597.12</v>
          </cell>
          <cell r="W9">
            <v>0</v>
          </cell>
          <cell r="X9">
            <v>0</v>
          </cell>
          <cell r="Y9">
            <v>2472.333337</v>
          </cell>
          <cell r="Z9">
            <v>54913.889999999963</v>
          </cell>
          <cell r="AA9">
            <v>0</v>
          </cell>
          <cell r="AB9">
            <v>2000.0000009999999</v>
          </cell>
          <cell r="AC9">
            <v>296.33333599999997</v>
          </cell>
          <cell r="AD9">
            <v>128</v>
          </cell>
          <cell r="AE9">
            <v>48</v>
          </cell>
          <cell r="AF9">
            <v>0</v>
          </cell>
          <cell r="AG9">
            <v>40662.009999999966</v>
          </cell>
          <cell r="AH9">
            <v>9122.119999999999</v>
          </cell>
          <cell r="AI9">
            <v>2597.12</v>
          </cell>
          <cell r="AJ9">
            <v>977.19999999999993</v>
          </cell>
          <cell r="AK9">
            <v>1555.4399999999998</v>
          </cell>
          <cell r="AL9">
            <v>0</v>
          </cell>
        </row>
        <row r="10">
          <cell r="B10" t="str">
            <v>300613</v>
          </cell>
          <cell r="C10">
            <v>0</v>
          </cell>
          <cell r="D10">
            <v>0</v>
          </cell>
          <cell r="E10">
            <v>0</v>
          </cell>
          <cell r="F10">
            <v>0</v>
          </cell>
          <cell r="G10">
            <v>0</v>
          </cell>
          <cell r="H10">
            <v>0</v>
          </cell>
          <cell r="I10">
            <v>0</v>
          </cell>
          <cell r="J10">
            <v>0</v>
          </cell>
          <cell r="K10">
            <v>2.4000010000000001</v>
          </cell>
          <cell r="L10">
            <v>64.33</v>
          </cell>
          <cell r="M10">
            <v>259.5</v>
          </cell>
          <cell r="N10">
            <v>4634.67</v>
          </cell>
          <cell r="O10">
            <v>0</v>
          </cell>
          <cell r="P10">
            <v>0</v>
          </cell>
          <cell r="Q10">
            <v>0</v>
          </cell>
          <cell r="R10">
            <v>0</v>
          </cell>
          <cell r="S10">
            <v>0</v>
          </cell>
          <cell r="T10">
            <v>0</v>
          </cell>
          <cell r="U10">
            <v>0</v>
          </cell>
          <cell r="V10">
            <v>0</v>
          </cell>
          <cell r="W10">
            <v>0</v>
          </cell>
          <cell r="X10">
            <v>0</v>
          </cell>
          <cell r="Y10">
            <v>261.90000099999997</v>
          </cell>
          <cell r="Z10">
            <v>4699</v>
          </cell>
          <cell r="AA10">
            <v>0</v>
          </cell>
          <cell r="AB10">
            <v>259.5</v>
          </cell>
          <cell r="AC10">
            <v>2.4000010000000001</v>
          </cell>
          <cell r="AD10">
            <v>0</v>
          </cell>
          <cell r="AE10">
            <v>0</v>
          </cell>
          <cell r="AF10">
            <v>0</v>
          </cell>
          <cell r="AG10">
            <v>4634.67</v>
          </cell>
          <cell r="AH10">
            <v>64.33</v>
          </cell>
          <cell r="AI10">
            <v>0</v>
          </cell>
          <cell r="AJ10">
            <v>0</v>
          </cell>
          <cell r="AK10">
            <v>0</v>
          </cell>
          <cell r="AL10">
            <v>0</v>
          </cell>
        </row>
        <row r="11">
          <cell r="B11" t="str">
            <v>118261</v>
          </cell>
          <cell r="C11">
            <v>0</v>
          </cell>
          <cell r="D11">
            <v>0</v>
          </cell>
          <cell r="E11">
            <v>0</v>
          </cell>
          <cell r="F11">
            <v>0</v>
          </cell>
          <cell r="G11">
            <v>0</v>
          </cell>
          <cell r="H11">
            <v>0</v>
          </cell>
          <cell r="I11">
            <v>48</v>
          </cell>
          <cell r="J11">
            <v>1095.8399999999999</v>
          </cell>
          <cell r="K11">
            <v>0</v>
          </cell>
          <cell r="L11">
            <v>0</v>
          </cell>
          <cell r="M11">
            <v>0</v>
          </cell>
          <cell r="N11">
            <v>0</v>
          </cell>
          <cell r="O11">
            <v>2032</v>
          </cell>
          <cell r="P11">
            <v>46379.119999999988</v>
          </cell>
          <cell r="Q11">
            <v>0</v>
          </cell>
          <cell r="R11">
            <v>0</v>
          </cell>
          <cell r="S11">
            <v>0</v>
          </cell>
          <cell r="T11">
            <v>0</v>
          </cell>
          <cell r="U11">
            <v>0</v>
          </cell>
          <cell r="V11">
            <v>0</v>
          </cell>
          <cell r="W11">
            <v>0</v>
          </cell>
          <cell r="X11">
            <v>0</v>
          </cell>
          <cell r="Y11">
            <v>2080</v>
          </cell>
          <cell r="Z11">
            <v>47474.959999999985</v>
          </cell>
          <cell r="AA11">
            <v>0</v>
          </cell>
          <cell r="AB11">
            <v>2032</v>
          </cell>
          <cell r="AC11">
            <v>0</v>
          </cell>
          <cell r="AD11">
            <v>0</v>
          </cell>
          <cell r="AE11">
            <v>48</v>
          </cell>
          <cell r="AF11">
            <v>0</v>
          </cell>
          <cell r="AG11">
            <v>46379.119999999988</v>
          </cell>
          <cell r="AH11">
            <v>0</v>
          </cell>
          <cell r="AI11">
            <v>0</v>
          </cell>
          <cell r="AJ11">
            <v>1095.8399999999999</v>
          </cell>
          <cell r="AK11">
            <v>0</v>
          </cell>
          <cell r="AL11">
            <v>0</v>
          </cell>
        </row>
        <row r="12">
          <cell r="B12" t="str">
            <v>302282</v>
          </cell>
          <cell r="C12">
            <v>0</v>
          </cell>
          <cell r="D12">
            <v>0</v>
          </cell>
          <cell r="E12">
            <v>0</v>
          </cell>
          <cell r="F12">
            <v>0</v>
          </cell>
          <cell r="G12">
            <v>0</v>
          </cell>
          <cell r="H12">
            <v>0</v>
          </cell>
          <cell r="I12">
            <v>16</v>
          </cell>
          <cell r="J12">
            <v>230.32</v>
          </cell>
          <cell r="K12">
            <v>12.5</v>
          </cell>
          <cell r="L12">
            <v>267.2</v>
          </cell>
          <cell r="M12">
            <v>629.66666500000008</v>
          </cell>
          <cell r="N12">
            <v>9022.4599999999973</v>
          </cell>
          <cell r="O12">
            <v>0</v>
          </cell>
          <cell r="P12">
            <v>0</v>
          </cell>
          <cell r="Q12">
            <v>0</v>
          </cell>
          <cell r="R12">
            <v>0</v>
          </cell>
          <cell r="S12">
            <v>0</v>
          </cell>
          <cell r="T12">
            <v>0</v>
          </cell>
          <cell r="U12">
            <v>0</v>
          </cell>
          <cell r="V12">
            <v>0</v>
          </cell>
          <cell r="W12">
            <v>0</v>
          </cell>
          <cell r="X12">
            <v>0</v>
          </cell>
          <cell r="Y12">
            <v>658.16666500000008</v>
          </cell>
          <cell r="Z12">
            <v>9519.9799999999977</v>
          </cell>
          <cell r="AA12">
            <v>0</v>
          </cell>
          <cell r="AB12">
            <v>629.66666500000008</v>
          </cell>
          <cell r="AC12">
            <v>12.5</v>
          </cell>
          <cell r="AD12">
            <v>0</v>
          </cell>
          <cell r="AE12">
            <v>16</v>
          </cell>
          <cell r="AF12">
            <v>0</v>
          </cell>
          <cell r="AG12">
            <v>9022.4599999999973</v>
          </cell>
          <cell r="AH12">
            <v>267.2</v>
          </cell>
          <cell r="AI12">
            <v>0</v>
          </cell>
          <cell r="AJ12">
            <v>230.32</v>
          </cell>
          <cell r="AK12">
            <v>0</v>
          </cell>
          <cell r="AL12">
            <v>0</v>
          </cell>
        </row>
        <row r="13">
          <cell r="B13" t="str">
            <v>118044</v>
          </cell>
          <cell r="C13">
            <v>0</v>
          </cell>
          <cell r="D13">
            <v>0</v>
          </cell>
          <cell r="E13">
            <v>0</v>
          </cell>
          <cell r="F13">
            <v>133</v>
          </cell>
          <cell r="G13">
            <v>0</v>
          </cell>
          <cell r="H13">
            <v>0</v>
          </cell>
          <cell r="I13">
            <v>48</v>
          </cell>
          <cell r="J13">
            <v>874.16</v>
          </cell>
          <cell r="K13">
            <v>16.500002000000002</v>
          </cell>
          <cell r="L13">
            <v>473.69</v>
          </cell>
          <cell r="M13">
            <v>1922.25</v>
          </cell>
          <cell r="N13">
            <v>35134.609999999986</v>
          </cell>
          <cell r="O13">
            <v>0</v>
          </cell>
          <cell r="P13">
            <v>0</v>
          </cell>
          <cell r="Q13">
            <v>12</v>
          </cell>
          <cell r="R13">
            <v>234</v>
          </cell>
          <cell r="S13">
            <v>0</v>
          </cell>
          <cell r="T13">
            <v>0</v>
          </cell>
          <cell r="U13">
            <v>120</v>
          </cell>
          <cell r="V13">
            <v>2193.1999999999998</v>
          </cell>
          <cell r="W13">
            <v>0</v>
          </cell>
          <cell r="X13">
            <v>0</v>
          </cell>
          <cell r="Y13">
            <v>2118.7500019999998</v>
          </cell>
          <cell r="Z13">
            <v>39042.659999999982</v>
          </cell>
          <cell r="AA13">
            <v>0</v>
          </cell>
          <cell r="AB13">
            <v>1922.25</v>
          </cell>
          <cell r="AC13">
            <v>16.500002000000002</v>
          </cell>
          <cell r="AD13">
            <v>132</v>
          </cell>
          <cell r="AE13">
            <v>48</v>
          </cell>
          <cell r="AF13">
            <v>0</v>
          </cell>
          <cell r="AG13">
            <v>35134.609999999986</v>
          </cell>
          <cell r="AH13">
            <v>473.69</v>
          </cell>
          <cell r="AI13">
            <v>2427.1999999999998</v>
          </cell>
          <cell r="AJ13">
            <v>874.16</v>
          </cell>
          <cell r="AK13">
            <v>133</v>
          </cell>
          <cell r="AL13">
            <v>0</v>
          </cell>
        </row>
        <row r="14">
          <cell r="B14" t="str">
            <v>102539</v>
          </cell>
          <cell r="C14">
            <v>0</v>
          </cell>
          <cell r="D14">
            <v>0</v>
          </cell>
          <cell r="E14">
            <v>0</v>
          </cell>
          <cell r="F14">
            <v>0</v>
          </cell>
          <cell r="G14">
            <v>0</v>
          </cell>
          <cell r="H14">
            <v>8.91</v>
          </cell>
          <cell r="I14">
            <v>16</v>
          </cell>
          <cell r="J14">
            <v>324.64</v>
          </cell>
          <cell r="K14">
            <v>11.983333</v>
          </cell>
          <cell r="L14">
            <v>364.73</v>
          </cell>
          <cell r="M14">
            <v>306.98333400000001</v>
          </cell>
          <cell r="N14">
            <v>6228.7100000000009</v>
          </cell>
          <cell r="O14">
            <v>0</v>
          </cell>
          <cell r="P14">
            <v>0</v>
          </cell>
          <cell r="Q14">
            <v>87</v>
          </cell>
          <cell r="R14">
            <v>1765.23</v>
          </cell>
          <cell r="S14">
            <v>0</v>
          </cell>
          <cell r="T14">
            <v>0</v>
          </cell>
          <cell r="U14">
            <v>0</v>
          </cell>
          <cell r="V14">
            <v>0</v>
          </cell>
          <cell r="W14">
            <v>120</v>
          </cell>
          <cell r="X14">
            <v>2434.8000000000002</v>
          </cell>
          <cell r="Y14">
            <v>541.96666700000003</v>
          </cell>
          <cell r="Z14">
            <v>11127.02</v>
          </cell>
          <cell r="AA14">
            <v>0</v>
          </cell>
          <cell r="AB14">
            <v>306.98333400000001</v>
          </cell>
          <cell r="AC14">
            <v>11.983333</v>
          </cell>
          <cell r="AD14">
            <v>207</v>
          </cell>
          <cell r="AE14">
            <v>16</v>
          </cell>
          <cell r="AF14">
            <v>0</v>
          </cell>
          <cell r="AG14">
            <v>6228.7100000000009</v>
          </cell>
          <cell r="AH14">
            <v>364.73</v>
          </cell>
          <cell r="AI14">
            <v>4200.0300000000007</v>
          </cell>
          <cell r="AJ14">
            <v>324.64</v>
          </cell>
          <cell r="AK14">
            <v>8.91</v>
          </cell>
          <cell r="AL14">
            <v>0</v>
          </cell>
        </row>
        <row r="15">
          <cell r="B15" t="str">
            <v>102306</v>
          </cell>
          <cell r="C15">
            <v>0</v>
          </cell>
          <cell r="D15">
            <v>1620.9999999999991</v>
          </cell>
          <cell r="E15">
            <v>0</v>
          </cell>
          <cell r="F15">
            <v>0</v>
          </cell>
          <cell r="G15">
            <v>0</v>
          </cell>
          <cell r="H15">
            <v>90</v>
          </cell>
          <cell r="I15">
            <v>48</v>
          </cell>
          <cell r="J15">
            <v>1051.3599999999999</v>
          </cell>
          <cell r="K15">
            <v>205.71667399999995</v>
          </cell>
          <cell r="L15">
            <v>6820.1900000000005</v>
          </cell>
          <cell r="M15">
            <v>1901.3833320000001</v>
          </cell>
          <cell r="N15">
            <v>41577.619999999988</v>
          </cell>
          <cell r="O15">
            <v>0</v>
          </cell>
          <cell r="P15">
            <v>0</v>
          </cell>
          <cell r="Q15">
            <v>40</v>
          </cell>
          <cell r="R15">
            <v>873.2</v>
          </cell>
          <cell r="S15">
            <v>0</v>
          </cell>
          <cell r="T15">
            <v>0</v>
          </cell>
          <cell r="U15">
            <v>200</v>
          </cell>
          <cell r="V15">
            <v>4383.6000000000004</v>
          </cell>
          <cell r="W15">
            <v>0</v>
          </cell>
          <cell r="X15">
            <v>0</v>
          </cell>
          <cell r="Y15">
            <v>2395.1000060000001</v>
          </cell>
          <cell r="Z15">
            <v>56416.969999999979</v>
          </cell>
          <cell r="AA15">
            <v>0</v>
          </cell>
          <cell r="AB15">
            <v>1901.3833320000001</v>
          </cell>
          <cell r="AC15">
            <v>205.71667399999995</v>
          </cell>
          <cell r="AD15">
            <v>240</v>
          </cell>
          <cell r="AE15">
            <v>48</v>
          </cell>
          <cell r="AF15">
            <v>0</v>
          </cell>
          <cell r="AG15">
            <v>41577.619999999988</v>
          </cell>
          <cell r="AH15">
            <v>6820.1900000000005</v>
          </cell>
          <cell r="AI15">
            <v>5256.8</v>
          </cell>
          <cell r="AJ15">
            <v>1051.3599999999999</v>
          </cell>
          <cell r="AK15">
            <v>1710.9999999999991</v>
          </cell>
          <cell r="AL15">
            <v>0</v>
          </cell>
        </row>
        <row r="16">
          <cell r="B16" t="str">
            <v>158990</v>
          </cell>
          <cell r="C16">
            <v>0</v>
          </cell>
          <cell r="D16">
            <v>1282.0000000000002</v>
          </cell>
          <cell r="E16">
            <v>0</v>
          </cell>
          <cell r="F16">
            <v>0</v>
          </cell>
          <cell r="G16">
            <v>0</v>
          </cell>
          <cell r="H16">
            <v>0</v>
          </cell>
          <cell r="I16">
            <v>48</v>
          </cell>
          <cell r="J16">
            <v>856.96</v>
          </cell>
          <cell r="K16">
            <v>82.299997000000005</v>
          </cell>
          <cell r="L16">
            <v>2181.7300000000005</v>
          </cell>
          <cell r="M16">
            <v>1963.7</v>
          </cell>
          <cell r="N16">
            <v>35138.710000000021</v>
          </cell>
          <cell r="O16">
            <v>0</v>
          </cell>
          <cell r="P16">
            <v>0</v>
          </cell>
          <cell r="Q16">
            <v>40</v>
          </cell>
          <cell r="R16">
            <v>702.2</v>
          </cell>
          <cell r="S16">
            <v>0</v>
          </cell>
          <cell r="T16">
            <v>0</v>
          </cell>
          <cell r="U16">
            <v>80</v>
          </cell>
          <cell r="V16">
            <v>1404.4</v>
          </cell>
          <cell r="W16">
            <v>0</v>
          </cell>
          <cell r="X16">
            <v>0</v>
          </cell>
          <cell r="Y16">
            <v>2213.9999969999999</v>
          </cell>
          <cell r="Z16">
            <v>41566.000000000022</v>
          </cell>
          <cell r="AA16">
            <v>0</v>
          </cell>
          <cell r="AB16">
            <v>1963.7</v>
          </cell>
          <cell r="AC16">
            <v>82.299997000000005</v>
          </cell>
          <cell r="AD16">
            <v>120</v>
          </cell>
          <cell r="AE16">
            <v>48</v>
          </cell>
          <cell r="AF16">
            <v>0</v>
          </cell>
          <cell r="AG16">
            <v>35138.710000000021</v>
          </cell>
          <cell r="AH16">
            <v>2181.7300000000005</v>
          </cell>
          <cell r="AI16">
            <v>2106.6000000000004</v>
          </cell>
          <cell r="AJ16">
            <v>856.96</v>
          </cell>
          <cell r="AK16">
            <v>1282.0000000000002</v>
          </cell>
          <cell r="AL16">
            <v>0</v>
          </cell>
        </row>
        <row r="17">
          <cell r="B17" t="str">
            <v>301756</v>
          </cell>
          <cell r="C17">
            <v>0</v>
          </cell>
          <cell r="D17">
            <v>641.99999999999989</v>
          </cell>
          <cell r="E17">
            <v>0</v>
          </cell>
          <cell r="F17">
            <v>0</v>
          </cell>
          <cell r="G17">
            <v>0</v>
          </cell>
          <cell r="H17">
            <v>0</v>
          </cell>
          <cell r="I17">
            <v>16</v>
          </cell>
          <cell r="J17">
            <v>278.8</v>
          </cell>
          <cell r="K17">
            <v>47.633336</v>
          </cell>
          <cell r="L17">
            <v>1221.8200000000002</v>
          </cell>
          <cell r="M17">
            <v>955.93333400000006</v>
          </cell>
          <cell r="N17">
            <v>16395.240000000002</v>
          </cell>
          <cell r="O17">
            <v>0</v>
          </cell>
          <cell r="P17">
            <v>0</v>
          </cell>
          <cell r="Q17">
            <v>5</v>
          </cell>
          <cell r="R17">
            <v>88</v>
          </cell>
          <cell r="S17">
            <v>0</v>
          </cell>
          <cell r="T17">
            <v>0</v>
          </cell>
          <cell r="U17">
            <v>0</v>
          </cell>
          <cell r="V17">
            <v>0</v>
          </cell>
          <cell r="W17">
            <v>0</v>
          </cell>
          <cell r="X17">
            <v>0</v>
          </cell>
          <cell r="Y17">
            <v>1024.5666700000002</v>
          </cell>
          <cell r="Z17">
            <v>18625.86</v>
          </cell>
          <cell r="AA17">
            <v>0</v>
          </cell>
          <cell r="AB17">
            <v>955.93333400000006</v>
          </cell>
          <cell r="AC17">
            <v>47.633336</v>
          </cell>
          <cell r="AD17">
            <v>5</v>
          </cell>
          <cell r="AE17">
            <v>16</v>
          </cell>
          <cell r="AF17">
            <v>0</v>
          </cell>
          <cell r="AG17">
            <v>16395.240000000002</v>
          </cell>
          <cell r="AH17">
            <v>1221.8200000000002</v>
          </cell>
          <cell r="AI17">
            <v>88</v>
          </cell>
          <cell r="AJ17">
            <v>278.8</v>
          </cell>
          <cell r="AK17">
            <v>641.99999999999989</v>
          </cell>
          <cell r="AL17">
            <v>0</v>
          </cell>
        </row>
        <row r="18">
          <cell r="B18" t="str">
            <v>102585</v>
          </cell>
          <cell r="C18">
            <v>0</v>
          </cell>
          <cell r="D18">
            <v>0</v>
          </cell>
          <cell r="E18">
            <v>0</v>
          </cell>
          <cell r="F18">
            <v>399.00000000000006</v>
          </cell>
          <cell r="G18">
            <v>0</v>
          </cell>
          <cell r="H18">
            <v>0</v>
          </cell>
          <cell r="I18">
            <v>32</v>
          </cell>
          <cell r="J18">
            <v>619.52</v>
          </cell>
          <cell r="K18">
            <v>12.883333</v>
          </cell>
          <cell r="L18">
            <v>384.51</v>
          </cell>
          <cell r="M18">
            <v>971.61667299999999</v>
          </cell>
          <cell r="N18">
            <v>18810.630000000005</v>
          </cell>
          <cell r="O18">
            <v>0</v>
          </cell>
          <cell r="P18">
            <v>0</v>
          </cell>
          <cell r="Q18">
            <v>41</v>
          </cell>
          <cell r="R18">
            <v>793.76</v>
          </cell>
          <cell r="S18">
            <v>101.04</v>
          </cell>
          <cell r="T18">
            <v>1956.14</v>
          </cell>
          <cell r="U18">
            <v>142.30000000000001</v>
          </cell>
          <cell r="V18">
            <v>2754.9300000000003</v>
          </cell>
          <cell r="W18">
            <v>0</v>
          </cell>
          <cell r="X18">
            <v>0</v>
          </cell>
          <cell r="Y18">
            <v>1300.8400059999999</v>
          </cell>
          <cell r="Z18">
            <v>25718.49</v>
          </cell>
          <cell r="AA18">
            <v>0</v>
          </cell>
          <cell r="AB18">
            <v>971.61667299999999</v>
          </cell>
          <cell r="AC18">
            <v>12.883333</v>
          </cell>
          <cell r="AD18">
            <v>284.34000000000003</v>
          </cell>
          <cell r="AE18">
            <v>32</v>
          </cell>
          <cell r="AF18">
            <v>0</v>
          </cell>
          <cell r="AG18">
            <v>18810.630000000005</v>
          </cell>
          <cell r="AH18">
            <v>384.51</v>
          </cell>
          <cell r="AI18">
            <v>5504.8300000000008</v>
          </cell>
          <cell r="AJ18">
            <v>619.52</v>
          </cell>
          <cell r="AK18">
            <v>399.00000000000006</v>
          </cell>
          <cell r="AL18">
            <v>0</v>
          </cell>
        </row>
        <row r="19">
          <cell r="B19" t="str">
            <v>158609</v>
          </cell>
          <cell r="C19">
            <v>0</v>
          </cell>
          <cell r="D19">
            <v>1207.0000000000002</v>
          </cell>
          <cell r="E19">
            <v>0</v>
          </cell>
          <cell r="F19">
            <v>0</v>
          </cell>
          <cell r="G19">
            <v>0</v>
          </cell>
          <cell r="H19">
            <v>0</v>
          </cell>
          <cell r="I19">
            <v>48</v>
          </cell>
          <cell r="J19">
            <v>837.04000000000008</v>
          </cell>
          <cell r="K19">
            <v>118.86666599999997</v>
          </cell>
          <cell r="L19">
            <v>3092.2</v>
          </cell>
          <cell r="M19">
            <v>2031.4499999999998</v>
          </cell>
          <cell r="N19">
            <v>35419.740000000013</v>
          </cell>
          <cell r="O19">
            <v>0</v>
          </cell>
          <cell r="P19">
            <v>0</v>
          </cell>
          <cell r="Q19">
            <v>40</v>
          </cell>
          <cell r="R19">
            <v>692.8</v>
          </cell>
          <cell r="S19">
            <v>0</v>
          </cell>
          <cell r="T19">
            <v>0</v>
          </cell>
          <cell r="U19">
            <v>20</v>
          </cell>
          <cell r="V19">
            <v>312</v>
          </cell>
          <cell r="W19">
            <v>0</v>
          </cell>
          <cell r="X19">
            <v>0</v>
          </cell>
          <cell r="Y19">
            <v>2258.3166659999997</v>
          </cell>
          <cell r="Z19">
            <v>41560.780000000013</v>
          </cell>
          <cell r="AA19">
            <v>0</v>
          </cell>
          <cell r="AB19">
            <v>2031.4499999999998</v>
          </cell>
          <cell r="AC19">
            <v>118.86666599999997</v>
          </cell>
          <cell r="AD19">
            <v>60</v>
          </cell>
          <cell r="AE19">
            <v>48</v>
          </cell>
          <cell r="AF19">
            <v>0</v>
          </cell>
          <cell r="AG19">
            <v>35419.740000000013</v>
          </cell>
          <cell r="AH19">
            <v>3092.2</v>
          </cell>
          <cell r="AI19">
            <v>1004.8</v>
          </cell>
          <cell r="AJ19">
            <v>837.04000000000008</v>
          </cell>
          <cell r="AK19">
            <v>1207.0000000000002</v>
          </cell>
          <cell r="AL19">
            <v>0</v>
          </cell>
        </row>
        <row r="20">
          <cell r="B20" t="str">
            <v>102432</v>
          </cell>
          <cell r="C20">
            <v>0</v>
          </cell>
          <cell r="D20">
            <v>1575</v>
          </cell>
          <cell r="E20">
            <v>0</v>
          </cell>
          <cell r="F20">
            <v>0</v>
          </cell>
          <cell r="G20">
            <v>0</v>
          </cell>
          <cell r="H20">
            <v>22.52</v>
          </cell>
          <cell r="I20">
            <v>48</v>
          </cell>
          <cell r="J20">
            <v>977.19999999999993</v>
          </cell>
          <cell r="K20">
            <v>39.399998000000004</v>
          </cell>
          <cell r="L20">
            <v>1216.08</v>
          </cell>
          <cell r="M20">
            <v>1951.3666679999999</v>
          </cell>
          <cell r="N20">
            <v>39675.279999999977</v>
          </cell>
          <cell r="O20">
            <v>0</v>
          </cell>
          <cell r="P20">
            <v>0</v>
          </cell>
          <cell r="Q20">
            <v>50</v>
          </cell>
          <cell r="R20">
            <v>1014.5</v>
          </cell>
          <cell r="S20">
            <v>0</v>
          </cell>
          <cell r="T20">
            <v>0</v>
          </cell>
          <cell r="U20">
            <v>120</v>
          </cell>
          <cell r="V20">
            <v>2434.8000000000002</v>
          </cell>
          <cell r="W20">
            <v>0</v>
          </cell>
          <cell r="X20">
            <v>0</v>
          </cell>
          <cell r="Y20">
            <v>2208.766666</v>
          </cell>
          <cell r="Z20">
            <v>46915.379999999983</v>
          </cell>
          <cell r="AA20">
            <v>0</v>
          </cell>
          <cell r="AB20">
            <v>1951.3666679999999</v>
          </cell>
          <cell r="AC20">
            <v>39.399998000000004</v>
          </cell>
          <cell r="AD20">
            <v>170</v>
          </cell>
          <cell r="AE20">
            <v>48</v>
          </cell>
          <cell r="AF20">
            <v>0</v>
          </cell>
          <cell r="AG20">
            <v>39675.279999999977</v>
          </cell>
          <cell r="AH20">
            <v>1216.08</v>
          </cell>
          <cell r="AI20">
            <v>3449.3</v>
          </cell>
          <cell r="AJ20">
            <v>977.19999999999993</v>
          </cell>
          <cell r="AK20">
            <v>1597.52</v>
          </cell>
          <cell r="AL20">
            <v>0</v>
          </cell>
        </row>
        <row r="21">
          <cell r="B21" t="str">
            <v>112920</v>
          </cell>
          <cell r="C21">
            <v>0</v>
          </cell>
          <cell r="D21">
            <v>500.99999999999955</v>
          </cell>
          <cell r="E21">
            <v>0</v>
          </cell>
          <cell r="F21">
            <v>0</v>
          </cell>
          <cell r="G21">
            <v>0</v>
          </cell>
          <cell r="H21">
            <v>11.17</v>
          </cell>
          <cell r="I21">
            <v>48</v>
          </cell>
          <cell r="J21">
            <v>977.19999999999993</v>
          </cell>
          <cell r="K21">
            <v>67.900007000000016</v>
          </cell>
          <cell r="L21">
            <v>2075.71</v>
          </cell>
          <cell r="M21">
            <v>2021.9999990000001</v>
          </cell>
          <cell r="N21">
            <v>41104.309999999961</v>
          </cell>
          <cell r="O21">
            <v>0</v>
          </cell>
          <cell r="P21">
            <v>0</v>
          </cell>
          <cell r="Q21">
            <v>50</v>
          </cell>
          <cell r="R21">
            <v>1018.5999999999999</v>
          </cell>
          <cell r="S21">
            <v>0</v>
          </cell>
          <cell r="T21">
            <v>0</v>
          </cell>
          <cell r="U21">
            <v>90</v>
          </cell>
          <cell r="V21">
            <v>1826.1</v>
          </cell>
          <cell r="W21">
            <v>0</v>
          </cell>
          <cell r="X21">
            <v>0</v>
          </cell>
          <cell r="Y21">
            <v>2277.9000060000003</v>
          </cell>
          <cell r="Z21">
            <v>47514.08999999996</v>
          </cell>
          <cell r="AA21">
            <v>0</v>
          </cell>
          <cell r="AB21">
            <v>2021.9999990000001</v>
          </cell>
          <cell r="AC21">
            <v>67.900007000000016</v>
          </cell>
          <cell r="AD21">
            <v>140</v>
          </cell>
          <cell r="AE21">
            <v>48</v>
          </cell>
          <cell r="AF21">
            <v>0</v>
          </cell>
          <cell r="AG21">
            <v>41104.309999999961</v>
          </cell>
          <cell r="AH21">
            <v>2075.71</v>
          </cell>
          <cell r="AI21">
            <v>2844.7</v>
          </cell>
          <cell r="AJ21">
            <v>977.19999999999993</v>
          </cell>
          <cell r="AK21">
            <v>512.1699999999995</v>
          </cell>
          <cell r="AL21">
            <v>0</v>
          </cell>
        </row>
        <row r="22">
          <cell r="AB22">
            <v>28650.216672000002</v>
          </cell>
          <cell r="AC22">
            <v>1512.2500239999999</v>
          </cell>
          <cell r="AD22">
            <v>2175.34</v>
          </cell>
          <cell r="AE22">
            <v>688</v>
          </cell>
          <cell r="AF22">
            <v>0</v>
          </cell>
          <cell r="AG22">
            <v>590855.06999999983</v>
          </cell>
          <cell r="AH22">
            <v>45654.500000000007</v>
          </cell>
          <cell r="AI22">
            <v>44094.570000000007</v>
          </cell>
          <cell r="AJ22">
            <v>14251.84</v>
          </cell>
          <cell r="AK22">
            <v>14365.039999999997</v>
          </cell>
          <cell r="AL22">
            <v>0</v>
          </cell>
        </row>
      </sheetData>
      <sheetData sheetId="3"/>
      <sheetData sheetId="4"/>
      <sheetData sheetId="5">
        <row r="370">
          <cell r="E370">
            <v>1839.57</v>
          </cell>
        </row>
      </sheetData>
      <sheetData sheetId="6">
        <row r="308">
          <cell r="E308">
            <v>2047.2200000000009</v>
          </cell>
        </row>
      </sheetData>
      <sheetData sheetId="7">
        <row r="117">
          <cell r="E117">
            <v>-9162.99</v>
          </cell>
        </row>
      </sheetData>
      <sheetData sheetId="8">
        <row r="362">
          <cell r="E362">
            <v>107967.56999999995</v>
          </cell>
        </row>
      </sheetData>
      <sheetData sheetId="9">
        <row r="2">
          <cell r="A2" t="str">
            <v>154760</v>
          </cell>
          <cell r="B2" t="str">
            <v xml:space="preserve">Aaron Lawhead </v>
          </cell>
          <cell r="C2" t="str">
            <v>Supervisor</v>
          </cell>
          <cell r="D2" t="str">
            <v>Site Manager</v>
          </cell>
        </row>
        <row r="3">
          <cell r="A3" t="str">
            <v>300154</v>
          </cell>
          <cell r="B3" t="str">
            <v xml:space="preserve">Andrew Carriker </v>
          </cell>
          <cell r="C3" t="str">
            <v>Mechanic</v>
          </cell>
          <cell r="D3" t="str">
            <v>Mechanic</v>
          </cell>
        </row>
        <row r="4">
          <cell r="A4" t="str">
            <v>116872</v>
          </cell>
          <cell r="B4" t="str">
            <v xml:space="preserve">Brian Himes </v>
          </cell>
          <cell r="C4" t="str">
            <v>Driver</v>
          </cell>
          <cell r="D4" t="str">
            <v>Residential/Commercial Garbage</v>
          </cell>
        </row>
        <row r="5">
          <cell r="A5" t="str">
            <v>102379</v>
          </cell>
          <cell r="B5" t="str">
            <v xml:space="preserve">Brian Johnson </v>
          </cell>
          <cell r="C5" t="str">
            <v>Driver</v>
          </cell>
          <cell r="D5" t="str">
            <v>RO/Residential/Commercial Garbage</v>
          </cell>
        </row>
        <row r="6">
          <cell r="A6" t="str">
            <v>102490</v>
          </cell>
          <cell r="B6" t="str">
            <v xml:space="preserve">Chipp Reum </v>
          </cell>
          <cell r="C6" t="str">
            <v>Driver</v>
          </cell>
          <cell r="D6" t="str">
            <v>Residential/Commercial Garbage</v>
          </cell>
        </row>
        <row r="7">
          <cell r="A7" t="str">
            <v>102977</v>
          </cell>
          <cell r="B7" t="str">
            <v xml:space="preserve">Chris Rogers </v>
          </cell>
          <cell r="C7" t="str">
            <v>Driver</v>
          </cell>
          <cell r="D7" t="str">
            <v>RO/Residential/Commercial Garbage</v>
          </cell>
        </row>
        <row r="8">
          <cell r="A8" t="str">
            <v>300613</v>
          </cell>
          <cell r="B8" t="str">
            <v>Cody Kritzeck</v>
          </cell>
          <cell r="C8" t="str">
            <v>Driver</v>
          </cell>
          <cell r="D8" t="str">
            <v>Residential/Commercial Garbage</v>
          </cell>
        </row>
        <row r="9">
          <cell r="A9" t="str">
            <v>118261</v>
          </cell>
          <cell r="B9" t="str">
            <v xml:space="preserve">Daniel Young </v>
          </cell>
          <cell r="C9" t="str">
            <v>Mechanic</v>
          </cell>
          <cell r="D9" t="str">
            <v>Maintenance Manager</v>
          </cell>
        </row>
        <row r="10">
          <cell r="A10" t="str">
            <v>302282</v>
          </cell>
          <cell r="B10" t="str">
            <v xml:space="preserve">Dante Nelson </v>
          </cell>
          <cell r="C10" t="str">
            <v>G&amp;A</v>
          </cell>
          <cell r="D10" t="str">
            <v>CSR</v>
          </cell>
        </row>
        <row r="11">
          <cell r="A11" t="str">
            <v>118044</v>
          </cell>
          <cell r="B11" t="str">
            <v xml:space="preserve">Jamie Bretveld </v>
          </cell>
          <cell r="C11" t="str">
            <v>G&amp;A</v>
          </cell>
          <cell r="D11" t="str">
            <v>Office Manager</v>
          </cell>
        </row>
        <row r="12">
          <cell r="A12" t="str">
            <v>102539</v>
          </cell>
          <cell r="B12" t="str">
            <v xml:space="preserve">John Hall </v>
          </cell>
          <cell r="C12" t="str">
            <v>Driver</v>
          </cell>
          <cell r="D12" t="str">
            <v>Residential/Commercial Garbage</v>
          </cell>
        </row>
        <row r="13">
          <cell r="A13" t="str">
            <v>102306</v>
          </cell>
          <cell r="B13" t="str">
            <v xml:space="preserve">John Vantine </v>
          </cell>
          <cell r="C13" t="str">
            <v>Driver</v>
          </cell>
          <cell r="D13" t="str">
            <v>Residential/Commercial Garbage</v>
          </cell>
        </row>
        <row r="14">
          <cell r="A14" t="str">
            <v>158990</v>
          </cell>
          <cell r="B14" t="str">
            <v xml:space="preserve">Jonathan Meredith </v>
          </cell>
          <cell r="C14" t="str">
            <v>Driver</v>
          </cell>
          <cell r="D14" t="str">
            <v>Residential/Commercial Garbage</v>
          </cell>
        </row>
        <row r="15">
          <cell r="A15" t="str">
            <v>301756</v>
          </cell>
          <cell r="B15" t="str">
            <v xml:space="preserve">Kaleb Bleeker </v>
          </cell>
          <cell r="C15" t="str">
            <v>Driver</v>
          </cell>
          <cell r="D15" t="str">
            <v>Residential/Commercial Garbage</v>
          </cell>
        </row>
        <row r="16">
          <cell r="A16" t="str">
            <v>102585</v>
          </cell>
          <cell r="B16" t="str">
            <v xml:space="preserve">Kathleen Carr </v>
          </cell>
          <cell r="C16" t="str">
            <v>G&amp;A</v>
          </cell>
          <cell r="D16" t="str">
            <v>Lead Office Administrator</v>
          </cell>
        </row>
        <row r="17">
          <cell r="A17" t="str">
            <v>158609</v>
          </cell>
          <cell r="B17" t="str">
            <v xml:space="preserve">Matthew Macdougall </v>
          </cell>
          <cell r="C17" t="str">
            <v>Driver</v>
          </cell>
          <cell r="D17" t="str">
            <v>Residential/Commercial Garbage</v>
          </cell>
        </row>
        <row r="18">
          <cell r="A18" t="str">
            <v>102432</v>
          </cell>
          <cell r="B18" t="str">
            <v xml:space="preserve">Melroy Manner </v>
          </cell>
          <cell r="C18" t="str">
            <v>Driver</v>
          </cell>
          <cell r="D18" t="str">
            <v>Residential/Commercial Garbage</v>
          </cell>
        </row>
        <row r="19">
          <cell r="A19" t="str">
            <v>112920</v>
          </cell>
          <cell r="B19" t="str">
            <v xml:space="preserve">Troy Scott </v>
          </cell>
          <cell r="C19" t="str">
            <v>Driver</v>
          </cell>
          <cell r="D19" t="str">
            <v>Residential/Commercial Garbage</v>
          </cell>
        </row>
      </sheetData>
      <sheetData sheetId="10">
        <row r="4">
          <cell r="A4" t="str">
            <v>EE Number</v>
          </cell>
          <cell r="B4" t="str">
            <v>EE Name</v>
          </cell>
          <cell r="C4" t="str">
            <v>Date</v>
          </cell>
          <cell r="D4" t="str">
            <v>%</v>
          </cell>
          <cell r="E4">
            <v>0</v>
          </cell>
          <cell r="F4" t="str">
            <v>Date</v>
          </cell>
          <cell r="G4" t="str">
            <v>%</v>
          </cell>
          <cell r="H4">
            <v>0</v>
          </cell>
          <cell r="I4" t="str">
            <v>Date</v>
          </cell>
          <cell r="J4" t="str">
            <v>%</v>
          </cell>
          <cell r="K4">
            <v>0</v>
          </cell>
          <cell r="L4" t="str">
            <v>Latest Pay Date</v>
          </cell>
        </row>
        <row r="5">
          <cell r="A5" t="str">
            <v>154760</v>
          </cell>
          <cell r="B5" t="str">
            <v xml:space="preserve">Aaron Lawhead </v>
          </cell>
          <cell r="C5">
            <v>42961</v>
          </cell>
          <cell r="D5">
            <v>2.5000000000000001E-2</v>
          </cell>
          <cell r="F5">
            <v>0</v>
          </cell>
          <cell r="G5">
            <v>0</v>
          </cell>
          <cell r="I5">
            <v>0</v>
          </cell>
          <cell r="J5">
            <v>0</v>
          </cell>
          <cell r="L5">
            <v>42961</v>
          </cell>
          <cell r="M5">
            <v>225</v>
          </cell>
          <cell r="N5">
            <v>2.5000000000000001E-2</v>
          </cell>
          <cell r="P5">
            <v>43331</v>
          </cell>
          <cell r="Q5">
            <v>2.5000000000000001E-2</v>
          </cell>
          <cell r="R5">
            <v>0</v>
          </cell>
          <cell r="S5">
            <v>0</v>
          </cell>
          <cell r="T5">
            <v>0</v>
          </cell>
          <cell r="U5">
            <v>0</v>
          </cell>
          <cell r="W5">
            <v>43331</v>
          </cell>
          <cell r="X5">
            <v>0</v>
          </cell>
          <cell r="Y5">
            <v>2.5000000000000001E-2</v>
          </cell>
        </row>
        <row r="6">
          <cell r="A6" t="str">
            <v>300154</v>
          </cell>
          <cell r="B6" t="str">
            <v xml:space="preserve">Andrew Carriker </v>
          </cell>
          <cell r="C6">
            <v>42947</v>
          </cell>
          <cell r="D6">
            <v>0.02</v>
          </cell>
          <cell r="F6">
            <v>43057</v>
          </cell>
          <cell r="G6">
            <v>0.02</v>
          </cell>
          <cell r="I6">
            <v>0</v>
          </cell>
          <cell r="J6">
            <v>0</v>
          </cell>
          <cell r="L6">
            <v>43057</v>
          </cell>
          <cell r="M6">
            <v>321</v>
          </cell>
          <cell r="N6">
            <v>4.0399999999999991E-2</v>
          </cell>
          <cell r="P6">
            <v>43130</v>
          </cell>
          <cell r="Q6">
            <v>0.04</v>
          </cell>
          <cell r="R6">
            <v>43311</v>
          </cell>
          <cell r="S6">
            <v>0.04</v>
          </cell>
          <cell r="T6">
            <v>43416</v>
          </cell>
          <cell r="U6">
            <v>0.02</v>
          </cell>
          <cell r="W6">
            <v>43416</v>
          </cell>
          <cell r="X6">
            <v>315</v>
          </cell>
          <cell r="Y6">
            <v>0.10323200000000021</v>
          </cell>
        </row>
        <row r="7">
          <cell r="A7" t="str">
            <v>116872</v>
          </cell>
          <cell r="B7" t="str">
            <v xml:space="preserve">Brian Himes </v>
          </cell>
          <cell r="C7">
            <v>43057</v>
          </cell>
          <cell r="D7">
            <v>0.02</v>
          </cell>
          <cell r="F7">
            <v>0</v>
          </cell>
          <cell r="G7">
            <v>0</v>
          </cell>
          <cell r="I7">
            <v>0</v>
          </cell>
          <cell r="J7">
            <v>0</v>
          </cell>
          <cell r="L7">
            <v>43057</v>
          </cell>
          <cell r="M7">
            <v>321</v>
          </cell>
          <cell r="N7">
            <v>1.9999999999999928E-2</v>
          </cell>
          <cell r="P7">
            <v>43416</v>
          </cell>
          <cell r="Q7">
            <v>0.02</v>
          </cell>
          <cell r="R7">
            <v>0</v>
          </cell>
          <cell r="S7">
            <v>0</v>
          </cell>
          <cell r="T7">
            <v>0</v>
          </cell>
          <cell r="U7">
            <v>0</v>
          </cell>
          <cell r="W7">
            <v>43416</v>
          </cell>
          <cell r="X7">
            <v>315</v>
          </cell>
          <cell r="Y7">
            <v>1.9999999999999928E-2</v>
          </cell>
        </row>
        <row r="8">
          <cell r="A8" t="str">
            <v>102379</v>
          </cell>
          <cell r="B8" t="str">
            <v xml:space="preserve">Brian Johnson </v>
          </cell>
          <cell r="C8">
            <v>43057</v>
          </cell>
          <cell r="D8">
            <v>0.02</v>
          </cell>
          <cell r="F8">
            <v>0</v>
          </cell>
          <cell r="G8">
            <v>0</v>
          </cell>
          <cell r="I8">
            <v>0</v>
          </cell>
          <cell r="J8">
            <v>0</v>
          </cell>
          <cell r="L8">
            <v>43057</v>
          </cell>
          <cell r="M8">
            <v>321</v>
          </cell>
          <cell r="N8">
            <v>1.9999999999999928E-2</v>
          </cell>
          <cell r="P8">
            <v>43416</v>
          </cell>
          <cell r="Q8">
            <v>0.02</v>
          </cell>
          <cell r="R8">
            <v>0</v>
          </cell>
          <cell r="S8">
            <v>0</v>
          </cell>
          <cell r="T8">
            <v>0</v>
          </cell>
          <cell r="U8">
            <v>0</v>
          </cell>
          <cell r="W8">
            <v>43416</v>
          </cell>
          <cell r="X8">
            <v>315</v>
          </cell>
          <cell r="Y8">
            <v>1.9999999999999928E-2</v>
          </cell>
        </row>
        <row r="9">
          <cell r="A9" t="str">
            <v>102490</v>
          </cell>
          <cell r="B9" t="str">
            <v xml:space="preserve">Chipp Reum </v>
          </cell>
          <cell r="C9">
            <v>43057</v>
          </cell>
          <cell r="D9">
            <v>0.02</v>
          </cell>
          <cell r="F9">
            <v>0</v>
          </cell>
          <cell r="G9">
            <v>0</v>
          </cell>
          <cell r="I9">
            <v>0</v>
          </cell>
          <cell r="J9">
            <v>0</v>
          </cell>
          <cell r="L9">
            <v>43057</v>
          </cell>
          <cell r="M9">
            <v>321</v>
          </cell>
          <cell r="N9">
            <v>1.9999999999999928E-2</v>
          </cell>
          <cell r="P9">
            <v>43416</v>
          </cell>
          <cell r="Q9">
            <v>0.02</v>
          </cell>
          <cell r="R9">
            <v>0</v>
          </cell>
          <cell r="S9">
            <v>0</v>
          </cell>
          <cell r="T9">
            <v>0</v>
          </cell>
          <cell r="U9">
            <v>0</v>
          </cell>
          <cell r="W9">
            <v>43416</v>
          </cell>
          <cell r="X9">
            <v>315</v>
          </cell>
          <cell r="Y9">
            <v>1.9999999999999928E-2</v>
          </cell>
        </row>
        <row r="10">
          <cell r="A10" t="str">
            <v>102977</v>
          </cell>
          <cell r="B10" t="str">
            <v xml:space="preserve">Chris Rogers </v>
          </cell>
          <cell r="C10">
            <v>43057</v>
          </cell>
          <cell r="D10">
            <v>0.02</v>
          </cell>
          <cell r="F10">
            <v>0</v>
          </cell>
          <cell r="G10">
            <v>0</v>
          </cell>
          <cell r="I10">
            <v>0</v>
          </cell>
          <cell r="J10">
            <v>0</v>
          </cell>
          <cell r="L10">
            <v>43057</v>
          </cell>
          <cell r="M10">
            <v>321</v>
          </cell>
          <cell r="N10">
            <v>1.9999999999999928E-2</v>
          </cell>
          <cell r="P10">
            <v>43416</v>
          </cell>
          <cell r="Q10">
            <v>0.02</v>
          </cell>
          <cell r="R10">
            <v>0</v>
          </cell>
          <cell r="S10">
            <v>0</v>
          </cell>
          <cell r="T10">
            <v>0</v>
          </cell>
          <cell r="U10">
            <v>0</v>
          </cell>
          <cell r="W10">
            <v>43416</v>
          </cell>
          <cell r="X10">
            <v>315</v>
          </cell>
          <cell r="Y10">
            <v>1.9999999999999928E-2</v>
          </cell>
        </row>
        <row r="11">
          <cell r="A11" t="str">
            <v>300613</v>
          </cell>
          <cell r="B11" t="str">
            <v>Cody Kritzeck</v>
          </cell>
          <cell r="C11">
            <v>0</v>
          </cell>
          <cell r="D11" t="str">
            <v>n/a</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row>
        <row r="12">
          <cell r="A12" t="str">
            <v>118261</v>
          </cell>
          <cell r="B12" t="str">
            <v xml:space="preserve">Daniel Young </v>
          </cell>
          <cell r="C12">
            <v>0</v>
          </cell>
          <cell r="D12">
            <v>0</v>
          </cell>
          <cell r="F12">
            <v>0</v>
          </cell>
          <cell r="G12">
            <v>0</v>
          </cell>
          <cell r="I12">
            <v>0</v>
          </cell>
          <cell r="J12">
            <v>0</v>
          </cell>
          <cell r="L12">
            <v>0</v>
          </cell>
          <cell r="M12">
            <v>0</v>
          </cell>
          <cell r="N12">
            <v>0</v>
          </cell>
          <cell r="P12">
            <v>43101</v>
          </cell>
          <cell r="Q12">
            <v>0.02</v>
          </cell>
          <cell r="R12">
            <v>0</v>
          </cell>
          <cell r="S12">
            <v>0</v>
          </cell>
          <cell r="T12">
            <v>0</v>
          </cell>
          <cell r="U12">
            <v>0</v>
          </cell>
          <cell r="W12">
            <v>43101</v>
          </cell>
          <cell r="X12">
            <v>0</v>
          </cell>
          <cell r="Y12">
            <v>1.9999999999999928E-2</v>
          </cell>
        </row>
        <row r="13">
          <cell r="A13" t="str">
            <v>302282</v>
          </cell>
          <cell r="B13" t="str">
            <v xml:space="preserve">Dante Nelson </v>
          </cell>
          <cell r="C13">
            <v>43057</v>
          </cell>
          <cell r="D13">
            <v>0.02</v>
          </cell>
          <cell r="F13">
            <v>0</v>
          </cell>
          <cell r="G13">
            <v>0</v>
          </cell>
          <cell r="I13">
            <v>0</v>
          </cell>
          <cell r="J13">
            <v>0</v>
          </cell>
          <cell r="L13">
            <v>43057</v>
          </cell>
          <cell r="M13">
            <v>321</v>
          </cell>
          <cell r="N13">
            <v>1.9999999999999928E-2</v>
          </cell>
          <cell r="P13">
            <v>43416</v>
          </cell>
          <cell r="Q13">
            <v>0.02</v>
          </cell>
          <cell r="R13">
            <v>0</v>
          </cell>
          <cell r="S13">
            <v>0</v>
          </cell>
          <cell r="T13">
            <v>0</v>
          </cell>
          <cell r="U13">
            <v>0</v>
          </cell>
          <cell r="W13">
            <v>43416</v>
          </cell>
          <cell r="X13">
            <v>315</v>
          </cell>
          <cell r="Y13">
            <v>1.9999999999999928E-2</v>
          </cell>
        </row>
        <row r="14">
          <cell r="A14" t="str">
            <v>118044</v>
          </cell>
          <cell r="B14" t="str">
            <v xml:space="preserve">Jamie Bretveld </v>
          </cell>
          <cell r="C14">
            <v>42954</v>
          </cell>
          <cell r="D14">
            <v>0.1162</v>
          </cell>
          <cell r="F14">
            <v>43057</v>
          </cell>
          <cell r="G14">
            <v>0.02</v>
          </cell>
          <cell r="I14">
            <v>0</v>
          </cell>
          <cell r="J14">
            <v>0</v>
          </cell>
          <cell r="L14">
            <v>43057</v>
          </cell>
          <cell r="M14">
            <v>321</v>
          </cell>
          <cell r="N14">
            <v>0.13852400000000009</v>
          </cell>
          <cell r="P14">
            <v>43416</v>
          </cell>
          <cell r="Q14">
            <v>0.02</v>
          </cell>
          <cell r="R14">
            <v>0</v>
          </cell>
          <cell r="S14">
            <v>0</v>
          </cell>
          <cell r="T14">
            <v>0</v>
          </cell>
          <cell r="U14">
            <v>0</v>
          </cell>
          <cell r="W14">
            <v>43416</v>
          </cell>
          <cell r="X14">
            <v>315</v>
          </cell>
          <cell r="Y14">
            <v>1.9999999999999928E-2</v>
          </cell>
        </row>
        <row r="15">
          <cell r="A15" t="str">
            <v>102539</v>
          </cell>
          <cell r="B15" t="str">
            <v xml:space="preserve">John Hall </v>
          </cell>
          <cell r="C15">
            <v>0</v>
          </cell>
          <cell r="D15" t="str">
            <v>n/a</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row>
        <row r="16">
          <cell r="A16" t="str">
            <v>102306</v>
          </cell>
          <cell r="B16" t="str">
            <v xml:space="preserve">John Vantine </v>
          </cell>
          <cell r="C16">
            <v>43057</v>
          </cell>
          <cell r="D16">
            <v>0.02</v>
          </cell>
          <cell r="F16">
            <v>0</v>
          </cell>
          <cell r="G16">
            <v>0</v>
          </cell>
          <cell r="I16">
            <v>0</v>
          </cell>
          <cell r="J16">
            <v>0</v>
          </cell>
          <cell r="L16">
            <v>43057</v>
          </cell>
          <cell r="M16">
            <v>321</v>
          </cell>
          <cell r="N16">
            <v>1.9999999999999928E-2</v>
          </cell>
          <cell r="P16">
            <v>43416</v>
          </cell>
          <cell r="Q16">
            <v>0.02</v>
          </cell>
          <cell r="R16">
            <v>0</v>
          </cell>
          <cell r="S16">
            <v>0</v>
          </cell>
          <cell r="T16">
            <v>0</v>
          </cell>
          <cell r="U16">
            <v>0</v>
          </cell>
          <cell r="W16">
            <v>43416</v>
          </cell>
          <cell r="X16">
            <v>315</v>
          </cell>
          <cell r="Y16">
            <v>1.9999999999999928E-2</v>
          </cell>
        </row>
        <row r="17">
          <cell r="A17" t="str">
            <v>158990</v>
          </cell>
          <cell r="B17" t="str">
            <v xml:space="preserve">Jonathan Meredith </v>
          </cell>
          <cell r="C17">
            <v>42835</v>
          </cell>
          <cell r="D17">
            <v>0.03</v>
          </cell>
          <cell r="F17">
            <v>43024</v>
          </cell>
          <cell r="G17">
            <v>0.04</v>
          </cell>
          <cell r="I17">
            <v>43057</v>
          </cell>
          <cell r="J17">
            <v>0.02</v>
          </cell>
          <cell r="L17">
            <v>43057</v>
          </cell>
          <cell r="M17">
            <v>321</v>
          </cell>
          <cell r="N17">
            <v>9.2624000000000262E-2</v>
          </cell>
          <cell r="P17">
            <v>43200</v>
          </cell>
          <cell r="Q17">
            <v>0.04</v>
          </cell>
          <cell r="R17">
            <v>43388</v>
          </cell>
          <cell r="S17">
            <v>0.04</v>
          </cell>
          <cell r="T17">
            <v>43416</v>
          </cell>
          <cell r="U17">
            <v>0.02</v>
          </cell>
          <cell r="W17">
            <v>43416</v>
          </cell>
          <cell r="X17">
            <v>315</v>
          </cell>
          <cell r="Y17">
            <v>0.10323200000000021</v>
          </cell>
        </row>
        <row r="18">
          <cell r="A18" t="str">
            <v>301756</v>
          </cell>
          <cell r="B18" t="str">
            <v xml:space="preserve">Kaleb Bleeker </v>
          </cell>
          <cell r="C18">
            <v>42954</v>
          </cell>
          <cell r="D18">
            <v>0.05</v>
          </cell>
          <cell r="F18">
            <v>43057</v>
          </cell>
          <cell r="G18">
            <v>0.02</v>
          </cell>
          <cell r="I18">
            <v>0</v>
          </cell>
          <cell r="J18">
            <v>0</v>
          </cell>
          <cell r="L18">
            <v>43057</v>
          </cell>
          <cell r="M18">
            <v>321</v>
          </cell>
          <cell r="N18">
            <v>7.1000000000000174E-2</v>
          </cell>
          <cell r="P18">
            <v>43108</v>
          </cell>
          <cell r="Q18">
            <v>0.03</v>
          </cell>
          <cell r="R18">
            <v>43291</v>
          </cell>
          <cell r="S18">
            <v>0.04</v>
          </cell>
          <cell r="T18">
            <v>43416</v>
          </cell>
          <cell r="U18">
            <v>0.02</v>
          </cell>
          <cell r="W18">
            <v>43416</v>
          </cell>
          <cell r="X18">
            <v>315</v>
          </cell>
          <cell r="Y18">
            <v>9.2624000000000262E-2</v>
          </cell>
        </row>
        <row r="19">
          <cell r="A19" t="str">
            <v>102585</v>
          </cell>
          <cell r="B19" t="str">
            <v xml:space="preserve">Kathleen Carr </v>
          </cell>
          <cell r="C19">
            <v>0</v>
          </cell>
          <cell r="D19" t="str">
            <v>n/a</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row>
        <row r="20">
          <cell r="A20" t="str">
            <v>158609</v>
          </cell>
          <cell r="B20" t="str">
            <v xml:space="preserve">Matthew Macdougall </v>
          </cell>
          <cell r="C20">
            <v>42855</v>
          </cell>
          <cell r="D20">
            <v>0.03</v>
          </cell>
          <cell r="F20">
            <v>42954</v>
          </cell>
          <cell r="G20">
            <v>0.04</v>
          </cell>
          <cell r="I20">
            <v>43057</v>
          </cell>
          <cell r="J20">
            <v>0.02</v>
          </cell>
          <cell r="L20">
            <v>43057</v>
          </cell>
          <cell r="M20">
            <v>321</v>
          </cell>
          <cell r="N20">
            <v>9.2624000000000262E-2</v>
          </cell>
          <cell r="P20">
            <v>43164</v>
          </cell>
          <cell r="Q20">
            <v>0.04</v>
          </cell>
          <cell r="R20">
            <v>43346</v>
          </cell>
          <cell r="S20">
            <v>0.04</v>
          </cell>
          <cell r="T20">
            <v>43416</v>
          </cell>
          <cell r="U20">
            <v>0.02</v>
          </cell>
          <cell r="W20">
            <v>43416</v>
          </cell>
          <cell r="X20">
            <v>315</v>
          </cell>
          <cell r="Y20">
            <v>0.10323200000000021</v>
          </cell>
        </row>
        <row r="21">
          <cell r="A21" t="str">
            <v>102432</v>
          </cell>
          <cell r="B21" t="str">
            <v xml:space="preserve">Melroy Manner </v>
          </cell>
          <cell r="C21">
            <v>43057</v>
          </cell>
          <cell r="D21">
            <v>0.02</v>
          </cell>
          <cell r="F21">
            <v>0</v>
          </cell>
          <cell r="G21">
            <v>0</v>
          </cell>
          <cell r="I21">
            <v>0</v>
          </cell>
          <cell r="J21">
            <v>0</v>
          </cell>
          <cell r="L21">
            <v>43057</v>
          </cell>
          <cell r="M21">
            <v>321</v>
          </cell>
          <cell r="N21">
            <v>1.9999999999999928E-2</v>
          </cell>
          <cell r="P21">
            <v>43416</v>
          </cell>
          <cell r="Q21">
            <v>0.02</v>
          </cell>
          <cell r="R21">
            <v>0</v>
          </cell>
          <cell r="S21">
            <v>0</v>
          </cell>
          <cell r="T21">
            <v>0</v>
          </cell>
          <cell r="U21">
            <v>0</v>
          </cell>
          <cell r="W21">
            <v>43416</v>
          </cell>
          <cell r="X21">
            <v>315</v>
          </cell>
          <cell r="Y21">
            <v>1.9999999999999928E-2</v>
          </cell>
        </row>
        <row r="22">
          <cell r="A22" t="str">
            <v>112920</v>
          </cell>
          <cell r="B22" t="str">
            <v xml:space="preserve">Troy Scott </v>
          </cell>
          <cell r="C22">
            <v>43057</v>
          </cell>
          <cell r="D22">
            <v>0.02</v>
          </cell>
          <cell r="F22">
            <v>0</v>
          </cell>
          <cell r="G22">
            <v>0</v>
          </cell>
          <cell r="I22">
            <v>0</v>
          </cell>
          <cell r="J22">
            <v>0</v>
          </cell>
          <cell r="L22">
            <v>43057</v>
          </cell>
          <cell r="M22">
            <v>321</v>
          </cell>
          <cell r="N22">
            <v>1.9999999999999928E-2</v>
          </cell>
          <cell r="P22">
            <v>43416</v>
          </cell>
          <cell r="Q22">
            <v>0.02</v>
          </cell>
          <cell r="R22">
            <v>0</v>
          </cell>
          <cell r="S22">
            <v>0</v>
          </cell>
          <cell r="T22">
            <v>0</v>
          </cell>
          <cell r="U22">
            <v>0</v>
          </cell>
          <cell r="W22">
            <v>43416</v>
          </cell>
          <cell r="X22">
            <v>315</v>
          </cell>
          <cell r="Y22">
            <v>1.9999999999999928E-2</v>
          </cell>
        </row>
      </sheetData>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ire Region OH Calc"/>
      <sheetName val="2000_IS210"/>
    </sheetNames>
    <sheetDataSet>
      <sheetData sheetId="0"/>
      <sheetData sheetId="1">
        <row r="1">
          <cell r="D1" t="str">
            <v>Acct</v>
          </cell>
          <cell r="E1" t="str">
            <v>AcctName</v>
          </cell>
          <cell r="F1">
            <v>0</v>
          </cell>
          <cell r="G1">
            <v>0</v>
          </cell>
          <cell r="J1" t="str">
            <v>Act(-11)</v>
          </cell>
          <cell r="L1" t="str">
            <v>Act(-10)</v>
          </cell>
          <cell r="N1" t="str">
            <v>Act(-9)</v>
          </cell>
          <cell r="P1" t="str">
            <v>Act(-8)</v>
          </cell>
          <cell r="R1" t="str">
            <v>Act(-7)</v>
          </cell>
          <cell r="T1" t="str">
            <v>Act(-6)</v>
          </cell>
          <cell r="V1" t="str">
            <v>Act(-5)</v>
          </cell>
          <cell r="X1" t="str">
            <v>Act(-4)</v>
          </cell>
          <cell r="Z1" t="str">
            <v>Act(-3)</v>
          </cell>
          <cell r="AB1" t="str">
            <v>Act(-2)</v>
          </cell>
          <cell r="AD1" t="str">
            <v>Act(-1)</v>
          </cell>
          <cell r="AF1" t="str">
            <v>Act</v>
          </cell>
          <cell r="AH1">
            <v>0</v>
          </cell>
        </row>
        <row r="2">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row>
        <row r="3">
          <cell r="D3">
            <v>0</v>
          </cell>
          <cell r="E3">
            <v>0</v>
          </cell>
          <cell r="F3">
            <v>0</v>
          </cell>
          <cell r="G3">
            <v>0</v>
          </cell>
          <cell r="H3">
            <v>0</v>
          </cell>
          <cell r="I3">
            <v>0</v>
          </cell>
          <cell r="J3" t="str">
            <v>2017-01</v>
          </cell>
          <cell r="L3" t="str">
            <v>2017-02</v>
          </cell>
          <cell r="N3" t="str">
            <v>2017-03</v>
          </cell>
          <cell r="P3" t="str">
            <v>2017-04</v>
          </cell>
          <cell r="R3" t="str">
            <v>2017-05</v>
          </cell>
          <cell r="T3" t="str">
            <v>2017-06</v>
          </cell>
          <cell r="V3" t="str">
            <v>2017-07</v>
          </cell>
          <cell r="X3" t="str">
            <v>2017-08</v>
          </cell>
          <cell r="Z3" t="str">
            <v>2017-09</v>
          </cell>
          <cell r="AB3" t="str">
            <v>2017-10</v>
          </cell>
          <cell r="AD3" t="str">
            <v>2017-11</v>
          </cell>
          <cell r="AF3" t="str">
            <v>2017-12</v>
          </cell>
          <cell r="AH3">
            <v>0</v>
          </cell>
        </row>
        <row r="4">
          <cell r="G4">
            <v>0</v>
          </cell>
          <cell r="J4">
            <v>0</v>
          </cell>
          <cell r="L4">
            <v>0</v>
          </cell>
          <cell r="N4">
            <v>0</v>
          </cell>
          <cell r="P4">
            <v>0</v>
          </cell>
          <cell r="R4">
            <v>0</v>
          </cell>
          <cell r="T4">
            <v>0</v>
          </cell>
          <cell r="V4">
            <v>0</v>
          </cell>
          <cell r="X4">
            <v>0</v>
          </cell>
          <cell r="Z4">
            <v>0</v>
          </cell>
          <cell r="AB4">
            <v>0</v>
          </cell>
          <cell r="AD4">
            <v>0</v>
          </cell>
          <cell r="AF4">
            <v>0</v>
          </cell>
          <cell r="AH4">
            <v>0</v>
          </cell>
        </row>
        <row r="5">
          <cell r="J5">
            <v>0</v>
          </cell>
          <cell r="L5">
            <v>0</v>
          </cell>
          <cell r="N5">
            <v>0</v>
          </cell>
          <cell r="P5">
            <v>0</v>
          </cell>
          <cell r="R5">
            <v>0</v>
          </cell>
          <cell r="T5">
            <v>0</v>
          </cell>
          <cell r="V5">
            <v>0</v>
          </cell>
          <cell r="X5">
            <v>0</v>
          </cell>
          <cell r="Z5">
            <v>0</v>
          </cell>
          <cell r="AB5">
            <v>0</v>
          </cell>
          <cell r="AD5">
            <v>0</v>
          </cell>
          <cell r="AF5">
            <v>0</v>
          </cell>
          <cell r="AH5">
            <v>0</v>
          </cell>
        </row>
        <row r="6">
          <cell r="D6" t="str">
            <v>Waste Connections, Inc.</v>
          </cell>
          <cell r="M6" t="str">
            <v>Districts/Grouping:</v>
          </cell>
          <cell r="N6" t="str">
            <v>2000</v>
          </cell>
          <cell r="Q6" t="str">
            <v>Exclude IC:</v>
          </cell>
          <cell r="R6">
            <v>0</v>
          </cell>
          <cell r="S6">
            <v>0</v>
          </cell>
          <cell r="T6">
            <v>0</v>
          </cell>
          <cell r="Y6">
            <v>0</v>
          </cell>
          <cell r="Z6">
            <v>0</v>
          </cell>
          <cell r="AE6">
            <v>0</v>
          </cell>
          <cell r="AF6">
            <v>0</v>
          </cell>
          <cell r="AH6">
            <v>0</v>
          </cell>
        </row>
        <row r="7">
          <cell r="D7" t="str">
            <v>IS 210 - PL Review</v>
          </cell>
          <cell r="N7" t="str">
            <v/>
          </cell>
          <cell r="Q7" t="str">
            <v>System:</v>
          </cell>
          <cell r="R7" t="str">
            <v/>
          </cell>
          <cell r="T7" t="str">
            <v/>
          </cell>
          <cell r="Z7" t="str">
            <v/>
          </cell>
          <cell r="AF7" t="str">
            <v/>
          </cell>
        </row>
        <row r="8">
          <cell r="D8" t="str">
            <v>2017-12</v>
          </cell>
        </row>
        <row r="9">
          <cell r="D9">
            <v>1</v>
          </cell>
          <cell r="E9">
            <v>2</v>
          </cell>
          <cell r="F9">
            <v>3</v>
          </cell>
          <cell r="G9">
            <v>4</v>
          </cell>
          <cell r="H9">
            <v>5</v>
          </cell>
          <cell r="I9">
            <v>6</v>
          </cell>
          <cell r="J9">
            <v>7</v>
          </cell>
          <cell r="K9">
            <v>8</v>
          </cell>
          <cell r="L9">
            <v>9</v>
          </cell>
          <cell r="M9">
            <v>10</v>
          </cell>
          <cell r="N9">
            <v>11</v>
          </cell>
          <cell r="O9">
            <v>12</v>
          </cell>
          <cell r="P9">
            <v>13</v>
          </cell>
          <cell r="Q9">
            <v>14</v>
          </cell>
          <cell r="R9">
            <v>15</v>
          </cell>
          <cell r="S9">
            <v>16</v>
          </cell>
          <cell r="T9">
            <v>17</v>
          </cell>
          <cell r="U9">
            <v>18</v>
          </cell>
          <cell r="V9">
            <v>19</v>
          </cell>
          <cell r="W9">
            <v>20</v>
          </cell>
          <cell r="X9">
            <v>21</v>
          </cell>
          <cell r="Y9">
            <v>22</v>
          </cell>
          <cell r="Z9">
            <v>23</v>
          </cell>
          <cell r="AA9">
            <v>24</v>
          </cell>
          <cell r="AB9">
            <v>25</v>
          </cell>
          <cell r="AC9">
            <v>26</v>
          </cell>
          <cell r="AD9">
            <v>27</v>
          </cell>
          <cell r="AE9">
            <v>28</v>
          </cell>
          <cell r="AF9">
            <v>29</v>
          </cell>
          <cell r="AG9">
            <v>30</v>
          </cell>
          <cell r="AH9">
            <v>31</v>
          </cell>
        </row>
        <row r="10">
          <cell r="D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D12">
            <v>0</v>
          </cell>
          <cell r="E12">
            <v>0</v>
          </cell>
          <cell r="F12">
            <v>0</v>
          </cell>
          <cell r="G12">
            <v>0</v>
          </cell>
          <cell r="H12">
            <v>0</v>
          </cell>
          <cell r="I12">
            <v>0</v>
          </cell>
          <cell r="J12">
            <v>42736</v>
          </cell>
          <cell r="K12">
            <v>0</v>
          </cell>
          <cell r="L12">
            <v>42768</v>
          </cell>
          <cell r="M12">
            <v>0</v>
          </cell>
          <cell r="N12">
            <v>42797</v>
          </cell>
          <cell r="O12">
            <v>0</v>
          </cell>
          <cell r="P12">
            <v>42829</v>
          </cell>
          <cell r="Q12">
            <v>0</v>
          </cell>
          <cell r="R12">
            <v>42860</v>
          </cell>
          <cell r="S12">
            <v>0</v>
          </cell>
          <cell r="T12">
            <v>42892</v>
          </cell>
          <cell r="U12">
            <v>0</v>
          </cell>
          <cell r="V12">
            <v>42923</v>
          </cell>
          <cell r="W12">
            <v>0</v>
          </cell>
          <cell r="X12">
            <v>42955</v>
          </cell>
          <cell r="Y12">
            <v>0</v>
          </cell>
          <cell r="Z12">
            <v>42987</v>
          </cell>
          <cell r="AA12">
            <v>0</v>
          </cell>
          <cell r="AB12">
            <v>43018</v>
          </cell>
          <cell r="AC12">
            <v>0</v>
          </cell>
          <cell r="AD12">
            <v>43050</v>
          </cell>
          <cell r="AE12">
            <v>0</v>
          </cell>
          <cell r="AF12">
            <v>43081</v>
          </cell>
          <cell r="AG12">
            <v>0</v>
          </cell>
          <cell r="AH12" t="str">
            <v>Total</v>
          </cell>
        </row>
        <row r="13">
          <cell r="D13">
            <v>98501</v>
          </cell>
          <cell r="E13" t="str">
            <v>Days - Weekdays</v>
          </cell>
          <cell r="F13">
            <v>0</v>
          </cell>
          <cell r="G13">
            <v>0</v>
          </cell>
          <cell r="H13">
            <v>0</v>
          </cell>
          <cell r="I13">
            <v>0</v>
          </cell>
          <cell r="J13">
            <v>22</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22</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F18" t="str">
            <v>Hauling Revenue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D21">
            <v>0</v>
          </cell>
          <cell r="E21">
            <v>0</v>
          </cell>
          <cell r="F21">
            <v>0</v>
          </cell>
          <cell r="G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F22" t="str">
            <v>Transfer and MRF</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D26">
            <v>0</v>
          </cell>
          <cell r="E26">
            <v>0</v>
          </cell>
          <cell r="F26">
            <v>0</v>
          </cell>
          <cell r="G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F27" t="str">
            <v>Recycling Proceeds</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D28">
            <v>0</v>
          </cell>
          <cell r="E28">
            <v>0</v>
          </cell>
          <cell r="F28">
            <v>0</v>
          </cell>
          <cell r="G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D31">
            <v>0</v>
          </cell>
          <cell r="E31">
            <v>0</v>
          </cell>
          <cell r="F31">
            <v>0</v>
          </cell>
          <cell r="G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F32" t="str">
            <v>Landfill Revenue</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D35">
            <v>0</v>
          </cell>
          <cell r="E35">
            <v>0</v>
          </cell>
          <cell r="F35">
            <v>0</v>
          </cell>
          <cell r="G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F36" t="str">
            <v>Intermodal</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D39">
            <v>38001</v>
          </cell>
          <cell r="E39" t="str">
            <v>P-Card Rebate Revenue</v>
          </cell>
          <cell r="F39">
            <v>0</v>
          </cell>
          <cell r="G39">
            <v>0</v>
          </cell>
          <cell r="H39">
            <v>0</v>
          </cell>
          <cell r="I39">
            <v>0</v>
          </cell>
          <cell r="J39">
            <v>-116080</v>
          </cell>
          <cell r="K39">
            <v>0</v>
          </cell>
          <cell r="L39">
            <v>-98669.96</v>
          </cell>
          <cell r="M39">
            <v>0</v>
          </cell>
          <cell r="N39">
            <v>-93059.49</v>
          </cell>
          <cell r="O39">
            <v>0</v>
          </cell>
          <cell r="P39">
            <v>-101700.46</v>
          </cell>
          <cell r="Q39">
            <v>0</v>
          </cell>
          <cell r="R39">
            <v>-101172.85</v>
          </cell>
          <cell r="S39">
            <v>0</v>
          </cell>
          <cell r="T39">
            <v>-108515.65</v>
          </cell>
          <cell r="U39">
            <v>0</v>
          </cell>
          <cell r="V39">
            <v>-109565.33</v>
          </cell>
          <cell r="W39">
            <v>0</v>
          </cell>
          <cell r="X39">
            <v>-106068.53</v>
          </cell>
          <cell r="Y39">
            <v>0</v>
          </cell>
          <cell r="Z39">
            <v>-114959.34</v>
          </cell>
          <cell r="AA39">
            <v>0</v>
          </cell>
          <cell r="AB39">
            <v>-132717.26</v>
          </cell>
          <cell r="AC39">
            <v>0</v>
          </cell>
          <cell r="AD39">
            <v>-125727.95</v>
          </cell>
          <cell r="AE39">
            <v>0</v>
          </cell>
          <cell r="AF39">
            <v>-130468.87</v>
          </cell>
          <cell r="AG39">
            <v>0</v>
          </cell>
          <cell r="AH39">
            <v>-1338705.69</v>
          </cell>
        </row>
        <row r="40">
          <cell r="D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F41" t="str">
            <v>Other Revenue</v>
          </cell>
          <cell r="J41">
            <v>-116080</v>
          </cell>
          <cell r="K41">
            <v>0</v>
          </cell>
          <cell r="L41">
            <v>-98669.96</v>
          </cell>
          <cell r="M41">
            <v>0</v>
          </cell>
          <cell r="N41">
            <v>-93059.49</v>
          </cell>
          <cell r="O41">
            <v>0</v>
          </cell>
          <cell r="P41">
            <v>-101700.46</v>
          </cell>
          <cell r="Q41">
            <v>0</v>
          </cell>
          <cell r="R41">
            <v>-101172.85</v>
          </cell>
          <cell r="S41">
            <v>0</v>
          </cell>
          <cell r="T41">
            <v>-108515.65</v>
          </cell>
          <cell r="U41">
            <v>0</v>
          </cell>
          <cell r="V41">
            <v>-109565.33</v>
          </cell>
          <cell r="W41">
            <v>0</v>
          </cell>
          <cell r="X41">
            <v>-106068.53</v>
          </cell>
          <cell r="Y41">
            <v>0</v>
          </cell>
          <cell r="Z41">
            <v>-114959.34</v>
          </cell>
          <cell r="AA41">
            <v>0</v>
          </cell>
          <cell r="AB41">
            <v>-132717.26</v>
          </cell>
          <cell r="AC41">
            <v>0</v>
          </cell>
          <cell r="AD41">
            <v>-125727.95</v>
          </cell>
          <cell r="AE41">
            <v>0</v>
          </cell>
          <cell r="AF41">
            <v>-130468.87</v>
          </cell>
          <cell r="AG41">
            <v>0</v>
          </cell>
          <cell r="AH41">
            <v>-1338705.69</v>
          </cell>
        </row>
        <row r="42">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E43" t="str">
            <v>Revenue</v>
          </cell>
          <cell r="J43">
            <v>-116080</v>
          </cell>
          <cell r="K43">
            <v>0</v>
          </cell>
          <cell r="L43">
            <v>-98669.96</v>
          </cell>
          <cell r="M43">
            <v>0</v>
          </cell>
          <cell r="N43">
            <v>-93059.49</v>
          </cell>
          <cell r="O43">
            <v>0</v>
          </cell>
          <cell r="P43">
            <v>-101700.46</v>
          </cell>
          <cell r="Q43">
            <v>0</v>
          </cell>
          <cell r="R43">
            <v>-101172.85</v>
          </cell>
          <cell r="S43">
            <v>0</v>
          </cell>
          <cell r="T43">
            <v>-108515.65</v>
          </cell>
          <cell r="U43">
            <v>0</v>
          </cell>
          <cell r="V43">
            <v>-109565.33</v>
          </cell>
          <cell r="W43">
            <v>0</v>
          </cell>
          <cell r="X43">
            <v>-106068.53</v>
          </cell>
          <cell r="Y43">
            <v>0</v>
          </cell>
          <cell r="Z43">
            <v>-114959.34</v>
          </cell>
          <cell r="AA43">
            <v>0</v>
          </cell>
          <cell r="AB43">
            <v>-132717.26</v>
          </cell>
          <cell r="AC43">
            <v>0</v>
          </cell>
          <cell r="AD43">
            <v>-125727.95</v>
          </cell>
          <cell r="AE43">
            <v>0</v>
          </cell>
          <cell r="AF43">
            <v>-130468.87</v>
          </cell>
          <cell r="AG43">
            <v>0</v>
          </cell>
          <cell r="AH43">
            <v>-1338705.69</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D47">
            <v>0</v>
          </cell>
          <cell r="E47">
            <v>0</v>
          </cell>
          <cell r="F47">
            <v>0</v>
          </cell>
          <cell r="G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F48" t="str">
            <v>Disposal</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D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F52" t="str">
            <v>MRF Processing</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D55">
            <v>43001</v>
          </cell>
          <cell r="E55" t="str">
            <v>Taxes and Pass Thru Fees</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408264</v>
          </cell>
          <cell r="AG55">
            <v>0</v>
          </cell>
          <cell r="AH55">
            <v>408264</v>
          </cell>
        </row>
        <row r="56">
          <cell r="D56">
            <v>0</v>
          </cell>
          <cell r="E56">
            <v>0</v>
          </cell>
          <cell r="F56">
            <v>0</v>
          </cell>
          <cell r="G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F57" t="str">
            <v>Brok. and Taxes</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408264</v>
          </cell>
          <cell r="AG57">
            <v>0</v>
          </cell>
          <cell r="AH57">
            <v>408264</v>
          </cell>
        </row>
        <row r="58">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D61">
            <v>0</v>
          </cell>
          <cell r="E61">
            <v>0</v>
          </cell>
          <cell r="F61">
            <v>0</v>
          </cell>
          <cell r="G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F62" t="str">
            <v>Cost of Materials</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D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F66" t="str">
            <v>Other Expense</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Rev Reductions</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408264</v>
          </cell>
          <cell r="AG68">
            <v>0</v>
          </cell>
          <cell r="AH68">
            <v>408264</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Net Revenue</v>
          </cell>
          <cell r="J70">
            <v>-116080</v>
          </cell>
          <cell r="K70">
            <v>0</v>
          </cell>
          <cell r="L70">
            <v>-98669.96</v>
          </cell>
          <cell r="M70">
            <v>0</v>
          </cell>
          <cell r="N70">
            <v>-93059.49</v>
          </cell>
          <cell r="O70">
            <v>0</v>
          </cell>
          <cell r="P70">
            <v>-101700.46</v>
          </cell>
          <cell r="Q70">
            <v>0</v>
          </cell>
          <cell r="R70">
            <v>-101172.85</v>
          </cell>
          <cell r="S70">
            <v>0</v>
          </cell>
          <cell r="T70">
            <v>-108515.65</v>
          </cell>
          <cell r="U70">
            <v>0</v>
          </cell>
          <cell r="V70">
            <v>-109565.33</v>
          </cell>
          <cell r="W70">
            <v>0</v>
          </cell>
          <cell r="X70">
            <v>-106068.53</v>
          </cell>
          <cell r="Y70">
            <v>0</v>
          </cell>
          <cell r="Z70">
            <v>-114959.34</v>
          </cell>
          <cell r="AA70">
            <v>0</v>
          </cell>
          <cell r="AB70">
            <v>-132717.26</v>
          </cell>
          <cell r="AC70">
            <v>0</v>
          </cell>
          <cell r="AD70">
            <v>-125727.95</v>
          </cell>
          <cell r="AE70">
            <v>0</v>
          </cell>
          <cell r="AF70">
            <v>-538732.87</v>
          </cell>
          <cell r="AG70">
            <v>0</v>
          </cell>
          <cell r="AH70">
            <v>-1746969.69</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D73">
            <v>50020</v>
          </cell>
          <cell r="E73" t="str">
            <v>Wages Regular</v>
          </cell>
          <cell r="F73">
            <v>0</v>
          </cell>
          <cell r="G73">
            <v>0</v>
          </cell>
          <cell r="H73">
            <v>0</v>
          </cell>
          <cell r="I73">
            <v>0</v>
          </cell>
          <cell r="J73">
            <v>-1315.16</v>
          </cell>
          <cell r="K73">
            <v>0</v>
          </cell>
          <cell r="L73">
            <v>-1315.16</v>
          </cell>
          <cell r="M73">
            <v>0</v>
          </cell>
          <cell r="N73">
            <v>-1315.16</v>
          </cell>
          <cell r="O73">
            <v>0</v>
          </cell>
          <cell r="P73">
            <v>-1315.16</v>
          </cell>
          <cell r="Q73">
            <v>0</v>
          </cell>
          <cell r="R73">
            <v>-1315.16</v>
          </cell>
          <cell r="S73">
            <v>0</v>
          </cell>
          <cell r="T73">
            <v>-1315.16</v>
          </cell>
          <cell r="U73">
            <v>0</v>
          </cell>
          <cell r="V73">
            <v>-1315.16</v>
          </cell>
          <cell r="W73">
            <v>0</v>
          </cell>
          <cell r="X73">
            <v>-1315.16</v>
          </cell>
          <cell r="Y73">
            <v>0</v>
          </cell>
          <cell r="Z73">
            <v>-1315.16</v>
          </cell>
          <cell r="AA73">
            <v>0</v>
          </cell>
          <cell r="AB73">
            <v>0</v>
          </cell>
          <cell r="AC73">
            <v>0</v>
          </cell>
          <cell r="AD73">
            <v>0</v>
          </cell>
          <cell r="AE73">
            <v>0</v>
          </cell>
          <cell r="AF73">
            <v>0</v>
          </cell>
          <cell r="AG73">
            <v>0</v>
          </cell>
          <cell r="AH73">
            <v>-11836.44</v>
          </cell>
        </row>
        <row r="74">
          <cell r="D74">
            <v>50060</v>
          </cell>
          <cell r="E74" t="str">
            <v>Group Insurance</v>
          </cell>
          <cell r="F74">
            <v>0</v>
          </cell>
          <cell r="G74">
            <v>0</v>
          </cell>
          <cell r="H74">
            <v>0</v>
          </cell>
          <cell r="I74">
            <v>0</v>
          </cell>
          <cell r="J74">
            <v>0</v>
          </cell>
          <cell r="K74">
            <v>0</v>
          </cell>
          <cell r="L74">
            <v>0</v>
          </cell>
          <cell r="M74">
            <v>0</v>
          </cell>
          <cell r="N74">
            <v>-336916.44</v>
          </cell>
          <cell r="O74">
            <v>0</v>
          </cell>
          <cell r="P74">
            <v>0</v>
          </cell>
          <cell r="Q74">
            <v>0</v>
          </cell>
          <cell r="R74">
            <v>0</v>
          </cell>
          <cell r="S74">
            <v>0</v>
          </cell>
          <cell r="T74">
            <v>-390240.78</v>
          </cell>
          <cell r="U74">
            <v>0</v>
          </cell>
          <cell r="V74">
            <v>0</v>
          </cell>
          <cell r="W74">
            <v>0</v>
          </cell>
          <cell r="X74">
            <v>0</v>
          </cell>
          <cell r="Y74">
            <v>0</v>
          </cell>
          <cell r="Z74">
            <v>-625384.97</v>
          </cell>
          <cell r="AA74">
            <v>0</v>
          </cell>
          <cell r="AB74">
            <v>0</v>
          </cell>
          <cell r="AC74">
            <v>0</v>
          </cell>
          <cell r="AD74">
            <v>0</v>
          </cell>
          <cell r="AE74">
            <v>0</v>
          </cell>
          <cell r="AF74">
            <v>-690370.95</v>
          </cell>
          <cell r="AG74">
            <v>0</v>
          </cell>
          <cell r="AH74">
            <v>-2042913.14</v>
          </cell>
        </row>
        <row r="75">
          <cell r="D75">
            <v>50086</v>
          </cell>
          <cell r="E75" t="str">
            <v>Safety and Training</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D76">
            <v>0</v>
          </cell>
          <cell r="E76">
            <v>0</v>
          </cell>
          <cell r="F76">
            <v>0</v>
          </cell>
          <cell r="G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F77" t="str">
            <v>Labor</v>
          </cell>
          <cell r="J77">
            <v>-1315.16</v>
          </cell>
          <cell r="K77">
            <v>0</v>
          </cell>
          <cell r="L77">
            <v>-1315.16</v>
          </cell>
          <cell r="M77">
            <v>0</v>
          </cell>
          <cell r="N77">
            <v>-338231.6</v>
          </cell>
          <cell r="O77">
            <v>0</v>
          </cell>
          <cell r="P77">
            <v>-1315.16</v>
          </cell>
          <cell r="Q77">
            <v>0</v>
          </cell>
          <cell r="R77">
            <v>-1315.16</v>
          </cell>
          <cell r="S77">
            <v>0</v>
          </cell>
          <cell r="T77">
            <v>-391555.94</v>
          </cell>
          <cell r="U77">
            <v>0</v>
          </cell>
          <cell r="V77">
            <v>-1315.16</v>
          </cell>
          <cell r="W77">
            <v>0</v>
          </cell>
          <cell r="X77">
            <v>-1315.16</v>
          </cell>
          <cell r="Y77">
            <v>0</v>
          </cell>
          <cell r="Z77">
            <v>-626700.13</v>
          </cell>
          <cell r="AA77">
            <v>0</v>
          </cell>
          <cell r="AB77">
            <v>0</v>
          </cell>
          <cell r="AC77">
            <v>0</v>
          </cell>
          <cell r="AD77">
            <v>0</v>
          </cell>
          <cell r="AE77">
            <v>0</v>
          </cell>
          <cell r="AF77">
            <v>-690370.95</v>
          </cell>
          <cell r="AG77">
            <v>0</v>
          </cell>
          <cell r="AH77">
            <v>-2054749.5799999998</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D80">
            <v>0</v>
          </cell>
          <cell r="E80">
            <v>0</v>
          </cell>
          <cell r="F80">
            <v>0</v>
          </cell>
          <cell r="G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F81" t="str">
            <v>Truck Fixed</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D84">
            <v>52010</v>
          </cell>
          <cell r="E84" t="str">
            <v>Salaries</v>
          </cell>
          <cell r="F84">
            <v>0</v>
          </cell>
          <cell r="G84">
            <v>0</v>
          </cell>
          <cell r="H84">
            <v>0</v>
          </cell>
          <cell r="I84">
            <v>0</v>
          </cell>
          <cell r="J84">
            <v>-5534.02</v>
          </cell>
          <cell r="K84">
            <v>0</v>
          </cell>
          <cell r="L84">
            <v>-5534.02</v>
          </cell>
          <cell r="M84">
            <v>0</v>
          </cell>
          <cell r="N84">
            <v>-5534.02</v>
          </cell>
          <cell r="O84">
            <v>0</v>
          </cell>
          <cell r="P84">
            <v>-5534.02</v>
          </cell>
          <cell r="Q84">
            <v>0</v>
          </cell>
          <cell r="R84">
            <v>-5534.02</v>
          </cell>
          <cell r="S84">
            <v>0</v>
          </cell>
          <cell r="T84">
            <v>-5534.02</v>
          </cell>
          <cell r="U84">
            <v>0</v>
          </cell>
          <cell r="V84">
            <v>-4493.82</v>
          </cell>
          <cell r="W84">
            <v>0</v>
          </cell>
          <cell r="X84">
            <v>-4493.82</v>
          </cell>
          <cell r="Y84">
            <v>0</v>
          </cell>
          <cell r="Z84">
            <v>-4493.82</v>
          </cell>
          <cell r="AA84">
            <v>0</v>
          </cell>
          <cell r="AB84">
            <v>0</v>
          </cell>
          <cell r="AC84">
            <v>0</v>
          </cell>
          <cell r="AD84">
            <v>0</v>
          </cell>
          <cell r="AE84">
            <v>0</v>
          </cell>
          <cell r="AF84">
            <v>0</v>
          </cell>
          <cell r="AG84">
            <v>0</v>
          </cell>
          <cell r="AH84">
            <v>-46685.58</v>
          </cell>
        </row>
        <row r="85">
          <cell r="D85">
            <v>52020</v>
          </cell>
          <cell r="E85" t="str">
            <v>Wages Regular</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D86">
            <v>52050</v>
          </cell>
          <cell r="E86" t="str">
            <v>Payroll Taxes</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D87">
            <v>52060</v>
          </cell>
          <cell r="E87" t="str">
            <v>Group Insurance</v>
          </cell>
          <cell r="F87">
            <v>0</v>
          </cell>
          <cell r="G87">
            <v>0</v>
          </cell>
          <cell r="H87">
            <v>0</v>
          </cell>
          <cell r="I87">
            <v>0</v>
          </cell>
          <cell r="J87">
            <v>167.26</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167.26</v>
          </cell>
        </row>
        <row r="88">
          <cell r="D88">
            <v>52115</v>
          </cell>
          <cell r="E88" t="str">
            <v>Pension and Profit Sharing</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D89">
            <v>52120</v>
          </cell>
          <cell r="E89" t="str">
            <v>Parts and Materials</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D90">
            <v>52125</v>
          </cell>
          <cell r="E90" t="str">
            <v>Operating Supplies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D91">
            <v>52142</v>
          </cell>
          <cell r="E91" t="str">
            <v>Fuel Expense</v>
          </cell>
          <cell r="F91">
            <v>0</v>
          </cell>
          <cell r="G91">
            <v>0</v>
          </cell>
          <cell r="H91">
            <v>0</v>
          </cell>
          <cell r="I91">
            <v>0</v>
          </cell>
          <cell r="J91">
            <v>82087.600000000006</v>
          </cell>
          <cell r="K91">
            <v>0</v>
          </cell>
          <cell r="L91">
            <v>85259.17</v>
          </cell>
          <cell r="M91">
            <v>0</v>
          </cell>
          <cell r="N91">
            <v>89374.82</v>
          </cell>
          <cell r="O91">
            <v>0</v>
          </cell>
          <cell r="P91">
            <v>81430.259999999995</v>
          </cell>
          <cell r="Q91">
            <v>0</v>
          </cell>
          <cell r="R91">
            <v>87248</v>
          </cell>
          <cell r="S91">
            <v>0</v>
          </cell>
          <cell r="T91">
            <v>100521.4</v>
          </cell>
          <cell r="U91">
            <v>0</v>
          </cell>
          <cell r="V91">
            <v>104272</v>
          </cell>
          <cell r="W91">
            <v>0</v>
          </cell>
          <cell r="X91">
            <v>78044.399999999994</v>
          </cell>
          <cell r="Y91">
            <v>0</v>
          </cell>
          <cell r="Z91">
            <v>27557.599999999999</v>
          </cell>
          <cell r="AA91">
            <v>0</v>
          </cell>
          <cell r="AB91">
            <v>25057.200000000001</v>
          </cell>
          <cell r="AC91">
            <v>0</v>
          </cell>
          <cell r="AD91">
            <v>-5426.4</v>
          </cell>
          <cell r="AE91">
            <v>0</v>
          </cell>
          <cell r="AF91">
            <v>-5479.6</v>
          </cell>
          <cell r="AG91">
            <v>0</v>
          </cell>
          <cell r="AH91">
            <v>749946.45</v>
          </cell>
        </row>
        <row r="92">
          <cell r="D92">
            <v>52901</v>
          </cell>
          <cell r="E92" t="str">
            <v>Costs Awaiting Capitalization</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row>
        <row r="93">
          <cell r="D93">
            <v>0</v>
          </cell>
          <cell r="E93">
            <v>0</v>
          </cell>
          <cell r="F93">
            <v>0</v>
          </cell>
          <cell r="G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F94" t="str">
            <v>Truck Variable</v>
          </cell>
          <cell r="J94">
            <v>76720.840000000011</v>
          </cell>
          <cell r="K94">
            <v>0</v>
          </cell>
          <cell r="L94">
            <v>79725.149999999994</v>
          </cell>
          <cell r="M94">
            <v>0</v>
          </cell>
          <cell r="N94">
            <v>83840.800000000003</v>
          </cell>
          <cell r="O94">
            <v>0</v>
          </cell>
          <cell r="P94">
            <v>75896.239999999991</v>
          </cell>
          <cell r="Q94">
            <v>0</v>
          </cell>
          <cell r="R94">
            <v>81713.98</v>
          </cell>
          <cell r="S94">
            <v>0</v>
          </cell>
          <cell r="T94">
            <v>94987.37999999999</v>
          </cell>
          <cell r="U94">
            <v>0</v>
          </cell>
          <cell r="V94">
            <v>99778.18</v>
          </cell>
          <cell r="W94">
            <v>0</v>
          </cell>
          <cell r="X94">
            <v>73550.579999999987</v>
          </cell>
          <cell r="Y94">
            <v>0</v>
          </cell>
          <cell r="Z94">
            <v>23063.78</v>
          </cell>
          <cell r="AA94">
            <v>0</v>
          </cell>
          <cell r="AB94">
            <v>25057.200000000001</v>
          </cell>
          <cell r="AC94">
            <v>0</v>
          </cell>
          <cell r="AD94">
            <v>-5426.4</v>
          </cell>
          <cell r="AE94">
            <v>0</v>
          </cell>
          <cell r="AF94">
            <v>-5479.6</v>
          </cell>
          <cell r="AG94">
            <v>0</v>
          </cell>
          <cell r="AH94">
            <v>703428.13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D98">
            <v>0</v>
          </cell>
          <cell r="E98">
            <v>0</v>
          </cell>
          <cell r="F98">
            <v>0</v>
          </cell>
          <cell r="G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F99" t="str">
            <v>Container Exp</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D102">
            <v>56010</v>
          </cell>
          <cell r="E102" t="str">
            <v>Salaries</v>
          </cell>
          <cell r="F102">
            <v>0</v>
          </cell>
          <cell r="G102">
            <v>0</v>
          </cell>
          <cell r="H102">
            <v>0</v>
          </cell>
          <cell r="I102">
            <v>0</v>
          </cell>
          <cell r="J102">
            <v>-9127.7199999999993</v>
          </cell>
          <cell r="K102">
            <v>0</v>
          </cell>
          <cell r="L102">
            <v>-9127.7199999999993</v>
          </cell>
          <cell r="M102">
            <v>0</v>
          </cell>
          <cell r="N102">
            <v>-9127.7199999999993</v>
          </cell>
          <cell r="O102">
            <v>0</v>
          </cell>
          <cell r="P102">
            <v>-9127.7199999999993</v>
          </cell>
          <cell r="Q102">
            <v>0</v>
          </cell>
          <cell r="R102">
            <v>-9127.7199999999993</v>
          </cell>
          <cell r="S102">
            <v>0</v>
          </cell>
          <cell r="T102">
            <v>-9127.7199999999993</v>
          </cell>
          <cell r="U102">
            <v>0</v>
          </cell>
          <cell r="V102">
            <v>-7879.3</v>
          </cell>
          <cell r="W102">
            <v>0</v>
          </cell>
          <cell r="X102">
            <v>-7879.3</v>
          </cell>
          <cell r="Y102">
            <v>0</v>
          </cell>
          <cell r="Z102">
            <v>-7879.3</v>
          </cell>
          <cell r="AA102">
            <v>0</v>
          </cell>
          <cell r="AB102">
            <v>0</v>
          </cell>
          <cell r="AC102">
            <v>0</v>
          </cell>
          <cell r="AD102">
            <v>0</v>
          </cell>
          <cell r="AE102">
            <v>0</v>
          </cell>
          <cell r="AF102">
            <v>0</v>
          </cell>
          <cell r="AG102">
            <v>0</v>
          </cell>
          <cell r="AH102">
            <v>-78404.22</v>
          </cell>
        </row>
        <row r="103">
          <cell r="D103">
            <v>56036</v>
          </cell>
          <cell r="E103" t="str">
            <v>Other Bonus/Commission - Non-Safety</v>
          </cell>
          <cell r="F103">
            <v>0</v>
          </cell>
          <cell r="G103">
            <v>0</v>
          </cell>
          <cell r="H103">
            <v>0</v>
          </cell>
          <cell r="I103">
            <v>0</v>
          </cell>
          <cell r="J103">
            <v>91500</v>
          </cell>
          <cell r="K103">
            <v>0</v>
          </cell>
          <cell r="L103">
            <v>91500</v>
          </cell>
          <cell r="M103">
            <v>0</v>
          </cell>
          <cell r="N103">
            <v>91500</v>
          </cell>
          <cell r="O103">
            <v>0</v>
          </cell>
          <cell r="P103">
            <v>91500</v>
          </cell>
          <cell r="Q103">
            <v>0</v>
          </cell>
          <cell r="R103">
            <v>91500</v>
          </cell>
          <cell r="S103">
            <v>0</v>
          </cell>
          <cell r="T103">
            <v>91500</v>
          </cell>
          <cell r="U103">
            <v>0</v>
          </cell>
          <cell r="V103">
            <v>91500</v>
          </cell>
          <cell r="W103">
            <v>0</v>
          </cell>
          <cell r="X103">
            <v>91500</v>
          </cell>
          <cell r="Y103">
            <v>0</v>
          </cell>
          <cell r="Z103">
            <v>91500</v>
          </cell>
          <cell r="AA103">
            <v>0</v>
          </cell>
          <cell r="AB103">
            <v>91500</v>
          </cell>
          <cell r="AC103">
            <v>0</v>
          </cell>
          <cell r="AD103">
            <v>91500</v>
          </cell>
          <cell r="AE103">
            <v>0</v>
          </cell>
          <cell r="AF103">
            <v>91500</v>
          </cell>
          <cell r="AG103">
            <v>0</v>
          </cell>
          <cell r="AH103">
            <v>1098000</v>
          </cell>
        </row>
        <row r="104">
          <cell r="D104">
            <v>0</v>
          </cell>
          <cell r="E104">
            <v>0</v>
          </cell>
          <cell r="F104">
            <v>0</v>
          </cell>
          <cell r="G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F105" t="str">
            <v>Superv. Ex</v>
          </cell>
          <cell r="J105">
            <v>82372.28</v>
          </cell>
          <cell r="K105">
            <v>0</v>
          </cell>
          <cell r="L105">
            <v>82372.28</v>
          </cell>
          <cell r="M105">
            <v>0</v>
          </cell>
          <cell r="N105">
            <v>82372.28</v>
          </cell>
          <cell r="O105">
            <v>0</v>
          </cell>
          <cell r="P105">
            <v>82372.28</v>
          </cell>
          <cell r="Q105">
            <v>0</v>
          </cell>
          <cell r="R105">
            <v>82372.28</v>
          </cell>
          <cell r="S105">
            <v>0</v>
          </cell>
          <cell r="T105">
            <v>82372.28</v>
          </cell>
          <cell r="U105">
            <v>0</v>
          </cell>
          <cell r="V105">
            <v>83620.7</v>
          </cell>
          <cell r="W105">
            <v>0</v>
          </cell>
          <cell r="X105">
            <v>83620.7</v>
          </cell>
          <cell r="Y105">
            <v>0</v>
          </cell>
          <cell r="Z105">
            <v>83620.7</v>
          </cell>
          <cell r="AA105">
            <v>0</v>
          </cell>
          <cell r="AB105">
            <v>91500</v>
          </cell>
          <cell r="AC105">
            <v>0</v>
          </cell>
          <cell r="AD105">
            <v>91500</v>
          </cell>
          <cell r="AE105">
            <v>0</v>
          </cell>
          <cell r="AF105">
            <v>91500</v>
          </cell>
          <cell r="AG105">
            <v>0</v>
          </cell>
          <cell r="AH105">
            <v>1019595.78</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D108">
            <v>57165</v>
          </cell>
          <cell r="E108" t="str">
            <v>Communications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D109">
            <v>57255</v>
          </cell>
          <cell r="E109" t="str">
            <v>Other Prof Fees</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32331.79</v>
          </cell>
          <cell r="Y109">
            <v>0</v>
          </cell>
          <cell r="Z109">
            <v>9282.6</v>
          </cell>
          <cell r="AA109">
            <v>0</v>
          </cell>
          <cell r="AB109">
            <v>181.7</v>
          </cell>
          <cell r="AC109">
            <v>0</v>
          </cell>
          <cell r="AD109">
            <v>0</v>
          </cell>
          <cell r="AE109">
            <v>0</v>
          </cell>
          <cell r="AF109">
            <v>0</v>
          </cell>
          <cell r="AG109">
            <v>0</v>
          </cell>
          <cell r="AH109">
            <v>41796.090000000004</v>
          </cell>
        </row>
        <row r="110">
          <cell r="D110">
            <v>57257</v>
          </cell>
          <cell r="E110" t="str">
            <v>Engineering Fees</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D111">
            <v>57370</v>
          </cell>
          <cell r="E111" t="str">
            <v>Bonds Expense</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200</v>
          </cell>
          <cell r="AG111">
            <v>0</v>
          </cell>
          <cell r="AH111">
            <v>200</v>
          </cell>
        </row>
        <row r="112">
          <cell r="D112">
            <v>0</v>
          </cell>
          <cell r="E112">
            <v>0</v>
          </cell>
          <cell r="F112">
            <v>0</v>
          </cell>
          <cell r="G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F113" t="str">
            <v>Other Operating</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32331.79</v>
          </cell>
          <cell r="Y113">
            <v>0</v>
          </cell>
          <cell r="Z113">
            <v>9282.6</v>
          </cell>
          <cell r="AA113">
            <v>0</v>
          </cell>
          <cell r="AB113">
            <v>181.7</v>
          </cell>
          <cell r="AC113">
            <v>0</v>
          </cell>
          <cell r="AD113">
            <v>0</v>
          </cell>
          <cell r="AE113">
            <v>0</v>
          </cell>
          <cell r="AF113">
            <v>200</v>
          </cell>
          <cell r="AG113">
            <v>0</v>
          </cell>
          <cell r="AH113">
            <v>41996.090000000004</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D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F117" t="str">
            <v>Closure Exp</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D120">
            <v>59340</v>
          </cell>
          <cell r="E120" t="str">
            <v>Self Insurance Premium</v>
          </cell>
          <cell r="F120">
            <v>0</v>
          </cell>
          <cell r="G120">
            <v>0</v>
          </cell>
          <cell r="H120">
            <v>0</v>
          </cell>
          <cell r="I120">
            <v>0</v>
          </cell>
          <cell r="J120">
            <v>1528.8</v>
          </cell>
          <cell r="K120">
            <v>0</v>
          </cell>
          <cell r="L120">
            <v>1528.8</v>
          </cell>
          <cell r="M120">
            <v>0</v>
          </cell>
          <cell r="N120">
            <v>1528.8</v>
          </cell>
          <cell r="O120">
            <v>0</v>
          </cell>
          <cell r="P120">
            <v>1528.8</v>
          </cell>
          <cell r="Q120">
            <v>0</v>
          </cell>
          <cell r="R120">
            <v>1528.8</v>
          </cell>
          <cell r="S120">
            <v>0</v>
          </cell>
          <cell r="T120">
            <v>1528.8</v>
          </cell>
          <cell r="U120">
            <v>0</v>
          </cell>
          <cell r="V120">
            <v>1528.8</v>
          </cell>
          <cell r="W120">
            <v>0</v>
          </cell>
          <cell r="X120">
            <v>1528.8</v>
          </cell>
          <cell r="Y120">
            <v>0</v>
          </cell>
          <cell r="Z120">
            <v>1528.8</v>
          </cell>
          <cell r="AA120">
            <v>0</v>
          </cell>
          <cell r="AB120">
            <v>1528.8</v>
          </cell>
          <cell r="AC120">
            <v>0</v>
          </cell>
          <cell r="AD120">
            <v>1528.8</v>
          </cell>
          <cell r="AE120">
            <v>0</v>
          </cell>
          <cell r="AF120">
            <v>1528.8</v>
          </cell>
          <cell r="AG120">
            <v>0</v>
          </cell>
          <cell r="AH120">
            <v>18345.599999999995</v>
          </cell>
        </row>
        <row r="121">
          <cell r="D121">
            <v>59341</v>
          </cell>
          <cell r="E121" t="str">
            <v>A&amp;L - Current Year Claims</v>
          </cell>
          <cell r="F121">
            <v>0</v>
          </cell>
          <cell r="G121">
            <v>0</v>
          </cell>
          <cell r="H121">
            <v>0</v>
          </cell>
          <cell r="I121">
            <v>0</v>
          </cell>
          <cell r="J121">
            <v>-342790.86</v>
          </cell>
          <cell r="K121">
            <v>0</v>
          </cell>
          <cell r="L121">
            <v>-33803.22</v>
          </cell>
          <cell r="M121">
            <v>0</v>
          </cell>
          <cell r="N121">
            <v>400718.27</v>
          </cell>
          <cell r="O121">
            <v>0</v>
          </cell>
          <cell r="P121">
            <v>-73430.41</v>
          </cell>
          <cell r="Q121">
            <v>0</v>
          </cell>
          <cell r="R121">
            <v>119297.25</v>
          </cell>
          <cell r="S121">
            <v>0</v>
          </cell>
          <cell r="T121">
            <v>18381.759999999998</v>
          </cell>
          <cell r="U121">
            <v>0</v>
          </cell>
          <cell r="V121">
            <v>28550.73</v>
          </cell>
          <cell r="W121">
            <v>0</v>
          </cell>
          <cell r="X121">
            <v>-117936.91</v>
          </cell>
          <cell r="Y121">
            <v>0</v>
          </cell>
          <cell r="Z121">
            <v>-925774.16</v>
          </cell>
          <cell r="AA121">
            <v>0</v>
          </cell>
          <cell r="AB121">
            <v>-1074627.1299999999</v>
          </cell>
          <cell r="AC121">
            <v>0</v>
          </cell>
          <cell r="AD121">
            <v>-49691.12</v>
          </cell>
          <cell r="AE121">
            <v>0</v>
          </cell>
          <cell r="AF121">
            <v>-249758.46</v>
          </cell>
          <cell r="AG121">
            <v>0</v>
          </cell>
          <cell r="AH121">
            <v>-2300864.2600000007</v>
          </cell>
        </row>
        <row r="122">
          <cell r="D122">
            <v>59343</v>
          </cell>
          <cell r="E122" t="str">
            <v>WC - Current Year Claims</v>
          </cell>
          <cell r="F122">
            <v>0</v>
          </cell>
          <cell r="G122">
            <v>0</v>
          </cell>
          <cell r="H122">
            <v>0</v>
          </cell>
          <cell r="I122">
            <v>0</v>
          </cell>
          <cell r="J122">
            <v>86842.62</v>
          </cell>
          <cell r="K122">
            <v>0</v>
          </cell>
          <cell r="L122">
            <v>-198617.07</v>
          </cell>
          <cell r="M122">
            <v>0</v>
          </cell>
          <cell r="N122">
            <v>-100357.41</v>
          </cell>
          <cell r="O122">
            <v>0</v>
          </cell>
          <cell r="P122">
            <v>-205324.76</v>
          </cell>
          <cell r="Q122">
            <v>0</v>
          </cell>
          <cell r="R122">
            <v>-554638.87</v>
          </cell>
          <cell r="S122">
            <v>0</v>
          </cell>
          <cell r="T122">
            <v>-200293.21</v>
          </cell>
          <cell r="U122">
            <v>0</v>
          </cell>
          <cell r="V122">
            <v>-53235.41</v>
          </cell>
          <cell r="W122">
            <v>0</v>
          </cell>
          <cell r="X122">
            <v>-56708.61</v>
          </cell>
          <cell r="Y122">
            <v>0</v>
          </cell>
          <cell r="Z122">
            <v>10469.76</v>
          </cell>
          <cell r="AA122">
            <v>0</v>
          </cell>
          <cell r="AB122">
            <v>34647.06</v>
          </cell>
          <cell r="AC122">
            <v>0</v>
          </cell>
          <cell r="AD122">
            <v>-1134160.3899999999</v>
          </cell>
          <cell r="AE122">
            <v>0</v>
          </cell>
          <cell r="AF122">
            <v>-575348.98</v>
          </cell>
          <cell r="AG122">
            <v>0</v>
          </cell>
          <cell r="AH122">
            <v>-2946725.27</v>
          </cell>
        </row>
        <row r="123">
          <cell r="D123">
            <v>59344</v>
          </cell>
          <cell r="E123" t="str">
            <v>WC - Prior Year Claims</v>
          </cell>
          <cell r="F123">
            <v>0</v>
          </cell>
          <cell r="G123">
            <v>0</v>
          </cell>
          <cell r="H123">
            <v>0</v>
          </cell>
          <cell r="I123">
            <v>0</v>
          </cell>
          <cell r="J123">
            <v>0</v>
          </cell>
          <cell r="K123">
            <v>0</v>
          </cell>
          <cell r="L123">
            <v>1338.14</v>
          </cell>
          <cell r="M123">
            <v>0</v>
          </cell>
          <cell r="N123">
            <v>5000</v>
          </cell>
          <cell r="O123">
            <v>0</v>
          </cell>
          <cell r="P123">
            <v>0</v>
          </cell>
          <cell r="Q123">
            <v>0</v>
          </cell>
          <cell r="R123">
            <v>0</v>
          </cell>
          <cell r="S123">
            <v>0</v>
          </cell>
          <cell r="T123">
            <v>14.3</v>
          </cell>
          <cell r="U123">
            <v>0</v>
          </cell>
          <cell r="V123">
            <v>-3165</v>
          </cell>
          <cell r="W123">
            <v>0</v>
          </cell>
          <cell r="X123">
            <v>-6773.4</v>
          </cell>
          <cell r="Y123">
            <v>0</v>
          </cell>
          <cell r="Z123">
            <v>0</v>
          </cell>
          <cell r="AA123">
            <v>0</v>
          </cell>
          <cell r="AB123">
            <v>2206.54</v>
          </cell>
          <cell r="AC123">
            <v>0</v>
          </cell>
          <cell r="AD123">
            <v>23.4</v>
          </cell>
          <cell r="AE123">
            <v>0</v>
          </cell>
          <cell r="AF123">
            <v>79.5</v>
          </cell>
          <cell r="AG123">
            <v>0</v>
          </cell>
          <cell r="AH123">
            <v>-1276.5199999999988</v>
          </cell>
        </row>
        <row r="124">
          <cell r="D124">
            <v>59350</v>
          </cell>
          <cell r="E124" t="str">
            <v>Self Insurance IBNR Estimates</v>
          </cell>
          <cell r="F124">
            <v>0</v>
          </cell>
          <cell r="G124">
            <v>0</v>
          </cell>
          <cell r="H124">
            <v>0</v>
          </cell>
          <cell r="I124">
            <v>0</v>
          </cell>
          <cell r="J124">
            <v>364474.48</v>
          </cell>
          <cell r="K124">
            <v>0</v>
          </cell>
          <cell r="L124">
            <v>450417.69</v>
          </cell>
          <cell r="M124">
            <v>0</v>
          </cell>
          <cell r="N124">
            <v>537702.55000000005</v>
          </cell>
          <cell r="O124">
            <v>0</v>
          </cell>
          <cell r="P124">
            <v>431036.15</v>
          </cell>
          <cell r="Q124">
            <v>0</v>
          </cell>
          <cell r="R124">
            <v>459724.47</v>
          </cell>
          <cell r="S124">
            <v>0</v>
          </cell>
          <cell r="T124">
            <v>214059.97</v>
          </cell>
          <cell r="U124">
            <v>0</v>
          </cell>
          <cell r="V124">
            <v>508075.78</v>
          </cell>
          <cell r="W124">
            <v>0</v>
          </cell>
          <cell r="X124">
            <v>448066.28</v>
          </cell>
          <cell r="Y124">
            <v>0</v>
          </cell>
          <cell r="Z124">
            <v>1043835.95</v>
          </cell>
          <cell r="AA124">
            <v>0</v>
          </cell>
          <cell r="AB124">
            <v>446548.35</v>
          </cell>
          <cell r="AC124">
            <v>0</v>
          </cell>
          <cell r="AD124">
            <v>371557.58</v>
          </cell>
          <cell r="AE124">
            <v>0</v>
          </cell>
          <cell r="AF124">
            <v>517326.76</v>
          </cell>
          <cell r="AG124">
            <v>0</v>
          </cell>
          <cell r="AH124">
            <v>5792826.0100000016</v>
          </cell>
        </row>
        <row r="125">
          <cell r="D125">
            <v>0</v>
          </cell>
          <cell r="E125">
            <v>0</v>
          </cell>
          <cell r="F125">
            <v>0</v>
          </cell>
          <cell r="G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F126" t="str">
            <v>Insurance Exp</v>
          </cell>
          <cell r="J126">
            <v>110055.03999999998</v>
          </cell>
          <cell r="K126">
            <v>0</v>
          </cell>
          <cell r="L126">
            <v>220864.34</v>
          </cell>
          <cell r="M126">
            <v>0</v>
          </cell>
          <cell r="N126">
            <v>844592.21000000008</v>
          </cell>
          <cell r="O126">
            <v>0</v>
          </cell>
          <cell r="P126">
            <v>153809.78000000003</v>
          </cell>
          <cell r="Q126">
            <v>0</v>
          </cell>
          <cell r="R126">
            <v>25911.649999999965</v>
          </cell>
          <cell r="S126">
            <v>0</v>
          </cell>
          <cell r="T126">
            <v>33691.619999999995</v>
          </cell>
          <cell r="U126">
            <v>0</v>
          </cell>
          <cell r="V126">
            <v>481754.9</v>
          </cell>
          <cell r="W126">
            <v>0</v>
          </cell>
          <cell r="X126">
            <v>268176.16000000003</v>
          </cell>
          <cell r="Y126">
            <v>0</v>
          </cell>
          <cell r="Z126">
            <v>130060.34999999998</v>
          </cell>
          <cell r="AA126">
            <v>0</v>
          </cell>
          <cell r="AB126">
            <v>-589696.37999999977</v>
          </cell>
          <cell r="AC126">
            <v>0</v>
          </cell>
          <cell r="AD126">
            <v>-810741.73</v>
          </cell>
          <cell r="AE126">
            <v>0</v>
          </cell>
          <cell r="AF126">
            <v>-306172.38</v>
          </cell>
          <cell r="AG126">
            <v>0</v>
          </cell>
          <cell r="AH126">
            <v>562305.56000000145</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D129">
            <v>0</v>
          </cell>
          <cell r="E129">
            <v>0</v>
          </cell>
          <cell r="F129">
            <v>0</v>
          </cell>
          <cell r="G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F130" t="str">
            <v>G/L on Ops</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Cost of Ops</v>
          </cell>
          <cell r="J132">
            <v>267833</v>
          </cell>
          <cell r="K132">
            <v>0</v>
          </cell>
          <cell r="L132">
            <v>381646.61</v>
          </cell>
          <cell r="M132">
            <v>0</v>
          </cell>
          <cell r="N132">
            <v>672573.69000000006</v>
          </cell>
          <cell r="O132">
            <v>0</v>
          </cell>
          <cell r="P132">
            <v>310763.14</v>
          </cell>
          <cell r="Q132">
            <v>0</v>
          </cell>
          <cell r="R132">
            <v>188682.74999999994</v>
          </cell>
          <cell r="S132">
            <v>0</v>
          </cell>
          <cell r="T132">
            <v>-180504.66</v>
          </cell>
          <cell r="U132">
            <v>0</v>
          </cell>
          <cell r="V132">
            <v>663838.62</v>
          </cell>
          <cell r="W132">
            <v>0</v>
          </cell>
          <cell r="X132">
            <v>456364.07000000007</v>
          </cell>
          <cell r="Y132">
            <v>0</v>
          </cell>
          <cell r="Z132">
            <v>-380672.7</v>
          </cell>
          <cell r="AA132">
            <v>0</v>
          </cell>
          <cell r="AB132">
            <v>-472957.47999999975</v>
          </cell>
          <cell r="AC132">
            <v>0</v>
          </cell>
          <cell r="AD132">
            <v>-724668.13</v>
          </cell>
          <cell r="AE132">
            <v>0</v>
          </cell>
          <cell r="AF132">
            <v>-910322.92999999993</v>
          </cell>
          <cell r="AG132">
            <v>0</v>
          </cell>
          <cell r="AH132">
            <v>272575.98000000179</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Gross Profit</v>
          </cell>
          <cell r="J134">
            <v>-383913</v>
          </cell>
          <cell r="K134">
            <v>0</v>
          </cell>
          <cell r="L134">
            <v>-480316.57</v>
          </cell>
          <cell r="M134">
            <v>0</v>
          </cell>
          <cell r="N134">
            <v>-765633.18</v>
          </cell>
          <cell r="O134">
            <v>0</v>
          </cell>
          <cell r="P134">
            <v>-412463.60000000003</v>
          </cell>
          <cell r="Q134">
            <v>0</v>
          </cell>
          <cell r="R134">
            <v>-289855.59999999998</v>
          </cell>
          <cell r="S134">
            <v>0</v>
          </cell>
          <cell r="T134">
            <v>71989.010000000009</v>
          </cell>
          <cell r="U134">
            <v>0</v>
          </cell>
          <cell r="V134">
            <v>-773403.95</v>
          </cell>
          <cell r="W134">
            <v>0</v>
          </cell>
          <cell r="X134">
            <v>-562432.60000000009</v>
          </cell>
          <cell r="Y134">
            <v>0</v>
          </cell>
          <cell r="Z134">
            <v>265713.36</v>
          </cell>
          <cell r="AA134">
            <v>0</v>
          </cell>
          <cell r="AB134">
            <v>340240.21999999974</v>
          </cell>
          <cell r="AC134">
            <v>0</v>
          </cell>
          <cell r="AD134">
            <v>598940.18000000005</v>
          </cell>
          <cell r="AE134">
            <v>0</v>
          </cell>
          <cell r="AF134">
            <v>371590.05999999994</v>
          </cell>
          <cell r="AG134">
            <v>0</v>
          </cell>
          <cell r="AH134">
            <v>-2019545.6700000018</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D137">
            <v>60010</v>
          </cell>
          <cell r="E137" t="str">
            <v>Salaries</v>
          </cell>
          <cell r="F137">
            <v>0</v>
          </cell>
          <cell r="G137">
            <v>0</v>
          </cell>
          <cell r="H137">
            <v>0</v>
          </cell>
          <cell r="I137">
            <v>0</v>
          </cell>
          <cell r="J137">
            <v>-6054.44</v>
          </cell>
          <cell r="K137">
            <v>0</v>
          </cell>
          <cell r="L137">
            <v>-6054.44</v>
          </cell>
          <cell r="M137">
            <v>0</v>
          </cell>
          <cell r="N137">
            <v>-6054.44</v>
          </cell>
          <cell r="O137">
            <v>0</v>
          </cell>
          <cell r="P137">
            <v>-6054.44</v>
          </cell>
          <cell r="Q137">
            <v>0</v>
          </cell>
          <cell r="R137">
            <v>-6054.44</v>
          </cell>
          <cell r="S137">
            <v>0</v>
          </cell>
          <cell r="T137">
            <v>-6054.44</v>
          </cell>
          <cell r="U137">
            <v>0</v>
          </cell>
          <cell r="V137">
            <v>-6054.44</v>
          </cell>
          <cell r="W137">
            <v>0</v>
          </cell>
          <cell r="X137">
            <v>-6054.44</v>
          </cell>
          <cell r="Y137">
            <v>0</v>
          </cell>
          <cell r="Z137">
            <v>-6054.44</v>
          </cell>
          <cell r="AA137">
            <v>0</v>
          </cell>
          <cell r="AB137">
            <v>0</v>
          </cell>
          <cell r="AC137">
            <v>0</v>
          </cell>
          <cell r="AD137">
            <v>0</v>
          </cell>
          <cell r="AE137">
            <v>0</v>
          </cell>
          <cell r="AF137">
            <v>0</v>
          </cell>
          <cell r="AG137">
            <v>0</v>
          </cell>
          <cell r="AH137">
            <v>-54489.960000000006</v>
          </cell>
        </row>
        <row r="138">
          <cell r="D138">
            <v>60030</v>
          </cell>
          <cell r="E138" t="str">
            <v>Bonuses and Commissions</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D139">
            <v>60050</v>
          </cell>
          <cell r="E139" t="str">
            <v>Payroll Taxes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D140">
            <v>60060</v>
          </cell>
          <cell r="E140" t="str">
            <v>Group Insurance</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D141">
            <v>60065</v>
          </cell>
          <cell r="E141" t="str">
            <v>Vacation Pay</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D142">
            <v>60115</v>
          </cell>
          <cell r="E142" t="str">
            <v>School Tuition</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D143">
            <v>60116</v>
          </cell>
          <cell r="E143" t="str">
            <v>Pension and Profit Sharing</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D144">
            <v>0</v>
          </cell>
          <cell r="E144">
            <v>0</v>
          </cell>
          <cell r="F144">
            <v>0</v>
          </cell>
          <cell r="G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F145" t="str">
            <v>Sales Exp</v>
          </cell>
          <cell r="J145">
            <v>-6054.44</v>
          </cell>
          <cell r="K145">
            <v>0</v>
          </cell>
          <cell r="L145">
            <v>-6054.44</v>
          </cell>
          <cell r="M145">
            <v>0</v>
          </cell>
          <cell r="N145">
            <v>-6054.44</v>
          </cell>
          <cell r="O145">
            <v>0</v>
          </cell>
          <cell r="P145">
            <v>-6054.44</v>
          </cell>
          <cell r="Q145">
            <v>0</v>
          </cell>
          <cell r="R145">
            <v>-6054.44</v>
          </cell>
          <cell r="S145">
            <v>0</v>
          </cell>
          <cell r="T145">
            <v>-6054.44</v>
          </cell>
          <cell r="U145">
            <v>0</v>
          </cell>
          <cell r="V145">
            <v>-6054.44</v>
          </cell>
          <cell r="W145">
            <v>0</v>
          </cell>
          <cell r="X145">
            <v>-6054.44</v>
          </cell>
          <cell r="Y145">
            <v>0</v>
          </cell>
          <cell r="Z145">
            <v>-6054.44</v>
          </cell>
          <cell r="AA145">
            <v>0</v>
          </cell>
          <cell r="AB145">
            <v>0</v>
          </cell>
          <cell r="AC145">
            <v>0</v>
          </cell>
          <cell r="AD145">
            <v>0</v>
          </cell>
          <cell r="AE145">
            <v>0</v>
          </cell>
          <cell r="AF145">
            <v>0</v>
          </cell>
          <cell r="AG145">
            <v>0</v>
          </cell>
          <cell r="AH145">
            <v>-54489.960000000006</v>
          </cell>
        </row>
        <row r="146">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D148">
            <v>70010</v>
          </cell>
          <cell r="E148" t="str">
            <v>Salaries</v>
          </cell>
          <cell r="F148">
            <v>0</v>
          </cell>
          <cell r="G148">
            <v>0</v>
          </cell>
          <cell r="H148">
            <v>0</v>
          </cell>
          <cell r="I148">
            <v>0</v>
          </cell>
          <cell r="J148">
            <v>215882.75</v>
          </cell>
          <cell r="K148">
            <v>0</v>
          </cell>
          <cell r="L148">
            <v>193015.92</v>
          </cell>
          <cell r="M148">
            <v>0</v>
          </cell>
          <cell r="N148">
            <v>224596.73</v>
          </cell>
          <cell r="O148">
            <v>0</v>
          </cell>
          <cell r="P148">
            <v>173297.86</v>
          </cell>
          <cell r="Q148">
            <v>0</v>
          </cell>
          <cell r="R148">
            <v>210242.5</v>
          </cell>
          <cell r="S148">
            <v>0</v>
          </cell>
          <cell r="T148">
            <v>208180.82</v>
          </cell>
          <cell r="U148">
            <v>0</v>
          </cell>
          <cell r="V148">
            <v>191168.62</v>
          </cell>
          <cell r="W148">
            <v>0</v>
          </cell>
          <cell r="X148">
            <v>224009.48</v>
          </cell>
          <cell r="Y148">
            <v>0</v>
          </cell>
          <cell r="Z148">
            <v>200926.7</v>
          </cell>
          <cell r="AA148">
            <v>0</v>
          </cell>
          <cell r="AB148">
            <v>277258.44</v>
          </cell>
          <cell r="AC148">
            <v>0</v>
          </cell>
          <cell r="AD148">
            <v>276072.21000000002</v>
          </cell>
          <cell r="AE148">
            <v>0</v>
          </cell>
          <cell r="AF148">
            <v>267829.5</v>
          </cell>
          <cell r="AG148">
            <v>0</v>
          </cell>
          <cell r="AH148">
            <v>2662481.5299999998</v>
          </cell>
        </row>
        <row r="149">
          <cell r="D149">
            <v>70020</v>
          </cell>
          <cell r="E149" t="str">
            <v>Wages Regular</v>
          </cell>
          <cell r="F149">
            <v>0</v>
          </cell>
          <cell r="G149">
            <v>0</v>
          </cell>
          <cell r="H149">
            <v>0</v>
          </cell>
          <cell r="I149">
            <v>0</v>
          </cell>
          <cell r="J149">
            <v>13231.21</v>
          </cell>
          <cell r="K149">
            <v>0</v>
          </cell>
          <cell r="L149">
            <v>10920.88</v>
          </cell>
          <cell r="M149">
            <v>0</v>
          </cell>
          <cell r="N149">
            <v>11900.65</v>
          </cell>
          <cell r="O149">
            <v>0</v>
          </cell>
          <cell r="P149">
            <v>8592.82</v>
          </cell>
          <cell r="Q149">
            <v>0</v>
          </cell>
          <cell r="R149">
            <v>15429.69</v>
          </cell>
          <cell r="S149">
            <v>0</v>
          </cell>
          <cell r="T149">
            <v>9499.44</v>
          </cell>
          <cell r="U149">
            <v>0</v>
          </cell>
          <cell r="V149">
            <v>2023.54</v>
          </cell>
          <cell r="W149">
            <v>0</v>
          </cell>
          <cell r="X149">
            <v>3023.91</v>
          </cell>
          <cell r="Y149">
            <v>0</v>
          </cell>
          <cell r="Z149">
            <v>2631.57</v>
          </cell>
          <cell r="AA149">
            <v>0</v>
          </cell>
          <cell r="AB149">
            <v>3123.92</v>
          </cell>
          <cell r="AC149">
            <v>0</v>
          </cell>
          <cell r="AD149">
            <v>1637.21</v>
          </cell>
          <cell r="AE149">
            <v>0</v>
          </cell>
          <cell r="AF149">
            <v>664</v>
          </cell>
          <cell r="AG149">
            <v>0</v>
          </cell>
          <cell r="AH149">
            <v>82678.84</v>
          </cell>
        </row>
        <row r="150">
          <cell r="D150">
            <v>70025</v>
          </cell>
          <cell r="E150" t="str">
            <v>Wages O.T.</v>
          </cell>
          <cell r="F150">
            <v>0</v>
          </cell>
          <cell r="G150">
            <v>0</v>
          </cell>
          <cell r="H150">
            <v>0</v>
          </cell>
          <cell r="I150">
            <v>0</v>
          </cell>
          <cell r="J150">
            <v>-34.32</v>
          </cell>
          <cell r="K150">
            <v>0</v>
          </cell>
          <cell r="L150">
            <v>465.96</v>
          </cell>
          <cell r="M150">
            <v>0</v>
          </cell>
          <cell r="N150">
            <v>115.12</v>
          </cell>
          <cell r="O150">
            <v>0</v>
          </cell>
          <cell r="P150">
            <v>517.42999999999995</v>
          </cell>
          <cell r="Q150">
            <v>0</v>
          </cell>
          <cell r="R150">
            <v>825.62</v>
          </cell>
          <cell r="S150">
            <v>0</v>
          </cell>
          <cell r="T150">
            <v>29.51</v>
          </cell>
          <cell r="U150">
            <v>0</v>
          </cell>
          <cell r="V150">
            <v>17.760000000000002</v>
          </cell>
          <cell r="W150">
            <v>0</v>
          </cell>
          <cell r="X150">
            <v>24.41</v>
          </cell>
          <cell r="Y150">
            <v>0</v>
          </cell>
          <cell r="Z150">
            <v>-10.72</v>
          </cell>
          <cell r="AA150">
            <v>0</v>
          </cell>
          <cell r="AB150">
            <v>27.78</v>
          </cell>
          <cell r="AC150">
            <v>0</v>
          </cell>
          <cell r="AD150">
            <v>19.04</v>
          </cell>
          <cell r="AE150">
            <v>0</v>
          </cell>
          <cell r="AF150">
            <v>40.369999999999997</v>
          </cell>
          <cell r="AG150">
            <v>0</v>
          </cell>
          <cell r="AH150">
            <v>2037.9599999999998</v>
          </cell>
        </row>
        <row r="151">
          <cell r="D151">
            <v>70035</v>
          </cell>
          <cell r="E151" t="str">
            <v>Safety Bonuses</v>
          </cell>
          <cell r="F151">
            <v>0</v>
          </cell>
          <cell r="G151">
            <v>0</v>
          </cell>
          <cell r="H151">
            <v>0</v>
          </cell>
          <cell r="I151">
            <v>0</v>
          </cell>
          <cell r="J151">
            <v>250</v>
          </cell>
          <cell r="K151">
            <v>0</v>
          </cell>
          <cell r="L151">
            <v>250</v>
          </cell>
          <cell r="M151">
            <v>0</v>
          </cell>
          <cell r="N151">
            <v>-62.5</v>
          </cell>
          <cell r="O151">
            <v>0</v>
          </cell>
          <cell r="P151">
            <v>204.45</v>
          </cell>
          <cell r="Q151">
            <v>0</v>
          </cell>
          <cell r="R151">
            <v>-216.09</v>
          </cell>
          <cell r="S151">
            <v>0</v>
          </cell>
          <cell r="T151">
            <v>-841.1</v>
          </cell>
          <cell r="U151">
            <v>0</v>
          </cell>
          <cell r="V151">
            <v>33.9</v>
          </cell>
          <cell r="W151">
            <v>0</v>
          </cell>
          <cell r="X151">
            <v>33.909999999999997</v>
          </cell>
          <cell r="Y151">
            <v>0</v>
          </cell>
          <cell r="Z151">
            <v>33.9</v>
          </cell>
          <cell r="AA151">
            <v>0</v>
          </cell>
          <cell r="AB151">
            <v>33.909999999999997</v>
          </cell>
          <cell r="AC151">
            <v>0</v>
          </cell>
          <cell r="AD151">
            <v>-220.38</v>
          </cell>
          <cell r="AE151">
            <v>0</v>
          </cell>
          <cell r="AF151">
            <v>29.79</v>
          </cell>
          <cell r="AG151">
            <v>0</v>
          </cell>
          <cell r="AH151">
            <v>-470.21000000000004</v>
          </cell>
        </row>
        <row r="152">
          <cell r="D152">
            <v>70036</v>
          </cell>
          <cell r="E152" t="str">
            <v>Other Bonus/Commission - Non-Safety</v>
          </cell>
          <cell r="F152">
            <v>0</v>
          </cell>
          <cell r="G152">
            <v>0</v>
          </cell>
          <cell r="H152">
            <v>0</v>
          </cell>
          <cell r="I152">
            <v>0</v>
          </cell>
          <cell r="J152">
            <v>1247.08</v>
          </cell>
          <cell r="K152">
            <v>0</v>
          </cell>
          <cell r="L152">
            <v>1247.0899999999999</v>
          </cell>
          <cell r="M152">
            <v>0</v>
          </cell>
          <cell r="N152">
            <v>1612.08</v>
          </cell>
          <cell r="O152">
            <v>0</v>
          </cell>
          <cell r="P152">
            <v>1247.08</v>
          </cell>
          <cell r="Q152">
            <v>0</v>
          </cell>
          <cell r="R152">
            <v>1847.09</v>
          </cell>
          <cell r="S152">
            <v>0</v>
          </cell>
          <cell r="T152">
            <v>1451.14</v>
          </cell>
          <cell r="U152">
            <v>0</v>
          </cell>
          <cell r="V152">
            <v>51297.08</v>
          </cell>
          <cell r="W152">
            <v>0</v>
          </cell>
          <cell r="X152">
            <v>1247.0899999999999</v>
          </cell>
          <cell r="Y152">
            <v>0</v>
          </cell>
          <cell r="Z152">
            <v>1397.08</v>
          </cell>
          <cell r="AA152">
            <v>0</v>
          </cell>
          <cell r="AB152">
            <v>1517.83</v>
          </cell>
          <cell r="AC152">
            <v>0</v>
          </cell>
          <cell r="AD152">
            <v>1347.09</v>
          </cell>
          <cell r="AE152">
            <v>0</v>
          </cell>
          <cell r="AF152">
            <v>1271.32</v>
          </cell>
          <cell r="AG152">
            <v>0</v>
          </cell>
          <cell r="AH152">
            <v>66729.05</v>
          </cell>
        </row>
        <row r="153">
          <cell r="D153">
            <v>70050</v>
          </cell>
          <cell r="E153" t="str">
            <v>Payroll Taxes</v>
          </cell>
          <cell r="F153">
            <v>0</v>
          </cell>
          <cell r="G153">
            <v>0</v>
          </cell>
          <cell r="H153">
            <v>0</v>
          </cell>
          <cell r="I153">
            <v>0</v>
          </cell>
          <cell r="J153">
            <v>30346.36</v>
          </cell>
          <cell r="K153">
            <v>0</v>
          </cell>
          <cell r="L153">
            <v>21315.43</v>
          </cell>
          <cell r="M153">
            <v>0</v>
          </cell>
          <cell r="N153">
            <v>20499.650000000001</v>
          </cell>
          <cell r="O153">
            <v>0</v>
          </cell>
          <cell r="P153">
            <v>16965.689999999999</v>
          </cell>
          <cell r="Q153">
            <v>0</v>
          </cell>
          <cell r="R153">
            <v>18471.55</v>
          </cell>
          <cell r="S153">
            <v>0</v>
          </cell>
          <cell r="T153">
            <v>10231.74</v>
          </cell>
          <cell r="U153">
            <v>0</v>
          </cell>
          <cell r="V153">
            <v>13165.65</v>
          </cell>
          <cell r="W153">
            <v>0</v>
          </cell>
          <cell r="X153">
            <v>14685.49</v>
          </cell>
          <cell r="Y153">
            <v>0</v>
          </cell>
          <cell r="Z153">
            <v>12675.46</v>
          </cell>
          <cell r="AA153">
            <v>0</v>
          </cell>
          <cell r="AB153">
            <v>7744.33</v>
          </cell>
          <cell r="AC153">
            <v>0</v>
          </cell>
          <cell r="AD153">
            <v>12153.92</v>
          </cell>
          <cell r="AE153">
            <v>0</v>
          </cell>
          <cell r="AF153">
            <v>11686.53</v>
          </cell>
          <cell r="AG153">
            <v>0</v>
          </cell>
          <cell r="AH153">
            <v>189941.8</v>
          </cell>
        </row>
        <row r="154">
          <cell r="D154">
            <v>70060</v>
          </cell>
          <cell r="E154" t="str">
            <v>Group Insurance</v>
          </cell>
          <cell r="F154">
            <v>0</v>
          </cell>
          <cell r="G154">
            <v>0</v>
          </cell>
          <cell r="H154">
            <v>0</v>
          </cell>
          <cell r="I154">
            <v>0</v>
          </cell>
          <cell r="J154">
            <v>31165.69</v>
          </cell>
          <cell r="K154">
            <v>0</v>
          </cell>
          <cell r="L154">
            <v>31522.71</v>
          </cell>
          <cell r="M154">
            <v>0</v>
          </cell>
          <cell r="N154">
            <v>-73260.19</v>
          </cell>
          <cell r="O154">
            <v>0</v>
          </cell>
          <cell r="P154">
            <v>27926.06</v>
          </cell>
          <cell r="Q154">
            <v>0</v>
          </cell>
          <cell r="R154">
            <v>28610.98</v>
          </cell>
          <cell r="S154">
            <v>0</v>
          </cell>
          <cell r="T154">
            <v>-95041.45</v>
          </cell>
          <cell r="U154">
            <v>0</v>
          </cell>
          <cell r="V154">
            <v>28398.53</v>
          </cell>
          <cell r="W154">
            <v>0</v>
          </cell>
          <cell r="X154">
            <v>28846.639999999999</v>
          </cell>
          <cell r="Y154">
            <v>0</v>
          </cell>
          <cell r="Z154">
            <v>-170932.3</v>
          </cell>
          <cell r="AA154">
            <v>0</v>
          </cell>
          <cell r="AB154">
            <v>25693</v>
          </cell>
          <cell r="AC154">
            <v>0</v>
          </cell>
          <cell r="AD154">
            <v>28457.38</v>
          </cell>
          <cell r="AE154">
            <v>0</v>
          </cell>
          <cell r="AF154">
            <v>-197631.04</v>
          </cell>
          <cell r="AG154">
            <v>0</v>
          </cell>
          <cell r="AH154">
            <v>-306243.98999999993</v>
          </cell>
        </row>
        <row r="155">
          <cell r="D155">
            <v>70065</v>
          </cell>
          <cell r="E155" t="str">
            <v>Vacation Pay</v>
          </cell>
          <cell r="F155">
            <v>0</v>
          </cell>
          <cell r="G155">
            <v>0</v>
          </cell>
          <cell r="H155">
            <v>0</v>
          </cell>
          <cell r="I155">
            <v>0</v>
          </cell>
          <cell r="J155">
            <v>-18861.13</v>
          </cell>
          <cell r="K155">
            <v>0</v>
          </cell>
          <cell r="L155">
            <v>11686.4</v>
          </cell>
          <cell r="M155">
            <v>0</v>
          </cell>
          <cell r="N155">
            <v>20111.53</v>
          </cell>
          <cell r="O155">
            <v>0</v>
          </cell>
          <cell r="P155">
            <v>11063.2</v>
          </cell>
          <cell r="Q155">
            <v>0</v>
          </cell>
          <cell r="R155">
            <v>18692.03</v>
          </cell>
          <cell r="S155">
            <v>0</v>
          </cell>
          <cell r="T155">
            <v>7277.1</v>
          </cell>
          <cell r="U155">
            <v>0</v>
          </cell>
          <cell r="V155">
            <v>23086.66</v>
          </cell>
          <cell r="W155">
            <v>0</v>
          </cell>
          <cell r="X155">
            <v>11926.54</v>
          </cell>
          <cell r="Y155">
            <v>0</v>
          </cell>
          <cell r="Z155">
            <v>1745.1</v>
          </cell>
          <cell r="AA155">
            <v>0</v>
          </cell>
          <cell r="AB155">
            <v>13002.69</v>
          </cell>
          <cell r="AC155">
            <v>0</v>
          </cell>
          <cell r="AD155">
            <v>7414.99</v>
          </cell>
          <cell r="AE155">
            <v>0</v>
          </cell>
          <cell r="AF155">
            <v>-5362.97</v>
          </cell>
          <cell r="AG155">
            <v>0</v>
          </cell>
          <cell r="AH155">
            <v>101782.13999999997</v>
          </cell>
        </row>
        <row r="156">
          <cell r="D156">
            <v>70070</v>
          </cell>
          <cell r="E156" t="str">
            <v>Sick Pay</v>
          </cell>
          <cell r="F156">
            <v>0</v>
          </cell>
          <cell r="G156">
            <v>0</v>
          </cell>
          <cell r="H156">
            <v>0</v>
          </cell>
          <cell r="I156">
            <v>0</v>
          </cell>
          <cell r="J156">
            <v>111.47</v>
          </cell>
          <cell r="K156">
            <v>0</v>
          </cell>
          <cell r="L156">
            <v>0</v>
          </cell>
          <cell r="M156">
            <v>0</v>
          </cell>
          <cell r="N156">
            <v>1899.04</v>
          </cell>
          <cell r="O156">
            <v>0</v>
          </cell>
          <cell r="P156">
            <v>170.45</v>
          </cell>
          <cell r="Q156">
            <v>0</v>
          </cell>
          <cell r="R156">
            <v>1595.77</v>
          </cell>
          <cell r="S156">
            <v>0</v>
          </cell>
          <cell r="T156">
            <v>1788.98</v>
          </cell>
          <cell r="U156">
            <v>0</v>
          </cell>
          <cell r="V156">
            <v>464.78</v>
          </cell>
          <cell r="W156">
            <v>0</v>
          </cell>
          <cell r="X156">
            <v>1201.3499999999999</v>
          </cell>
          <cell r="Y156">
            <v>0</v>
          </cell>
          <cell r="Z156">
            <v>-107.46</v>
          </cell>
          <cell r="AA156">
            <v>0</v>
          </cell>
          <cell r="AB156">
            <v>-230.8</v>
          </cell>
          <cell r="AC156">
            <v>0</v>
          </cell>
          <cell r="AD156">
            <v>0</v>
          </cell>
          <cell r="AE156">
            <v>0</v>
          </cell>
          <cell r="AF156">
            <v>40.950000000000003</v>
          </cell>
          <cell r="AG156">
            <v>0</v>
          </cell>
          <cell r="AH156">
            <v>6934.53</v>
          </cell>
        </row>
        <row r="157">
          <cell r="D157">
            <v>70086</v>
          </cell>
          <cell r="E157" t="str">
            <v>Safety and Training</v>
          </cell>
          <cell r="F157">
            <v>0</v>
          </cell>
          <cell r="G157">
            <v>0</v>
          </cell>
          <cell r="H157">
            <v>0</v>
          </cell>
          <cell r="I157">
            <v>0</v>
          </cell>
          <cell r="J157">
            <v>935.08</v>
          </cell>
          <cell r="K157">
            <v>0</v>
          </cell>
          <cell r="L157">
            <v>3172.78</v>
          </cell>
          <cell r="M157">
            <v>0</v>
          </cell>
          <cell r="N157">
            <v>402.75</v>
          </cell>
          <cell r="O157">
            <v>0</v>
          </cell>
          <cell r="P157">
            <v>2021.44</v>
          </cell>
          <cell r="Q157">
            <v>0</v>
          </cell>
          <cell r="R157">
            <v>4114.32</v>
          </cell>
          <cell r="S157">
            <v>0</v>
          </cell>
          <cell r="T157">
            <v>656.83</v>
          </cell>
          <cell r="U157">
            <v>0</v>
          </cell>
          <cell r="V157">
            <v>1418.74</v>
          </cell>
          <cell r="W157">
            <v>0</v>
          </cell>
          <cell r="X157">
            <v>2274.2399999999998</v>
          </cell>
          <cell r="Y157">
            <v>0</v>
          </cell>
          <cell r="Z157">
            <v>725.05</v>
          </cell>
          <cell r="AA157">
            <v>0</v>
          </cell>
          <cell r="AB157">
            <v>-7.2</v>
          </cell>
          <cell r="AC157">
            <v>0</v>
          </cell>
          <cell r="AD157">
            <v>1354.16</v>
          </cell>
          <cell r="AE157">
            <v>0</v>
          </cell>
          <cell r="AF157">
            <v>1230.3599999999999</v>
          </cell>
          <cell r="AG157">
            <v>0</v>
          </cell>
          <cell r="AH157">
            <v>18298.550000000003</v>
          </cell>
        </row>
        <row r="158">
          <cell r="D158">
            <v>70095</v>
          </cell>
          <cell r="E158" t="str">
            <v>Empl &amp; Commun Activ</v>
          </cell>
          <cell r="F158">
            <v>0</v>
          </cell>
          <cell r="G158">
            <v>0</v>
          </cell>
          <cell r="H158">
            <v>0</v>
          </cell>
          <cell r="I158">
            <v>0</v>
          </cell>
          <cell r="J158">
            <v>17701.560000000001</v>
          </cell>
          <cell r="K158">
            <v>0</v>
          </cell>
          <cell r="L158">
            <v>11577.88</v>
          </cell>
          <cell r="M158">
            <v>0</v>
          </cell>
          <cell r="N158">
            <v>16067.76</v>
          </cell>
          <cell r="O158">
            <v>0</v>
          </cell>
          <cell r="P158">
            <v>4277.54</v>
          </cell>
          <cell r="Q158">
            <v>0</v>
          </cell>
          <cell r="R158">
            <v>3087.22</v>
          </cell>
          <cell r="S158">
            <v>0</v>
          </cell>
          <cell r="T158">
            <v>4187.6899999999996</v>
          </cell>
          <cell r="U158">
            <v>0</v>
          </cell>
          <cell r="V158">
            <v>2768.9</v>
          </cell>
          <cell r="W158">
            <v>0</v>
          </cell>
          <cell r="X158">
            <v>5774.53</v>
          </cell>
          <cell r="Y158">
            <v>0</v>
          </cell>
          <cell r="Z158">
            <v>3186.11</v>
          </cell>
          <cell r="AA158">
            <v>0</v>
          </cell>
          <cell r="AB158">
            <v>8156.59</v>
          </cell>
          <cell r="AC158">
            <v>0</v>
          </cell>
          <cell r="AD158">
            <v>10035.68</v>
          </cell>
          <cell r="AE158">
            <v>0</v>
          </cell>
          <cell r="AF158">
            <v>20044.580000000002</v>
          </cell>
          <cell r="AG158">
            <v>0</v>
          </cell>
          <cell r="AH158">
            <v>106866.04000000001</v>
          </cell>
        </row>
        <row r="159">
          <cell r="D159">
            <v>70105</v>
          </cell>
          <cell r="E159" t="str">
            <v>Employee Relocation</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375</v>
          </cell>
          <cell r="AA159">
            <v>0</v>
          </cell>
          <cell r="AB159">
            <v>0</v>
          </cell>
          <cell r="AC159">
            <v>0</v>
          </cell>
          <cell r="AD159">
            <v>0</v>
          </cell>
          <cell r="AE159">
            <v>0</v>
          </cell>
          <cell r="AF159">
            <v>4810</v>
          </cell>
          <cell r="AG159">
            <v>0</v>
          </cell>
          <cell r="AH159">
            <v>5185</v>
          </cell>
        </row>
        <row r="160">
          <cell r="D160">
            <v>70110</v>
          </cell>
          <cell r="E160" t="str">
            <v>Contributions</v>
          </cell>
          <cell r="F160">
            <v>0</v>
          </cell>
          <cell r="G160">
            <v>0</v>
          </cell>
          <cell r="H160">
            <v>0</v>
          </cell>
          <cell r="I160">
            <v>0</v>
          </cell>
          <cell r="J160">
            <v>5000</v>
          </cell>
          <cell r="K160">
            <v>0</v>
          </cell>
          <cell r="L160">
            <v>2500</v>
          </cell>
          <cell r="M160">
            <v>0</v>
          </cell>
          <cell r="N160">
            <v>0</v>
          </cell>
          <cell r="O160">
            <v>0</v>
          </cell>
          <cell r="P160">
            <v>5000</v>
          </cell>
          <cell r="Q160">
            <v>0</v>
          </cell>
          <cell r="R160">
            <v>-2070.2600000000002</v>
          </cell>
          <cell r="S160">
            <v>0</v>
          </cell>
          <cell r="T160">
            <v>20000</v>
          </cell>
          <cell r="U160">
            <v>0</v>
          </cell>
          <cell r="V160">
            <v>0</v>
          </cell>
          <cell r="W160">
            <v>0</v>
          </cell>
          <cell r="X160">
            <v>263.75</v>
          </cell>
          <cell r="Y160">
            <v>0</v>
          </cell>
          <cell r="Z160">
            <v>102500</v>
          </cell>
          <cell r="AA160">
            <v>0</v>
          </cell>
          <cell r="AB160">
            <v>5500</v>
          </cell>
          <cell r="AC160">
            <v>0</v>
          </cell>
          <cell r="AD160">
            <v>0</v>
          </cell>
          <cell r="AE160">
            <v>0</v>
          </cell>
          <cell r="AF160">
            <v>0</v>
          </cell>
          <cell r="AG160">
            <v>0</v>
          </cell>
          <cell r="AH160">
            <v>138693.49</v>
          </cell>
        </row>
        <row r="161">
          <cell r="D161">
            <v>70116</v>
          </cell>
          <cell r="E161" t="str">
            <v>Pension and Profit Sharing</v>
          </cell>
          <cell r="F161">
            <v>0</v>
          </cell>
          <cell r="G161">
            <v>0</v>
          </cell>
          <cell r="H161">
            <v>0</v>
          </cell>
          <cell r="I161">
            <v>0</v>
          </cell>
          <cell r="J161">
            <v>5424.22</v>
          </cell>
          <cell r="K161">
            <v>0</v>
          </cell>
          <cell r="L161">
            <v>6595.99</v>
          </cell>
          <cell r="M161">
            <v>0</v>
          </cell>
          <cell r="N161">
            <v>5166.93</v>
          </cell>
          <cell r="O161">
            <v>0</v>
          </cell>
          <cell r="P161">
            <v>6381.13</v>
          </cell>
          <cell r="Q161">
            <v>0</v>
          </cell>
          <cell r="R161">
            <v>9695.18</v>
          </cell>
          <cell r="S161">
            <v>0</v>
          </cell>
          <cell r="T161">
            <v>6027.92</v>
          </cell>
          <cell r="U161">
            <v>0</v>
          </cell>
          <cell r="V161">
            <v>5855.61</v>
          </cell>
          <cell r="W161">
            <v>0</v>
          </cell>
          <cell r="X161">
            <v>4337.25</v>
          </cell>
          <cell r="Y161">
            <v>0</v>
          </cell>
          <cell r="Z161">
            <v>4350.29</v>
          </cell>
          <cell r="AA161">
            <v>0</v>
          </cell>
          <cell r="AB161">
            <v>6520.91</v>
          </cell>
          <cell r="AC161">
            <v>0</v>
          </cell>
          <cell r="AD161">
            <v>4192.1099999999997</v>
          </cell>
          <cell r="AE161">
            <v>0</v>
          </cell>
          <cell r="AF161">
            <v>4134.9799999999996</v>
          </cell>
          <cell r="AG161">
            <v>0</v>
          </cell>
          <cell r="AH161">
            <v>68682.51999999999</v>
          </cell>
        </row>
        <row r="162">
          <cell r="D162">
            <v>70147</v>
          </cell>
          <cell r="E162" t="str">
            <v>Bldg &amp; Property Maint</v>
          </cell>
          <cell r="F162">
            <v>0</v>
          </cell>
          <cell r="G162">
            <v>0</v>
          </cell>
          <cell r="H162">
            <v>0</v>
          </cell>
          <cell r="I162">
            <v>0</v>
          </cell>
          <cell r="J162">
            <v>1848.82</v>
          </cell>
          <cell r="K162">
            <v>0</v>
          </cell>
          <cell r="L162">
            <v>3300.98</v>
          </cell>
          <cell r="M162">
            <v>0</v>
          </cell>
          <cell r="N162">
            <v>2681.48</v>
          </cell>
          <cell r="O162">
            <v>0</v>
          </cell>
          <cell r="P162">
            <v>2551.6999999999998</v>
          </cell>
          <cell r="Q162">
            <v>0</v>
          </cell>
          <cell r="R162">
            <v>4147.8999999999996</v>
          </cell>
          <cell r="S162">
            <v>0</v>
          </cell>
          <cell r="T162">
            <v>2415.3000000000002</v>
          </cell>
          <cell r="U162">
            <v>0</v>
          </cell>
          <cell r="V162">
            <v>2732.13</v>
          </cell>
          <cell r="W162">
            <v>0</v>
          </cell>
          <cell r="X162">
            <v>1267.57</v>
          </cell>
          <cell r="Y162">
            <v>0</v>
          </cell>
          <cell r="Z162">
            <v>1789.2</v>
          </cell>
          <cell r="AA162">
            <v>0</v>
          </cell>
          <cell r="AB162">
            <v>4133.84</v>
          </cell>
          <cell r="AC162">
            <v>0</v>
          </cell>
          <cell r="AD162">
            <v>2715.44</v>
          </cell>
          <cell r="AE162">
            <v>0</v>
          </cell>
          <cell r="AF162">
            <v>935</v>
          </cell>
          <cell r="AG162">
            <v>0</v>
          </cell>
          <cell r="AH162">
            <v>30519.359999999997</v>
          </cell>
        </row>
        <row r="163">
          <cell r="D163">
            <v>70165</v>
          </cell>
          <cell r="E163" t="str">
            <v>Communications</v>
          </cell>
          <cell r="F163">
            <v>0</v>
          </cell>
          <cell r="G163">
            <v>0</v>
          </cell>
          <cell r="H163">
            <v>0</v>
          </cell>
          <cell r="I163">
            <v>0</v>
          </cell>
          <cell r="J163">
            <v>2222.64</v>
          </cell>
          <cell r="K163">
            <v>0</v>
          </cell>
          <cell r="L163">
            <v>3516.51</v>
          </cell>
          <cell r="M163">
            <v>0</v>
          </cell>
          <cell r="N163">
            <v>3193.98</v>
          </cell>
          <cell r="O163">
            <v>0</v>
          </cell>
          <cell r="P163">
            <v>3148.78</v>
          </cell>
          <cell r="Q163">
            <v>0</v>
          </cell>
          <cell r="R163">
            <v>2972.75</v>
          </cell>
          <cell r="S163">
            <v>0</v>
          </cell>
          <cell r="T163">
            <v>3152.4</v>
          </cell>
          <cell r="U163">
            <v>0</v>
          </cell>
          <cell r="V163">
            <v>3659.38</v>
          </cell>
          <cell r="W163">
            <v>0</v>
          </cell>
          <cell r="X163">
            <v>2341.25</v>
          </cell>
          <cell r="Y163">
            <v>0</v>
          </cell>
          <cell r="Z163">
            <v>3266.67</v>
          </cell>
          <cell r="AA163">
            <v>0</v>
          </cell>
          <cell r="AB163">
            <v>3231.86</v>
          </cell>
          <cell r="AC163">
            <v>0</v>
          </cell>
          <cell r="AD163">
            <v>3443.12</v>
          </cell>
          <cell r="AE163">
            <v>0</v>
          </cell>
          <cell r="AF163">
            <v>4854.32</v>
          </cell>
          <cell r="AG163">
            <v>0</v>
          </cell>
          <cell r="AH163">
            <v>39003.660000000003</v>
          </cell>
        </row>
        <row r="164">
          <cell r="D164">
            <v>70167</v>
          </cell>
          <cell r="E164" t="str">
            <v>Cellular Telephone</v>
          </cell>
          <cell r="F164">
            <v>0</v>
          </cell>
          <cell r="G164">
            <v>0</v>
          </cell>
          <cell r="H164">
            <v>0</v>
          </cell>
          <cell r="I164">
            <v>0</v>
          </cell>
          <cell r="J164">
            <v>2713.67</v>
          </cell>
          <cell r="K164">
            <v>0</v>
          </cell>
          <cell r="L164">
            <v>2365.73</v>
          </cell>
          <cell r="M164">
            <v>0</v>
          </cell>
          <cell r="N164">
            <v>3270.14</v>
          </cell>
          <cell r="O164">
            <v>0</v>
          </cell>
          <cell r="P164">
            <v>2317.11</v>
          </cell>
          <cell r="Q164">
            <v>0</v>
          </cell>
          <cell r="R164">
            <v>2654.65</v>
          </cell>
          <cell r="S164">
            <v>0</v>
          </cell>
          <cell r="T164">
            <v>2820.64</v>
          </cell>
          <cell r="U164">
            <v>0</v>
          </cell>
          <cell r="V164">
            <v>2867.62</v>
          </cell>
          <cell r="W164">
            <v>0</v>
          </cell>
          <cell r="X164">
            <v>2373.94</v>
          </cell>
          <cell r="Y164">
            <v>0</v>
          </cell>
          <cell r="Z164">
            <v>2785.83</v>
          </cell>
          <cell r="AA164">
            <v>0</v>
          </cell>
          <cell r="AB164">
            <v>2923.7</v>
          </cell>
          <cell r="AC164">
            <v>0</v>
          </cell>
          <cell r="AD164">
            <v>2320.56</v>
          </cell>
          <cell r="AE164">
            <v>0</v>
          </cell>
          <cell r="AF164">
            <v>2656.98</v>
          </cell>
          <cell r="AG164">
            <v>0</v>
          </cell>
          <cell r="AH164">
            <v>32070.57</v>
          </cell>
        </row>
        <row r="165">
          <cell r="D165">
            <v>70170</v>
          </cell>
          <cell r="E165" t="str">
            <v>Real Estate Rentals</v>
          </cell>
          <cell r="F165">
            <v>0</v>
          </cell>
          <cell r="G165">
            <v>0</v>
          </cell>
          <cell r="H165">
            <v>0</v>
          </cell>
          <cell r="I165">
            <v>0</v>
          </cell>
          <cell r="J165">
            <v>21327.35</v>
          </cell>
          <cell r="K165">
            <v>0</v>
          </cell>
          <cell r="L165">
            <v>21327.35</v>
          </cell>
          <cell r="M165">
            <v>0</v>
          </cell>
          <cell r="N165">
            <v>21327.35</v>
          </cell>
          <cell r="O165">
            <v>0</v>
          </cell>
          <cell r="P165">
            <v>21327.35</v>
          </cell>
          <cell r="Q165">
            <v>0</v>
          </cell>
          <cell r="R165">
            <v>21327.35</v>
          </cell>
          <cell r="S165">
            <v>0</v>
          </cell>
          <cell r="T165">
            <v>20997</v>
          </cell>
          <cell r="U165">
            <v>0</v>
          </cell>
          <cell r="V165">
            <v>21327</v>
          </cell>
          <cell r="W165">
            <v>0</v>
          </cell>
          <cell r="X165">
            <v>21327</v>
          </cell>
          <cell r="Y165">
            <v>0</v>
          </cell>
          <cell r="Z165">
            <v>21327</v>
          </cell>
          <cell r="AA165">
            <v>0</v>
          </cell>
          <cell r="AB165">
            <v>21327</v>
          </cell>
          <cell r="AC165">
            <v>0</v>
          </cell>
          <cell r="AD165">
            <v>21327</v>
          </cell>
          <cell r="AE165">
            <v>0</v>
          </cell>
          <cell r="AF165">
            <v>21327.35</v>
          </cell>
          <cell r="AG165">
            <v>0</v>
          </cell>
          <cell r="AH165">
            <v>255596.10000000003</v>
          </cell>
        </row>
        <row r="166">
          <cell r="D166">
            <v>70171</v>
          </cell>
          <cell r="E166" t="str">
            <v>Building Operating Expenses (CAM)</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1132.3399999999999</v>
          </cell>
          <cell r="AG166">
            <v>0</v>
          </cell>
          <cell r="AH166">
            <v>1132.3399999999999</v>
          </cell>
        </row>
        <row r="167">
          <cell r="D167">
            <v>70175</v>
          </cell>
          <cell r="E167" t="str">
            <v>Equip/Vehicle Rental</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82.42</v>
          </cell>
          <cell r="AC167">
            <v>0</v>
          </cell>
          <cell r="AD167">
            <v>0</v>
          </cell>
          <cell r="AE167">
            <v>0</v>
          </cell>
          <cell r="AF167">
            <v>0</v>
          </cell>
          <cell r="AG167">
            <v>0</v>
          </cell>
          <cell r="AH167">
            <v>82.42</v>
          </cell>
        </row>
        <row r="168">
          <cell r="D168">
            <v>70185</v>
          </cell>
          <cell r="E168" t="str">
            <v>Postage</v>
          </cell>
          <cell r="F168">
            <v>0</v>
          </cell>
          <cell r="G168">
            <v>0</v>
          </cell>
          <cell r="H168">
            <v>0</v>
          </cell>
          <cell r="I168">
            <v>0</v>
          </cell>
          <cell r="J168">
            <v>868.07</v>
          </cell>
          <cell r="K168">
            <v>0</v>
          </cell>
          <cell r="L168">
            <v>1535.61</v>
          </cell>
          <cell r="M168">
            <v>0</v>
          </cell>
          <cell r="N168">
            <v>1324.17</v>
          </cell>
          <cell r="O168">
            <v>0</v>
          </cell>
          <cell r="P168">
            <v>927.05</v>
          </cell>
          <cell r="Q168">
            <v>0</v>
          </cell>
          <cell r="R168">
            <v>1472.87</v>
          </cell>
          <cell r="S168">
            <v>0</v>
          </cell>
          <cell r="T168">
            <v>2278.41</v>
          </cell>
          <cell r="U168">
            <v>0</v>
          </cell>
          <cell r="V168">
            <v>420.99</v>
          </cell>
          <cell r="W168">
            <v>0</v>
          </cell>
          <cell r="X168">
            <v>454.99</v>
          </cell>
          <cell r="Y168">
            <v>0</v>
          </cell>
          <cell r="Z168">
            <v>436.33</v>
          </cell>
          <cell r="AA168">
            <v>0</v>
          </cell>
          <cell r="AB168">
            <v>8.7799999999999994</v>
          </cell>
          <cell r="AC168">
            <v>0</v>
          </cell>
          <cell r="AD168">
            <v>1522.63</v>
          </cell>
          <cell r="AE168">
            <v>0</v>
          </cell>
          <cell r="AF168">
            <v>102.59</v>
          </cell>
          <cell r="AG168">
            <v>0</v>
          </cell>
          <cell r="AH168">
            <v>11352.49</v>
          </cell>
        </row>
        <row r="169">
          <cell r="D169">
            <v>70190</v>
          </cell>
          <cell r="E169" t="str">
            <v>Registration Fees</v>
          </cell>
          <cell r="F169">
            <v>0</v>
          </cell>
          <cell r="G169">
            <v>0</v>
          </cell>
          <cell r="H169">
            <v>0</v>
          </cell>
          <cell r="I169">
            <v>0</v>
          </cell>
          <cell r="J169">
            <v>0</v>
          </cell>
          <cell r="K169">
            <v>0</v>
          </cell>
          <cell r="L169">
            <v>0</v>
          </cell>
          <cell r="M169">
            <v>0</v>
          </cell>
          <cell r="N169">
            <v>0</v>
          </cell>
          <cell r="O169">
            <v>0</v>
          </cell>
          <cell r="P169">
            <v>120</v>
          </cell>
          <cell r="Q169">
            <v>0</v>
          </cell>
          <cell r="R169">
            <v>1630</v>
          </cell>
          <cell r="S169">
            <v>0</v>
          </cell>
          <cell r="T169">
            <v>0</v>
          </cell>
          <cell r="U169">
            <v>0</v>
          </cell>
          <cell r="V169">
            <v>0</v>
          </cell>
          <cell r="W169">
            <v>0</v>
          </cell>
          <cell r="X169">
            <v>0</v>
          </cell>
          <cell r="Y169">
            <v>0</v>
          </cell>
          <cell r="Z169">
            <v>0</v>
          </cell>
          <cell r="AA169">
            <v>0</v>
          </cell>
          <cell r="AB169">
            <v>554</v>
          </cell>
          <cell r="AC169">
            <v>0</v>
          </cell>
          <cell r="AD169">
            <v>0</v>
          </cell>
          <cell r="AE169">
            <v>0</v>
          </cell>
          <cell r="AF169">
            <v>150</v>
          </cell>
          <cell r="AG169">
            <v>0</v>
          </cell>
          <cell r="AH169">
            <v>2454</v>
          </cell>
        </row>
        <row r="170">
          <cell r="D170">
            <v>70195</v>
          </cell>
          <cell r="E170" t="str">
            <v>Dues and Subscriptions</v>
          </cell>
          <cell r="F170">
            <v>0</v>
          </cell>
          <cell r="G170">
            <v>0</v>
          </cell>
          <cell r="H170">
            <v>0</v>
          </cell>
          <cell r="I170">
            <v>0</v>
          </cell>
          <cell r="J170">
            <v>4631.71</v>
          </cell>
          <cell r="K170">
            <v>0</v>
          </cell>
          <cell r="L170">
            <v>4093.86</v>
          </cell>
          <cell r="M170">
            <v>0</v>
          </cell>
          <cell r="N170">
            <v>3550.71</v>
          </cell>
          <cell r="O170">
            <v>0</v>
          </cell>
          <cell r="P170">
            <v>5315.03</v>
          </cell>
          <cell r="Q170">
            <v>0</v>
          </cell>
          <cell r="R170">
            <v>2532.9299999999998</v>
          </cell>
          <cell r="S170">
            <v>0</v>
          </cell>
          <cell r="T170">
            <v>5386.75</v>
          </cell>
          <cell r="U170">
            <v>0</v>
          </cell>
          <cell r="V170">
            <v>2871.88</v>
          </cell>
          <cell r="W170">
            <v>0</v>
          </cell>
          <cell r="X170">
            <v>701.71</v>
          </cell>
          <cell r="Y170">
            <v>0</v>
          </cell>
          <cell r="Z170">
            <v>1480.72</v>
          </cell>
          <cell r="AA170">
            <v>0</v>
          </cell>
          <cell r="AB170">
            <v>2666.93</v>
          </cell>
          <cell r="AC170">
            <v>0</v>
          </cell>
          <cell r="AD170">
            <v>84.99</v>
          </cell>
          <cell r="AE170">
            <v>0</v>
          </cell>
          <cell r="AF170">
            <v>1771.37</v>
          </cell>
          <cell r="AG170">
            <v>0</v>
          </cell>
          <cell r="AH170">
            <v>35088.589999999997</v>
          </cell>
        </row>
        <row r="171">
          <cell r="D171">
            <v>70200</v>
          </cell>
          <cell r="E171" t="str">
            <v>Travel</v>
          </cell>
          <cell r="F171">
            <v>0</v>
          </cell>
          <cell r="G171">
            <v>0</v>
          </cell>
          <cell r="H171">
            <v>0</v>
          </cell>
          <cell r="I171">
            <v>0</v>
          </cell>
          <cell r="J171">
            <v>8716.02</v>
          </cell>
          <cell r="K171">
            <v>0</v>
          </cell>
          <cell r="L171">
            <v>18435.41</v>
          </cell>
          <cell r="M171">
            <v>0</v>
          </cell>
          <cell r="N171">
            <v>9377.2099999999991</v>
          </cell>
          <cell r="O171">
            <v>0</v>
          </cell>
          <cell r="P171">
            <v>17510.849999999999</v>
          </cell>
          <cell r="Q171">
            <v>0</v>
          </cell>
          <cell r="R171">
            <v>13531.08</v>
          </cell>
          <cell r="S171">
            <v>0</v>
          </cell>
          <cell r="T171">
            <v>16733.71</v>
          </cell>
          <cell r="U171">
            <v>0</v>
          </cell>
          <cell r="V171">
            <v>14364.57</v>
          </cell>
          <cell r="W171">
            <v>0</v>
          </cell>
          <cell r="X171">
            <v>10576.76</v>
          </cell>
          <cell r="Y171">
            <v>0</v>
          </cell>
          <cell r="Z171">
            <v>10234.06</v>
          </cell>
          <cell r="AA171">
            <v>0</v>
          </cell>
          <cell r="AB171">
            <v>7599.54</v>
          </cell>
          <cell r="AC171">
            <v>0</v>
          </cell>
          <cell r="AD171">
            <v>13092.06</v>
          </cell>
          <cell r="AE171">
            <v>0</v>
          </cell>
          <cell r="AF171">
            <v>13046.47</v>
          </cell>
          <cell r="AG171">
            <v>0</v>
          </cell>
          <cell r="AH171">
            <v>153217.73999999996</v>
          </cell>
        </row>
        <row r="172">
          <cell r="D172">
            <v>70201</v>
          </cell>
          <cell r="E172" t="str">
            <v>Entertainment</v>
          </cell>
          <cell r="F172">
            <v>0</v>
          </cell>
          <cell r="G172">
            <v>0</v>
          </cell>
          <cell r="H172">
            <v>0</v>
          </cell>
          <cell r="I172">
            <v>0</v>
          </cell>
          <cell r="J172">
            <v>1940.97</v>
          </cell>
          <cell r="K172">
            <v>0</v>
          </cell>
          <cell r="L172">
            <v>2647.49</v>
          </cell>
          <cell r="M172">
            <v>0</v>
          </cell>
          <cell r="N172">
            <v>5169.2</v>
          </cell>
          <cell r="O172">
            <v>0</v>
          </cell>
          <cell r="P172">
            <v>4069.28</v>
          </cell>
          <cell r="Q172">
            <v>0</v>
          </cell>
          <cell r="R172">
            <v>3695.13</v>
          </cell>
          <cell r="S172">
            <v>0</v>
          </cell>
          <cell r="T172">
            <v>2854.23</v>
          </cell>
          <cell r="U172">
            <v>0</v>
          </cell>
          <cell r="V172">
            <v>4962.91</v>
          </cell>
          <cell r="W172">
            <v>0</v>
          </cell>
          <cell r="X172">
            <v>1718.1</v>
          </cell>
          <cell r="Y172">
            <v>0</v>
          </cell>
          <cell r="Z172">
            <v>5085.79</v>
          </cell>
          <cell r="AA172">
            <v>0</v>
          </cell>
          <cell r="AB172">
            <v>2014.71</v>
          </cell>
          <cell r="AC172">
            <v>0</v>
          </cell>
          <cell r="AD172">
            <v>4694.1899999999996</v>
          </cell>
          <cell r="AE172">
            <v>0</v>
          </cell>
          <cell r="AF172">
            <v>3145.88</v>
          </cell>
          <cell r="AG172">
            <v>0</v>
          </cell>
          <cell r="AH172">
            <v>41997.88</v>
          </cell>
        </row>
        <row r="173">
          <cell r="D173">
            <v>70202</v>
          </cell>
          <cell r="E173" t="str">
            <v>Excursions Meetings</v>
          </cell>
          <cell r="F173">
            <v>0</v>
          </cell>
          <cell r="G173">
            <v>0</v>
          </cell>
          <cell r="H173">
            <v>0</v>
          </cell>
          <cell r="I173">
            <v>0</v>
          </cell>
          <cell r="J173">
            <v>50882.92</v>
          </cell>
          <cell r="K173">
            <v>0</v>
          </cell>
          <cell r="L173">
            <v>166702.69</v>
          </cell>
          <cell r="M173">
            <v>0</v>
          </cell>
          <cell r="N173">
            <v>86205.17</v>
          </cell>
          <cell r="O173">
            <v>0</v>
          </cell>
          <cell r="P173">
            <v>17740.310000000001</v>
          </cell>
          <cell r="Q173">
            <v>0</v>
          </cell>
          <cell r="R173">
            <v>109760.31</v>
          </cell>
          <cell r="S173">
            <v>0</v>
          </cell>
          <cell r="T173">
            <v>33603.99</v>
          </cell>
          <cell r="U173">
            <v>0</v>
          </cell>
          <cell r="V173">
            <v>27896.720000000001</v>
          </cell>
          <cell r="W173">
            <v>0</v>
          </cell>
          <cell r="X173">
            <v>47252</v>
          </cell>
          <cell r="Y173">
            <v>0</v>
          </cell>
          <cell r="Z173">
            <v>19094.14</v>
          </cell>
          <cell r="AA173">
            <v>0</v>
          </cell>
          <cell r="AB173">
            <v>11167.04</v>
          </cell>
          <cell r="AC173">
            <v>0</v>
          </cell>
          <cell r="AD173">
            <v>2211.6</v>
          </cell>
          <cell r="AE173">
            <v>0</v>
          </cell>
          <cell r="AF173">
            <v>23479.599999999999</v>
          </cell>
          <cell r="AG173">
            <v>0</v>
          </cell>
          <cell r="AH173">
            <v>595996.49000000011</v>
          </cell>
        </row>
        <row r="174">
          <cell r="D174">
            <v>70203</v>
          </cell>
          <cell r="E174" t="str">
            <v>Lodging</v>
          </cell>
          <cell r="F174">
            <v>0</v>
          </cell>
          <cell r="G174">
            <v>0</v>
          </cell>
          <cell r="H174">
            <v>0</v>
          </cell>
          <cell r="I174">
            <v>0</v>
          </cell>
          <cell r="J174">
            <v>4126.08</v>
          </cell>
          <cell r="K174">
            <v>0</v>
          </cell>
          <cell r="L174">
            <v>7701.45</v>
          </cell>
          <cell r="M174">
            <v>0</v>
          </cell>
          <cell r="N174">
            <v>12406.79</v>
          </cell>
          <cell r="O174">
            <v>0</v>
          </cell>
          <cell r="P174">
            <v>7618.94</v>
          </cell>
          <cell r="Q174">
            <v>0</v>
          </cell>
          <cell r="R174">
            <v>9066.32</v>
          </cell>
          <cell r="S174">
            <v>0</v>
          </cell>
          <cell r="T174">
            <v>10821.57</v>
          </cell>
          <cell r="U174">
            <v>0</v>
          </cell>
          <cell r="V174">
            <v>7297.86</v>
          </cell>
          <cell r="W174">
            <v>0</v>
          </cell>
          <cell r="X174">
            <v>14021.14</v>
          </cell>
          <cell r="Y174">
            <v>0</v>
          </cell>
          <cell r="Z174">
            <v>10386.33</v>
          </cell>
          <cell r="AA174">
            <v>0</v>
          </cell>
          <cell r="AB174">
            <v>5387.01</v>
          </cell>
          <cell r="AC174">
            <v>0</v>
          </cell>
          <cell r="AD174">
            <v>8612.75</v>
          </cell>
          <cell r="AE174">
            <v>0</v>
          </cell>
          <cell r="AF174">
            <v>9060.7999999999993</v>
          </cell>
          <cell r="AG174">
            <v>0</v>
          </cell>
          <cell r="AH174">
            <v>106507.04000000001</v>
          </cell>
        </row>
        <row r="175">
          <cell r="D175">
            <v>70205</v>
          </cell>
          <cell r="E175" t="str">
            <v>Travel - Auto</v>
          </cell>
          <cell r="F175">
            <v>0</v>
          </cell>
          <cell r="G175">
            <v>0</v>
          </cell>
          <cell r="H175">
            <v>0</v>
          </cell>
          <cell r="I175">
            <v>0</v>
          </cell>
          <cell r="J175">
            <v>8524.26</v>
          </cell>
          <cell r="K175">
            <v>0</v>
          </cell>
          <cell r="L175">
            <v>6509.39</v>
          </cell>
          <cell r="M175">
            <v>0</v>
          </cell>
          <cell r="N175">
            <v>14037.55</v>
          </cell>
          <cell r="O175">
            <v>0</v>
          </cell>
          <cell r="P175">
            <v>8045.05</v>
          </cell>
          <cell r="Q175">
            <v>0</v>
          </cell>
          <cell r="R175">
            <v>9399.2999999999993</v>
          </cell>
          <cell r="S175">
            <v>0</v>
          </cell>
          <cell r="T175">
            <v>10875.55</v>
          </cell>
          <cell r="U175">
            <v>0</v>
          </cell>
          <cell r="V175">
            <v>8744.1</v>
          </cell>
          <cell r="W175">
            <v>0</v>
          </cell>
          <cell r="X175">
            <v>9536.61</v>
          </cell>
          <cell r="Y175">
            <v>0</v>
          </cell>
          <cell r="Z175">
            <v>11346.82</v>
          </cell>
          <cell r="AA175">
            <v>0</v>
          </cell>
          <cell r="AB175">
            <v>6602.36</v>
          </cell>
          <cell r="AC175">
            <v>0</v>
          </cell>
          <cell r="AD175">
            <v>10264.27</v>
          </cell>
          <cell r="AE175">
            <v>0</v>
          </cell>
          <cell r="AF175">
            <v>7152.97</v>
          </cell>
          <cell r="AG175">
            <v>0</v>
          </cell>
          <cell r="AH175">
            <v>111038.23</v>
          </cell>
        </row>
        <row r="176">
          <cell r="D176">
            <v>70206</v>
          </cell>
          <cell r="E176" t="str">
            <v>Meals</v>
          </cell>
          <cell r="F176">
            <v>0</v>
          </cell>
          <cell r="G176">
            <v>0</v>
          </cell>
          <cell r="H176">
            <v>0</v>
          </cell>
          <cell r="I176">
            <v>0</v>
          </cell>
          <cell r="J176">
            <v>2593.6999999999998</v>
          </cell>
          <cell r="K176">
            <v>0</v>
          </cell>
          <cell r="L176">
            <v>2056.94</v>
          </cell>
          <cell r="M176">
            <v>0</v>
          </cell>
          <cell r="N176">
            <v>4101.83</v>
          </cell>
          <cell r="O176">
            <v>0</v>
          </cell>
          <cell r="P176">
            <v>1642.77</v>
          </cell>
          <cell r="Q176">
            <v>0</v>
          </cell>
          <cell r="R176">
            <v>1841.68</v>
          </cell>
          <cell r="S176">
            <v>0</v>
          </cell>
          <cell r="T176">
            <v>2254.4499999999998</v>
          </cell>
          <cell r="U176">
            <v>0</v>
          </cell>
          <cell r="V176">
            <v>1771.53</v>
          </cell>
          <cell r="W176">
            <v>0</v>
          </cell>
          <cell r="X176">
            <v>3467.63</v>
          </cell>
          <cell r="Y176">
            <v>0</v>
          </cell>
          <cell r="Z176">
            <v>1285.6099999999999</v>
          </cell>
          <cell r="AA176">
            <v>0</v>
          </cell>
          <cell r="AB176">
            <v>2086.87</v>
          </cell>
          <cell r="AC176">
            <v>0</v>
          </cell>
          <cell r="AD176">
            <v>2596.9699999999998</v>
          </cell>
          <cell r="AE176">
            <v>0</v>
          </cell>
          <cell r="AF176">
            <v>1827.09</v>
          </cell>
          <cell r="AG176">
            <v>0</v>
          </cell>
          <cell r="AH176">
            <v>27527.07</v>
          </cell>
        </row>
        <row r="177">
          <cell r="D177">
            <v>70210</v>
          </cell>
          <cell r="E177" t="str">
            <v>Office Supplies and Equip</v>
          </cell>
          <cell r="F177">
            <v>0</v>
          </cell>
          <cell r="G177">
            <v>0</v>
          </cell>
          <cell r="H177">
            <v>0</v>
          </cell>
          <cell r="I177">
            <v>0</v>
          </cell>
          <cell r="J177">
            <v>6149.85</v>
          </cell>
          <cell r="K177">
            <v>0</v>
          </cell>
          <cell r="L177">
            <v>3904.92</v>
          </cell>
          <cell r="M177">
            <v>0</v>
          </cell>
          <cell r="N177">
            <v>2211.67</v>
          </cell>
          <cell r="O177">
            <v>0</v>
          </cell>
          <cell r="P177">
            <v>5483.39</v>
          </cell>
          <cell r="Q177">
            <v>0</v>
          </cell>
          <cell r="R177">
            <v>4382.53</v>
          </cell>
          <cell r="S177">
            <v>0</v>
          </cell>
          <cell r="T177">
            <v>4164.82</v>
          </cell>
          <cell r="U177">
            <v>0</v>
          </cell>
          <cell r="V177">
            <v>4304.5200000000004</v>
          </cell>
          <cell r="W177">
            <v>0</v>
          </cell>
          <cell r="X177">
            <v>2960.13</v>
          </cell>
          <cell r="Y177">
            <v>0</v>
          </cell>
          <cell r="Z177">
            <v>1788.53</v>
          </cell>
          <cell r="AA177">
            <v>0</v>
          </cell>
          <cell r="AB177">
            <v>3236.67</v>
          </cell>
          <cell r="AC177">
            <v>0</v>
          </cell>
          <cell r="AD177">
            <v>3534.42</v>
          </cell>
          <cell r="AE177">
            <v>0</v>
          </cell>
          <cell r="AF177">
            <v>2592.52</v>
          </cell>
          <cell r="AG177">
            <v>0</v>
          </cell>
          <cell r="AH177">
            <v>44713.969999999994</v>
          </cell>
        </row>
        <row r="178">
          <cell r="D178">
            <v>70214</v>
          </cell>
          <cell r="E178" t="str">
            <v>Credit Card Fees</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6.15</v>
          </cell>
          <cell r="W178">
            <v>0</v>
          </cell>
          <cell r="X178">
            <v>0</v>
          </cell>
          <cell r="Y178">
            <v>0</v>
          </cell>
          <cell r="Z178">
            <v>0</v>
          </cell>
          <cell r="AA178">
            <v>0</v>
          </cell>
          <cell r="AB178">
            <v>0</v>
          </cell>
          <cell r="AC178">
            <v>0</v>
          </cell>
          <cell r="AD178">
            <v>0</v>
          </cell>
          <cell r="AE178">
            <v>0</v>
          </cell>
          <cell r="AF178">
            <v>0</v>
          </cell>
          <cell r="AG178">
            <v>0</v>
          </cell>
          <cell r="AH178">
            <v>6.15</v>
          </cell>
        </row>
        <row r="179">
          <cell r="D179">
            <v>70215</v>
          </cell>
          <cell r="E179" t="str">
            <v>Bank Charges</v>
          </cell>
          <cell r="F179">
            <v>0</v>
          </cell>
          <cell r="G179">
            <v>0</v>
          </cell>
          <cell r="H179">
            <v>0</v>
          </cell>
          <cell r="I179">
            <v>0</v>
          </cell>
          <cell r="J179">
            <v>0</v>
          </cell>
          <cell r="K179">
            <v>0</v>
          </cell>
          <cell r="L179">
            <v>109.2</v>
          </cell>
          <cell r="M179">
            <v>0</v>
          </cell>
          <cell r="N179">
            <v>1.54</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110.74000000000001</v>
          </cell>
        </row>
        <row r="180">
          <cell r="D180">
            <v>70225</v>
          </cell>
          <cell r="E180" t="str">
            <v>Advertising and Promotions</v>
          </cell>
          <cell r="F180">
            <v>0</v>
          </cell>
          <cell r="G180">
            <v>0</v>
          </cell>
          <cell r="H180">
            <v>0</v>
          </cell>
          <cell r="I180">
            <v>0</v>
          </cell>
          <cell r="J180">
            <v>0</v>
          </cell>
          <cell r="K180">
            <v>0</v>
          </cell>
          <cell r="L180">
            <v>0</v>
          </cell>
          <cell r="M180">
            <v>0</v>
          </cell>
          <cell r="N180">
            <v>423.84</v>
          </cell>
          <cell r="O180">
            <v>0</v>
          </cell>
          <cell r="P180">
            <v>0</v>
          </cell>
          <cell r="Q180">
            <v>0</v>
          </cell>
          <cell r="R180">
            <v>0</v>
          </cell>
          <cell r="S180">
            <v>0</v>
          </cell>
          <cell r="T180">
            <v>0</v>
          </cell>
          <cell r="U180">
            <v>0</v>
          </cell>
          <cell r="V180">
            <v>0</v>
          </cell>
          <cell r="W180">
            <v>0</v>
          </cell>
          <cell r="X180">
            <v>10</v>
          </cell>
          <cell r="Y180">
            <v>0</v>
          </cell>
          <cell r="Z180">
            <v>0</v>
          </cell>
          <cell r="AA180">
            <v>0</v>
          </cell>
          <cell r="AB180">
            <v>0</v>
          </cell>
          <cell r="AC180">
            <v>0</v>
          </cell>
          <cell r="AD180">
            <v>0</v>
          </cell>
          <cell r="AE180">
            <v>0</v>
          </cell>
          <cell r="AF180">
            <v>0</v>
          </cell>
          <cell r="AG180">
            <v>0</v>
          </cell>
          <cell r="AH180">
            <v>433.84</v>
          </cell>
        </row>
        <row r="181">
          <cell r="D181">
            <v>70230</v>
          </cell>
          <cell r="E181" t="str">
            <v>External Recruiter Fees</v>
          </cell>
          <cell r="F181">
            <v>0</v>
          </cell>
          <cell r="G181">
            <v>0</v>
          </cell>
          <cell r="H181">
            <v>0</v>
          </cell>
          <cell r="I181">
            <v>0</v>
          </cell>
          <cell r="J181">
            <v>16000</v>
          </cell>
          <cell r="K181">
            <v>0</v>
          </cell>
          <cell r="L181">
            <v>-16000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99</v>
          </cell>
          <cell r="AG181">
            <v>0</v>
          </cell>
          <cell r="AH181">
            <v>99</v>
          </cell>
        </row>
        <row r="182">
          <cell r="D182">
            <v>70231</v>
          </cell>
          <cell r="E182" t="str">
            <v>Recruitment Advertising &amp; Expenses</v>
          </cell>
          <cell r="F182">
            <v>0</v>
          </cell>
          <cell r="G182">
            <v>0</v>
          </cell>
          <cell r="H182">
            <v>0</v>
          </cell>
          <cell r="I182">
            <v>0</v>
          </cell>
          <cell r="J182">
            <v>14019.99</v>
          </cell>
          <cell r="K182">
            <v>0</v>
          </cell>
          <cell r="L182">
            <v>61.46</v>
          </cell>
          <cell r="M182">
            <v>0</v>
          </cell>
          <cell r="N182">
            <v>138.91</v>
          </cell>
          <cell r="O182">
            <v>0</v>
          </cell>
          <cell r="P182">
            <v>397.92</v>
          </cell>
          <cell r="Q182">
            <v>0</v>
          </cell>
          <cell r="R182">
            <v>466.46</v>
          </cell>
          <cell r="S182">
            <v>0</v>
          </cell>
          <cell r="T182">
            <v>501.7</v>
          </cell>
          <cell r="U182">
            <v>0</v>
          </cell>
          <cell r="V182">
            <v>97.02</v>
          </cell>
          <cell r="W182">
            <v>0</v>
          </cell>
          <cell r="X182">
            <v>6.6</v>
          </cell>
          <cell r="Y182">
            <v>0</v>
          </cell>
          <cell r="Z182">
            <v>3277.6</v>
          </cell>
          <cell r="AA182">
            <v>0</v>
          </cell>
          <cell r="AB182">
            <v>2474.79</v>
          </cell>
          <cell r="AC182">
            <v>0</v>
          </cell>
          <cell r="AD182">
            <v>842.39</v>
          </cell>
          <cell r="AE182">
            <v>0</v>
          </cell>
          <cell r="AF182">
            <v>173.37</v>
          </cell>
          <cell r="AG182">
            <v>0</v>
          </cell>
          <cell r="AH182">
            <v>22458.21</v>
          </cell>
        </row>
        <row r="183">
          <cell r="D183">
            <v>70232</v>
          </cell>
          <cell r="E183" t="str">
            <v>Recruitment Travel Expenses</v>
          </cell>
          <cell r="F183">
            <v>0</v>
          </cell>
          <cell r="G183">
            <v>0</v>
          </cell>
          <cell r="H183">
            <v>0</v>
          </cell>
          <cell r="I183">
            <v>0</v>
          </cell>
          <cell r="J183">
            <v>0</v>
          </cell>
          <cell r="K183">
            <v>0</v>
          </cell>
          <cell r="L183">
            <v>0</v>
          </cell>
          <cell r="M183">
            <v>0</v>
          </cell>
          <cell r="N183">
            <v>0</v>
          </cell>
          <cell r="O183">
            <v>0</v>
          </cell>
          <cell r="P183">
            <v>0</v>
          </cell>
          <cell r="Q183">
            <v>0</v>
          </cell>
          <cell r="R183">
            <v>960.91</v>
          </cell>
          <cell r="S183">
            <v>0</v>
          </cell>
          <cell r="T183">
            <v>197.62</v>
          </cell>
          <cell r="U183">
            <v>0</v>
          </cell>
          <cell r="V183">
            <v>32</v>
          </cell>
          <cell r="W183">
            <v>0</v>
          </cell>
          <cell r="X183">
            <v>0</v>
          </cell>
          <cell r="Y183">
            <v>0</v>
          </cell>
          <cell r="Z183">
            <v>0</v>
          </cell>
          <cell r="AA183">
            <v>0</v>
          </cell>
          <cell r="AB183">
            <v>0</v>
          </cell>
          <cell r="AC183">
            <v>0</v>
          </cell>
          <cell r="AD183">
            <v>29.95</v>
          </cell>
          <cell r="AE183">
            <v>0</v>
          </cell>
          <cell r="AF183">
            <v>0</v>
          </cell>
          <cell r="AG183">
            <v>0</v>
          </cell>
          <cell r="AH183">
            <v>1220.48</v>
          </cell>
        </row>
        <row r="184">
          <cell r="D184">
            <v>70235</v>
          </cell>
          <cell r="E184" t="str">
            <v>Legal</v>
          </cell>
          <cell r="F184">
            <v>0</v>
          </cell>
          <cell r="G184">
            <v>0</v>
          </cell>
          <cell r="H184">
            <v>0</v>
          </cell>
          <cell r="I184">
            <v>0</v>
          </cell>
          <cell r="J184">
            <v>0</v>
          </cell>
          <cell r="K184">
            <v>0</v>
          </cell>
          <cell r="L184">
            <v>0</v>
          </cell>
          <cell r="M184">
            <v>0</v>
          </cell>
          <cell r="N184">
            <v>992.74</v>
          </cell>
          <cell r="O184">
            <v>0</v>
          </cell>
          <cell r="P184">
            <v>0</v>
          </cell>
          <cell r="Q184">
            <v>0</v>
          </cell>
          <cell r="R184">
            <v>0</v>
          </cell>
          <cell r="S184">
            <v>0</v>
          </cell>
          <cell r="T184">
            <v>475</v>
          </cell>
          <cell r="U184">
            <v>0</v>
          </cell>
          <cell r="V184">
            <v>0</v>
          </cell>
          <cell r="W184">
            <v>0</v>
          </cell>
          <cell r="X184">
            <v>0</v>
          </cell>
          <cell r="Y184">
            <v>0</v>
          </cell>
          <cell r="Z184">
            <v>5362.46</v>
          </cell>
          <cell r="AA184">
            <v>0</v>
          </cell>
          <cell r="AB184">
            <v>0</v>
          </cell>
          <cell r="AC184">
            <v>0</v>
          </cell>
          <cell r="AD184">
            <v>2277.5</v>
          </cell>
          <cell r="AE184">
            <v>0</v>
          </cell>
          <cell r="AF184">
            <v>8052.87</v>
          </cell>
          <cell r="AG184">
            <v>0</v>
          </cell>
          <cell r="AH184">
            <v>17160.57</v>
          </cell>
        </row>
        <row r="185">
          <cell r="D185">
            <v>70245</v>
          </cell>
          <cell r="E185" t="str">
            <v>Payroll Processing Fees</v>
          </cell>
          <cell r="F185">
            <v>0</v>
          </cell>
          <cell r="G185">
            <v>0</v>
          </cell>
          <cell r="H185">
            <v>0</v>
          </cell>
          <cell r="I185">
            <v>0</v>
          </cell>
          <cell r="J185">
            <v>131.36000000000001</v>
          </cell>
          <cell r="K185">
            <v>0</v>
          </cell>
          <cell r="L185">
            <v>131.36000000000001</v>
          </cell>
          <cell r="M185">
            <v>0</v>
          </cell>
          <cell r="N185">
            <v>131.36000000000001</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394.08000000000004</v>
          </cell>
        </row>
        <row r="186">
          <cell r="D186">
            <v>70255</v>
          </cell>
          <cell r="E186" t="str">
            <v>Other Prof Fees</v>
          </cell>
          <cell r="F186">
            <v>0</v>
          </cell>
          <cell r="G186">
            <v>0</v>
          </cell>
          <cell r="H186">
            <v>0</v>
          </cell>
          <cell r="I186">
            <v>0</v>
          </cell>
          <cell r="J186">
            <v>9500</v>
          </cell>
          <cell r="K186">
            <v>0</v>
          </cell>
          <cell r="L186">
            <v>30875.84</v>
          </cell>
          <cell r="M186">
            <v>0</v>
          </cell>
          <cell r="N186">
            <v>11999.5</v>
          </cell>
          <cell r="O186">
            <v>0</v>
          </cell>
          <cell r="P186">
            <v>4000</v>
          </cell>
          <cell r="Q186">
            <v>0</v>
          </cell>
          <cell r="R186">
            <v>11424.28</v>
          </cell>
          <cell r="S186">
            <v>0</v>
          </cell>
          <cell r="T186">
            <v>21498.36</v>
          </cell>
          <cell r="U186">
            <v>0</v>
          </cell>
          <cell r="V186">
            <v>0</v>
          </cell>
          <cell r="W186">
            <v>0</v>
          </cell>
          <cell r="X186">
            <v>-32331.79</v>
          </cell>
          <cell r="Y186">
            <v>0</v>
          </cell>
          <cell r="Z186">
            <v>5465.76</v>
          </cell>
          <cell r="AA186">
            <v>0</v>
          </cell>
          <cell r="AB186">
            <v>339.5</v>
          </cell>
          <cell r="AC186">
            <v>0</v>
          </cell>
          <cell r="AD186">
            <v>0</v>
          </cell>
          <cell r="AE186">
            <v>0</v>
          </cell>
          <cell r="AF186">
            <v>3500</v>
          </cell>
          <cell r="AG186">
            <v>0</v>
          </cell>
          <cell r="AH186">
            <v>66271.45</v>
          </cell>
        </row>
        <row r="187">
          <cell r="D187">
            <v>70302</v>
          </cell>
          <cell r="E187" t="str">
            <v>Computer Supplies</v>
          </cell>
          <cell r="F187">
            <v>0</v>
          </cell>
          <cell r="G187">
            <v>0</v>
          </cell>
          <cell r="H187">
            <v>0</v>
          </cell>
          <cell r="I187">
            <v>0</v>
          </cell>
          <cell r="J187">
            <v>144.43</v>
          </cell>
          <cell r="K187">
            <v>0</v>
          </cell>
          <cell r="L187">
            <v>13.97</v>
          </cell>
          <cell r="M187">
            <v>0</v>
          </cell>
          <cell r="N187">
            <v>5.18</v>
          </cell>
          <cell r="O187">
            <v>0</v>
          </cell>
          <cell r="P187">
            <v>286.52999999999997</v>
          </cell>
          <cell r="Q187">
            <v>0</v>
          </cell>
          <cell r="R187">
            <v>892.37</v>
          </cell>
          <cell r="S187">
            <v>0</v>
          </cell>
          <cell r="T187">
            <v>560.29</v>
          </cell>
          <cell r="U187">
            <v>0</v>
          </cell>
          <cell r="V187">
            <v>1059.02</v>
          </cell>
          <cell r="W187">
            <v>0</v>
          </cell>
          <cell r="X187">
            <v>142.16999999999999</v>
          </cell>
          <cell r="Y187">
            <v>0</v>
          </cell>
          <cell r="Z187">
            <v>607.03</v>
          </cell>
          <cell r="AA187">
            <v>0</v>
          </cell>
          <cell r="AB187">
            <v>74.63</v>
          </cell>
          <cell r="AC187">
            <v>0</v>
          </cell>
          <cell r="AD187">
            <v>425.75</v>
          </cell>
          <cell r="AE187">
            <v>0</v>
          </cell>
          <cell r="AF187">
            <v>172.4</v>
          </cell>
          <cell r="AG187">
            <v>0</v>
          </cell>
          <cell r="AH187">
            <v>4383.7700000000004</v>
          </cell>
        </row>
        <row r="188">
          <cell r="D188">
            <v>70320</v>
          </cell>
          <cell r="E188" t="str">
            <v>Credit and Collection</v>
          </cell>
          <cell r="F188">
            <v>0</v>
          </cell>
          <cell r="G188">
            <v>0</v>
          </cell>
          <cell r="H188">
            <v>0</v>
          </cell>
          <cell r="I188">
            <v>0</v>
          </cell>
          <cell r="J188">
            <v>140.6</v>
          </cell>
          <cell r="K188">
            <v>0</v>
          </cell>
          <cell r="L188">
            <v>207.05</v>
          </cell>
          <cell r="M188">
            <v>0</v>
          </cell>
          <cell r="N188">
            <v>213.76</v>
          </cell>
          <cell r="O188">
            <v>0</v>
          </cell>
          <cell r="P188">
            <v>233.52</v>
          </cell>
          <cell r="Q188">
            <v>0</v>
          </cell>
          <cell r="R188">
            <v>57.05</v>
          </cell>
          <cell r="S188">
            <v>0</v>
          </cell>
          <cell r="T188">
            <v>207.05</v>
          </cell>
          <cell r="U188">
            <v>0</v>
          </cell>
          <cell r="V188">
            <v>307.75</v>
          </cell>
          <cell r="W188">
            <v>0</v>
          </cell>
          <cell r="X188">
            <v>67.75</v>
          </cell>
          <cell r="Y188">
            <v>0</v>
          </cell>
          <cell r="Z188">
            <v>60.22</v>
          </cell>
          <cell r="AA188">
            <v>0</v>
          </cell>
          <cell r="AB188">
            <v>14880.38</v>
          </cell>
          <cell r="AC188">
            <v>0</v>
          </cell>
          <cell r="AD188">
            <v>4638.72</v>
          </cell>
          <cell r="AE188">
            <v>0</v>
          </cell>
          <cell r="AF188">
            <v>3380.72</v>
          </cell>
          <cell r="AG188">
            <v>0</v>
          </cell>
          <cell r="AH188">
            <v>24394.569999999996</v>
          </cell>
        </row>
        <row r="189">
          <cell r="D189">
            <v>70335</v>
          </cell>
          <cell r="E189" t="str">
            <v>Miscellaneous</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-150.46</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-150.46</v>
          </cell>
        </row>
        <row r="190">
          <cell r="D190">
            <v>70336</v>
          </cell>
          <cell r="E190" t="str">
            <v>Coffee Bar</v>
          </cell>
          <cell r="F190">
            <v>0</v>
          </cell>
          <cell r="G190">
            <v>0</v>
          </cell>
          <cell r="H190">
            <v>0</v>
          </cell>
          <cell r="I190">
            <v>0</v>
          </cell>
          <cell r="J190">
            <v>911.11</v>
          </cell>
          <cell r="K190">
            <v>0</v>
          </cell>
          <cell r="L190">
            <v>279.52</v>
          </cell>
          <cell r="M190">
            <v>0</v>
          </cell>
          <cell r="N190">
            <v>321.27</v>
          </cell>
          <cell r="O190">
            <v>0</v>
          </cell>
          <cell r="P190">
            <v>855.38</v>
          </cell>
          <cell r="Q190">
            <v>0</v>
          </cell>
          <cell r="R190">
            <v>561.62</v>
          </cell>
          <cell r="S190">
            <v>0</v>
          </cell>
          <cell r="T190">
            <v>536.61</v>
          </cell>
          <cell r="U190">
            <v>0</v>
          </cell>
          <cell r="V190">
            <v>189.1</v>
          </cell>
          <cell r="W190">
            <v>0</v>
          </cell>
          <cell r="X190">
            <v>902.12</v>
          </cell>
          <cell r="Y190">
            <v>0</v>
          </cell>
          <cell r="Z190">
            <v>494.45</v>
          </cell>
          <cell r="AA190">
            <v>0</v>
          </cell>
          <cell r="AB190">
            <v>1176.54</v>
          </cell>
          <cell r="AC190">
            <v>0</v>
          </cell>
          <cell r="AD190">
            <v>-26.41</v>
          </cell>
          <cell r="AE190">
            <v>0</v>
          </cell>
          <cell r="AF190">
            <v>768.23</v>
          </cell>
          <cell r="AG190">
            <v>0</v>
          </cell>
          <cell r="AH190">
            <v>6969.54</v>
          </cell>
        </row>
        <row r="191">
          <cell r="D191">
            <v>70998</v>
          </cell>
          <cell r="E191" t="str">
            <v>Allocation Out - District</v>
          </cell>
          <cell r="F191">
            <v>0</v>
          </cell>
          <cell r="G191">
            <v>0</v>
          </cell>
          <cell r="H191">
            <v>0</v>
          </cell>
          <cell r="I191">
            <v>0</v>
          </cell>
          <cell r="J191">
            <v>-519965.75</v>
          </cell>
          <cell r="K191">
            <v>0</v>
          </cell>
          <cell r="L191">
            <v>-615121.27</v>
          </cell>
          <cell r="M191">
            <v>0</v>
          </cell>
          <cell r="N191">
            <v>-581134.15</v>
          </cell>
          <cell r="O191">
            <v>0</v>
          </cell>
          <cell r="P191">
            <v>-418168.51</v>
          </cell>
          <cell r="Q191">
            <v>0</v>
          </cell>
          <cell r="R191">
            <v>-574176.59</v>
          </cell>
          <cell r="S191">
            <v>0</v>
          </cell>
          <cell r="T191">
            <v>-501508.76</v>
          </cell>
          <cell r="U191">
            <v>0</v>
          </cell>
          <cell r="V191">
            <v>-421205.44</v>
          </cell>
          <cell r="W191">
            <v>0</v>
          </cell>
          <cell r="X191">
            <v>-431037.69</v>
          </cell>
          <cell r="Y191">
            <v>0</v>
          </cell>
          <cell r="Z191">
            <v>-506080.23</v>
          </cell>
          <cell r="AA191">
            <v>0</v>
          </cell>
          <cell r="AB191">
            <v>-440309.97</v>
          </cell>
          <cell r="AC191">
            <v>0</v>
          </cell>
          <cell r="AD191">
            <v>-424793.81</v>
          </cell>
          <cell r="AE191">
            <v>0</v>
          </cell>
          <cell r="AF191">
            <v>-436163.46</v>
          </cell>
          <cell r="AG191">
            <v>0</v>
          </cell>
          <cell r="AH191">
            <v>-5869665.6300000008</v>
          </cell>
        </row>
        <row r="192">
          <cell r="D192">
            <v>0</v>
          </cell>
          <cell r="E192">
            <v>0</v>
          </cell>
          <cell r="F192">
            <v>0</v>
          </cell>
          <cell r="G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F193" t="str">
            <v>G&amp;A</v>
          </cell>
          <cell r="J193">
            <v>-60172.230000000156</v>
          </cell>
          <cell r="K193">
            <v>0</v>
          </cell>
          <cell r="L193">
            <v>-61073.500000000116</v>
          </cell>
          <cell r="M193">
            <v>0</v>
          </cell>
          <cell r="N193">
            <v>-168999.25</v>
          </cell>
          <cell r="O193">
            <v>0</v>
          </cell>
          <cell r="P193">
            <v>-56912.399999999907</v>
          </cell>
          <cell r="Q193">
            <v>0</v>
          </cell>
          <cell r="R193">
            <v>-61073.499999999942</v>
          </cell>
          <cell r="S193">
            <v>0</v>
          </cell>
          <cell r="T193">
            <v>-185875.15000000002</v>
          </cell>
          <cell r="U193">
            <v>0</v>
          </cell>
          <cell r="V193">
            <v>3406.5800000000163</v>
          </cell>
          <cell r="W193">
            <v>0</v>
          </cell>
          <cell r="X193">
            <v>-46593.420000000042</v>
          </cell>
          <cell r="Y193">
            <v>0</v>
          </cell>
          <cell r="Z193">
            <v>-241009.89999999997</v>
          </cell>
          <cell r="AA193">
            <v>0</v>
          </cell>
          <cell r="AB193">
            <v>0</v>
          </cell>
          <cell r="AC193">
            <v>0</v>
          </cell>
          <cell r="AD193">
            <v>2277.4999999999418</v>
          </cell>
          <cell r="AE193">
            <v>0</v>
          </cell>
          <cell r="AF193">
            <v>-217993.22000000006</v>
          </cell>
          <cell r="AG193">
            <v>0</v>
          </cell>
          <cell r="AH193">
            <v>-1094018.4900000002</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D195">
            <v>70149</v>
          </cell>
          <cell r="E195" t="str">
            <v>Corporate Overhead Allocation In</v>
          </cell>
          <cell r="F195">
            <v>0</v>
          </cell>
          <cell r="G195">
            <v>0</v>
          </cell>
          <cell r="H195">
            <v>0</v>
          </cell>
          <cell r="I195">
            <v>0</v>
          </cell>
          <cell r="J195">
            <v>83104.84</v>
          </cell>
          <cell r="K195">
            <v>0</v>
          </cell>
          <cell r="L195">
            <v>83104.84</v>
          </cell>
          <cell r="M195">
            <v>0</v>
          </cell>
          <cell r="N195">
            <v>83104.84</v>
          </cell>
          <cell r="O195">
            <v>0</v>
          </cell>
          <cell r="P195">
            <v>83104.84</v>
          </cell>
          <cell r="Q195">
            <v>0</v>
          </cell>
          <cell r="R195">
            <v>83104.84</v>
          </cell>
          <cell r="S195">
            <v>0</v>
          </cell>
          <cell r="T195">
            <v>83104.84</v>
          </cell>
          <cell r="U195">
            <v>0</v>
          </cell>
          <cell r="V195">
            <v>66336.14</v>
          </cell>
          <cell r="W195">
            <v>0</v>
          </cell>
          <cell r="X195">
            <v>66336.14</v>
          </cell>
          <cell r="Y195">
            <v>0</v>
          </cell>
          <cell r="Z195">
            <v>66336.14</v>
          </cell>
          <cell r="AA195">
            <v>0</v>
          </cell>
          <cell r="AB195">
            <v>0</v>
          </cell>
          <cell r="AC195">
            <v>0</v>
          </cell>
          <cell r="AD195">
            <v>0</v>
          </cell>
          <cell r="AE195">
            <v>0</v>
          </cell>
          <cell r="AF195">
            <v>0</v>
          </cell>
          <cell r="AG195">
            <v>0</v>
          </cell>
          <cell r="AH195">
            <v>697637.45999999985</v>
          </cell>
        </row>
        <row r="196">
          <cell r="D196">
            <v>0</v>
          </cell>
          <cell r="E196">
            <v>0</v>
          </cell>
          <cell r="F196">
            <v>0</v>
          </cell>
          <cell r="G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F197" t="str">
            <v>Corp Overhead</v>
          </cell>
          <cell r="J197">
            <v>83104.84</v>
          </cell>
          <cell r="K197">
            <v>0</v>
          </cell>
          <cell r="L197">
            <v>83104.84</v>
          </cell>
          <cell r="M197">
            <v>0</v>
          </cell>
          <cell r="N197">
            <v>83104.84</v>
          </cell>
          <cell r="O197">
            <v>0</v>
          </cell>
          <cell r="P197">
            <v>83104.84</v>
          </cell>
          <cell r="Q197">
            <v>0</v>
          </cell>
          <cell r="R197">
            <v>83104.84</v>
          </cell>
          <cell r="S197">
            <v>0</v>
          </cell>
          <cell r="T197">
            <v>83104.84</v>
          </cell>
          <cell r="U197">
            <v>0</v>
          </cell>
          <cell r="V197">
            <v>66336.14</v>
          </cell>
          <cell r="W197">
            <v>0</v>
          </cell>
          <cell r="X197">
            <v>66336.14</v>
          </cell>
          <cell r="Y197">
            <v>0</v>
          </cell>
          <cell r="Z197">
            <v>66336.14</v>
          </cell>
          <cell r="AA197">
            <v>0</v>
          </cell>
          <cell r="AB197">
            <v>0</v>
          </cell>
          <cell r="AC197">
            <v>0</v>
          </cell>
          <cell r="AD197">
            <v>0</v>
          </cell>
          <cell r="AE197">
            <v>0</v>
          </cell>
          <cell r="AF197">
            <v>0</v>
          </cell>
          <cell r="AG197">
            <v>0</v>
          </cell>
          <cell r="AH197">
            <v>697637.45999999985</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Total SG&amp;A</v>
          </cell>
          <cell r="J199">
            <v>16878.169999999838</v>
          </cell>
          <cell r="K199">
            <v>0</v>
          </cell>
          <cell r="L199">
            <v>15976.899999999878</v>
          </cell>
          <cell r="M199">
            <v>0</v>
          </cell>
          <cell r="N199">
            <v>-91948.85</v>
          </cell>
          <cell r="O199">
            <v>0</v>
          </cell>
          <cell r="P199">
            <v>20138.000000000087</v>
          </cell>
          <cell r="Q199">
            <v>0</v>
          </cell>
          <cell r="R199">
            <v>15976.900000000052</v>
          </cell>
          <cell r="S199">
            <v>0</v>
          </cell>
          <cell r="T199">
            <v>-108824.75000000003</v>
          </cell>
          <cell r="U199">
            <v>0</v>
          </cell>
          <cell r="V199">
            <v>63688.280000000013</v>
          </cell>
          <cell r="W199">
            <v>0</v>
          </cell>
          <cell r="X199">
            <v>13688.279999999955</v>
          </cell>
          <cell r="Y199">
            <v>0</v>
          </cell>
          <cell r="Z199">
            <v>-180728.19999999995</v>
          </cell>
          <cell r="AA199">
            <v>0</v>
          </cell>
          <cell r="AB199">
            <v>0</v>
          </cell>
          <cell r="AC199">
            <v>0</v>
          </cell>
          <cell r="AD199">
            <v>2277.4999999999418</v>
          </cell>
          <cell r="AE199">
            <v>0</v>
          </cell>
          <cell r="AF199">
            <v>-217993.22000000006</v>
          </cell>
          <cell r="AG199">
            <v>0</v>
          </cell>
          <cell r="AH199">
            <v>-450870.99000000034</v>
          </cell>
        </row>
        <row r="200">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EBITDA</v>
          </cell>
          <cell r="F202">
            <v>0</v>
          </cell>
          <cell r="G202">
            <v>0</v>
          </cell>
          <cell r="H202">
            <v>0</v>
          </cell>
          <cell r="I202">
            <v>0</v>
          </cell>
          <cell r="J202">
            <v>-400791.16999999981</v>
          </cell>
          <cell r="K202">
            <v>0</v>
          </cell>
          <cell r="L202">
            <v>-496293.46999999986</v>
          </cell>
          <cell r="M202">
            <v>0</v>
          </cell>
          <cell r="N202">
            <v>-673684.33000000007</v>
          </cell>
          <cell r="O202">
            <v>0</v>
          </cell>
          <cell r="P202">
            <v>-432601.60000000009</v>
          </cell>
          <cell r="Q202">
            <v>0</v>
          </cell>
          <cell r="R202">
            <v>-305832.5</v>
          </cell>
          <cell r="S202">
            <v>0</v>
          </cell>
          <cell r="T202">
            <v>180813.76000000004</v>
          </cell>
          <cell r="U202">
            <v>0</v>
          </cell>
          <cell r="V202">
            <v>-837092.23</v>
          </cell>
          <cell r="W202">
            <v>0</v>
          </cell>
          <cell r="X202">
            <v>-576120.88</v>
          </cell>
          <cell r="Y202">
            <v>0</v>
          </cell>
          <cell r="Z202">
            <v>446441.55999999994</v>
          </cell>
          <cell r="AA202">
            <v>0</v>
          </cell>
          <cell r="AB202">
            <v>340240.21999999974</v>
          </cell>
          <cell r="AC202">
            <v>0</v>
          </cell>
          <cell r="AD202">
            <v>596662.68000000017</v>
          </cell>
          <cell r="AE202">
            <v>0</v>
          </cell>
          <cell r="AF202">
            <v>589583.28</v>
          </cell>
          <cell r="AG202">
            <v>0</v>
          </cell>
          <cell r="AH202">
            <v>-1568674.6800000016</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Watch list EBITDA</v>
          </cell>
          <cell r="F204">
            <v>0</v>
          </cell>
          <cell r="G204">
            <v>0</v>
          </cell>
          <cell r="H204">
            <v>0</v>
          </cell>
          <cell r="I204">
            <v>0</v>
          </cell>
          <cell r="J204">
            <v>-208648.52999999982</v>
          </cell>
          <cell r="K204">
            <v>0</v>
          </cell>
          <cell r="L204">
            <v>-190169.9599999999</v>
          </cell>
          <cell r="M204">
            <v>0</v>
          </cell>
          <cell r="N204">
            <v>260282.7</v>
          </cell>
          <cell r="O204">
            <v>0</v>
          </cell>
          <cell r="P204">
            <v>-197361.56000000006</v>
          </cell>
          <cell r="Q204">
            <v>0</v>
          </cell>
          <cell r="R204">
            <v>-192672.85000000003</v>
          </cell>
          <cell r="S204">
            <v>0</v>
          </cell>
          <cell r="T204">
            <v>315026.78000000003</v>
          </cell>
          <cell r="U204">
            <v>0</v>
          </cell>
          <cell r="V204">
            <v>-251065.32999999996</v>
          </cell>
          <cell r="W204">
            <v>0</v>
          </cell>
          <cell r="X204">
            <v>-229900.31999999998</v>
          </cell>
          <cell r="Y204">
            <v>0</v>
          </cell>
          <cell r="Z204">
            <v>604059.50999999989</v>
          </cell>
          <cell r="AA204">
            <v>0</v>
          </cell>
          <cell r="AB204">
            <v>-224398.96000000002</v>
          </cell>
          <cell r="AC204">
            <v>0</v>
          </cell>
          <cell r="AD204">
            <v>-219505.44999999981</v>
          </cell>
          <cell r="AE204">
            <v>0</v>
          </cell>
          <cell r="AF204">
            <v>277931.30000000005</v>
          </cell>
          <cell r="AG204">
            <v>0</v>
          </cell>
          <cell r="AH204">
            <v>-256422.67000000016</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D206">
            <v>57260</v>
          </cell>
          <cell r="E206" t="str">
            <v>Depreciation</v>
          </cell>
          <cell r="F206">
            <v>0</v>
          </cell>
          <cell r="G206">
            <v>0</v>
          </cell>
          <cell r="H206">
            <v>0</v>
          </cell>
          <cell r="I206">
            <v>0</v>
          </cell>
          <cell r="J206">
            <v>1556.3</v>
          </cell>
          <cell r="K206">
            <v>0</v>
          </cell>
          <cell r="L206">
            <v>1556.28</v>
          </cell>
          <cell r="M206">
            <v>0</v>
          </cell>
          <cell r="N206">
            <v>1556.31</v>
          </cell>
          <cell r="O206">
            <v>0</v>
          </cell>
          <cell r="P206">
            <v>1556.28</v>
          </cell>
          <cell r="Q206">
            <v>0</v>
          </cell>
          <cell r="R206">
            <v>1556.3</v>
          </cell>
          <cell r="S206">
            <v>0</v>
          </cell>
          <cell r="T206">
            <v>1556.29</v>
          </cell>
          <cell r="U206">
            <v>0</v>
          </cell>
          <cell r="V206">
            <v>1556.27</v>
          </cell>
          <cell r="W206">
            <v>0</v>
          </cell>
          <cell r="X206">
            <v>1556.29</v>
          </cell>
          <cell r="Y206">
            <v>0</v>
          </cell>
          <cell r="Z206">
            <v>1556.3</v>
          </cell>
          <cell r="AA206">
            <v>0</v>
          </cell>
          <cell r="AB206">
            <v>1556.29</v>
          </cell>
          <cell r="AC206">
            <v>0</v>
          </cell>
          <cell r="AD206">
            <v>1556.29</v>
          </cell>
          <cell r="AE206">
            <v>0</v>
          </cell>
          <cell r="AF206">
            <v>1556.29</v>
          </cell>
          <cell r="AG206">
            <v>0</v>
          </cell>
          <cell r="AH206">
            <v>18675.489999999998</v>
          </cell>
        </row>
        <row r="207">
          <cell r="D207">
            <v>70260</v>
          </cell>
          <cell r="E207" t="str">
            <v>Depreciation</v>
          </cell>
          <cell r="F207">
            <v>0</v>
          </cell>
          <cell r="G207">
            <v>0</v>
          </cell>
          <cell r="H207">
            <v>0</v>
          </cell>
          <cell r="I207">
            <v>0</v>
          </cell>
          <cell r="J207">
            <v>2239.12</v>
          </cell>
          <cell r="K207">
            <v>0</v>
          </cell>
          <cell r="L207">
            <v>2272.25</v>
          </cell>
          <cell r="M207">
            <v>0</v>
          </cell>
          <cell r="N207">
            <v>2236.4499999999998</v>
          </cell>
          <cell r="O207">
            <v>0</v>
          </cell>
          <cell r="P207">
            <v>2521.08</v>
          </cell>
          <cell r="Q207">
            <v>0</v>
          </cell>
          <cell r="R207">
            <v>2527.5100000000002</v>
          </cell>
          <cell r="S207">
            <v>0</v>
          </cell>
          <cell r="T207">
            <v>2528.84</v>
          </cell>
          <cell r="U207">
            <v>0</v>
          </cell>
          <cell r="V207">
            <v>2562.25</v>
          </cell>
          <cell r="W207">
            <v>0</v>
          </cell>
          <cell r="X207">
            <v>2571.67</v>
          </cell>
          <cell r="Y207">
            <v>0</v>
          </cell>
          <cell r="Z207">
            <v>2571.66</v>
          </cell>
          <cell r="AA207">
            <v>0</v>
          </cell>
          <cell r="AB207">
            <v>2610.2600000000002</v>
          </cell>
          <cell r="AC207">
            <v>0</v>
          </cell>
          <cell r="AD207">
            <v>2610.12</v>
          </cell>
          <cell r="AE207">
            <v>0</v>
          </cell>
          <cell r="AF207">
            <v>2581.42</v>
          </cell>
          <cell r="AG207">
            <v>0</v>
          </cell>
          <cell r="AH207">
            <v>29832.630000000005</v>
          </cell>
        </row>
        <row r="208">
          <cell r="D208">
            <v>0</v>
          </cell>
          <cell r="E208">
            <v>0</v>
          </cell>
          <cell r="F208">
            <v>0</v>
          </cell>
          <cell r="G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F209" t="str">
            <v>Depreciation</v>
          </cell>
          <cell r="J209">
            <v>3795.42</v>
          </cell>
          <cell r="K209">
            <v>0</v>
          </cell>
          <cell r="L209">
            <v>3828.5299999999997</v>
          </cell>
          <cell r="M209">
            <v>0</v>
          </cell>
          <cell r="N209">
            <v>3792.7599999999998</v>
          </cell>
          <cell r="O209">
            <v>0</v>
          </cell>
          <cell r="P209">
            <v>4077.3599999999997</v>
          </cell>
          <cell r="Q209">
            <v>0</v>
          </cell>
          <cell r="R209">
            <v>4083.8100000000004</v>
          </cell>
          <cell r="S209">
            <v>0</v>
          </cell>
          <cell r="T209">
            <v>4085.13</v>
          </cell>
          <cell r="U209">
            <v>0</v>
          </cell>
          <cell r="V209">
            <v>4118.5200000000004</v>
          </cell>
          <cell r="W209">
            <v>0</v>
          </cell>
          <cell r="X209">
            <v>4127.96</v>
          </cell>
          <cell r="Y209">
            <v>0</v>
          </cell>
          <cell r="Z209">
            <v>4127.96</v>
          </cell>
          <cell r="AA209">
            <v>0</v>
          </cell>
          <cell r="AB209">
            <v>4166.55</v>
          </cell>
          <cell r="AC209">
            <v>0</v>
          </cell>
          <cell r="AD209">
            <v>4166.41</v>
          </cell>
          <cell r="AE209">
            <v>0</v>
          </cell>
          <cell r="AF209">
            <v>4137.71</v>
          </cell>
          <cell r="AG209">
            <v>0</v>
          </cell>
          <cell r="AH209">
            <v>48508.12</v>
          </cell>
        </row>
        <row r="210">
          <cell r="F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D212">
            <v>0</v>
          </cell>
          <cell r="E212">
            <v>0</v>
          </cell>
          <cell r="F212">
            <v>0</v>
          </cell>
          <cell r="G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F213" t="str">
            <v>Airspace Amort</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D216">
            <v>0</v>
          </cell>
          <cell r="E216">
            <v>0</v>
          </cell>
          <cell r="F216">
            <v>0</v>
          </cell>
          <cell r="G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F217" t="str">
            <v>Intangible Amort</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Total DDA</v>
          </cell>
          <cell r="J219">
            <v>3795.42</v>
          </cell>
          <cell r="K219">
            <v>0</v>
          </cell>
          <cell r="L219">
            <v>3828.5299999999997</v>
          </cell>
          <cell r="M219">
            <v>0</v>
          </cell>
          <cell r="N219">
            <v>3792.7599999999998</v>
          </cell>
          <cell r="O219">
            <v>0</v>
          </cell>
          <cell r="P219">
            <v>4077.3599999999997</v>
          </cell>
          <cell r="Q219">
            <v>0</v>
          </cell>
          <cell r="R219">
            <v>4083.8100000000004</v>
          </cell>
          <cell r="S219">
            <v>0</v>
          </cell>
          <cell r="T219">
            <v>4085.13</v>
          </cell>
          <cell r="U219">
            <v>0</v>
          </cell>
          <cell r="V219">
            <v>4118.5200000000004</v>
          </cell>
          <cell r="W219">
            <v>0</v>
          </cell>
          <cell r="X219">
            <v>4127.96</v>
          </cell>
          <cell r="Y219">
            <v>0</v>
          </cell>
          <cell r="Z219">
            <v>4127.96</v>
          </cell>
          <cell r="AA219">
            <v>0</v>
          </cell>
          <cell r="AB219">
            <v>4166.55</v>
          </cell>
          <cell r="AC219">
            <v>0</v>
          </cell>
          <cell r="AD219">
            <v>4166.41</v>
          </cell>
          <cell r="AE219">
            <v>0</v>
          </cell>
          <cell r="AF219">
            <v>4137.71</v>
          </cell>
          <cell r="AG219">
            <v>0</v>
          </cell>
          <cell r="AH219">
            <v>48508.12</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EBIT From Ops</v>
          </cell>
          <cell r="J221">
            <v>-404586.58999999979</v>
          </cell>
          <cell r="K221">
            <v>0</v>
          </cell>
          <cell r="L221">
            <v>-500121.99999999988</v>
          </cell>
          <cell r="M221">
            <v>0</v>
          </cell>
          <cell r="N221">
            <v>-677477.09000000008</v>
          </cell>
          <cell r="O221">
            <v>0</v>
          </cell>
          <cell r="P221">
            <v>-436678.96000000008</v>
          </cell>
          <cell r="Q221">
            <v>0</v>
          </cell>
          <cell r="R221">
            <v>-309916.31</v>
          </cell>
          <cell r="S221">
            <v>0</v>
          </cell>
          <cell r="T221">
            <v>176728.63000000003</v>
          </cell>
          <cell r="U221">
            <v>0</v>
          </cell>
          <cell r="V221">
            <v>-841210.75</v>
          </cell>
          <cell r="W221">
            <v>0</v>
          </cell>
          <cell r="X221">
            <v>-580248.84</v>
          </cell>
          <cell r="Y221">
            <v>0</v>
          </cell>
          <cell r="Z221">
            <v>442313.59999999992</v>
          </cell>
          <cell r="AA221">
            <v>0</v>
          </cell>
          <cell r="AB221">
            <v>336073.66999999975</v>
          </cell>
          <cell r="AC221">
            <v>0</v>
          </cell>
          <cell r="AD221">
            <v>592496.27000000014</v>
          </cell>
          <cell r="AE221">
            <v>0</v>
          </cell>
          <cell r="AF221">
            <v>585445.57000000007</v>
          </cell>
          <cell r="AG221">
            <v>0</v>
          </cell>
          <cell r="AH221">
            <v>-1617182.8000000017</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D224">
            <v>0</v>
          </cell>
          <cell r="E224">
            <v>0</v>
          </cell>
          <cell r="F224">
            <v>0</v>
          </cell>
          <cell r="G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F225" t="str">
            <v>Interest Exp</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D228">
            <v>0</v>
          </cell>
          <cell r="E228">
            <v>0</v>
          </cell>
          <cell r="F228">
            <v>0</v>
          </cell>
          <cell r="G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F229" t="str">
            <v>Interest Income</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D232">
            <v>0</v>
          </cell>
          <cell r="E232">
            <v>0</v>
          </cell>
          <cell r="F232">
            <v>0</v>
          </cell>
          <cell r="G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F233" t="str">
            <v>Other Inc/Exp</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NI b/ Taxes &amp; Extra</v>
          </cell>
          <cell r="J235">
            <v>-404586.58999999979</v>
          </cell>
          <cell r="K235">
            <v>0</v>
          </cell>
          <cell r="L235">
            <v>-500121.99999999988</v>
          </cell>
          <cell r="M235">
            <v>0</v>
          </cell>
          <cell r="N235">
            <v>-677477.09000000008</v>
          </cell>
          <cell r="O235">
            <v>0</v>
          </cell>
          <cell r="P235">
            <v>-436678.96000000008</v>
          </cell>
          <cell r="Q235">
            <v>0</v>
          </cell>
          <cell r="R235">
            <v>-309916.31</v>
          </cell>
          <cell r="S235">
            <v>0</v>
          </cell>
          <cell r="T235">
            <v>176728.63000000003</v>
          </cell>
          <cell r="U235">
            <v>0</v>
          </cell>
          <cell r="V235">
            <v>-841210.75</v>
          </cell>
          <cell r="W235">
            <v>0</v>
          </cell>
          <cell r="X235">
            <v>-580248.84</v>
          </cell>
          <cell r="Y235">
            <v>0</v>
          </cell>
          <cell r="Z235">
            <v>442313.59999999992</v>
          </cell>
          <cell r="AA235">
            <v>0</v>
          </cell>
          <cell r="AB235">
            <v>336073.66999999975</v>
          </cell>
          <cell r="AC235">
            <v>0</v>
          </cell>
          <cell r="AD235">
            <v>592496.27000000014</v>
          </cell>
          <cell r="AE235">
            <v>0</v>
          </cell>
          <cell r="AF235">
            <v>585445.57000000007</v>
          </cell>
          <cell r="AG235">
            <v>0</v>
          </cell>
          <cell r="AH235">
            <v>-1617182.8000000017</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D238">
            <v>0</v>
          </cell>
          <cell r="E238">
            <v>0</v>
          </cell>
          <cell r="F238">
            <v>0</v>
          </cell>
          <cell r="G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F239" t="str">
            <v>Extra. Items</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NI b/ Taxes</v>
          </cell>
          <cell r="J241">
            <v>-404586.58999999979</v>
          </cell>
          <cell r="K241">
            <v>0</v>
          </cell>
          <cell r="L241">
            <v>-500121.99999999988</v>
          </cell>
          <cell r="M241">
            <v>0</v>
          </cell>
          <cell r="N241">
            <v>-677477.09000000008</v>
          </cell>
          <cell r="O241">
            <v>0</v>
          </cell>
          <cell r="P241">
            <v>-436678.96000000008</v>
          </cell>
          <cell r="Q241">
            <v>0</v>
          </cell>
          <cell r="R241">
            <v>-309916.31</v>
          </cell>
          <cell r="S241">
            <v>0</v>
          </cell>
          <cell r="T241">
            <v>176728.63000000003</v>
          </cell>
          <cell r="U241">
            <v>0</v>
          </cell>
          <cell r="V241">
            <v>-841210.75</v>
          </cell>
          <cell r="W241">
            <v>0</v>
          </cell>
          <cell r="X241">
            <v>-580248.84</v>
          </cell>
          <cell r="Y241">
            <v>0</v>
          </cell>
          <cell r="Z241">
            <v>442313.59999999992</v>
          </cell>
          <cell r="AA241">
            <v>0</v>
          </cell>
          <cell r="AB241">
            <v>336073.66999999975</v>
          </cell>
          <cell r="AC241">
            <v>0</v>
          </cell>
          <cell r="AD241">
            <v>592496.27000000014</v>
          </cell>
          <cell r="AE241">
            <v>0</v>
          </cell>
          <cell r="AF241">
            <v>585445.57000000007</v>
          </cell>
          <cell r="AG241">
            <v>0</v>
          </cell>
          <cell r="AH241">
            <v>-1617182.8000000017</v>
          </cell>
        </row>
        <row r="242">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D244">
            <v>0</v>
          </cell>
          <cell r="E244">
            <v>0</v>
          </cell>
          <cell r="F244">
            <v>0</v>
          </cell>
          <cell r="G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F245" t="str">
            <v>Taxes</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Net Income</v>
          </cell>
          <cell r="J247">
            <v>-404586.58999999979</v>
          </cell>
          <cell r="K247">
            <v>0</v>
          </cell>
          <cell r="L247">
            <v>-500121.99999999988</v>
          </cell>
          <cell r="M247">
            <v>0</v>
          </cell>
          <cell r="N247">
            <v>-677477.09000000008</v>
          </cell>
          <cell r="O247">
            <v>0</v>
          </cell>
          <cell r="P247">
            <v>-436678.96000000008</v>
          </cell>
          <cell r="Q247">
            <v>0</v>
          </cell>
          <cell r="R247">
            <v>-309916.31</v>
          </cell>
          <cell r="S247">
            <v>0</v>
          </cell>
          <cell r="T247">
            <v>176728.63000000003</v>
          </cell>
          <cell r="U247">
            <v>0</v>
          </cell>
          <cell r="V247">
            <v>-841210.75</v>
          </cell>
          <cell r="W247">
            <v>0</v>
          </cell>
          <cell r="X247">
            <v>-580248.84</v>
          </cell>
          <cell r="Y247">
            <v>0</v>
          </cell>
          <cell r="Z247">
            <v>442313.59999999992</v>
          </cell>
          <cell r="AA247">
            <v>0</v>
          </cell>
          <cell r="AB247">
            <v>336073.66999999975</v>
          </cell>
          <cell r="AC247">
            <v>0</v>
          </cell>
          <cell r="AD247">
            <v>592496.27000000014</v>
          </cell>
          <cell r="AE247">
            <v>0</v>
          </cell>
          <cell r="AF247">
            <v>585445.57000000007</v>
          </cell>
          <cell r="AG247">
            <v>0</v>
          </cell>
          <cell r="AH247">
            <v>-1617182.8000000017</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D250">
            <v>0</v>
          </cell>
          <cell r="E250">
            <v>0</v>
          </cell>
          <cell r="F250">
            <v>0</v>
          </cell>
          <cell r="G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F251" t="str">
            <v>Non Controlling Int</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Net Income Attrib</v>
          </cell>
          <cell r="J253">
            <v>-404586.58999999979</v>
          </cell>
          <cell r="K253">
            <v>0</v>
          </cell>
          <cell r="L253">
            <v>-500121.99999999988</v>
          </cell>
          <cell r="M253">
            <v>0</v>
          </cell>
          <cell r="N253">
            <v>-677477.09000000008</v>
          </cell>
          <cell r="O253">
            <v>0</v>
          </cell>
          <cell r="P253">
            <v>-436678.96000000008</v>
          </cell>
          <cell r="Q253">
            <v>0</v>
          </cell>
          <cell r="R253">
            <v>-309916.31</v>
          </cell>
          <cell r="S253">
            <v>0</v>
          </cell>
          <cell r="T253">
            <v>176728.63000000003</v>
          </cell>
          <cell r="U253">
            <v>0</v>
          </cell>
          <cell r="V253">
            <v>-841210.75</v>
          </cell>
          <cell r="W253">
            <v>0</v>
          </cell>
          <cell r="X253">
            <v>-580248.84</v>
          </cell>
          <cell r="Y253">
            <v>0</v>
          </cell>
          <cell r="Z253">
            <v>442313.59999999992</v>
          </cell>
          <cell r="AA253">
            <v>0</v>
          </cell>
          <cell r="AB253">
            <v>336073.66999999975</v>
          </cell>
          <cell r="AC253">
            <v>0</v>
          </cell>
          <cell r="AD253">
            <v>592496.27000000014</v>
          </cell>
          <cell r="AE253">
            <v>0</v>
          </cell>
          <cell r="AF253">
            <v>585445.57000000007</v>
          </cell>
          <cell r="AG253">
            <v>0</v>
          </cell>
          <cell r="AH253">
            <v>-1617182.8000000017</v>
          </cell>
        </row>
        <row r="254">
          <cell r="D254">
            <v>0</v>
          </cell>
          <cell r="E254">
            <v>0</v>
          </cell>
          <cell r="F254">
            <v>0</v>
          </cell>
          <cell r="G254">
            <v>0</v>
          </cell>
          <cell r="H254">
            <v>0</v>
          </cell>
          <cell r="I254">
            <v>0</v>
          </cell>
          <cell r="K254">
            <v>0</v>
          </cell>
          <cell r="M254">
            <v>0</v>
          </cell>
          <cell r="O254">
            <v>0</v>
          </cell>
          <cell r="Q254">
            <v>0</v>
          </cell>
          <cell r="S254">
            <v>0</v>
          </cell>
          <cell r="U254">
            <v>0</v>
          </cell>
          <cell r="W254">
            <v>0</v>
          </cell>
          <cell r="Y254">
            <v>0</v>
          </cell>
          <cell r="AA254">
            <v>0</v>
          </cell>
          <cell r="AC254">
            <v>0</v>
          </cell>
          <cell r="AE254">
            <v>0</v>
          </cell>
          <cell r="AG254">
            <v>0</v>
          </cell>
        </row>
        <row r="256">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Data Not Included</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D259">
            <v>0</v>
          </cell>
          <cell r="E259">
            <v>0</v>
          </cell>
          <cell r="F259">
            <v>0</v>
          </cell>
          <cell r="G259">
            <v>0</v>
          </cell>
          <cell r="M259">
            <v>0</v>
          </cell>
          <cell r="O259">
            <v>0</v>
          </cell>
          <cell r="S259">
            <v>0</v>
          </cell>
          <cell r="U259">
            <v>0</v>
          </cell>
          <cell r="Y259">
            <v>0</v>
          </cell>
          <cell r="AA259">
            <v>0</v>
          </cell>
          <cell r="AE259">
            <v>0</v>
          </cell>
          <cell r="AG259">
            <v>0</v>
          </cell>
        </row>
        <row r="260">
          <cell r="D260">
            <v>0</v>
          </cell>
          <cell r="E260">
            <v>0</v>
          </cell>
          <cell r="F260">
            <v>0</v>
          </cell>
          <cell r="G260">
            <v>0</v>
          </cell>
          <cell r="M260">
            <v>0</v>
          </cell>
          <cell r="O260">
            <v>0</v>
          </cell>
          <cell r="S260">
            <v>0</v>
          </cell>
          <cell r="U260">
            <v>0</v>
          </cell>
          <cell r="Y260">
            <v>0</v>
          </cell>
          <cell r="AA260">
            <v>0</v>
          </cell>
          <cell r="AE260">
            <v>0</v>
          </cell>
          <cell r="AF260" t="str">
            <v>Check</v>
          </cell>
          <cell r="AG260">
            <v>0</v>
          </cell>
          <cell r="AH260">
            <v>2.0954757928848267E-9</v>
          </cell>
        </row>
        <row r="261">
          <cell r="D261">
            <v>0</v>
          </cell>
          <cell r="E261">
            <v>0</v>
          </cell>
          <cell r="F261">
            <v>0</v>
          </cell>
          <cell r="G261">
            <v>0</v>
          </cell>
          <cell r="H261">
            <v>0</v>
          </cell>
          <cell r="I261">
            <v>0</v>
          </cell>
          <cell r="K261">
            <v>0</v>
          </cell>
          <cell r="M261">
            <v>0</v>
          </cell>
          <cell r="O261">
            <v>0</v>
          </cell>
          <cell r="Q261">
            <v>0</v>
          </cell>
          <cell r="S261">
            <v>0</v>
          </cell>
          <cell r="U261">
            <v>0</v>
          </cell>
          <cell r="W261">
            <v>0</v>
          </cell>
          <cell r="Y261">
            <v>0</v>
          </cell>
          <cell r="AA261">
            <v>0</v>
          </cell>
          <cell r="AC261">
            <v>0</v>
          </cell>
          <cell r="AE261">
            <v>0</v>
          </cell>
          <cell r="AG261">
            <v>0</v>
          </cell>
        </row>
        <row r="262">
          <cell r="D262">
            <v>0</v>
          </cell>
          <cell r="E262">
            <v>0</v>
          </cell>
          <cell r="F262">
            <v>0</v>
          </cell>
          <cell r="G262">
            <v>0</v>
          </cell>
          <cell r="H262">
            <v>0</v>
          </cell>
          <cell r="I262">
            <v>0</v>
          </cell>
          <cell r="K262">
            <v>0</v>
          </cell>
          <cell r="M262">
            <v>0</v>
          </cell>
          <cell r="O262">
            <v>0</v>
          </cell>
          <cell r="Q262">
            <v>0</v>
          </cell>
          <cell r="S262">
            <v>0</v>
          </cell>
          <cell r="U262">
            <v>0</v>
          </cell>
          <cell r="V262">
            <v>731645.42</v>
          </cell>
          <cell r="W262">
            <v>0</v>
          </cell>
          <cell r="X262">
            <v>474180.30999999994</v>
          </cell>
          <cell r="Y262">
            <v>0</v>
          </cell>
          <cell r="Z262">
            <v>-557272.93999999994</v>
          </cell>
          <cell r="AA262">
            <v>0</v>
          </cell>
          <cell r="AB262">
            <v>-468790.92999999976</v>
          </cell>
          <cell r="AC262">
            <v>0</v>
          </cell>
          <cell r="AD262">
            <v>-718224.22000000009</v>
          </cell>
          <cell r="AE262">
            <v>0</v>
          </cell>
          <cell r="AF262">
            <v>-715914.44000000006</v>
          </cell>
          <cell r="AG262">
            <v>0</v>
          </cell>
          <cell r="AH262">
            <v>278477.11000000173</v>
          </cell>
        </row>
        <row r="263">
          <cell r="D263">
            <v>0</v>
          </cell>
          <cell r="E263">
            <v>0</v>
          </cell>
          <cell r="F263">
            <v>0</v>
          </cell>
          <cell r="G263">
            <v>0</v>
          </cell>
          <cell r="H263">
            <v>0</v>
          </cell>
          <cell r="I263">
            <v>0</v>
          </cell>
          <cell r="K263">
            <v>0</v>
          </cell>
          <cell r="M263">
            <v>0</v>
          </cell>
          <cell r="O263">
            <v>0</v>
          </cell>
          <cell r="Q263">
            <v>0</v>
          </cell>
          <cell r="S263">
            <v>0</v>
          </cell>
          <cell r="U263">
            <v>0</v>
          </cell>
          <cell r="V263">
            <v>-6.6777092717194391</v>
          </cell>
          <cell r="W263" t="e">
            <v>#DIV/0!</v>
          </cell>
          <cell r="X263">
            <v>-4.4705089247489331</v>
          </cell>
          <cell r="Y263">
            <v>0</v>
          </cell>
          <cell r="Z263">
            <v>4.8475655827529973</v>
          </cell>
          <cell r="AA263">
            <v>0</v>
          </cell>
          <cell r="AB263">
            <v>3.5322529262584212</v>
          </cell>
          <cell r="AC263">
            <v>0</v>
          </cell>
          <cell r="AD263">
            <v>5.7125262918865705</v>
          </cell>
          <cell r="AE263">
            <v>0</v>
          </cell>
          <cell r="AF263">
            <v>5.4872433554456332</v>
          </cell>
          <cell r="AG263">
            <v>0</v>
          </cell>
          <cell r="AH263">
            <v>-0.20801966562194993</v>
          </cell>
        </row>
        <row r="264">
          <cell r="D264">
            <v>0</v>
          </cell>
          <cell r="E264">
            <v>0</v>
          </cell>
          <cell r="F264">
            <v>0</v>
          </cell>
          <cell r="G264">
            <v>0</v>
          </cell>
          <cell r="H264">
            <v>0</v>
          </cell>
          <cell r="I264">
            <v>0</v>
          </cell>
          <cell r="K264">
            <v>0</v>
          </cell>
          <cell r="M264">
            <v>0</v>
          </cell>
          <cell r="O264">
            <v>0</v>
          </cell>
          <cell r="Q264">
            <v>0</v>
          </cell>
          <cell r="S264">
            <v>0</v>
          </cell>
          <cell r="U264">
            <v>0</v>
          </cell>
          <cell r="W264">
            <v>0</v>
          </cell>
          <cell r="Y264">
            <v>0</v>
          </cell>
          <cell r="AA264">
            <v>0</v>
          </cell>
          <cell r="AC264">
            <v>0</v>
          </cell>
          <cell r="AE264">
            <v>0</v>
          </cell>
          <cell r="AG264">
            <v>0</v>
          </cell>
        </row>
        <row r="265">
          <cell r="D265">
            <v>0</v>
          </cell>
          <cell r="E265">
            <v>0</v>
          </cell>
          <cell r="F265">
            <v>0</v>
          </cell>
          <cell r="G265">
            <v>0</v>
          </cell>
          <cell r="H265">
            <v>0</v>
          </cell>
          <cell r="I265">
            <v>0</v>
          </cell>
          <cell r="K265">
            <v>0</v>
          </cell>
          <cell r="M265">
            <v>0</v>
          </cell>
          <cell r="O265">
            <v>0</v>
          </cell>
          <cell r="Q265">
            <v>0</v>
          </cell>
          <cell r="S265">
            <v>0</v>
          </cell>
          <cell r="U265">
            <v>0</v>
          </cell>
          <cell r="W265">
            <v>0</v>
          </cell>
          <cell r="Y265">
            <v>0</v>
          </cell>
          <cell r="AA265">
            <v>0</v>
          </cell>
          <cell r="AC265">
            <v>0</v>
          </cell>
          <cell r="AE265">
            <v>0</v>
          </cell>
          <cell r="AG265">
            <v>0</v>
          </cell>
        </row>
        <row r="266">
          <cell r="D266">
            <v>0</v>
          </cell>
          <cell r="E266">
            <v>0</v>
          </cell>
          <cell r="F266">
            <v>0</v>
          </cell>
          <cell r="G266">
            <v>0</v>
          </cell>
          <cell r="H266">
            <v>0</v>
          </cell>
          <cell r="I266">
            <v>0</v>
          </cell>
          <cell r="K266">
            <v>0</v>
          </cell>
          <cell r="M266">
            <v>0</v>
          </cell>
          <cell r="O266">
            <v>0</v>
          </cell>
          <cell r="Q266">
            <v>0</v>
          </cell>
          <cell r="S266">
            <v>0</v>
          </cell>
          <cell r="U266">
            <v>0</v>
          </cell>
          <cell r="W266">
            <v>0</v>
          </cell>
          <cell r="Y266">
            <v>0</v>
          </cell>
          <cell r="AA266">
            <v>0</v>
          </cell>
          <cell r="AC266">
            <v>0</v>
          </cell>
          <cell r="AE266">
            <v>0</v>
          </cell>
          <cell r="AG266">
            <v>0</v>
          </cell>
        </row>
        <row r="267">
          <cell r="D267">
            <v>0</v>
          </cell>
          <cell r="E267">
            <v>0</v>
          </cell>
          <cell r="F267">
            <v>0</v>
          </cell>
          <cell r="G267">
            <v>0</v>
          </cell>
          <cell r="H267">
            <v>0</v>
          </cell>
          <cell r="I267">
            <v>0</v>
          </cell>
          <cell r="K267">
            <v>0</v>
          </cell>
          <cell r="M267">
            <v>0</v>
          </cell>
          <cell r="O267">
            <v>0</v>
          </cell>
          <cell r="Q267">
            <v>0</v>
          </cell>
          <cell r="S267">
            <v>0</v>
          </cell>
          <cell r="U267">
            <v>0</v>
          </cell>
          <cell r="W267">
            <v>0</v>
          </cell>
          <cell r="Y267">
            <v>0</v>
          </cell>
          <cell r="AA267">
            <v>0</v>
          </cell>
          <cell r="AC267">
            <v>0</v>
          </cell>
          <cell r="AE267">
            <v>0</v>
          </cell>
          <cell r="AG267">
            <v>0</v>
          </cell>
        </row>
        <row r="268">
          <cell r="D268">
            <v>0</v>
          </cell>
          <cell r="E268">
            <v>0</v>
          </cell>
          <cell r="F268">
            <v>0</v>
          </cell>
          <cell r="G268">
            <v>0</v>
          </cell>
          <cell r="H268">
            <v>0</v>
          </cell>
          <cell r="I268">
            <v>0</v>
          </cell>
          <cell r="K268">
            <v>0</v>
          </cell>
          <cell r="M268">
            <v>0</v>
          </cell>
          <cell r="O268">
            <v>0</v>
          </cell>
          <cell r="Q268">
            <v>0</v>
          </cell>
          <cell r="S268">
            <v>0</v>
          </cell>
          <cell r="U268">
            <v>0</v>
          </cell>
          <cell r="W268">
            <v>0</v>
          </cell>
          <cell r="Y268">
            <v>0</v>
          </cell>
          <cell r="AA268">
            <v>0</v>
          </cell>
          <cell r="AC268">
            <v>0</v>
          </cell>
          <cell r="AE268">
            <v>0</v>
          </cell>
          <cell r="AG268">
            <v>0</v>
          </cell>
        </row>
        <row r="269">
          <cell r="D269">
            <v>0</v>
          </cell>
          <cell r="E269">
            <v>0</v>
          </cell>
          <cell r="F269">
            <v>0</v>
          </cell>
          <cell r="G269">
            <v>0</v>
          </cell>
          <cell r="H269">
            <v>0</v>
          </cell>
          <cell r="I269">
            <v>0</v>
          </cell>
          <cell r="K269">
            <v>0</v>
          </cell>
          <cell r="M269">
            <v>0</v>
          </cell>
          <cell r="O269">
            <v>0</v>
          </cell>
          <cell r="Q269">
            <v>0</v>
          </cell>
          <cell r="S269">
            <v>0</v>
          </cell>
          <cell r="U269">
            <v>0</v>
          </cell>
          <cell r="W269">
            <v>0</v>
          </cell>
          <cell r="Y269">
            <v>0</v>
          </cell>
          <cell r="AA269">
            <v>0</v>
          </cell>
          <cell r="AC269">
            <v>0</v>
          </cell>
          <cell r="AE269">
            <v>0</v>
          </cell>
          <cell r="AG269">
            <v>0</v>
          </cell>
        </row>
        <row r="270">
          <cell r="D270">
            <v>0</v>
          </cell>
          <cell r="E270">
            <v>0</v>
          </cell>
          <cell r="F270">
            <v>0</v>
          </cell>
          <cell r="G270">
            <v>0</v>
          </cell>
          <cell r="H270">
            <v>0</v>
          </cell>
          <cell r="I270">
            <v>0</v>
          </cell>
          <cell r="K270">
            <v>0</v>
          </cell>
          <cell r="M270">
            <v>0</v>
          </cell>
          <cell r="O270">
            <v>0</v>
          </cell>
          <cell r="Q270">
            <v>0</v>
          </cell>
          <cell r="S270">
            <v>0</v>
          </cell>
          <cell r="U270">
            <v>0</v>
          </cell>
          <cell r="W270">
            <v>0</v>
          </cell>
          <cell r="Y270">
            <v>0</v>
          </cell>
          <cell r="AA270">
            <v>0</v>
          </cell>
          <cell r="AC270">
            <v>0</v>
          </cell>
          <cell r="AE270">
            <v>0</v>
          </cell>
          <cell r="AG270">
            <v>0</v>
          </cell>
        </row>
        <row r="271">
          <cell r="D271">
            <v>0</v>
          </cell>
          <cell r="E271">
            <v>0</v>
          </cell>
          <cell r="F271">
            <v>0</v>
          </cell>
          <cell r="G271">
            <v>0</v>
          </cell>
          <cell r="H271">
            <v>0</v>
          </cell>
          <cell r="I271">
            <v>0</v>
          </cell>
          <cell r="K271">
            <v>0</v>
          </cell>
          <cell r="M271">
            <v>0</v>
          </cell>
          <cell r="O271">
            <v>0</v>
          </cell>
          <cell r="Q271">
            <v>0</v>
          </cell>
          <cell r="S271">
            <v>0</v>
          </cell>
          <cell r="U271">
            <v>0</v>
          </cell>
          <cell r="W271">
            <v>0</v>
          </cell>
          <cell r="Y271">
            <v>0</v>
          </cell>
          <cell r="AA271">
            <v>0</v>
          </cell>
          <cell r="AC271">
            <v>0</v>
          </cell>
          <cell r="AE271">
            <v>0</v>
          </cell>
          <cell r="AG271">
            <v>0</v>
          </cell>
        </row>
        <row r="272">
          <cell r="D272">
            <v>0</v>
          </cell>
          <cell r="E272">
            <v>0</v>
          </cell>
          <cell r="F272">
            <v>0</v>
          </cell>
          <cell r="G272">
            <v>0</v>
          </cell>
          <cell r="H272">
            <v>0</v>
          </cell>
          <cell r="I272">
            <v>0</v>
          </cell>
          <cell r="K272">
            <v>0</v>
          </cell>
          <cell r="M272">
            <v>0</v>
          </cell>
          <cell r="O272">
            <v>0</v>
          </cell>
          <cell r="Q272">
            <v>0</v>
          </cell>
          <cell r="S272">
            <v>0</v>
          </cell>
          <cell r="U272">
            <v>0</v>
          </cell>
          <cell r="W272">
            <v>0</v>
          </cell>
          <cell r="Y272">
            <v>0</v>
          </cell>
          <cell r="AA272">
            <v>0</v>
          </cell>
          <cell r="AC272">
            <v>0</v>
          </cell>
          <cell r="AE272">
            <v>0</v>
          </cell>
          <cell r="AG272">
            <v>0</v>
          </cell>
        </row>
        <row r="273">
          <cell r="D273">
            <v>0</v>
          </cell>
          <cell r="E273">
            <v>0</v>
          </cell>
          <cell r="F273">
            <v>0</v>
          </cell>
          <cell r="G273">
            <v>0</v>
          </cell>
          <cell r="H273">
            <v>0</v>
          </cell>
          <cell r="I273">
            <v>0</v>
          </cell>
          <cell r="K273">
            <v>0</v>
          </cell>
          <cell r="M273">
            <v>0</v>
          </cell>
          <cell r="O273">
            <v>0</v>
          </cell>
          <cell r="Q273">
            <v>0</v>
          </cell>
          <cell r="S273">
            <v>0</v>
          </cell>
          <cell r="U273">
            <v>0</v>
          </cell>
          <cell r="W273">
            <v>0</v>
          </cell>
          <cell r="Y273">
            <v>0</v>
          </cell>
          <cell r="AA273">
            <v>0</v>
          </cell>
          <cell r="AC273">
            <v>0</v>
          </cell>
          <cell r="AE273">
            <v>0</v>
          </cell>
          <cell r="AG273">
            <v>0</v>
          </cell>
        </row>
        <row r="274">
          <cell r="D274">
            <v>0</v>
          </cell>
          <cell r="E274">
            <v>0</v>
          </cell>
          <cell r="F274">
            <v>0</v>
          </cell>
          <cell r="G274">
            <v>0</v>
          </cell>
          <cell r="H274">
            <v>0</v>
          </cell>
          <cell r="I274">
            <v>0</v>
          </cell>
          <cell r="K274">
            <v>0</v>
          </cell>
          <cell r="M274">
            <v>0</v>
          </cell>
          <cell r="O274">
            <v>0</v>
          </cell>
          <cell r="Q274">
            <v>0</v>
          </cell>
          <cell r="S274">
            <v>0</v>
          </cell>
          <cell r="U274">
            <v>0</v>
          </cell>
          <cell r="W274">
            <v>0</v>
          </cell>
          <cell r="Y274">
            <v>0</v>
          </cell>
          <cell r="AA274">
            <v>0</v>
          </cell>
          <cell r="AC274">
            <v>0</v>
          </cell>
          <cell r="AE274">
            <v>0</v>
          </cell>
          <cell r="AG274">
            <v>0</v>
          </cell>
        </row>
        <row r="275">
          <cell r="D275">
            <v>0</v>
          </cell>
          <cell r="E275">
            <v>0</v>
          </cell>
          <cell r="F275">
            <v>0</v>
          </cell>
          <cell r="G275">
            <v>0</v>
          </cell>
          <cell r="H275">
            <v>0</v>
          </cell>
          <cell r="I275">
            <v>0</v>
          </cell>
          <cell r="K275">
            <v>0</v>
          </cell>
          <cell r="M275">
            <v>0</v>
          </cell>
          <cell r="O275">
            <v>0</v>
          </cell>
          <cell r="Q275">
            <v>0</v>
          </cell>
          <cell r="S275">
            <v>0</v>
          </cell>
          <cell r="U275">
            <v>0</v>
          </cell>
          <cell r="W275">
            <v>0</v>
          </cell>
          <cell r="Y275">
            <v>0</v>
          </cell>
          <cell r="AA275">
            <v>0</v>
          </cell>
          <cell r="AC275">
            <v>0</v>
          </cell>
          <cell r="AE275">
            <v>0</v>
          </cell>
          <cell r="AG275">
            <v>0</v>
          </cell>
        </row>
        <row r="276">
          <cell r="D276">
            <v>0</v>
          </cell>
          <cell r="E276">
            <v>0</v>
          </cell>
          <cell r="F276">
            <v>0</v>
          </cell>
          <cell r="G276">
            <v>0</v>
          </cell>
          <cell r="H276">
            <v>0</v>
          </cell>
          <cell r="I276">
            <v>0</v>
          </cell>
          <cell r="K276">
            <v>0</v>
          </cell>
          <cell r="M276">
            <v>0</v>
          </cell>
          <cell r="O276">
            <v>0</v>
          </cell>
          <cell r="Q276">
            <v>0</v>
          </cell>
          <cell r="S276">
            <v>0</v>
          </cell>
          <cell r="U276">
            <v>0</v>
          </cell>
          <cell r="W276">
            <v>0</v>
          </cell>
          <cell r="Y276">
            <v>0</v>
          </cell>
          <cell r="AA276">
            <v>0</v>
          </cell>
          <cell r="AC276">
            <v>0</v>
          </cell>
          <cell r="AE276">
            <v>0</v>
          </cell>
          <cell r="AG276">
            <v>0</v>
          </cell>
        </row>
        <row r="277">
          <cell r="D277">
            <v>0</v>
          </cell>
          <cell r="E277">
            <v>0</v>
          </cell>
          <cell r="F277">
            <v>0</v>
          </cell>
          <cell r="G277">
            <v>0</v>
          </cell>
          <cell r="H277">
            <v>0</v>
          </cell>
          <cell r="I277">
            <v>0</v>
          </cell>
          <cell r="K277">
            <v>0</v>
          </cell>
          <cell r="M277">
            <v>0</v>
          </cell>
          <cell r="O277">
            <v>0</v>
          </cell>
          <cell r="Q277">
            <v>0</v>
          </cell>
          <cell r="S277">
            <v>0</v>
          </cell>
          <cell r="U277">
            <v>0</v>
          </cell>
          <cell r="W277">
            <v>0</v>
          </cell>
          <cell r="Y277">
            <v>0</v>
          </cell>
          <cell r="AA277">
            <v>0</v>
          </cell>
          <cell r="AC277">
            <v>0</v>
          </cell>
          <cell r="AE277">
            <v>0</v>
          </cell>
          <cell r="AG277">
            <v>0</v>
          </cell>
        </row>
        <row r="278">
          <cell r="D278">
            <v>0</v>
          </cell>
          <cell r="E278">
            <v>0</v>
          </cell>
          <cell r="F278">
            <v>0</v>
          </cell>
          <cell r="G278">
            <v>0</v>
          </cell>
          <cell r="H278">
            <v>0</v>
          </cell>
          <cell r="I278">
            <v>0</v>
          </cell>
          <cell r="K278">
            <v>0</v>
          </cell>
          <cell r="M278">
            <v>0</v>
          </cell>
          <cell r="O278">
            <v>0</v>
          </cell>
          <cell r="Q278">
            <v>0</v>
          </cell>
          <cell r="S278">
            <v>0</v>
          </cell>
          <cell r="U278">
            <v>0</v>
          </cell>
          <cell r="W278">
            <v>0</v>
          </cell>
          <cell r="Y278">
            <v>0</v>
          </cell>
          <cell r="AA278">
            <v>0</v>
          </cell>
          <cell r="AC278">
            <v>0</v>
          </cell>
          <cell r="AE278">
            <v>0</v>
          </cell>
          <cell r="AG278">
            <v>0</v>
          </cell>
        </row>
        <row r="279">
          <cell r="D279">
            <v>0</v>
          </cell>
          <cell r="E279">
            <v>0</v>
          </cell>
          <cell r="F279">
            <v>0</v>
          </cell>
          <cell r="G279">
            <v>0</v>
          </cell>
          <cell r="H279">
            <v>0</v>
          </cell>
          <cell r="I279">
            <v>0</v>
          </cell>
          <cell r="K279">
            <v>0</v>
          </cell>
          <cell r="M279">
            <v>0</v>
          </cell>
          <cell r="O279">
            <v>0</v>
          </cell>
          <cell r="Q279">
            <v>0</v>
          </cell>
          <cell r="S279">
            <v>0</v>
          </cell>
          <cell r="U279">
            <v>0</v>
          </cell>
          <cell r="W279">
            <v>0</v>
          </cell>
          <cell r="Y279">
            <v>0</v>
          </cell>
          <cell r="AA279">
            <v>0</v>
          </cell>
          <cell r="AC279">
            <v>0</v>
          </cell>
          <cell r="AE279">
            <v>0</v>
          </cell>
          <cell r="AG279">
            <v>0</v>
          </cell>
        </row>
        <row r="280">
          <cell r="D280">
            <v>0</v>
          </cell>
          <cell r="E280">
            <v>0</v>
          </cell>
          <cell r="F280">
            <v>0</v>
          </cell>
          <cell r="G280">
            <v>0</v>
          </cell>
          <cell r="H280">
            <v>0</v>
          </cell>
          <cell r="I280">
            <v>0</v>
          </cell>
          <cell r="K280">
            <v>0</v>
          </cell>
          <cell r="M280">
            <v>0</v>
          </cell>
          <cell r="O280">
            <v>0</v>
          </cell>
          <cell r="Q280">
            <v>0</v>
          </cell>
          <cell r="S280">
            <v>0</v>
          </cell>
          <cell r="U280">
            <v>0</v>
          </cell>
          <cell r="W280">
            <v>0</v>
          </cell>
          <cell r="Y280">
            <v>0</v>
          </cell>
          <cell r="AA280">
            <v>0</v>
          </cell>
          <cell r="AC280">
            <v>0</v>
          </cell>
          <cell r="AE280">
            <v>0</v>
          </cell>
          <cell r="AG280">
            <v>0</v>
          </cell>
        </row>
        <row r="281">
          <cell r="D281">
            <v>0</v>
          </cell>
          <cell r="E281">
            <v>0</v>
          </cell>
          <cell r="F281">
            <v>0</v>
          </cell>
          <cell r="G281">
            <v>0</v>
          </cell>
          <cell r="H281">
            <v>0</v>
          </cell>
          <cell r="I281">
            <v>0</v>
          </cell>
          <cell r="K281">
            <v>0</v>
          </cell>
          <cell r="M281">
            <v>0</v>
          </cell>
          <cell r="O281">
            <v>0</v>
          </cell>
          <cell r="Q281">
            <v>0</v>
          </cell>
          <cell r="S281">
            <v>0</v>
          </cell>
          <cell r="U281">
            <v>0</v>
          </cell>
          <cell r="W281">
            <v>0</v>
          </cell>
          <cell r="Y281">
            <v>0</v>
          </cell>
          <cell r="AA281">
            <v>0</v>
          </cell>
          <cell r="AC281">
            <v>0</v>
          </cell>
          <cell r="AE281">
            <v>0</v>
          </cell>
          <cell r="AG281">
            <v>0</v>
          </cell>
        </row>
        <row r="282">
          <cell r="D282">
            <v>0</v>
          </cell>
          <cell r="E282">
            <v>0</v>
          </cell>
          <cell r="F282">
            <v>0</v>
          </cell>
          <cell r="G282">
            <v>0</v>
          </cell>
          <cell r="H282">
            <v>0</v>
          </cell>
          <cell r="I282">
            <v>0</v>
          </cell>
          <cell r="K282">
            <v>0</v>
          </cell>
          <cell r="M282">
            <v>0</v>
          </cell>
          <cell r="O282">
            <v>0</v>
          </cell>
          <cell r="Q282">
            <v>0</v>
          </cell>
          <cell r="S282">
            <v>0</v>
          </cell>
          <cell r="U282">
            <v>0</v>
          </cell>
          <cell r="W282">
            <v>0</v>
          </cell>
          <cell r="Y282">
            <v>0</v>
          </cell>
          <cell r="AA282">
            <v>0</v>
          </cell>
          <cell r="AC282">
            <v>0</v>
          </cell>
          <cell r="AE282">
            <v>0</v>
          </cell>
          <cell r="AG282">
            <v>0</v>
          </cell>
        </row>
        <row r="283">
          <cell r="D283">
            <v>0</v>
          </cell>
          <cell r="E283">
            <v>0</v>
          </cell>
          <cell r="F283">
            <v>0</v>
          </cell>
          <cell r="G283">
            <v>0</v>
          </cell>
          <cell r="H283">
            <v>0</v>
          </cell>
          <cell r="I283">
            <v>0</v>
          </cell>
          <cell r="K283">
            <v>0</v>
          </cell>
          <cell r="M283">
            <v>0</v>
          </cell>
          <cell r="O283">
            <v>0</v>
          </cell>
          <cell r="Q283">
            <v>0</v>
          </cell>
          <cell r="S283">
            <v>0</v>
          </cell>
          <cell r="U283">
            <v>0</v>
          </cell>
          <cell r="W283">
            <v>0</v>
          </cell>
          <cell r="Y283">
            <v>0</v>
          </cell>
          <cell r="AA283">
            <v>0</v>
          </cell>
          <cell r="AC283">
            <v>0</v>
          </cell>
          <cell r="AE283">
            <v>0</v>
          </cell>
          <cell r="AG283">
            <v>0</v>
          </cell>
        </row>
        <row r="284">
          <cell r="D284">
            <v>0</v>
          </cell>
          <cell r="E284">
            <v>0</v>
          </cell>
          <cell r="F284">
            <v>0</v>
          </cell>
          <cell r="G284">
            <v>0</v>
          </cell>
          <cell r="H284">
            <v>0</v>
          </cell>
          <cell r="I284">
            <v>0</v>
          </cell>
          <cell r="K284">
            <v>0</v>
          </cell>
          <cell r="M284">
            <v>0</v>
          </cell>
          <cell r="O284">
            <v>0</v>
          </cell>
          <cell r="Q284">
            <v>0</v>
          </cell>
          <cell r="S284">
            <v>0</v>
          </cell>
          <cell r="U284">
            <v>0</v>
          </cell>
          <cell r="W284">
            <v>0</v>
          </cell>
          <cell r="Y284">
            <v>0</v>
          </cell>
          <cell r="AA284">
            <v>0</v>
          </cell>
          <cell r="AC284">
            <v>0</v>
          </cell>
          <cell r="AE284">
            <v>0</v>
          </cell>
          <cell r="AG284">
            <v>0</v>
          </cell>
        </row>
        <row r="285">
          <cell r="D285">
            <v>0</v>
          </cell>
          <cell r="E285">
            <v>0</v>
          </cell>
          <cell r="F285">
            <v>0</v>
          </cell>
          <cell r="G285">
            <v>0</v>
          </cell>
          <cell r="H285">
            <v>0</v>
          </cell>
          <cell r="I285">
            <v>0</v>
          </cell>
          <cell r="K285">
            <v>0</v>
          </cell>
          <cell r="M285">
            <v>0</v>
          </cell>
          <cell r="O285">
            <v>0</v>
          </cell>
          <cell r="Q285">
            <v>0</v>
          </cell>
          <cell r="S285">
            <v>0</v>
          </cell>
          <cell r="U285">
            <v>0</v>
          </cell>
          <cell r="W285">
            <v>0</v>
          </cell>
          <cell r="Y285">
            <v>0</v>
          </cell>
          <cell r="AA285">
            <v>0</v>
          </cell>
          <cell r="AC285">
            <v>0</v>
          </cell>
          <cell r="AE285">
            <v>0</v>
          </cell>
          <cell r="AG285">
            <v>0</v>
          </cell>
        </row>
        <row r="286">
          <cell r="D286">
            <v>0</v>
          </cell>
          <cell r="E286">
            <v>0</v>
          </cell>
          <cell r="F286">
            <v>0</v>
          </cell>
          <cell r="G286">
            <v>0</v>
          </cell>
          <cell r="H286">
            <v>0</v>
          </cell>
          <cell r="I286">
            <v>0</v>
          </cell>
          <cell r="K286">
            <v>0</v>
          </cell>
          <cell r="M286">
            <v>0</v>
          </cell>
          <cell r="O286">
            <v>0</v>
          </cell>
          <cell r="Q286">
            <v>0</v>
          </cell>
          <cell r="S286">
            <v>0</v>
          </cell>
          <cell r="U286">
            <v>0</v>
          </cell>
          <cell r="W286">
            <v>0</v>
          </cell>
          <cell r="Y286">
            <v>0</v>
          </cell>
          <cell r="AA286">
            <v>0</v>
          </cell>
          <cell r="AC286">
            <v>0</v>
          </cell>
          <cell r="AE286">
            <v>0</v>
          </cell>
          <cell r="AG286">
            <v>0</v>
          </cell>
        </row>
        <row r="287">
          <cell r="D287">
            <v>0</v>
          </cell>
          <cell r="E287">
            <v>0</v>
          </cell>
          <cell r="F287">
            <v>0</v>
          </cell>
          <cell r="G287">
            <v>0</v>
          </cell>
          <cell r="H287">
            <v>0</v>
          </cell>
          <cell r="I287">
            <v>0</v>
          </cell>
          <cell r="K287">
            <v>0</v>
          </cell>
          <cell r="M287">
            <v>0</v>
          </cell>
          <cell r="O287">
            <v>0</v>
          </cell>
          <cell r="Q287">
            <v>0</v>
          </cell>
          <cell r="S287">
            <v>0</v>
          </cell>
          <cell r="U287">
            <v>0</v>
          </cell>
          <cell r="W287">
            <v>0</v>
          </cell>
          <cell r="Y287">
            <v>0</v>
          </cell>
          <cell r="AA287">
            <v>0</v>
          </cell>
          <cell r="AC287">
            <v>0</v>
          </cell>
          <cell r="AE287">
            <v>0</v>
          </cell>
          <cell r="AG287">
            <v>0</v>
          </cell>
        </row>
        <row r="288">
          <cell r="D288">
            <v>0</v>
          </cell>
          <cell r="E288">
            <v>0</v>
          </cell>
          <cell r="F288">
            <v>0</v>
          </cell>
          <cell r="G288">
            <v>0</v>
          </cell>
          <cell r="H288">
            <v>0</v>
          </cell>
          <cell r="I288">
            <v>0</v>
          </cell>
          <cell r="K288">
            <v>0</v>
          </cell>
          <cell r="M288">
            <v>0</v>
          </cell>
          <cell r="O288">
            <v>0</v>
          </cell>
          <cell r="Q288">
            <v>0</v>
          </cell>
          <cell r="S288">
            <v>0</v>
          </cell>
          <cell r="U288">
            <v>0</v>
          </cell>
          <cell r="W288">
            <v>0</v>
          </cell>
          <cell r="Y288">
            <v>0</v>
          </cell>
          <cell r="AA288">
            <v>0</v>
          </cell>
          <cell r="AC288">
            <v>0</v>
          </cell>
          <cell r="AE288">
            <v>0</v>
          </cell>
          <cell r="AG288">
            <v>0</v>
          </cell>
        </row>
        <row r="289">
          <cell r="D289">
            <v>0</v>
          </cell>
          <cell r="E289">
            <v>0</v>
          </cell>
          <cell r="F289">
            <v>0</v>
          </cell>
          <cell r="G289">
            <v>0</v>
          </cell>
          <cell r="H289">
            <v>0</v>
          </cell>
          <cell r="I289">
            <v>0</v>
          </cell>
          <cell r="K289">
            <v>0</v>
          </cell>
          <cell r="M289">
            <v>0</v>
          </cell>
          <cell r="O289">
            <v>0</v>
          </cell>
          <cell r="Q289">
            <v>0</v>
          </cell>
          <cell r="S289">
            <v>0</v>
          </cell>
          <cell r="U289">
            <v>0</v>
          </cell>
          <cell r="W289">
            <v>0</v>
          </cell>
          <cell r="Y289">
            <v>0</v>
          </cell>
          <cell r="AA289">
            <v>0</v>
          </cell>
          <cell r="AC289">
            <v>0</v>
          </cell>
          <cell r="AE289">
            <v>0</v>
          </cell>
          <cell r="AG289">
            <v>0</v>
          </cell>
        </row>
        <row r="290">
          <cell r="D290">
            <v>0</v>
          </cell>
          <cell r="E290">
            <v>0</v>
          </cell>
          <cell r="F290">
            <v>0</v>
          </cell>
          <cell r="G290">
            <v>0</v>
          </cell>
          <cell r="H290">
            <v>0</v>
          </cell>
          <cell r="I290">
            <v>0</v>
          </cell>
          <cell r="K290">
            <v>0</v>
          </cell>
          <cell r="M290">
            <v>0</v>
          </cell>
          <cell r="O290">
            <v>0</v>
          </cell>
          <cell r="Q290">
            <v>0</v>
          </cell>
          <cell r="S290">
            <v>0</v>
          </cell>
          <cell r="U290">
            <v>0</v>
          </cell>
          <cell r="W290">
            <v>0</v>
          </cell>
          <cell r="Y290">
            <v>0</v>
          </cell>
          <cell r="AA290">
            <v>0</v>
          </cell>
          <cell r="AC290">
            <v>0</v>
          </cell>
          <cell r="AE290">
            <v>0</v>
          </cell>
          <cell r="AG290">
            <v>0</v>
          </cell>
        </row>
        <row r="291">
          <cell r="D291">
            <v>0</v>
          </cell>
          <cell r="E291">
            <v>0</v>
          </cell>
          <cell r="F291">
            <v>0</v>
          </cell>
          <cell r="G291">
            <v>0</v>
          </cell>
          <cell r="H291">
            <v>0</v>
          </cell>
          <cell r="I291">
            <v>0</v>
          </cell>
          <cell r="K291">
            <v>0</v>
          </cell>
          <cell r="M291">
            <v>0</v>
          </cell>
          <cell r="O291">
            <v>0</v>
          </cell>
          <cell r="Q291">
            <v>0</v>
          </cell>
          <cell r="S291">
            <v>0</v>
          </cell>
          <cell r="U291">
            <v>0</v>
          </cell>
          <cell r="W291">
            <v>0</v>
          </cell>
          <cell r="Y291">
            <v>0</v>
          </cell>
          <cell r="AA291">
            <v>0</v>
          </cell>
          <cell r="AC291">
            <v>0</v>
          </cell>
          <cell r="AE291">
            <v>0</v>
          </cell>
          <cell r="AG291">
            <v>0</v>
          </cell>
        </row>
        <row r="292">
          <cell r="D292">
            <v>0</v>
          </cell>
          <cell r="E292">
            <v>0</v>
          </cell>
          <cell r="F292">
            <v>0</v>
          </cell>
          <cell r="G292">
            <v>0</v>
          </cell>
          <cell r="H292">
            <v>0</v>
          </cell>
          <cell r="I292">
            <v>0</v>
          </cell>
          <cell r="K292">
            <v>0</v>
          </cell>
          <cell r="M292">
            <v>0</v>
          </cell>
          <cell r="O292">
            <v>0</v>
          </cell>
          <cell r="Q292">
            <v>0</v>
          </cell>
          <cell r="S292">
            <v>0</v>
          </cell>
          <cell r="U292">
            <v>0</v>
          </cell>
          <cell r="W292">
            <v>0</v>
          </cell>
          <cell r="Y292">
            <v>0</v>
          </cell>
          <cell r="AA292">
            <v>0</v>
          </cell>
          <cell r="AC292">
            <v>0</v>
          </cell>
          <cell r="AE292">
            <v>0</v>
          </cell>
          <cell r="AG292">
            <v>0</v>
          </cell>
        </row>
        <row r="293">
          <cell r="D293">
            <v>0</v>
          </cell>
          <cell r="E293">
            <v>0</v>
          </cell>
          <cell r="F293">
            <v>0</v>
          </cell>
          <cell r="G293">
            <v>0</v>
          </cell>
          <cell r="H293">
            <v>0</v>
          </cell>
          <cell r="I293">
            <v>0</v>
          </cell>
          <cell r="K293">
            <v>0</v>
          </cell>
          <cell r="M293">
            <v>0</v>
          </cell>
          <cell r="O293">
            <v>0</v>
          </cell>
          <cell r="Q293">
            <v>0</v>
          </cell>
          <cell r="S293">
            <v>0</v>
          </cell>
          <cell r="U293">
            <v>0</v>
          </cell>
          <cell r="W293">
            <v>0</v>
          </cell>
          <cell r="Y293">
            <v>0</v>
          </cell>
          <cell r="AA293">
            <v>0</v>
          </cell>
          <cell r="AC293">
            <v>0</v>
          </cell>
          <cell r="AE293">
            <v>0</v>
          </cell>
          <cell r="AG293">
            <v>0</v>
          </cell>
        </row>
        <row r="294">
          <cell r="D294">
            <v>0</v>
          </cell>
          <cell r="E294">
            <v>0</v>
          </cell>
          <cell r="F294">
            <v>0</v>
          </cell>
          <cell r="G294">
            <v>0</v>
          </cell>
          <cell r="H294">
            <v>0</v>
          </cell>
          <cell r="I294">
            <v>0</v>
          </cell>
          <cell r="K294">
            <v>0</v>
          </cell>
          <cell r="M294">
            <v>0</v>
          </cell>
          <cell r="O294">
            <v>0</v>
          </cell>
          <cell r="Q294">
            <v>0</v>
          </cell>
          <cell r="S294">
            <v>0</v>
          </cell>
          <cell r="U294">
            <v>0</v>
          </cell>
          <cell r="W294">
            <v>0</v>
          </cell>
          <cell r="Y294">
            <v>0</v>
          </cell>
          <cell r="AA294">
            <v>0</v>
          </cell>
          <cell r="AC294">
            <v>0</v>
          </cell>
          <cell r="AE294">
            <v>0</v>
          </cell>
          <cell r="AG294">
            <v>0</v>
          </cell>
        </row>
        <row r="295">
          <cell r="D295">
            <v>0</v>
          </cell>
          <cell r="E295">
            <v>0</v>
          </cell>
          <cell r="F295">
            <v>0</v>
          </cell>
          <cell r="G295">
            <v>0</v>
          </cell>
          <cell r="H295">
            <v>0</v>
          </cell>
          <cell r="I295">
            <v>0</v>
          </cell>
          <cell r="K295">
            <v>0</v>
          </cell>
          <cell r="M295">
            <v>0</v>
          </cell>
          <cell r="O295">
            <v>0</v>
          </cell>
          <cell r="Q295">
            <v>0</v>
          </cell>
          <cell r="S295">
            <v>0</v>
          </cell>
          <cell r="U295">
            <v>0</v>
          </cell>
          <cell r="W295">
            <v>0</v>
          </cell>
          <cell r="Y295">
            <v>0</v>
          </cell>
          <cell r="AA295">
            <v>0</v>
          </cell>
          <cell r="AC295">
            <v>0</v>
          </cell>
          <cell r="AE295">
            <v>0</v>
          </cell>
          <cell r="AG295">
            <v>0</v>
          </cell>
        </row>
        <row r="296">
          <cell r="D296">
            <v>0</v>
          </cell>
          <cell r="E296">
            <v>0</v>
          </cell>
          <cell r="F296">
            <v>0</v>
          </cell>
          <cell r="G296">
            <v>0</v>
          </cell>
          <cell r="H296">
            <v>0</v>
          </cell>
          <cell r="I296">
            <v>0</v>
          </cell>
          <cell r="K296">
            <v>0</v>
          </cell>
          <cell r="M296">
            <v>0</v>
          </cell>
          <cell r="O296">
            <v>0</v>
          </cell>
          <cell r="Q296">
            <v>0</v>
          </cell>
          <cell r="S296">
            <v>0</v>
          </cell>
          <cell r="U296">
            <v>0</v>
          </cell>
          <cell r="W296">
            <v>0</v>
          </cell>
          <cell r="Y296">
            <v>0</v>
          </cell>
          <cell r="AA296">
            <v>0</v>
          </cell>
          <cell r="AC296">
            <v>0</v>
          </cell>
          <cell r="AE296">
            <v>0</v>
          </cell>
          <cell r="AG296">
            <v>0</v>
          </cell>
        </row>
        <row r="297">
          <cell r="D297">
            <v>0</v>
          </cell>
          <cell r="E297">
            <v>0</v>
          </cell>
          <cell r="F297">
            <v>0</v>
          </cell>
          <cell r="G297">
            <v>0</v>
          </cell>
          <cell r="H297">
            <v>0</v>
          </cell>
          <cell r="I297">
            <v>0</v>
          </cell>
          <cell r="K297">
            <v>0</v>
          </cell>
          <cell r="M297">
            <v>0</v>
          </cell>
          <cell r="O297">
            <v>0</v>
          </cell>
          <cell r="Q297">
            <v>0</v>
          </cell>
          <cell r="S297">
            <v>0</v>
          </cell>
          <cell r="U297">
            <v>0</v>
          </cell>
          <cell r="W297">
            <v>0</v>
          </cell>
          <cell r="Y297">
            <v>0</v>
          </cell>
          <cell r="AA297">
            <v>0</v>
          </cell>
          <cell r="AC297">
            <v>0</v>
          </cell>
          <cell r="AE297">
            <v>0</v>
          </cell>
          <cell r="AG297">
            <v>0</v>
          </cell>
        </row>
        <row r="298">
          <cell r="D298">
            <v>0</v>
          </cell>
          <cell r="E298">
            <v>0</v>
          </cell>
          <cell r="F298">
            <v>0</v>
          </cell>
          <cell r="G298">
            <v>0</v>
          </cell>
          <cell r="H298">
            <v>0</v>
          </cell>
          <cell r="I298">
            <v>0</v>
          </cell>
          <cell r="K298">
            <v>0</v>
          </cell>
          <cell r="M298">
            <v>0</v>
          </cell>
          <cell r="O298">
            <v>0</v>
          </cell>
          <cell r="Q298">
            <v>0</v>
          </cell>
          <cell r="S298">
            <v>0</v>
          </cell>
          <cell r="U298">
            <v>0</v>
          </cell>
          <cell r="W298">
            <v>0</v>
          </cell>
          <cell r="Y298">
            <v>0</v>
          </cell>
          <cell r="AA298">
            <v>0</v>
          </cell>
          <cell r="AC298">
            <v>0</v>
          </cell>
          <cell r="AE298">
            <v>0</v>
          </cell>
          <cell r="AG298">
            <v>0</v>
          </cell>
        </row>
        <row r="299">
          <cell r="D299">
            <v>0</v>
          </cell>
          <cell r="E299">
            <v>0</v>
          </cell>
          <cell r="F299">
            <v>0</v>
          </cell>
          <cell r="G299">
            <v>0</v>
          </cell>
          <cell r="H299">
            <v>0</v>
          </cell>
          <cell r="I299">
            <v>0</v>
          </cell>
          <cell r="K299">
            <v>0</v>
          </cell>
          <cell r="M299">
            <v>0</v>
          </cell>
          <cell r="O299">
            <v>0</v>
          </cell>
          <cell r="Q299">
            <v>0</v>
          </cell>
          <cell r="S299">
            <v>0</v>
          </cell>
          <cell r="U299">
            <v>0</v>
          </cell>
          <cell r="W299">
            <v>0</v>
          </cell>
          <cell r="Y299">
            <v>0</v>
          </cell>
          <cell r="AA299">
            <v>0</v>
          </cell>
          <cell r="AC299">
            <v>0</v>
          </cell>
          <cell r="AE299">
            <v>0</v>
          </cell>
          <cell r="AG299">
            <v>0</v>
          </cell>
        </row>
        <row r="300">
          <cell r="D300">
            <v>0</v>
          </cell>
          <cell r="E300">
            <v>0</v>
          </cell>
          <cell r="F300">
            <v>0</v>
          </cell>
          <cell r="G300">
            <v>0</v>
          </cell>
          <cell r="H300">
            <v>0</v>
          </cell>
          <cell r="I300">
            <v>0</v>
          </cell>
          <cell r="K300">
            <v>0</v>
          </cell>
          <cell r="M300">
            <v>0</v>
          </cell>
          <cell r="O300">
            <v>0</v>
          </cell>
          <cell r="Q300">
            <v>0</v>
          </cell>
          <cell r="S300">
            <v>0</v>
          </cell>
          <cell r="U300">
            <v>0</v>
          </cell>
          <cell r="W300">
            <v>0</v>
          </cell>
          <cell r="Y300">
            <v>0</v>
          </cell>
          <cell r="AA300">
            <v>0</v>
          </cell>
          <cell r="AC300">
            <v>0</v>
          </cell>
          <cell r="AE300">
            <v>0</v>
          </cell>
          <cell r="AG300">
            <v>0</v>
          </cell>
        </row>
        <row r="301">
          <cell r="D301">
            <v>0</v>
          </cell>
          <cell r="E301">
            <v>0</v>
          </cell>
          <cell r="F301">
            <v>0</v>
          </cell>
          <cell r="G301">
            <v>0</v>
          </cell>
          <cell r="H301">
            <v>0</v>
          </cell>
          <cell r="I301">
            <v>0</v>
          </cell>
          <cell r="K301">
            <v>0</v>
          </cell>
          <cell r="M301">
            <v>0</v>
          </cell>
          <cell r="O301">
            <v>0</v>
          </cell>
          <cell r="Q301">
            <v>0</v>
          </cell>
          <cell r="S301">
            <v>0</v>
          </cell>
          <cell r="U301">
            <v>0</v>
          </cell>
          <cell r="W301">
            <v>0</v>
          </cell>
          <cell r="Y301">
            <v>0</v>
          </cell>
          <cell r="AA301">
            <v>0</v>
          </cell>
          <cell r="AC301">
            <v>0</v>
          </cell>
          <cell r="AE301">
            <v>0</v>
          </cell>
          <cell r="AG301">
            <v>0</v>
          </cell>
        </row>
        <row r="302">
          <cell r="D302">
            <v>0</v>
          </cell>
          <cell r="E302">
            <v>0</v>
          </cell>
          <cell r="F302">
            <v>0</v>
          </cell>
          <cell r="G302">
            <v>0</v>
          </cell>
          <cell r="H302">
            <v>0</v>
          </cell>
          <cell r="I302">
            <v>0</v>
          </cell>
          <cell r="K302">
            <v>0</v>
          </cell>
          <cell r="M302">
            <v>0</v>
          </cell>
          <cell r="O302">
            <v>0</v>
          </cell>
          <cell r="Q302">
            <v>0</v>
          </cell>
          <cell r="S302">
            <v>0</v>
          </cell>
          <cell r="U302">
            <v>0</v>
          </cell>
          <cell r="W302">
            <v>0</v>
          </cell>
          <cell r="Y302">
            <v>0</v>
          </cell>
          <cell r="AA302">
            <v>0</v>
          </cell>
          <cell r="AC302">
            <v>0</v>
          </cell>
          <cell r="AE302">
            <v>0</v>
          </cell>
          <cell r="AG302">
            <v>0</v>
          </cell>
        </row>
        <row r="303">
          <cell r="D303">
            <v>0</v>
          </cell>
          <cell r="E303">
            <v>0</v>
          </cell>
          <cell r="F303">
            <v>0</v>
          </cell>
          <cell r="G303">
            <v>0</v>
          </cell>
          <cell r="H303">
            <v>0</v>
          </cell>
          <cell r="I303">
            <v>0</v>
          </cell>
          <cell r="K303">
            <v>0</v>
          </cell>
          <cell r="M303">
            <v>0</v>
          </cell>
          <cell r="O303">
            <v>0</v>
          </cell>
          <cell r="Q303">
            <v>0</v>
          </cell>
          <cell r="S303">
            <v>0</v>
          </cell>
          <cell r="U303">
            <v>0</v>
          </cell>
          <cell r="W303">
            <v>0</v>
          </cell>
          <cell r="Y303">
            <v>0</v>
          </cell>
          <cell r="AA303">
            <v>0</v>
          </cell>
          <cell r="AC303">
            <v>0</v>
          </cell>
          <cell r="AE303">
            <v>0</v>
          </cell>
          <cell r="AG303">
            <v>0</v>
          </cell>
        </row>
        <row r="304">
          <cell r="D304">
            <v>0</v>
          </cell>
          <cell r="E304">
            <v>0</v>
          </cell>
          <cell r="F304">
            <v>0</v>
          </cell>
          <cell r="G304">
            <v>0</v>
          </cell>
          <cell r="H304">
            <v>0</v>
          </cell>
          <cell r="I304">
            <v>0</v>
          </cell>
          <cell r="K304">
            <v>0</v>
          </cell>
          <cell r="M304">
            <v>0</v>
          </cell>
          <cell r="O304">
            <v>0</v>
          </cell>
          <cell r="Q304">
            <v>0</v>
          </cell>
          <cell r="S304">
            <v>0</v>
          </cell>
          <cell r="U304">
            <v>0</v>
          </cell>
          <cell r="W304">
            <v>0</v>
          </cell>
          <cell r="Y304">
            <v>0</v>
          </cell>
          <cell r="AA304">
            <v>0</v>
          </cell>
          <cell r="AC304">
            <v>0</v>
          </cell>
          <cell r="AE304">
            <v>0</v>
          </cell>
          <cell r="AG304">
            <v>0</v>
          </cell>
        </row>
        <row r="305">
          <cell r="D305">
            <v>0</v>
          </cell>
          <cell r="E305">
            <v>0</v>
          </cell>
          <cell r="F305">
            <v>0</v>
          </cell>
          <cell r="G305">
            <v>0</v>
          </cell>
          <cell r="H305">
            <v>0</v>
          </cell>
          <cell r="I305">
            <v>0</v>
          </cell>
          <cell r="K305">
            <v>0</v>
          </cell>
          <cell r="M305">
            <v>0</v>
          </cell>
          <cell r="O305">
            <v>0</v>
          </cell>
          <cell r="Q305">
            <v>0</v>
          </cell>
          <cell r="S305">
            <v>0</v>
          </cell>
          <cell r="U305">
            <v>0</v>
          </cell>
          <cell r="W305">
            <v>0</v>
          </cell>
          <cell r="Y305">
            <v>0</v>
          </cell>
          <cell r="AA305">
            <v>0</v>
          </cell>
          <cell r="AC305">
            <v>0</v>
          </cell>
          <cell r="AE305">
            <v>0</v>
          </cell>
          <cell r="AG305">
            <v>0</v>
          </cell>
        </row>
        <row r="306">
          <cell r="D306">
            <v>0</v>
          </cell>
          <cell r="E306">
            <v>0</v>
          </cell>
          <cell r="F306">
            <v>0</v>
          </cell>
          <cell r="G306">
            <v>0</v>
          </cell>
          <cell r="H306">
            <v>0</v>
          </cell>
          <cell r="I306">
            <v>0</v>
          </cell>
          <cell r="K306">
            <v>0</v>
          </cell>
          <cell r="M306">
            <v>0</v>
          </cell>
          <cell r="O306">
            <v>0</v>
          </cell>
          <cell r="Q306">
            <v>0</v>
          </cell>
          <cell r="S306">
            <v>0</v>
          </cell>
          <cell r="U306">
            <v>0</v>
          </cell>
          <cell r="W306">
            <v>0</v>
          </cell>
          <cell r="Y306">
            <v>0</v>
          </cell>
          <cell r="AA306">
            <v>0</v>
          </cell>
          <cell r="AC306">
            <v>0</v>
          </cell>
          <cell r="AE306">
            <v>0</v>
          </cell>
          <cell r="AG306">
            <v>0</v>
          </cell>
        </row>
        <row r="307">
          <cell r="D307">
            <v>0</v>
          </cell>
          <cell r="E307">
            <v>0</v>
          </cell>
          <cell r="F307">
            <v>0</v>
          </cell>
          <cell r="G307">
            <v>0</v>
          </cell>
          <cell r="H307">
            <v>0</v>
          </cell>
          <cell r="I307">
            <v>0</v>
          </cell>
          <cell r="K307">
            <v>0</v>
          </cell>
          <cell r="M307">
            <v>0</v>
          </cell>
          <cell r="O307">
            <v>0</v>
          </cell>
          <cell r="Q307">
            <v>0</v>
          </cell>
          <cell r="S307">
            <v>0</v>
          </cell>
          <cell r="U307">
            <v>0</v>
          </cell>
          <cell r="W307">
            <v>0</v>
          </cell>
          <cell r="Y307">
            <v>0</v>
          </cell>
          <cell r="AA307">
            <v>0</v>
          </cell>
          <cell r="AC307">
            <v>0</v>
          </cell>
          <cell r="AE307">
            <v>0</v>
          </cell>
          <cell r="AG307">
            <v>0</v>
          </cell>
        </row>
        <row r="308">
          <cell r="D308">
            <v>0</v>
          </cell>
          <cell r="E308">
            <v>0</v>
          </cell>
          <cell r="F308">
            <v>0</v>
          </cell>
          <cell r="G308">
            <v>0</v>
          </cell>
          <cell r="H308">
            <v>0</v>
          </cell>
          <cell r="I308">
            <v>0</v>
          </cell>
          <cell r="K308">
            <v>0</v>
          </cell>
          <cell r="M308">
            <v>0</v>
          </cell>
          <cell r="O308">
            <v>0</v>
          </cell>
          <cell r="Q308">
            <v>0</v>
          </cell>
          <cell r="S308">
            <v>0</v>
          </cell>
          <cell r="U308">
            <v>0</v>
          </cell>
          <cell r="W308">
            <v>0</v>
          </cell>
          <cell r="Y308">
            <v>0</v>
          </cell>
          <cell r="AA308">
            <v>0</v>
          </cell>
          <cell r="AC308">
            <v>0</v>
          </cell>
          <cell r="AE308">
            <v>0</v>
          </cell>
          <cell r="AG308">
            <v>0</v>
          </cell>
        </row>
        <row r="309">
          <cell r="D309">
            <v>0</v>
          </cell>
          <cell r="E309">
            <v>0</v>
          </cell>
          <cell r="F309">
            <v>0</v>
          </cell>
          <cell r="G309">
            <v>0</v>
          </cell>
          <cell r="H309">
            <v>0</v>
          </cell>
          <cell r="I309">
            <v>0</v>
          </cell>
          <cell r="K309">
            <v>0</v>
          </cell>
          <cell r="M309">
            <v>0</v>
          </cell>
          <cell r="O309">
            <v>0</v>
          </cell>
          <cell r="Q309">
            <v>0</v>
          </cell>
          <cell r="S309">
            <v>0</v>
          </cell>
          <cell r="U309">
            <v>0</v>
          </cell>
          <cell r="W309">
            <v>0</v>
          </cell>
          <cell r="Y309">
            <v>0</v>
          </cell>
          <cell r="AA309">
            <v>0</v>
          </cell>
          <cell r="AC309">
            <v>0</v>
          </cell>
          <cell r="AE309">
            <v>0</v>
          </cell>
          <cell r="AG309">
            <v>0</v>
          </cell>
        </row>
        <row r="310">
          <cell r="D310">
            <v>0</v>
          </cell>
          <cell r="E310">
            <v>0</v>
          </cell>
          <cell r="F310">
            <v>0</v>
          </cell>
          <cell r="G310">
            <v>0</v>
          </cell>
          <cell r="H310">
            <v>0</v>
          </cell>
          <cell r="I310">
            <v>0</v>
          </cell>
          <cell r="K310">
            <v>0</v>
          </cell>
          <cell r="M310">
            <v>0</v>
          </cell>
          <cell r="O310">
            <v>0</v>
          </cell>
          <cell r="Q310">
            <v>0</v>
          </cell>
          <cell r="S310">
            <v>0</v>
          </cell>
          <cell r="U310">
            <v>0</v>
          </cell>
          <cell r="W310">
            <v>0</v>
          </cell>
          <cell r="Y310">
            <v>0</v>
          </cell>
          <cell r="AA310">
            <v>0</v>
          </cell>
          <cell r="AC310">
            <v>0</v>
          </cell>
          <cell r="AE310">
            <v>0</v>
          </cell>
          <cell r="AG310">
            <v>0</v>
          </cell>
        </row>
        <row r="311">
          <cell r="D311">
            <v>0</v>
          </cell>
          <cell r="E311">
            <v>0</v>
          </cell>
          <cell r="F311">
            <v>0</v>
          </cell>
          <cell r="G311">
            <v>0</v>
          </cell>
          <cell r="H311">
            <v>0</v>
          </cell>
          <cell r="I311">
            <v>0</v>
          </cell>
          <cell r="K311">
            <v>0</v>
          </cell>
          <cell r="M311">
            <v>0</v>
          </cell>
          <cell r="O311">
            <v>0</v>
          </cell>
          <cell r="Q311">
            <v>0</v>
          </cell>
          <cell r="S311">
            <v>0</v>
          </cell>
          <cell r="U311">
            <v>0</v>
          </cell>
          <cell r="W311">
            <v>0</v>
          </cell>
          <cell r="Y311">
            <v>0</v>
          </cell>
          <cell r="AA311">
            <v>0</v>
          </cell>
          <cell r="AC311">
            <v>0</v>
          </cell>
          <cell r="AE311">
            <v>0</v>
          </cell>
          <cell r="AG311">
            <v>0</v>
          </cell>
        </row>
        <row r="312">
          <cell r="D312">
            <v>0</v>
          </cell>
          <cell r="E312">
            <v>0</v>
          </cell>
          <cell r="F312">
            <v>0</v>
          </cell>
          <cell r="G312">
            <v>0</v>
          </cell>
          <cell r="H312">
            <v>0</v>
          </cell>
          <cell r="I312">
            <v>0</v>
          </cell>
          <cell r="K312">
            <v>0</v>
          </cell>
          <cell r="M312">
            <v>0</v>
          </cell>
          <cell r="O312">
            <v>0</v>
          </cell>
          <cell r="Q312">
            <v>0</v>
          </cell>
          <cell r="S312">
            <v>0</v>
          </cell>
          <cell r="U312">
            <v>0</v>
          </cell>
          <cell r="W312">
            <v>0</v>
          </cell>
          <cell r="Y312">
            <v>0</v>
          </cell>
          <cell r="AA312">
            <v>0</v>
          </cell>
          <cell r="AC312">
            <v>0</v>
          </cell>
          <cell r="AE312">
            <v>0</v>
          </cell>
          <cell r="AG312">
            <v>0</v>
          </cell>
        </row>
        <row r="313">
          <cell r="D313">
            <v>0</v>
          </cell>
          <cell r="E313">
            <v>0</v>
          </cell>
          <cell r="F313">
            <v>0</v>
          </cell>
          <cell r="G313">
            <v>0</v>
          </cell>
          <cell r="H313">
            <v>0</v>
          </cell>
          <cell r="I313">
            <v>0</v>
          </cell>
          <cell r="K313">
            <v>0</v>
          </cell>
          <cell r="M313">
            <v>0</v>
          </cell>
          <cell r="O313">
            <v>0</v>
          </cell>
          <cell r="Q313">
            <v>0</v>
          </cell>
          <cell r="S313">
            <v>0</v>
          </cell>
          <cell r="U313">
            <v>0</v>
          </cell>
          <cell r="W313">
            <v>0</v>
          </cell>
          <cell r="Y313">
            <v>0</v>
          </cell>
          <cell r="AA313">
            <v>0</v>
          </cell>
          <cell r="AC313">
            <v>0</v>
          </cell>
          <cell r="AE313">
            <v>0</v>
          </cell>
          <cell r="AG313">
            <v>0</v>
          </cell>
        </row>
        <row r="314">
          <cell r="D314">
            <v>0</v>
          </cell>
          <cell r="E314">
            <v>0</v>
          </cell>
          <cell r="F314">
            <v>0</v>
          </cell>
          <cell r="G314">
            <v>0</v>
          </cell>
          <cell r="H314">
            <v>0</v>
          </cell>
          <cell r="I314">
            <v>0</v>
          </cell>
          <cell r="K314">
            <v>0</v>
          </cell>
          <cell r="M314">
            <v>0</v>
          </cell>
          <cell r="O314">
            <v>0</v>
          </cell>
          <cell r="Q314">
            <v>0</v>
          </cell>
          <cell r="S314">
            <v>0</v>
          </cell>
          <cell r="U314">
            <v>0</v>
          </cell>
          <cell r="W314">
            <v>0</v>
          </cell>
          <cell r="Y314">
            <v>0</v>
          </cell>
          <cell r="AA314">
            <v>0</v>
          </cell>
          <cell r="AC314">
            <v>0</v>
          </cell>
          <cell r="AE314">
            <v>0</v>
          </cell>
          <cell r="AG314">
            <v>0</v>
          </cell>
        </row>
        <row r="315">
          <cell r="D315">
            <v>0</v>
          </cell>
          <cell r="E315">
            <v>0</v>
          </cell>
          <cell r="F315">
            <v>0</v>
          </cell>
          <cell r="G315">
            <v>0</v>
          </cell>
          <cell r="H315">
            <v>0</v>
          </cell>
          <cell r="I315">
            <v>0</v>
          </cell>
          <cell r="K315">
            <v>0</v>
          </cell>
          <cell r="M315">
            <v>0</v>
          </cell>
          <cell r="O315">
            <v>0</v>
          </cell>
          <cell r="Q315">
            <v>0</v>
          </cell>
          <cell r="S315">
            <v>0</v>
          </cell>
          <cell r="U315">
            <v>0</v>
          </cell>
          <cell r="W315">
            <v>0</v>
          </cell>
          <cell r="Y315">
            <v>0</v>
          </cell>
          <cell r="AA315">
            <v>0</v>
          </cell>
          <cell r="AC315">
            <v>0</v>
          </cell>
          <cell r="AE315">
            <v>0</v>
          </cell>
          <cell r="AG315">
            <v>0</v>
          </cell>
        </row>
        <row r="316">
          <cell r="D316">
            <v>0</v>
          </cell>
          <cell r="E316">
            <v>0</v>
          </cell>
          <cell r="F316">
            <v>0</v>
          </cell>
          <cell r="G316">
            <v>0</v>
          </cell>
          <cell r="H316">
            <v>0</v>
          </cell>
          <cell r="I316">
            <v>0</v>
          </cell>
          <cell r="K316">
            <v>0</v>
          </cell>
          <cell r="M316">
            <v>0</v>
          </cell>
          <cell r="O316">
            <v>0</v>
          </cell>
          <cell r="Q316">
            <v>0</v>
          </cell>
          <cell r="S316">
            <v>0</v>
          </cell>
          <cell r="U316">
            <v>0</v>
          </cell>
          <cell r="W316">
            <v>0</v>
          </cell>
          <cell r="Y316">
            <v>0</v>
          </cell>
          <cell r="AA316">
            <v>0</v>
          </cell>
          <cell r="AC316">
            <v>0</v>
          </cell>
          <cell r="AE316">
            <v>0</v>
          </cell>
          <cell r="AG316">
            <v>0</v>
          </cell>
        </row>
        <row r="317">
          <cell r="D317">
            <v>0</v>
          </cell>
          <cell r="E317">
            <v>0</v>
          </cell>
          <cell r="F317">
            <v>0</v>
          </cell>
          <cell r="G317">
            <v>0</v>
          </cell>
          <cell r="H317">
            <v>0</v>
          </cell>
          <cell r="I317">
            <v>0</v>
          </cell>
          <cell r="K317">
            <v>0</v>
          </cell>
          <cell r="M317">
            <v>0</v>
          </cell>
          <cell r="O317">
            <v>0</v>
          </cell>
          <cell r="Q317">
            <v>0</v>
          </cell>
          <cell r="S317">
            <v>0</v>
          </cell>
          <cell r="U317">
            <v>0</v>
          </cell>
          <cell r="W317">
            <v>0</v>
          </cell>
          <cell r="Y317">
            <v>0</v>
          </cell>
          <cell r="AA317">
            <v>0</v>
          </cell>
          <cell r="AC317">
            <v>0</v>
          </cell>
          <cell r="AE317">
            <v>0</v>
          </cell>
          <cell r="AG317">
            <v>0</v>
          </cell>
        </row>
        <row r="318">
          <cell r="D318">
            <v>0</v>
          </cell>
          <cell r="E318">
            <v>0</v>
          </cell>
          <cell r="F318">
            <v>0</v>
          </cell>
          <cell r="G318">
            <v>0</v>
          </cell>
          <cell r="H318">
            <v>0</v>
          </cell>
          <cell r="I318">
            <v>0</v>
          </cell>
          <cell r="K318">
            <v>0</v>
          </cell>
          <cell r="M318">
            <v>0</v>
          </cell>
          <cell r="O318">
            <v>0</v>
          </cell>
          <cell r="Q318">
            <v>0</v>
          </cell>
          <cell r="S318">
            <v>0</v>
          </cell>
          <cell r="U318">
            <v>0</v>
          </cell>
          <cell r="W318">
            <v>0</v>
          </cell>
          <cell r="Y318">
            <v>0</v>
          </cell>
          <cell r="AA318">
            <v>0</v>
          </cell>
          <cell r="AC318">
            <v>0</v>
          </cell>
          <cell r="AE318">
            <v>0</v>
          </cell>
          <cell r="AG318">
            <v>0</v>
          </cell>
        </row>
        <row r="319">
          <cell r="D319">
            <v>0</v>
          </cell>
          <cell r="E319">
            <v>0</v>
          </cell>
          <cell r="F319">
            <v>0</v>
          </cell>
          <cell r="G319">
            <v>0</v>
          </cell>
          <cell r="H319">
            <v>0</v>
          </cell>
          <cell r="I319">
            <v>0</v>
          </cell>
          <cell r="K319">
            <v>0</v>
          </cell>
          <cell r="M319">
            <v>0</v>
          </cell>
          <cell r="O319">
            <v>0</v>
          </cell>
          <cell r="Q319">
            <v>0</v>
          </cell>
          <cell r="S319">
            <v>0</v>
          </cell>
          <cell r="U319">
            <v>0</v>
          </cell>
          <cell r="W319">
            <v>0</v>
          </cell>
          <cell r="Y319">
            <v>0</v>
          </cell>
          <cell r="AA319">
            <v>0</v>
          </cell>
          <cell r="AC319">
            <v>0</v>
          </cell>
          <cell r="AE319">
            <v>0</v>
          </cell>
          <cell r="AG319">
            <v>0</v>
          </cell>
        </row>
        <row r="320">
          <cell r="D320">
            <v>0</v>
          </cell>
          <cell r="E320">
            <v>0</v>
          </cell>
          <cell r="F320">
            <v>0</v>
          </cell>
          <cell r="G320">
            <v>0</v>
          </cell>
          <cell r="H320">
            <v>0</v>
          </cell>
          <cell r="I320">
            <v>0</v>
          </cell>
          <cell r="K320">
            <v>0</v>
          </cell>
          <cell r="M320">
            <v>0</v>
          </cell>
          <cell r="O320">
            <v>0</v>
          </cell>
          <cell r="Q320">
            <v>0</v>
          </cell>
          <cell r="S320">
            <v>0</v>
          </cell>
          <cell r="U320">
            <v>0</v>
          </cell>
          <cell r="W320">
            <v>0</v>
          </cell>
          <cell r="Y320">
            <v>0</v>
          </cell>
          <cell r="AA320">
            <v>0</v>
          </cell>
          <cell r="AC320">
            <v>0</v>
          </cell>
          <cell r="AE320">
            <v>0</v>
          </cell>
          <cell r="AG320">
            <v>0</v>
          </cell>
        </row>
        <row r="321">
          <cell r="D321">
            <v>0</v>
          </cell>
          <cell r="E321">
            <v>0</v>
          </cell>
          <cell r="F321">
            <v>0</v>
          </cell>
          <cell r="G321">
            <v>0</v>
          </cell>
          <cell r="H321">
            <v>0</v>
          </cell>
          <cell r="I321">
            <v>0</v>
          </cell>
          <cell r="K321">
            <v>0</v>
          </cell>
          <cell r="M321">
            <v>0</v>
          </cell>
          <cell r="O321">
            <v>0</v>
          </cell>
          <cell r="Q321">
            <v>0</v>
          </cell>
          <cell r="S321">
            <v>0</v>
          </cell>
          <cell r="U321">
            <v>0</v>
          </cell>
          <cell r="W321">
            <v>0</v>
          </cell>
          <cell r="Y321">
            <v>0</v>
          </cell>
          <cell r="AA321">
            <v>0</v>
          </cell>
          <cell r="AC321">
            <v>0</v>
          </cell>
          <cell r="AE321">
            <v>0</v>
          </cell>
          <cell r="AG321">
            <v>0</v>
          </cell>
        </row>
        <row r="322">
          <cell r="D322">
            <v>0</v>
          </cell>
          <cell r="E322">
            <v>0</v>
          </cell>
          <cell r="F322">
            <v>0</v>
          </cell>
          <cell r="G322">
            <v>0</v>
          </cell>
          <cell r="H322">
            <v>0</v>
          </cell>
          <cell r="I322">
            <v>0</v>
          </cell>
          <cell r="K322">
            <v>0</v>
          </cell>
          <cell r="M322">
            <v>0</v>
          </cell>
          <cell r="O322">
            <v>0</v>
          </cell>
          <cell r="Q322">
            <v>0</v>
          </cell>
          <cell r="S322">
            <v>0</v>
          </cell>
          <cell r="U322">
            <v>0</v>
          </cell>
          <cell r="W322">
            <v>0</v>
          </cell>
          <cell r="Y322">
            <v>0</v>
          </cell>
          <cell r="AA322">
            <v>0</v>
          </cell>
          <cell r="AC322">
            <v>0</v>
          </cell>
          <cell r="AE322">
            <v>0</v>
          </cell>
          <cell r="AG322">
            <v>0</v>
          </cell>
        </row>
        <row r="323">
          <cell r="D323">
            <v>0</v>
          </cell>
          <cell r="E323">
            <v>0</v>
          </cell>
          <cell r="F323">
            <v>0</v>
          </cell>
          <cell r="G323">
            <v>0</v>
          </cell>
          <cell r="H323">
            <v>0</v>
          </cell>
          <cell r="I323">
            <v>0</v>
          </cell>
          <cell r="K323">
            <v>0</v>
          </cell>
          <cell r="M323">
            <v>0</v>
          </cell>
          <cell r="O323">
            <v>0</v>
          </cell>
          <cell r="Q323">
            <v>0</v>
          </cell>
          <cell r="S323">
            <v>0</v>
          </cell>
          <cell r="U323">
            <v>0</v>
          </cell>
          <cell r="W323">
            <v>0</v>
          </cell>
          <cell r="Y323">
            <v>0</v>
          </cell>
          <cell r="AA323">
            <v>0</v>
          </cell>
          <cell r="AC323">
            <v>0</v>
          </cell>
          <cell r="AE323">
            <v>0</v>
          </cell>
          <cell r="AG323">
            <v>0</v>
          </cell>
        </row>
        <row r="324">
          <cell r="D324">
            <v>0</v>
          </cell>
          <cell r="E324">
            <v>0</v>
          </cell>
          <cell r="F324">
            <v>0</v>
          </cell>
          <cell r="G324">
            <v>0</v>
          </cell>
          <cell r="H324">
            <v>0</v>
          </cell>
          <cell r="I324">
            <v>0</v>
          </cell>
          <cell r="K324">
            <v>0</v>
          </cell>
          <cell r="M324">
            <v>0</v>
          </cell>
          <cell r="O324">
            <v>0</v>
          </cell>
          <cell r="Q324">
            <v>0</v>
          </cell>
          <cell r="S324">
            <v>0</v>
          </cell>
          <cell r="U324">
            <v>0</v>
          </cell>
          <cell r="W324">
            <v>0</v>
          </cell>
          <cell r="Y324">
            <v>0</v>
          </cell>
          <cell r="AA324">
            <v>0</v>
          </cell>
          <cell r="AC324">
            <v>0</v>
          </cell>
          <cell r="AE324">
            <v>0</v>
          </cell>
          <cell r="AG324">
            <v>0</v>
          </cell>
        </row>
        <row r="325">
          <cell r="D325">
            <v>0</v>
          </cell>
          <cell r="E325">
            <v>0</v>
          </cell>
          <cell r="F325">
            <v>0</v>
          </cell>
          <cell r="G325">
            <v>0</v>
          </cell>
          <cell r="H325">
            <v>0</v>
          </cell>
          <cell r="I325">
            <v>0</v>
          </cell>
          <cell r="K325">
            <v>0</v>
          </cell>
          <cell r="M325">
            <v>0</v>
          </cell>
          <cell r="O325">
            <v>0</v>
          </cell>
          <cell r="Q325">
            <v>0</v>
          </cell>
          <cell r="S325">
            <v>0</v>
          </cell>
          <cell r="U325">
            <v>0</v>
          </cell>
          <cell r="W325">
            <v>0</v>
          </cell>
          <cell r="Y325">
            <v>0</v>
          </cell>
          <cell r="AA325">
            <v>0</v>
          </cell>
          <cell r="AC325">
            <v>0</v>
          </cell>
          <cell r="AE325">
            <v>0</v>
          </cell>
          <cell r="AG325">
            <v>0</v>
          </cell>
        </row>
        <row r="326">
          <cell r="D326">
            <v>0</v>
          </cell>
          <cell r="E326">
            <v>0</v>
          </cell>
          <cell r="F326">
            <v>0</v>
          </cell>
          <cell r="G326">
            <v>0</v>
          </cell>
          <cell r="H326">
            <v>0</v>
          </cell>
          <cell r="I326">
            <v>0</v>
          </cell>
          <cell r="K326">
            <v>0</v>
          </cell>
          <cell r="M326">
            <v>0</v>
          </cell>
          <cell r="O326">
            <v>0</v>
          </cell>
          <cell r="Q326">
            <v>0</v>
          </cell>
          <cell r="S326">
            <v>0</v>
          </cell>
          <cell r="U326">
            <v>0</v>
          </cell>
          <cell r="W326">
            <v>0</v>
          </cell>
          <cell r="Y326">
            <v>0</v>
          </cell>
          <cell r="AA326">
            <v>0</v>
          </cell>
          <cell r="AC326">
            <v>0</v>
          </cell>
          <cell r="AE326">
            <v>0</v>
          </cell>
          <cell r="AG326">
            <v>0</v>
          </cell>
        </row>
        <row r="327">
          <cell r="D327">
            <v>0</v>
          </cell>
          <cell r="E327">
            <v>0</v>
          </cell>
          <cell r="F327">
            <v>0</v>
          </cell>
          <cell r="G327">
            <v>0</v>
          </cell>
          <cell r="H327">
            <v>0</v>
          </cell>
          <cell r="I327">
            <v>0</v>
          </cell>
          <cell r="K327">
            <v>0</v>
          </cell>
          <cell r="M327">
            <v>0</v>
          </cell>
          <cell r="O327">
            <v>0</v>
          </cell>
          <cell r="Q327">
            <v>0</v>
          </cell>
          <cell r="S327">
            <v>0</v>
          </cell>
          <cell r="U327">
            <v>0</v>
          </cell>
          <cell r="W327">
            <v>0</v>
          </cell>
          <cell r="Y327">
            <v>0</v>
          </cell>
          <cell r="AA327">
            <v>0</v>
          </cell>
          <cell r="AC327">
            <v>0</v>
          </cell>
          <cell r="AE327">
            <v>0</v>
          </cell>
          <cell r="AG327">
            <v>0</v>
          </cell>
        </row>
        <row r="328">
          <cell r="D328">
            <v>0</v>
          </cell>
          <cell r="E328">
            <v>0</v>
          </cell>
          <cell r="F328">
            <v>0</v>
          </cell>
          <cell r="G328">
            <v>0</v>
          </cell>
          <cell r="H328">
            <v>0</v>
          </cell>
          <cell r="I328">
            <v>0</v>
          </cell>
          <cell r="K328">
            <v>0</v>
          </cell>
          <cell r="M328">
            <v>0</v>
          </cell>
          <cell r="O328">
            <v>0</v>
          </cell>
          <cell r="Q328">
            <v>0</v>
          </cell>
          <cell r="S328">
            <v>0</v>
          </cell>
          <cell r="U328">
            <v>0</v>
          </cell>
          <cell r="W328">
            <v>0</v>
          </cell>
          <cell r="Y328">
            <v>0</v>
          </cell>
          <cell r="AA328">
            <v>0</v>
          </cell>
          <cell r="AC328">
            <v>0</v>
          </cell>
          <cell r="AE328">
            <v>0</v>
          </cell>
          <cell r="AG328">
            <v>0</v>
          </cell>
        </row>
        <row r="329">
          <cell r="D329">
            <v>0</v>
          </cell>
          <cell r="E329">
            <v>0</v>
          </cell>
          <cell r="F329">
            <v>0</v>
          </cell>
          <cell r="G329">
            <v>0</v>
          </cell>
          <cell r="H329">
            <v>0</v>
          </cell>
          <cell r="I329">
            <v>0</v>
          </cell>
          <cell r="K329">
            <v>0</v>
          </cell>
          <cell r="M329">
            <v>0</v>
          </cell>
          <cell r="O329">
            <v>0</v>
          </cell>
          <cell r="Q329">
            <v>0</v>
          </cell>
          <cell r="S329">
            <v>0</v>
          </cell>
          <cell r="U329">
            <v>0</v>
          </cell>
          <cell r="W329">
            <v>0</v>
          </cell>
          <cell r="Y329">
            <v>0</v>
          </cell>
          <cell r="AA329">
            <v>0</v>
          </cell>
          <cell r="AC329">
            <v>0</v>
          </cell>
          <cell r="AE329">
            <v>0</v>
          </cell>
          <cell r="AG329">
            <v>0</v>
          </cell>
        </row>
        <row r="330">
          <cell r="D330">
            <v>0</v>
          </cell>
          <cell r="E330">
            <v>0</v>
          </cell>
          <cell r="F330">
            <v>0</v>
          </cell>
          <cell r="G330">
            <v>0</v>
          </cell>
          <cell r="H330">
            <v>0</v>
          </cell>
          <cell r="I330">
            <v>0</v>
          </cell>
          <cell r="K330">
            <v>0</v>
          </cell>
          <cell r="M330">
            <v>0</v>
          </cell>
          <cell r="O330">
            <v>0</v>
          </cell>
          <cell r="Q330">
            <v>0</v>
          </cell>
          <cell r="S330">
            <v>0</v>
          </cell>
          <cell r="U330">
            <v>0</v>
          </cell>
          <cell r="W330">
            <v>0</v>
          </cell>
          <cell r="Y330">
            <v>0</v>
          </cell>
          <cell r="AA330">
            <v>0</v>
          </cell>
          <cell r="AC330">
            <v>0</v>
          </cell>
          <cell r="AE330">
            <v>0</v>
          </cell>
          <cell r="AG330">
            <v>0</v>
          </cell>
        </row>
        <row r="331">
          <cell r="D331">
            <v>0</v>
          </cell>
          <cell r="E331">
            <v>0</v>
          </cell>
          <cell r="F331">
            <v>0</v>
          </cell>
          <cell r="G331">
            <v>0</v>
          </cell>
          <cell r="H331">
            <v>0</v>
          </cell>
          <cell r="I331">
            <v>0</v>
          </cell>
          <cell r="K331">
            <v>0</v>
          </cell>
          <cell r="M331">
            <v>0</v>
          </cell>
          <cell r="O331">
            <v>0</v>
          </cell>
          <cell r="Q331">
            <v>0</v>
          </cell>
          <cell r="S331">
            <v>0</v>
          </cell>
          <cell r="U331">
            <v>0</v>
          </cell>
          <cell r="W331">
            <v>0</v>
          </cell>
          <cell r="Y331">
            <v>0</v>
          </cell>
          <cell r="AA331">
            <v>0</v>
          </cell>
          <cell r="AC331">
            <v>0</v>
          </cell>
          <cell r="AE331">
            <v>0</v>
          </cell>
          <cell r="AG331">
            <v>0</v>
          </cell>
        </row>
        <row r="332">
          <cell r="D332">
            <v>0</v>
          </cell>
          <cell r="E332">
            <v>0</v>
          </cell>
          <cell r="F332">
            <v>0</v>
          </cell>
          <cell r="G332">
            <v>0</v>
          </cell>
          <cell r="H332">
            <v>0</v>
          </cell>
          <cell r="I332">
            <v>0</v>
          </cell>
          <cell r="K332">
            <v>0</v>
          </cell>
          <cell r="M332">
            <v>0</v>
          </cell>
          <cell r="O332">
            <v>0</v>
          </cell>
          <cell r="Q332">
            <v>0</v>
          </cell>
          <cell r="S332">
            <v>0</v>
          </cell>
          <cell r="U332">
            <v>0</v>
          </cell>
          <cell r="W332">
            <v>0</v>
          </cell>
          <cell r="Y332">
            <v>0</v>
          </cell>
          <cell r="AA332">
            <v>0</v>
          </cell>
          <cell r="AC332">
            <v>0</v>
          </cell>
          <cell r="AE332">
            <v>0</v>
          </cell>
          <cell r="AG332">
            <v>0</v>
          </cell>
        </row>
        <row r="333">
          <cell r="D333">
            <v>0</v>
          </cell>
          <cell r="E333">
            <v>0</v>
          </cell>
          <cell r="F333">
            <v>0</v>
          </cell>
          <cell r="G333">
            <v>0</v>
          </cell>
          <cell r="H333">
            <v>0</v>
          </cell>
          <cell r="I333">
            <v>0</v>
          </cell>
          <cell r="K333">
            <v>0</v>
          </cell>
          <cell r="M333">
            <v>0</v>
          </cell>
          <cell r="O333">
            <v>0</v>
          </cell>
          <cell r="Q333">
            <v>0</v>
          </cell>
          <cell r="S333">
            <v>0</v>
          </cell>
          <cell r="U333">
            <v>0</v>
          </cell>
          <cell r="W333">
            <v>0</v>
          </cell>
          <cell r="Y333">
            <v>0</v>
          </cell>
          <cell r="AA333">
            <v>0</v>
          </cell>
          <cell r="AC333">
            <v>0</v>
          </cell>
          <cell r="AE333">
            <v>0</v>
          </cell>
          <cell r="AG333">
            <v>0</v>
          </cell>
        </row>
        <row r="334">
          <cell r="D334">
            <v>0</v>
          </cell>
          <cell r="E334">
            <v>0</v>
          </cell>
          <cell r="F334">
            <v>0</v>
          </cell>
          <cell r="G334">
            <v>0</v>
          </cell>
          <cell r="H334">
            <v>0</v>
          </cell>
          <cell r="I334">
            <v>0</v>
          </cell>
          <cell r="K334">
            <v>0</v>
          </cell>
          <cell r="M334">
            <v>0</v>
          </cell>
          <cell r="O334">
            <v>0</v>
          </cell>
          <cell r="Q334">
            <v>0</v>
          </cell>
          <cell r="S334">
            <v>0</v>
          </cell>
          <cell r="U334">
            <v>0</v>
          </cell>
          <cell r="W334">
            <v>0</v>
          </cell>
          <cell r="Y334">
            <v>0</v>
          </cell>
          <cell r="AA334">
            <v>0</v>
          </cell>
          <cell r="AC334">
            <v>0</v>
          </cell>
          <cell r="AE334">
            <v>0</v>
          </cell>
          <cell r="AG334">
            <v>0</v>
          </cell>
        </row>
        <row r="335">
          <cell r="D335">
            <v>0</v>
          </cell>
          <cell r="E335">
            <v>0</v>
          </cell>
          <cell r="F335">
            <v>0</v>
          </cell>
          <cell r="G335">
            <v>0</v>
          </cell>
          <cell r="H335">
            <v>0</v>
          </cell>
          <cell r="I335">
            <v>0</v>
          </cell>
          <cell r="K335">
            <v>0</v>
          </cell>
          <cell r="M335">
            <v>0</v>
          </cell>
          <cell r="O335">
            <v>0</v>
          </cell>
          <cell r="Q335">
            <v>0</v>
          </cell>
          <cell r="S335">
            <v>0</v>
          </cell>
          <cell r="U335">
            <v>0</v>
          </cell>
          <cell r="W335">
            <v>0</v>
          </cell>
          <cell r="Y335">
            <v>0</v>
          </cell>
          <cell r="AA335">
            <v>0</v>
          </cell>
          <cell r="AC335">
            <v>0</v>
          </cell>
          <cell r="AE335">
            <v>0</v>
          </cell>
          <cell r="AG335">
            <v>0</v>
          </cell>
        </row>
        <row r="336">
          <cell r="D336">
            <v>0</v>
          </cell>
          <cell r="E336">
            <v>0</v>
          </cell>
          <cell r="F336">
            <v>0</v>
          </cell>
          <cell r="G336">
            <v>0</v>
          </cell>
          <cell r="H336">
            <v>0</v>
          </cell>
          <cell r="I336">
            <v>0</v>
          </cell>
          <cell r="K336">
            <v>0</v>
          </cell>
          <cell r="M336">
            <v>0</v>
          </cell>
          <cell r="O336">
            <v>0</v>
          </cell>
          <cell r="Q336">
            <v>0</v>
          </cell>
          <cell r="S336">
            <v>0</v>
          </cell>
          <cell r="U336">
            <v>0</v>
          </cell>
          <cell r="W336">
            <v>0</v>
          </cell>
          <cell r="Y336">
            <v>0</v>
          </cell>
          <cell r="AA336">
            <v>0</v>
          </cell>
          <cell r="AC336">
            <v>0</v>
          </cell>
          <cell r="AE336">
            <v>0</v>
          </cell>
          <cell r="AG336">
            <v>0</v>
          </cell>
        </row>
        <row r="337">
          <cell r="D337">
            <v>0</v>
          </cell>
          <cell r="E337">
            <v>0</v>
          </cell>
          <cell r="F337">
            <v>0</v>
          </cell>
          <cell r="G337">
            <v>0</v>
          </cell>
          <cell r="H337">
            <v>0</v>
          </cell>
          <cell r="I337">
            <v>0</v>
          </cell>
          <cell r="K337">
            <v>0</v>
          </cell>
          <cell r="M337">
            <v>0</v>
          </cell>
          <cell r="O337">
            <v>0</v>
          </cell>
          <cell r="Q337">
            <v>0</v>
          </cell>
          <cell r="S337">
            <v>0</v>
          </cell>
          <cell r="U337">
            <v>0</v>
          </cell>
          <cell r="W337">
            <v>0</v>
          </cell>
          <cell r="Y337">
            <v>0</v>
          </cell>
          <cell r="AA337">
            <v>0</v>
          </cell>
          <cell r="AC337">
            <v>0</v>
          </cell>
          <cell r="AE337">
            <v>0</v>
          </cell>
          <cell r="AG337">
            <v>0</v>
          </cell>
        </row>
        <row r="338">
          <cell r="D338">
            <v>0</v>
          </cell>
          <cell r="E338">
            <v>0</v>
          </cell>
          <cell r="F338">
            <v>0</v>
          </cell>
          <cell r="G338">
            <v>0</v>
          </cell>
          <cell r="H338">
            <v>0</v>
          </cell>
          <cell r="I338">
            <v>0</v>
          </cell>
          <cell r="K338">
            <v>0</v>
          </cell>
          <cell r="M338">
            <v>0</v>
          </cell>
          <cell r="O338">
            <v>0</v>
          </cell>
          <cell r="Q338">
            <v>0</v>
          </cell>
          <cell r="S338">
            <v>0</v>
          </cell>
          <cell r="U338">
            <v>0</v>
          </cell>
          <cell r="W338">
            <v>0</v>
          </cell>
          <cell r="Y338">
            <v>0</v>
          </cell>
          <cell r="AA338">
            <v>0</v>
          </cell>
          <cell r="AC338">
            <v>0</v>
          </cell>
          <cell r="AE338">
            <v>0</v>
          </cell>
          <cell r="AG338">
            <v>0</v>
          </cell>
        </row>
        <row r="339">
          <cell r="D339">
            <v>0</v>
          </cell>
          <cell r="E339">
            <v>0</v>
          </cell>
          <cell r="F339">
            <v>0</v>
          </cell>
          <cell r="G339">
            <v>0</v>
          </cell>
          <cell r="H339">
            <v>0</v>
          </cell>
          <cell r="I339">
            <v>0</v>
          </cell>
          <cell r="K339">
            <v>0</v>
          </cell>
          <cell r="M339">
            <v>0</v>
          </cell>
          <cell r="O339">
            <v>0</v>
          </cell>
          <cell r="Q339">
            <v>0</v>
          </cell>
          <cell r="S339">
            <v>0</v>
          </cell>
          <cell r="U339">
            <v>0</v>
          </cell>
          <cell r="W339">
            <v>0</v>
          </cell>
          <cell r="Y339">
            <v>0</v>
          </cell>
          <cell r="AA339">
            <v>0</v>
          </cell>
          <cell r="AC339">
            <v>0</v>
          </cell>
          <cell r="AE339">
            <v>0</v>
          </cell>
          <cell r="AG339">
            <v>0</v>
          </cell>
        </row>
        <row r="340">
          <cell r="D340">
            <v>0</v>
          </cell>
          <cell r="E340">
            <v>0</v>
          </cell>
          <cell r="F340">
            <v>0</v>
          </cell>
          <cell r="G340">
            <v>0</v>
          </cell>
          <cell r="H340">
            <v>0</v>
          </cell>
          <cell r="I340">
            <v>0</v>
          </cell>
          <cell r="K340">
            <v>0</v>
          </cell>
          <cell r="M340">
            <v>0</v>
          </cell>
          <cell r="O340">
            <v>0</v>
          </cell>
          <cell r="Q340">
            <v>0</v>
          </cell>
          <cell r="S340">
            <v>0</v>
          </cell>
          <cell r="U340">
            <v>0</v>
          </cell>
          <cell r="W340">
            <v>0</v>
          </cell>
          <cell r="Y340">
            <v>0</v>
          </cell>
          <cell r="AA340">
            <v>0</v>
          </cell>
          <cell r="AC340">
            <v>0</v>
          </cell>
          <cell r="AE340">
            <v>0</v>
          </cell>
          <cell r="AG340">
            <v>0</v>
          </cell>
        </row>
        <row r="341">
          <cell r="D341">
            <v>0</v>
          </cell>
          <cell r="E341">
            <v>0</v>
          </cell>
          <cell r="F341">
            <v>0</v>
          </cell>
          <cell r="G341">
            <v>0</v>
          </cell>
          <cell r="H341">
            <v>0</v>
          </cell>
          <cell r="I341">
            <v>0</v>
          </cell>
          <cell r="K341">
            <v>0</v>
          </cell>
          <cell r="M341">
            <v>0</v>
          </cell>
          <cell r="O341">
            <v>0</v>
          </cell>
          <cell r="Q341">
            <v>0</v>
          </cell>
          <cell r="S341">
            <v>0</v>
          </cell>
          <cell r="U341">
            <v>0</v>
          </cell>
          <cell r="W341">
            <v>0</v>
          </cell>
          <cell r="Y341">
            <v>0</v>
          </cell>
          <cell r="AA341">
            <v>0</v>
          </cell>
          <cell r="AC341">
            <v>0</v>
          </cell>
          <cell r="AE341">
            <v>0</v>
          </cell>
          <cell r="AG341">
            <v>0</v>
          </cell>
        </row>
        <row r="342">
          <cell r="D342">
            <v>0</v>
          </cell>
          <cell r="E342">
            <v>0</v>
          </cell>
          <cell r="F342">
            <v>0</v>
          </cell>
          <cell r="G342">
            <v>0</v>
          </cell>
          <cell r="H342">
            <v>0</v>
          </cell>
          <cell r="I342">
            <v>0</v>
          </cell>
          <cell r="K342">
            <v>0</v>
          </cell>
          <cell r="M342">
            <v>0</v>
          </cell>
          <cell r="O342">
            <v>0</v>
          </cell>
          <cell r="Q342">
            <v>0</v>
          </cell>
          <cell r="S342">
            <v>0</v>
          </cell>
          <cell r="U342">
            <v>0</v>
          </cell>
          <cell r="W342">
            <v>0</v>
          </cell>
          <cell r="Y342">
            <v>0</v>
          </cell>
          <cell r="AA342">
            <v>0</v>
          </cell>
          <cell r="AC342">
            <v>0</v>
          </cell>
          <cell r="AE342">
            <v>0</v>
          </cell>
          <cell r="AG342">
            <v>0</v>
          </cell>
        </row>
        <row r="343">
          <cell r="D343">
            <v>0</v>
          </cell>
          <cell r="E343">
            <v>0</v>
          </cell>
          <cell r="F343">
            <v>0</v>
          </cell>
          <cell r="G343">
            <v>0</v>
          </cell>
          <cell r="H343">
            <v>0</v>
          </cell>
          <cell r="I343">
            <v>0</v>
          </cell>
          <cell r="K343">
            <v>0</v>
          </cell>
          <cell r="M343">
            <v>0</v>
          </cell>
          <cell r="O343">
            <v>0</v>
          </cell>
          <cell r="Q343">
            <v>0</v>
          </cell>
          <cell r="S343">
            <v>0</v>
          </cell>
          <cell r="U343">
            <v>0</v>
          </cell>
          <cell r="W343">
            <v>0</v>
          </cell>
          <cell r="Y343">
            <v>0</v>
          </cell>
          <cell r="AA343">
            <v>0</v>
          </cell>
          <cell r="AC343">
            <v>0</v>
          </cell>
          <cell r="AE343">
            <v>0</v>
          </cell>
          <cell r="AG343">
            <v>0</v>
          </cell>
        </row>
        <row r="344">
          <cell r="D344">
            <v>0</v>
          </cell>
          <cell r="E344">
            <v>0</v>
          </cell>
          <cell r="F344">
            <v>0</v>
          </cell>
          <cell r="G344">
            <v>0</v>
          </cell>
          <cell r="H344">
            <v>0</v>
          </cell>
          <cell r="I344">
            <v>0</v>
          </cell>
          <cell r="K344">
            <v>0</v>
          </cell>
          <cell r="M344">
            <v>0</v>
          </cell>
          <cell r="O344">
            <v>0</v>
          </cell>
          <cell r="Q344">
            <v>0</v>
          </cell>
          <cell r="S344">
            <v>0</v>
          </cell>
          <cell r="U344">
            <v>0</v>
          </cell>
          <cell r="W344">
            <v>0</v>
          </cell>
          <cell r="Y344">
            <v>0</v>
          </cell>
          <cell r="AA344">
            <v>0</v>
          </cell>
          <cell r="AC344">
            <v>0</v>
          </cell>
          <cell r="AE344">
            <v>0</v>
          </cell>
          <cell r="AG344">
            <v>0</v>
          </cell>
        </row>
        <row r="345">
          <cell r="D345">
            <v>0</v>
          </cell>
          <cell r="E345">
            <v>0</v>
          </cell>
          <cell r="F345">
            <v>0</v>
          </cell>
          <cell r="G345">
            <v>0</v>
          </cell>
          <cell r="H345">
            <v>0</v>
          </cell>
          <cell r="I345">
            <v>0</v>
          </cell>
          <cell r="K345">
            <v>0</v>
          </cell>
          <cell r="M345">
            <v>0</v>
          </cell>
          <cell r="O345">
            <v>0</v>
          </cell>
          <cell r="Q345">
            <v>0</v>
          </cell>
          <cell r="S345">
            <v>0</v>
          </cell>
          <cell r="U345">
            <v>0</v>
          </cell>
          <cell r="W345">
            <v>0</v>
          </cell>
          <cell r="Y345">
            <v>0</v>
          </cell>
          <cell r="AA345">
            <v>0</v>
          </cell>
          <cell r="AC345">
            <v>0</v>
          </cell>
          <cell r="AE345">
            <v>0</v>
          </cell>
          <cell r="AG345">
            <v>0</v>
          </cell>
        </row>
        <row r="346">
          <cell r="D346">
            <v>0</v>
          </cell>
          <cell r="E346">
            <v>0</v>
          </cell>
          <cell r="F346">
            <v>0</v>
          </cell>
          <cell r="G346">
            <v>0</v>
          </cell>
          <cell r="H346">
            <v>0</v>
          </cell>
          <cell r="I346">
            <v>0</v>
          </cell>
          <cell r="K346">
            <v>0</v>
          </cell>
          <cell r="M346">
            <v>0</v>
          </cell>
          <cell r="O346">
            <v>0</v>
          </cell>
          <cell r="Q346">
            <v>0</v>
          </cell>
          <cell r="S346">
            <v>0</v>
          </cell>
          <cell r="U346">
            <v>0</v>
          </cell>
          <cell r="W346">
            <v>0</v>
          </cell>
          <cell r="Y346">
            <v>0</v>
          </cell>
          <cell r="AA346">
            <v>0</v>
          </cell>
          <cell r="AC346">
            <v>0</v>
          </cell>
          <cell r="AE346">
            <v>0</v>
          </cell>
          <cell r="AG346">
            <v>0</v>
          </cell>
        </row>
        <row r="347">
          <cell r="D347">
            <v>0</v>
          </cell>
          <cell r="E347">
            <v>0</v>
          </cell>
          <cell r="F347">
            <v>0</v>
          </cell>
          <cell r="G347">
            <v>0</v>
          </cell>
          <cell r="H347">
            <v>0</v>
          </cell>
          <cell r="I347">
            <v>0</v>
          </cell>
          <cell r="K347">
            <v>0</v>
          </cell>
          <cell r="M347">
            <v>0</v>
          </cell>
          <cell r="O347">
            <v>0</v>
          </cell>
          <cell r="Q347">
            <v>0</v>
          </cell>
          <cell r="S347">
            <v>0</v>
          </cell>
          <cell r="U347">
            <v>0</v>
          </cell>
          <cell r="W347">
            <v>0</v>
          </cell>
          <cell r="Y347">
            <v>0</v>
          </cell>
          <cell r="AA347">
            <v>0</v>
          </cell>
          <cell r="AC347">
            <v>0</v>
          </cell>
          <cell r="AE347">
            <v>0</v>
          </cell>
          <cell r="AG347">
            <v>0</v>
          </cell>
        </row>
        <row r="348">
          <cell r="D348">
            <v>0</v>
          </cell>
          <cell r="E348">
            <v>0</v>
          </cell>
          <cell r="F348">
            <v>0</v>
          </cell>
          <cell r="G348">
            <v>0</v>
          </cell>
          <cell r="H348">
            <v>0</v>
          </cell>
          <cell r="I348">
            <v>0</v>
          </cell>
          <cell r="K348">
            <v>0</v>
          </cell>
          <cell r="M348">
            <v>0</v>
          </cell>
          <cell r="O348">
            <v>0</v>
          </cell>
          <cell r="Q348">
            <v>0</v>
          </cell>
          <cell r="S348">
            <v>0</v>
          </cell>
          <cell r="U348">
            <v>0</v>
          </cell>
          <cell r="W348">
            <v>0</v>
          </cell>
          <cell r="Y348">
            <v>0</v>
          </cell>
          <cell r="AA348">
            <v>0</v>
          </cell>
          <cell r="AC348">
            <v>0</v>
          </cell>
          <cell r="AE348">
            <v>0</v>
          </cell>
          <cell r="AG348">
            <v>0</v>
          </cell>
        </row>
        <row r="349">
          <cell r="D349">
            <v>0</v>
          </cell>
          <cell r="E349">
            <v>0</v>
          </cell>
          <cell r="F349">
            <v>0</v>
          </cell>
          <cell r="G349">
            <v>0</v>
          </cell>
          <cell r="H349">
            <v>0</v>
          </cell>
          <cell r="I349">
            <v>0</v>
          </cell>
          <cell r="K349">
            <v>0</v>
          </cell>
          <cell r="M349">
            <v>0</v>
          </cell>
          <cell r="O349">
            <v>0</v>
          </cell>
          <cell r="Q349">
            <v>0</v>
          </cell>
          <cell r="S349">
            <v>0</v>
          </cell>
          <cell r="U349">
            <v>0</v>
          </cell>
          <cell r="W349">
            <v>0</v>
          </cell>
          <cell r="Y349">
            <v>0</v>
          </cell>
          <cell r="AA349">
            <v>0</v>
          </cell>
          <cell r="AC349">
            <v>0</v>
          </cell>
          <cell r="AE349">
            <v>0</v>
          </cell>
          <cell r="AG349">
            <v>0</v>
          </cell>
        </row>
        <row r="350">
          <cell r="D350">
            <v>0</v>
          </cell>
          <cell r="E350">
            <v>0</v>
          </cell>
          <cell r="F350">
            <v>0</v>
          </cell>
          <cell r="G350">
            <v>0</v>
          </cell>
          <cell r="H350">
            <v>0</v>
          </cell>
          <cell r="I350">
            <v>0</v>
          </cell>
          <cell r="K350">
            <v>0</v>
          </cell>
          <cell r="M350">
            <v>0</v>
          </cell>
          <cell r="O350">
            <v>0</v>
          </cell>
          <cell r="Q350">
            <v>0</v>
          </cell>
          <cell r="S350">
            <v>0</v>
          </cell>
          <cell r="U350">
            <v>0</v>
          </cell>
          <cell r="W350">
            <v>0</v>
          </cell>
          <cell r="Y350">
            <v>0</v>
          </cell>
          <cell r="AA350">
            <v>0</v>
          </cell>
          <cell r="AC350">
            <v>0</v>
          </cell>
          <cell r="AE350">
            <v>0</v>
          </cell>
          <cell r="AG350">
            <v>0</v>
          </cell>
        </row>
        <row r="351">
          <cell r="D351">
            <v>0</v>
          </cell>
          <cell r="E351">
            <v>0</v>
          </cell>
          <cell r="F351">
            <v>0</v>
          </cell>
          <cell r="G351">
            <v>0</v>
          </cell>
          <cell r="H351">
            <v>0</v>
          </cell>
          <cell r="I351">
            <v>0</v>
          </cell>
          <cell r="K351">
            <v>0</v>
          </cell>
          <cell r="M351">
            <v>0</v>
          </cell>
          <cell r="O351">
            <v>0</v>
          </cell>
          <cell r="Q351">
            <v>0</v>
          </cell>
          <cell r="S351">
            <v>0</v>
          </cell>
          <cell r="U351">
            <v>0</v>
          </cell>
          <cell r="W351">
            <v>0</v>
          </cell>
          <cell r="Y351">
            <v>0</v>
          </cell>
          <cell r="AA351">
            <v>0</v>
          </cell>
          <cell r="AC351">
            <v>0</v>
          </cell>
          <cell r="AE351">
            <v>0</v>
          </cell>
          <cell r="AG351">
            <v>0</v>
          </cell>
        </row>
        <row r="352">
          <cell r="D352">
            <v>0</v>
          </cell>
          <cell r="E352">
            <v>0</v>
          </cell>
          <cell r="F352">
            <v>0</v>
          </cell>
          <cell r="G352">
            <v>0</v>
          </cell>
          <cell r="H352">
            <v>0</v>
          </cell>
          <cell r="I352">
            <v>0</v>
          </cell>
          <cell r="K352">
            <v>0</v>
          </cell>
          <cell r="M352">
            <v>0</v>
          </cell>
          <cell r="O352">
            <v>0</v>
          </cell>
          <cell r="Q352">
            <v>0</v>
          </cell>
          <cell r="S352">
            <v>0</v>
          </cell>
          <cell r="U352">
            <v>0</v>
          </cell>
          <cell r="W352">
            <v>0</v>
          </cell>
          <cell r="Y352">
            <v>0</v>
          </cell>
          <cell r="AA352">
            <v>0</v>
          </cell>
          <cell r="AC352">
            <v>0</v>
          </cell>
          <cell r="AE352">
            <v>0</v>
          </cell>
          <cell r="AG352">
            <v>0</v>
          </cell>
        </row>
        <row r="353">
          <cell r="D353">
            <v>0</v>
          </cell>
          <cell r="E353">
            <v>0</v>
          </cell>
          <cell r="F353">
            <v>0</v>
          </cell>
          <cell r="G353">
            <v>0</v>
          </cell>
          <cell r="H353">
            <v>0</v>
          </cell>
          <cell r="I353">
            <v>0</v>
          </cell>
          <cell r="K353">
            <v>0</v>
          </cell>
          <cell r="M353">
            <v>0</v>
          </cell>
          <cell r="O353">
            <v>0</v>
          </cell>
          <cell r="Q353">
            <v>0</v>
          </cell>
          <cell r="S353">
            <v>0</v>
          </cell>
          <cell r="U353">
            <v>0</v>
          </cell>
          <cell r="W353">
            <v>0</v>
          </cell>
          <cell r="Y353">
            <v>0</v>
          </cell>
          <cell r="AA353">
            <v>0</v>
          </cell>
          <cell r="AC353">
            <v>0</v>
          </cell>
          <cell r="AE353">
            <v>0</v>
          </cell>
          <cell r="AG353">
            <v>0</v>
          </cell>
        </row>
        <row r="354">
          <cell r="D354">
            <v>0</v>
          </cell>
          <cell r="E354">
            <v>0</v>
          </cell>
          <cell r="F354">
            <v>0</v>
          </cell>
          <cell r="G354">
            <v>0</v>
          </cell>
          <cell r="H354">
            <v>0</v>
          </cell>
          <cell r="I354">
            <v>0</v>
          </cell>
          <cell r="K354">
            <v>0</v>
          </cell>
          <cell r="M354">
            <v>0</v>
          </cell>
          <cell r="O354">
            <v>0</v>
          </cell>
          <cell r="Q354">
            <v>0</v>
          </cell>
          <cell r="S354">
            <v>0</v>
          </cell>
          <cell r="U354">
            <v>0</v>
          </cell>
          <cell r="W354">
            <v>0</v>
          </cell>
          <cell r="Y354">
            <v>0</v>
          </cell>
          <cell r="AA354">
            <v>0</v>
          </cell>
          <cell r="AC354">
            <v>0</v>
          </cell>
          <cell r="AE354">
            <v>0</v>
          </cell>
          <cell r="AG354">
            <v>0</v>
          </cell>
        </row>
        <row r="355">
          <cell r="D355">
            <v>0</v>
          </cell>
          <cell r="E355">
            <v>0</v>
          </cell>
          <cell r="F355">
            <v>0</v>
          </cell>
          <cell r="G355">
            <v>0</v>
          </cell>
          <cell r="H355">
            <v>0</v>
          </cell>
          <cell r="I355">
            <v>0</v>
          </cell>
          <cell r="K355">
            <v>0</v>
          </cell>
          <cell r="M355">
            <v>0</v>
          </cell>
          <cell r="O355">
            <v>0</v>
          </cell>
          <cell r="Q355">
            <v>0</v>
          </cell>
          <cell r="S355">
            <v>0</v>
          </cell>
          <cell r="U355">
            <v>0</v>
          </cell>
          <cell r="W355">
            <v>0</v>
          </cell>
          <cell r="Y355">
            <v>0</v>
          </cell>
          <cell r="AA355">
            <v>0</v>
          </cell>
          <cell r="AC355">
            <v>0</v>
          </cell>
          <cell r="AE355">
            <v>0</v>
          </cell>
          <cell r="AG355">
            <v>0</v>
          </cell>
        </row>
        <row r="356">
          <cell r="D356">
            <v>0</v>
          </cell>
          <cell r="E356">
            <v>0</v>
          </cell>
          <cell r="F356">
            <v>0</v>
          </cell>
          <cell r="G356">
            <v>0</v>
          </cell>
          <cell r="H356">
            <v>0</v>
          </cell>
          <cell r="I356">
            <v>0</v>
          </cell>
          <cell r="K356">
            <v>0</v>
          </cell>
          <cell r="M356">
            <v>0</v>
          </cell>
          <cell r="O356">
            <v>0</v>
          </cell>
          <cell r="Q356">
            <v>0</v>
          </cell>
          <cell r="S356">
            <v>0</v>
          </cell>
          <cell r="U356">
            <v>0</v>
          </cell>
          <cell r="W356">
            <v>0</v>
          </cell>
          <cell r="Y356">
            <v>0</v>
          </cell>
          <cell r="AA356">
            <v>0</v>
          </cell>
          <cell r="AC356">
            <v>0</v>
          </cell>
          <cell r="AE356">
            <v>0</v>
          </cell>
          <cell r="AG356">
            <v>0</v>
          </cell>
        </row>
        <row r="357">
          <cell r="D357">
            <v>0</v>
          </cell>
          <cell r="E357">
            <v>0</v>
          </cell>
          <cell r="F357">
            <v>0</v>
          </cell>
          <cell r="G357">
            <v>0</v>
          </cell>
          <cell r="H357">
            <v>0</v>
          </cell>
          <cell r="I357">
            <v>0</v>
          </cell>
          <cell r="K357">
            <v>0</v>
          </cell>
          <cell r="M357">
            <v>0</v>
          </cell>
          <cell r="O357">
            <v>0</v>
          </cell>
          <cell r="Q357">
            <v>0</v>
          </cell>
          <cell r="S357">
            <v>0</v>
          </cell>
          <cell r="U357">
            <v>0</v>
          </cell>
          <cell r="W357">
            <v>0</v>
          </cell>
          <cell r="Y357">
            <v>0</v>
          </cell>
          <cell r="AA357">
            <v>0</v>
          </cell>
          <cell r="AC357">
            <v>0</v>
          </cell>
          <cell r="AE357">
            <v>0</v>
          </cell>
          <cell r="AG357">
            <v>0</v>
          </cell>
        </row>
        <row r="358">
          <cell r="D358">
            <v>0</v>
          </cell>
          <cell r="E358">
            <v>0</v>
          </cell>
          <cell r="F358">
            <v>0</v>
          </cell>
          <cell r="G358">
            <v>0</v>
          </cell>
          <cell r="H358">
            <v>0</v>
          </cell>
          <cell r="I358">
            <v>0</v>
          </cell>
          <cell r="K358">
            <v>0</v>
          </cell>
          <cell r="M358">
            <v>0</v>
          </cell>
          <cell r="O358">
            <v>0</v>
          </cell>
          <cell r="Q358">
            <v>0</v>
          </cell>
          <cell r="S358">
            <v>0</v>
          </cell>
          <cell r="U358">
            <v>0</v>
          </cell>
          <cell r="W358">
            <v>0</v>
          </cell>
          <cell r="Y358">
            <v>0</v>
          </cell>
          <cell r="AA358">
            <v>0</v>
          </cell>
          <cell r="AC358">
            <v>0</v>
          </cell>
          <cell r="AE358">
            <v>0</v>
          </cell>
          <cell r="AG358">
            <v>0</v>
          </cell>
        </row>
        <row r="359">
          <cell r="D359">
            <v>0</v>
          </cell>
          <cell r="E359">
            <v>0</v>
          </cell>
          <cell r="F359">
            <v>0</v>
          </cell>
          <cell r="G359">
            <v>0</v>
          </cell>
          <cell r="H359">
            <v>0</v>
          </cell>
          <cell r="I359">
            <v>0</v>
          </cell>
          <cell r="K359">
            <v>0</v>
          </cell>
          <cell r="M359">
            <v>0</v>
          </cell>
          <cell r="O359">
            <v>0</v>
          </cell>
          <cell r="Q359">
            <v>0</v>
          </cell>
          <cell r="S359">
            <v>0</v>
          </cell>
          <cell r="U359">
            <v>0</v>
          </cell>
          <cell r="W359">
            <v>0</v>
          </cell>
          <cell r="Y359">
            <v>0</v>
          </cell>
          <cell r="AA359">
            <v>0</v>
          </cell>
          <cell r="AC359">
            <v>0</v>
          </cell>
          <cell r="AE359">
            <v>0</v>
          </cell>
          <cell r="AG359">
            <v>0</v>
          </cell>
        </row>
        <row r="360">
          <cell r="D360">
            <v>0</v>
          </cell>
          <cell r="E360">
            <v>0</v>
          </cell>
          <cell r="F360">
            <v>0</v>
          </cell>
          <cell r="G360">
            <v>0</v>
          </cell>
          <cell r="H360">
            <v>0</v>
          </cell>
          <cell r="I360">
            <v>0</v>
          </cell>
          <cell r="K360">
            <v>0</v>
          </cell>
          <cell r="M360">
            <v>0</v>
          </cell>
          <cell r="O360">
            <v>0</v>
          </cell>
          <cell r="Q360">
            <v>0</v>
          </cell>
          <cell r="S360">
            <v>0</v>
          </cell>
          <cell r="U360">
            <v>0</v>
          </cell>
          <cell r="W360">
            <v>0</v>
          </cell>
          <cell r="Y360">
            <v>0</v>
          </cell>
          <cell r="AA360">
            <v>0</v>
          </cell>
          <cell r="AC360">
            <v>0</v>
          </cell>
          <cell r="AE360">
            <v>0</v>
          </cell>
          <cell r="AG360">
            <v>0</v>
          </cell>
        </row>
        <row r="361">
          <cell r="D361">
            <v>0</v>
          </cell>
          <cell r="E361">
            <v>0</v>
          </cell>
          <cell r="F361">
            <v>0</v>
          </cell>
          <cell r="G361">
            <v>0</v>
          </cell>
          <cell r="H361">
            <v>0</v>
          </cell>
          <cell r="I361">
            <v>0</v>
          </cell>
          <cell r="K361">
            <v>0</v>
          </cell>
          <cell r="M361">
            <v>0</v>
          </cell>
          <cell r="O361">
            <v>0</v>
          </cell>
          <cell r="Q361">
            <v>0</v>
          </cell>
          <cell r="S361">
            <v>0</v>
          </cell>
          <cell r="U361">
            <v>0</v>
          </cell>
          <cell r="W361">
            <v>0</v>
          </cell>
          <cell r="Y361">
            <v>0</v>
          </cell>
          <cell r="AA361">
            <v>0</v>
          </cell>
          <cell r="AC361">
            <v>0</v>
          </cell>
          <cell r="AE361">
            <v>0</v>
          </cell>
          <cell r="AG361">
            <v>0</v>
          </cell>
        </row>
        <row r="362">
          <cell r="D362">
            <v>0</v>
          </cell>
          <cell r="E362">
            <v>0</v>
          </cell>
          <cell r="F362">
            <v>0</v>
          </cell>
          <cell r="G362">
            <v>0</v>
          </cell>
          <cell r="H362">
            <v>0</v>
          </cell>
          <cell r="I362">
            <v>0</v>
          </cell>
          <cell r="K362">
            <v>0</v>
          </cell>
          <cell r="M362">
            <v>0</v>
          </cell>
          <cell r="O362">
            <v>0</v>
          </cell>
          <cell r="Q362">
            <v>0</v>
          </cell>
          <cell r="S362">
            <v>0</v>
          </cell>
          <cell r="U362">
            <v>0</v>
          </cell>
          <cell r="W362">
            <v>0</v>
          </cell>
          <cell r="Y362">
            <v>0</v>
          </cell>
          <cell r="AA362">
            <v>0</v>
          </cell>
          <cell r="AC362">
            <v>0</v>
          </cell>
          <cell r="AE362">
            <v>0</v>
          </cell>
          <cell r="AG362">
            <v>0</v>
          </cell>
        </row>
        <row r="363">
          <cell r="D363">
            <v>0</v>
          </cell>
          <cell r="E363">
            <v>0</v>
          </cell>
          <cell r="F363">
            <v>0</v>
          </cell>
          <cell r="G363">
            <v>0</v>
          </cell>
          <cell r="H363">
            <v>0</v>
          </cell>
          <cell r="I363">
            <v>0</v>
          </cell>
          <cell r="K363">
            <v>0</v>
          </cell>
          <cell r="M363">
            <v>0</v>
          </cell>
          <cell r="O363">
            <v>0</v>
          </cell>
          <cell r="Q363">
            <v>0</v>
          </cell>
          <cell r="S363">
            <v>0</v>
          </cell>
          <cell r="U363">
            <v>0</v>
          </cell>
          <cell r="W363">
            <v>0</v>
          </cell>
          <cell r="Y363">
            <v>0</v>
          </cell>
          <cell r="AA363">
            <v>0</v>
          </cell>
          <cell r="AC363">
            <v>0</v>
          </cell>
          <cell r="AE363">
            <v>0</v>
          </cell>
          <cell r="AG363">
            <v>0</v>
          </cell>
        </row>
        <row r="364">
          <cell r="D364">
            <v>0</v>
          </cell>
          <cell r="E364">
            <v>0</v>
          </cell>
          <cell r="F364">
            <v>0</v>
          </cell>
          <cell r="G364">
            <v>0</v>
          </cell>
          <cell r="H364">
            <v>0</v>
          </cell>
          <cell r="I364">
            <v>0</v>
          </cell>
          <cell r="K364">
            <v>0</v>
          </cell>
          <cell r="M364">
            <v>0</v>
          </cell>
          <cell r="O364">
            <v>0</v>
          </cell>
          <cell r="Q364">
            <v>0</v>
          </cell>
          <cell r="S364">
            <v>0</v>
          </cell>
          <cell r="U364">
            <v>0</v>
          </cell>
          <cell r="W364">
            <v>0</v>
          </cell>
          <cell r="Y364">
            <v>0</v>
          </cell>
          <cell r="AA364">
            <v>0</v>
          </cell>
          <cell r="AC364">
            <v>0</v>
          </cell>
          <cell r="AE364">
            <v>0</v>
          </cell>
          <cell r="AG364">
            <v>0</v>
          </cell>
        </row>
        <row r="365">
          <cell r="D365">
            <v>0</v>
          </cell>
          <cell r="E365">
            <v>0</v>
          </cell>
          <cell r="F365">
            <v>0</v>
          </cell>
          <cell r="G365">
            <v>0</v>
          </cell>
          <cell r="H365">
            <v>0</v>
          </cell>
          <cell r="I365">
            <v>0</v>
          </cell>
          <cell r="K365">
            <v>0</v>
          </cell>
          <cell r="M365">
            <v>0</v>
          </cell>
          <cell r="O365">
            <v>0</v>
          </cell>
          <cell r="Q365">
            <v>0</v>
          </cell>
          <cell r="S365">
            <v>0</v>
          </cell>
          <cell r="U365">
            <v>0</v>
          </cell>
          <cell r="W365">
            <v>0</v>
          </cell>
          <cell r="Y365">
            <v>0</v>
          </cell>
          <cell r="AA365">
            <v>0</v>
          </cell>
          <cell r="AC365">
            <v>0</v>
          </cell>
          <cell r="AE365">
            <v>0</v>
          </cell>
          <cell r="AG365">
            <v>0</v>
          </cell>
        </row>
        <row r="366">
          <cell r="D366">
            <v>0</v>
          </cell>
          <cell r="E366">
            <v>0</v>
          </cell>
          <cell r="F366">
            <v>0</v>
          </cell>
          <cell r="G366">
            <v>0</v>
          </cell>
          <cell r="H366">
            <v>0</v>
          </cell>
          <cell r="I366">
            <v>0</v>
          </cell>
          <cell r="K366">
            <v>0</v>
          </cell>
          <cell r="M366">
            <v>0</v>
          </cell>
          <cell r="O366">
            <v>0</v>
          </cell>
          <cell r="Q366">
            <v>0</v>
          </cell>
          <cell r="S366">
            <v>0</v>
          </cell>
          <cell r="U366">
            <v>0</v>
          </cell>
          <cell r="W366">
            <v>0</v>
          </cell>
          <cell r="Y366">
            <v>0</v>
          </cell>
          <cell r="AA366">
            <v>0</v>
          </cell>
          <cell r="AC366">
            <v>0</v>
          </cell>
          <cell r="AE366">
            <v>0</v>
          </cell>
          <cell r="AG366">
            <v>0</v>
          </cell>
        </row>
        <row r="367">
          <cell r="D367">
            <v>0</v>
          </cell>
          <cell r="E367">
            <v>0</v>
          </cell>
          <cell r="F367">
            <v>0</v>
          </cell>
          <cell r="G367">
            <v>0</v>
          </cell>
          <cell r="H367">
            <v>0</v>
          </cell>
          <cell r="I367">
            <v>0</v>
          </cell>
          <cell r="K367">
            <v>0</v>
          </cell>
          <cell r="M367">
            <v>0</v>
          </cell>
          <cell r="O367">
            <v>0</v>
          </cell>
          <cell r="Q367">
            <v>0</v>
          </cell>
          <cell r="S367">
            <v>0</v>
          </cell>
          <cell r="U367">
            <v>0</v>
          </cell>
          <cell r="W367">
            <v>0</v>
          </cell>
          <cell r="Y367">
            <v>0</v>
          </cell>
          <cell r="AA367">
            <v>0</v>
          </cell>
          <cell r="AC367">
            <v>0</v>
          </cell>
          <cell r="AE367">
            <v>0</v>
          </cell>
          <cell r="AG367">
            <v>0</v>
          </cell>
        </row>
        <row r="368">
          <cell r="D368">
            <v>0</v>
          </cell>
          <cell r="E368">
            <v>0</v>
          </cell>
          <cell r="F368">
            <v>0</v>
          </cell>
          <cell r="G368">
            <v>0</v>
          </cell>
          <cell r="H368">
            <v>0</v>
          </cell>
          <cell r="I368">
            <v>0</v>
          </cell>
          <cell r="K368">
            <v>0</v>
          </cell>
          <cell r="M368">
            <v>0</v>
          </cell>
          <cell r="O368">
            <v>0</v>
          </cell>
          <cell r="Q368">
            <v>0</v>
          </cell>
          <cell r="S368">
            <v>0</v>
          </cell>
          <cell r="U368">
            <v>0</v>
          </cell>
          <cell r="W368">
            <v>0</v>
          </cell>
          <cell r="Y368">
            <v>0</v>
          </cell>
          <cell r="AA368">
            <v>0</v>
          </cell>
          <cell r="AC368">
            <v>0</v>
          </cell>
          <cell r="AE368">
            <v>0</v>
          </cell>
          <cell r="AG368">
            <v>0</v>
          </cell>
        </row>
        <row r="369">
          <cell r="D369">
            <v>0</v>
          </cell>
          <cell r="E369">
            <v>0</v>
          </cell>
          <cell r="F369">
            <v>0</v>
          </cell>
          <cell r="G369">
            <v>0</v>
          </cell>
          <cell r="H369">
            <v>0</v>
          </cell>
          <cell r="I369">
            <v>0</v>
          </cell>
          <cell r="K369">
            <v>0</v>
          </cell>
          <cell r="M369">
            <v>0</v>
          </cell>
          <cell r="O369">
            <v>0</v>
          </cell>
          <cell r="Q369">
            <v>0</v>
          </cell>
          <cell r="S369">
            <v>0</v>
          </cell>
          <cell r="U369">
            <v>0</v>
          </cell>
          <cell r="W369">
            <v>0</v>
          </cell>
          <cell r="Y369">
            <v>0</v>
          </cell>
          <cell r="AA369">
            <v>0</v>
          </cell>
          <cell r="AC369">
            <v>0</v>
          </cell>
          <cell r="AE369">
            <v>0</v>
          </cell>
          <cell r="AG369">
            <v>0</v>
          </cell>
        </row>
        <row r="370">
          <cell r="D370">
            <v>0</v>
          </cell>
          <cell r="E370">
            <v>0</v>
          </cell>
          <cell r="F370">
            <v>0</v>
          </cell>
          <cell r="G370">
            <v>0</v>
          </cell>
          <cell r="H370">
            <v>0</v>
          </cell>
          <cell r="I370">
            <v>0</v>
          </cell>
          <cell r="K370">
            <v>0</v>
          </cell>
          <cell r="M370">
            <v>0</v>
          </cell>
          <cell r="O370">
            <v>0</v>
          </cell>
          <cell r="Q370">
            <v>0</v>
          </cell>
          <cell r="S370">
            <v>0</v>
          </cell>
          <cell r="U370">
            <v>0</v>
          </cell>
          <cell r="W370">
            <v>0</v>
          </cell>
          <cell r="Y370">
            <v>0</v>
          </cell>
          <cell r="AA370">
            <v>0</v>
          </cell>
          <cell r="AC370">
            <v>0</v>
          </cell>
          <cell r="AE370">
            <v>0</v>
          </cell>
          <cell r="AG370">
            <v>0</v>
          </cell>
        </row>
        <row r="371">
          <cell r="D371">
            <v>0</v>
          </cell>
          <cell r="E371">
            <v>0</v>
          </cell>
          <cell r="F371">
            <v>0</v>
          </cell>
          <cell r="G371">
            <v>0</v>
          </cell>
          <cell r="H371">
            <v>0</v>
          </cell>
          <cell r="I371">
            <v>0</v>
          </cell>
          <cell r="K371">
            <v>0</v>
          </cell>
          <cell r="M371">
            <v>0</v>
          </cell>
          <cell r="O371">
            <v>0</v>
          </cell>
          <cell r="Q371">
            <v>0</v>
          </cell>
          <cell r="S371">
            <v>0</v>
          </cell>
          <cell r="U371">
            <v>0</v>
          </cell>
          <cell r="W371">
            <v>0</v>
          </cell>
          <cell r="Y371">
            <v>0</v>
          </cell>
          <cell r="AA371">
            <v>0</v>
          </cell>
          <cell r="AC371">
            <v>0</v>
          </cell>
          <cell r="AE371">
            <v>0</v>
          </cell>
          <cell r="AG371">
            <v>0</v>
          </cell>
        </row>
        <row r="372">
          <cell r="D372">
            <v>0</v>
          </cell>
          <cell r="E372">
            <v>0</v>
          </cell>
          <cell r="F372">
            <v>0</v>
          </cell>
          <cell r="G372">
            <v>0</v>
          </cell>
          <cell r="H372">
            <v>0</v>
          </cell>
          <cell r="I372">
            <v>0</v>
          </cell>
          <cell r="K372">
            <v>0</v>
          </cell>
          <cell r="M372">
            <v>0</v>
          </cell>
          <cell r="O372">
            <v>0</v>
          </cell>
          <cell r="Q372">
            <v>0</v>
          </cell>
          <cell r="S372">
            <v>0</v>
          </cell>
          <cell r="U372">
            <v>0</v>
          </cell>
          <cell r="W372">
            <v>0</v>
          </cell>
          <cell r="Y372">
            <v>0</v>
          </cell>
          <cell r="AA372">
            <v>0</v>
          </cell>
          <cell r="AC372">
            <v>0</v>
          </cell>
          <cell r="AE372">
            <v>0</v>
          </cell>
          <cell r="AG372">
            <v>0</v>
          </cell>
        </row>
        <row r="373">
          <cell r="D373">
            <v>0</v>
          </cell>
          <cell r="E373">
            <v>0</v>
          </cell>
          <cell r="F373">
            <v>0</v>
          </cell>
          <cell r="G373">
            <v>0</v>
          </cell>
          <cell r="H373">
            <v>0</v>
          </cell>
          <cell r="I373">
            <v>0</v>
          </cell>
          <cell r="K373">
            <v>0</v>
          </cell>
          <cell r="M373">
            <v>0</v>
          </cell>
          <cell r="O373">
            <v>0</v>
          </cell>
          <cell r="Q373">
            <v>0</v>
          </cell>
          <cell r="S373">
            <v>0</v>
          </cell>
          <cell r="U373">
            <v>0</v>
          </cell>
          <cell r="W373">
            <v>0</v>
          </cell>
          <cell r="Y373">
            <v>0</v>
          </cell>
          <cell r="AA373">
            <v>0</v>
          </cell>
          <cell r="AC373">
            <v>0</v>
          </cell>
          <cell r="AE373">
            <v>0</v>
          </cell>
          <cell r="AG373">
            <v>0</v>
          </cell>
        </row>
        <row r="374">
          <cell r="D374">
            <v>0</v>
          </cell>
          <cell r="E374">
            <v>0</v>
          </cell>
          <cell r="F374">
            <v>0</v>
          </cell>
          <cell r="G374">
            <v>0</v>
          </cell>
          <cell r="H374">
            <v>0</v>
          </cell>
          <cell r="I374">
            <v>0</v>
          </cell>
          <cell r="K374">
            <v>0</v>
          </cell>
          <cell r="M374">
            <v>0</v>
          </cell>
          <cell r="O374">
            <v>0</v>
          </cell>
          <cell r="Q374">
            <v>0</v>
          </cell>
          <cell r="S374">
            <v>0</v>
          </cell>
          <cell r="U374">
            <v>0</v>
          </cell>
          <cell r="W374">
            <v>0</v>
          </cell>
          <cell r="Y374">
            <v>0</v>
          </cell>
          <cell r="AA374">
            <v>0</v>
          </cell>
          <cell r="AC374">
            <v>0</v>
          </cell>
          <cell r="AE374">
            <v>0</v>
          </cell>
          <cell r="AG374">
            <v>0</v>
          </cell>
        </row>
        <row r="375">
          <cell r="D375">
            <v>0</v>
          </cell>
          <cell r="E375">
            <v>0</v>
          </cell>
          <cell r="F375">
            <v>0</v>
          </cell>
          <cell r="G375">
            <v>0</v>
          </cell>
          <cell r="H375">
            <v>0</v>
          </cell>
          <cell r="I375">
            <v>0</v>
          </cell>
          <cell r="K375">
            <v>0</v>
          </cell>
          <cell r="M375">
            <v>0</v>
          </cell>
          <cell r="O375">
            <v>0</v>
          </cell>
          <cell r="Q375">
            <v>0</v>
          </cell>
          <cell r="S375">
            <v>0</v>
          </cell>
          <cell r="U375">
            <v>0</v>
          </cell>
          <cell r="W375">
            <v>0</v>
          </cell>
          <cell r="Y375">
            <v>0</v>
          </cell>
          <cell r="AA375">
            <v>0</v>
          </cell>
          <cell r="AC375">
            <v>0</v>
          </cell>
          <cell r="AE375">
            <v>0</v>
          </cell>
          <cell r="AG375">
            <v>0</v>
          </cell>
        </row>
        <row r="376">
          <cell r="D376">
            <v>0</v>
          </cell>
          <cell r="E376">
            <v>0</v>
          </cell>
          <cell r="F376">
            <v>0</v>
          </cell>
          <cell r="G376">
            <v>0</v>
          </cell>
          <cell r="H376">
            <v>0</v>
          </cell>
          <cell r="I376">
            <v>0</v>
          </cell>
          <cell r="K376">
            <v>0</v>
          </cell>
          <cell r="M376">
            <v>0</v>
          </cell>
          <cell r="O376">
            <v>0</v>
          </cell>
          <cell r="Q376">
            <v>0</v>
          </cell>
          <cell r="S376">
            <v>0</v>
          </cell>
          <cell r="U376">
            <v>0</v>
          </cell>
          <cell r="W376">
            <v>0</v>
          </cell>
          <cell r="Y376">
            <v>0</v>
          </cell>
          <cell r="AA376">
            <v>0</v>
          </cell>
          <cell r="AC376">
            <v>0</v>
          </cell>
          <cell r="AE376">
            <v>0</v>
          </cell>
          <cell r="AG376">
            <v>0</v>
          </cell>
        </row>
        <row r="377">
          <cell r="D377">
            <v>0</v>
          </cell>
          <cell r="E377">
            <v>0</v>
          </cell>
          <cell r="F377">
            <v>0</v>
          </cell>
          <cell r="G377">
            <v>0</v>
          </cell>
          <cell r="H377">
            <v>0</v>
          </cell>
          <cell r="I377">
            <v>0</v>
          </cell>
          <cell r="K377">
            <v>0</v>
          </cell>
          <cell r="M377">
            <v>0</v>
          </cell>
          <cell r="O377">
            <v>0</v>
          </cell>
          <cell r="Q377">
            <v>0</v>
          </cell>
          <cell r="S377">
            <v>0</v>
          </cell>
          <cell r="U377">
            <v>0</v>
          </cell>
          <cell r="W377">
            <v>0</v>
          </cell>
          <cell r="Y377">
            <v>0</v>
          </cell>
          <cell r="AA377">
            <v>0</v>
          </cell>
          <cell r="AC377">
            <v>0</v>
          </cell>
          <cell r="AE377">
            <v>0</v>
          </cell>
          <cell r="AG377">
            <v>0</v>
          </cell>
        </row>
        <row r="378">
          <cell r="D378">
            <v>0</v>
          </cell>
          <cell r="E378">
            <v>0</v>
          </cell>
          <cell r="F378">
            <v>0</v>
          </cell>
          <cell r="G378">
            <v>0</v>
          </cell>
          <cell r="H378">
            <v>0</v>
          </cell>
          <cell r="I378">
            <v>0</v>
          </cell>
          <cell r="K378">
            <v>0</v>
          </cell>
          <cell r="M378">
            <v>0</v>
          </cell>
          <cell r="O378">
            <v>0</v>
          </cell>
          <cell r="Q378">
            <v>0</v>
          </cell>
          <cell r="S378">
            <v>0</v>
          </cell>
          <cell r="U378">
            <v>0</v>
          </cell>
          <cell r="W378">
            <v>0</v>
          </cell>
          <cell r="Y378">
            <v>0</v>
          </cell>
          <cell r="AA378">
            <v>0</v>
          </cell>
          <cell r="AC378">
            <v>0</v>
          </cell>
          <cell r="AE378">
            <v>0</v>
          </cell>
          <cell r="AG378">
            <v>0</v>
          </cell>
        </row>
        <row r="379">
          <cell r="D379">
            <v>0</v>
          </cell>
          <cell r="E379">
            <v>0</v>
          </cell>
          <cell r="F379">
            <v>0</v>
          </cell>
          <cell r="G379">
            <v>0</v>
          </cell>
          <cell r="H379">
            <v>0</v>
          </cell>
          <cell r="I379">
            <v>0</v>
          </cell>
          <cell r="K379">
            <v>0</v>
          </cell>
          <cell r="M379">
            <v>0</v>
          </cell>
          <cell r="O379">
            <v>0</v>
          </cell>
          <cell r="Q379">
            <v>0</v>
          </cell>
          <cell r="S379">
            <v>0</v>
          </cell>
          <cell r="U379">
            <v>0</v>
          </cell>
          <cell r="W379">
            <v>0</v>
          </cell>
          <cell r="Y379">
            <v>0</v>
          </cell>
          <cell r="AA379">
            <v>0</v>
          </cell>
          <cell r="AC379">
            <v>0</v>
          </cell>
          <cell r="AE379">
            <v>0</v>
          </cell>
          <cell r="AG379">
            <v>0</v>
          </cell>
        </row>
        <row r="380">
          <cell r="D380">
            <v>0</v>
          </cell>
          <cell r="E380">
            <v>0</v>
          </cell>
          <cell r="F380">
            <v>0</v>
          </cell>
          <cell r="G380">
            <v>0</v>
          </cell>
          <cell r="H380">
            <v>0</v>
          </cell>
          <cell r="I380">
            <v>0</v>
          </cell>
          <cell r="K380">
            <v>0</v>
          </cell>
          <cell r="M380">
            <v>0</v>
          </cell>
          <cell r="O380">
            <v>0</v>
          </cell>
          <cell r="Q380">
            <v>0</v>
          </cell>
          <cell r="S380">
            <v>0</v>
          </cell>
          <cell r="U380">
            <v>0</v>
          </cell>
          <cell r="W380">
            <v>0</v>
          </cell>
          <cell r="Y380">
            <v>0</v>
          </cell>
          <cell r="AA380">
            <v>0</v>
          </cell>
          <cell r="AC380">
            <v>0</v>
          </cell>
          <cell r="AE380">
            <v>0</v>
          </cell>
          <cell r="AG380">
            <v>0</v>
          </cell>
        </row>
        <row r="381">
          <cell r="D381">
            <v>0</v>
          </cell>
          <cell r="E381">
            <v>0</v>
          </cell>
          <cell r="F381">
            <v>0</v>
          </cell>
          <cell r="G381">
            <v>0</v>
          </cell>
          <cell r="H381">
            <v>0</v>
          </cell>
          <cell r="I381">
            <v>0</v>
          </cell>
          <cell r="K381">
            <v>0</v>
          </cell>
          <cell r="M381">
            <v>0</v>
          </cell>
          <cell r="O381">
            <v>0</v>
          </cell>
          <cell r="Q381">
            <v>0</v>
          </cell>
          <cell r="S381">
            <v>0</v>
          </cell>
          <cell r="U381">
            <v>0</v>
          </cell>
          <cell r="W381">
            <v>0</v>
          </cell>
          <cell r="Y381">
            <v>0</v>
          </cell>
          <cell r="AA381">
            <v>0</v>
          </cell>
          <cell r="AC381">
            <v>0</v>
          </cell>
          <cell r="AE381">
            <v>0</v>
          </cell>
          <cell r="AG381">
            <v>0</v>
          </cell>
        </row>
        <row r="382">
          <cell r="D382">
            <v>0</v>
          </cell>
          <cell r="E382">
            <v>0</v>
          </cell>
          <cell r="F382">
            <v>0</v>
          </cell>
          <cell r="G382">
            <v>0</v>
          </cell>
          <cell r="H382">
            <v>0</v>
          </cell>
          <cell r="I382">
            <v>0</v>
          </cell>
          <cell r="K382">
            <v>0</v>
          </cell>
          <cell r="M382">
            <v>0</v>
          </cell>
          <cell r="O382">
            <v>0</v>
          </cell>
          <cell r="Q382">
            <v>0</v>
          </cell>
          <cell r="S382">
            <v>0</v>
          </cell>
          <cell r="U382">
            <v>0</v>
          </cell>
          <cell r="W382">
            <v>0</v>
          </cell>
          <cell r="Y382">
            <v>0</v>
          </cell>
          <cell r="AA382">
            <v>0</v>
          </cell>
          <cell r="AC382">
            <v>0</v>
          </cell>
          <cell r="AE382">
            <v>0</v>
          </cell>
          <cell r="AG382">
            <v>0</v>
          </cell>
        </row>
        <row r="383">
          <cell r="D383">
            <v>0</v>
          </cell>
          <cell r="E383">
            <v>0</v>
          </cell>
          <cell r="F383">
            <v>0</v>
          </cell>
          <cell r="G383">
            <v>0</v>
          </cell>
          <cell r="H383">
            <v>0</v>
          </cell>
          <cell r="I383">
            <v>0</v>
          </cell>
          <cell r="K383">
            <v>0</v>
          </cell>
          <cell r="M383">
            <v>0</v>
          </cell>
          <cell r="O383">
            <v>0</v>
          </cell>
          <cell r="Q383">
            <v>0</v>
          </cell>
          <cell r="S383">
            <v>0</v>
          </cell>
          <cell r="U383">
            <v>0</v>
          </cell>
          <cell r="W383">
            <v>0</v>
          </cell>
          <cell r="Y383">
            <v>0</v>
          </cell>
          <cell r="AA383">
            <v>0</v>
          </cell>
          <cell r="AC383">
            <v>0</v>
          </cell>
          <cell r="AE383">
            <v>0</v>
          </cell>
          <cell r="AG383">
            <v>0</v>
          </cell>
        </row>
        <row r="384">
          <cell r="D384">
            <v>0</v>
          </cell>
          <cell r="E384">
            <v>0</v>
          </cell>
          <cell r="F384">
            <v>0</v>
          </cell>
          <cell r="G384">
            <v>0</v>
          </cell>
          <cell r="H384">
            <v>0</v>
          </cell>
          <cell r="I384">
            <v>0</v>
          </cell>
          <cell r="K384">
            <v>0</v>
          </cell>
          <cell r="M384">
            <v>0</v>
          </cell>
          <cell r="O384">
            <v>0</v>
          </cell>
          <cell r="Q384">
            <v>0</v>
          </cell>
          <cell r="S384">
            <v>0</v>
          </cell>
          <cell r="U384">
            <v>0</v>
          </cell>
          <cell r="W384">
            <v>0</v>
          </cell>
          <cell r="Y384">
            <v>0</v>
          </cell>
          <cell r="AA384">
            <v>0</v>
          </cell>
          <cell r="AC384">
            <v>0</v>
          </cell>
          <cell r="AE384">
            <v>0</v>
          </cell>
          <cell r="AG384">
            <v>0</v>
          </cell>
        </row>
        <row r="385">
          <cell r="D385">
            <v>0</v>
          </cell>
          <cell r="E385">
            <v>0</v>
          </cell>
          <cell r="F385">
            <v>0</v>
          </cell>
          <cell r="G385">
            <v>0</v>
          </cell>
          <cell r="H385">
            <v>0</v>
          </cell>
          <cell r="I385">
            <v>0</v>
          </cell>
          <cell r="K385">
            <v>0</v>
          </cell>
          <cell r="M385">
            <v>0</v>
          </cell>
          <cell r="O385">
            <v>0</v>
          </cell>
          <cell r="Q385">
            <v>0</v>
          </cell>
          <cell r="S385">
            <v>0</v>
          </cell>
          <cell r="U385">
            <v>0</v>
          </cell>
          <cell r="W385">
            <v>0</v>
          </cell>
          <cell r="Y385">
            <v>0</v>
          </cell>
          <cell r="AA385">
            <v>0</v>
          </cell>
          <cell r="AC385">
            <v>0</v>
          </cell>
          <cell r="AE385">
            <v>0</v>
          </cell>
          <cell r="AG385">
            <v>0</v>
          </cell>
        </row>
        <row r="386">
          <cell r="D386">
            <v>0</v>
          </cell>
          <cell r="E386">
            <v>0</v>
          </cell>
          <cell r="F386">
            <v>0</v>
          </cell>
          <cell r="G386">
            <v>0</v>
          </cell>
          <cell r="H386">
            <v>0</v>
          </cell>
          <cell r="I386">
            <v>0</v>
          </cell>
          <cell r="K386">
            <v>0</v>
          </cell>
          <cell r="M386">
            <v>0</v>
          </cell>
          <cell r="O386">
            <v>0</v>
          </cell>
          <cell r="Q386">
            <v>0</v>
          </cell>
          <cell r="S386">
            <v>0</v>
          </cell>
          <cell r="U386">
            <v>0</v>
          </cell>
          <cell r="W386">
            <v>0</v>
          </cell>
          <cell r="Y386">
            <v>0</v>
          </cell>
          <cell r="AA386">
            <v>0</v>
          </cell>
          <cell r="AC386">
            <v>0</v>
          </cell>
          <cell r="AE386">
            <v>0</v>
          </cell>
          <cell r="AG386">
            <v>0</v>
          </cell>
        </row>
        <row r="387">
          <cell r="D387">
            <v>0</v>
          </cell>
          <cell r="E387">
            <v>0</v>
          </cell>
          <cell r="F387">
            <v>0</v>
          </cell>
          <cell r="G387">
            <v>0</v>
          </cell>
          <cell r="H387">
            <v>0</v>
          </cell>
          <cell r="I387">
            <v>0</v>
          </cell>
          <cell r="K387">
            <v>0</v>
          </cell>
          <cell r="M387">
            <v>0</v>
          </cell>
          <cell r="O387">
            <v>0</v>
          </cell>
          <cell r="Q387">
            <v>0</v>
          </cell>
          <cell r="S387">
            <v>0</v>
          </cell>
          <cell r="U387">
            <v>0</v>
          </cell>
          <cell r="W387">
            <v>0</v>
          </cell>
          <cell r="Y387">
            <v>0</v>
          </cell>
          <cell r="AA387">
            <v>0</v>
          </cell>
          <cell r="AC387">
            <v>0</v>
          </cell>
          <cell r="AE387">
            <v>0</v>
          </cell>
          <cell r="AG387">
            <v>0</v>
          </cell>
        </row>
        <row r="388">
          <cell r="D388">
            <v>0</v>
          </cell>
          <cell r="E388">
            <v>0</v>
          </cell>
          <cell r="F388">
            <v>0</v>
          </cell>
          <cell r="G388">
            <v>0</v>
          </cell>
          <cell r="H388">
            <v>0</v>
          </cell>
          <cell r="I388">
            <v>0</v>
          </cell>
          <cell r="K388">
            <v>0</v>
          </cell>
          <cell r="M388">
            <v>0</v>
          </cell>
          <cell r="O388">
            <v>0</v>
          </cell>
          <cell r="Q388">
            <v>0</v>
          </cell>
          <cell r="S388">
            <v>0</v>
          </cell>
          <cell r="U388">
            <v>0</v>
          </cell>
          <cell r="W388">
            <v>0</v>
          </cell>
          <cell r="Y388">
            <v>0</v>
          </cell>
          <cell r="AA388">
            <v>0</v>
          </cell>
          <cell r="AC388">
            <v>0</v>
          </cell>
          <cell r="AE388">
            <v>0</v>
          </cell>
          <cell r="AG388">
            <v>0</v>
          </cell>
        </row>
        <row r="389">
          <cell r="D389">
            <v>0</v>
          </cell>
          <cell r="E389">
            <v>0</v>
          </cell>
          <cell r="F389">
            <v>0</v>
          </cell>
          <cell r="G389">
            <v>0</v>
          </cell>
          <cell r="H389">
            <v>0</v>
          </cell>
          <cell r="I389">
            <v>0</v>
          </cell>
          <cell r="K389">
            <v>0</v>
          </cell>
          <cell r="M389">
            <v>0</v>
          </cell>
          <cell r="O389">
            <v>0</v>
          </cell>
          <cell r="Q389">
            <v>0</v>
          </cell>
          <cell r="S389">
            <v>0</v>
          </cell>
          <cell r="U389">
            <v>0</v>
          </cell>
          <cell r="W389">
            <v>0</v>
          </cell>
          <cell r="Y389">
            <v>0</v>
          </cell>
          <cell r="AA389">
            <v>0</v>
          </cell>
          <cell r="AC389">
            <v>0</v>
          </cell>
          <cell r="AE389">
            <v>0</v>
          </cell>
          <cell r="AG389">
            <v>0</v>
          </cell>
        </row>
        <row r="390">
          <cell r="D390">
            <v>0</v>
          </cell>
          <cell r="E390">
            <v>0</v>
          </cell>
          <cell r="F390">
            <v>0</v>
          </cell>
          <cell r="G390">
            <v>0</v>
          </cell>
          <cell r="H390">
            <v>0</v>
          </cell>
          <cell r="I390">
            <v>0</v>
          </cell>
          <cell r="K390">
            <v>0</v>
          </cell>
          <cell r="M390">
            <v>0</v>
          </cell>
          <cell r="O390">
            <v>0</v>
          </cell>
          <cell r="Q390">
            <v>0</v>
          </cell>
          <cell r="S390">
            <v>0</v>
          </cell>
          <cell r="U390">
            <v>0</v>
          </cell>
          <cell r="W390">
            <v>0</v>
          </cell>
          <cell r="Y390">
            <v>0</v>
          </cell>
          <cell r="AA390">
            <v>0</v>
          </cell>
          <cell r="AC390">
            <v>0</v>
          </cell>
          <cell r="AE390">
            <v>0</v>
          </cell>
          <cell r="AG390">
            <v>0</v>
          </cell>
        </row>
        <row r="391">
          <cell r="D391">
            <v>0</v>
          </cell>
          <cell r="E391">
            <v>0</v>
          </cell>
          <cell r="F391">
            <v>0</v>
          </cell>
          <cell r="G391">
            <v>0</v>
          </cell>
          <cell r="H391">
            <v>0</v>
          </cell>
          <cell r="I391">
            <v>0</v>
          </cell>
          <cell r="K391">
            <v>0</v>
          </cell>
          <cell r="M391">
            <v>0</v>
          </cell>
          <cell r="O391">
            <v>0</v>
          </cell>
          <cell r="Q391">
            <v>0</v>
          </cell>
          <cell r="S391">
            <v>0</v>
          </cell>
          <cell r="U391">
            <v>0</v>
          </cell>
          <cell r="W391">
            <v>0</v>
          </cell>
          <cell r="Y391">
            <v>0</v>
          </cell>
          <cell r="AA391">
            <v>0</v>
          </cell>
          <cell r="AC391">
            <v>0</v>
          </cell>
          <cell r="AE391">
            <v>0</v>
          </cell>
          <cell r="AG391">
            <v>0</v>
          </cell>
        </row>
        <row r="392">
          <cell r="D392">
            <v>0</v>
          </cell>
          <cell r="E392">
            <v>0</v>
          </cell>
          <cell r="F392">
            <v>0</v>
          </cell>
          <cell r="G392">
            <v>0</v>
          </cell>
          <cell r="H392">
            <v>0</v>
          </cell>
          <cell r="I392">
            <v>0</v>
          </cell>
          <cell r="K392">
            <v>0</v>
          </cell>
          <cell r="M392">
            <v>0</v>
          </cell>
          <cell r="O392">
            <v>0</v>
          </cell>
          <cell r="Q392">
            <v>0</v>
          </cell>
          <cell r="S392">
            <v>0</v>
          </cell>
          <cell r="U392">
            <v>0</v>
          </cell>
          <cell r="W392">
            <v>0</v>
          </cell>
          <cell r="Y392">
            <v>0</v>
          </cell>
          <cell r="AA392">
            <v>0</v>
          </cell>
          <cell r="AC392">
            <v>0</v>
          </cell>
          <cell r="AE392">
            <v>0</v>
          </cell>
          <cell r="AG392">
            <v>0</v>
          </cell>
        </row>
        <row r="393">
          <cell r="D393">
            <v>0</v>
          </cell>
          <cell r="E393">
            <v>0</v>
          </cell>
          <cell r="F393">
            <v>0</v>
          </cell>
          <cell r="G393">
            <v>0</v>
          </cell>
          <cell r="H393">
            <v>0</v>
          </cell>
          <cell r="I393">
            <v>0</v>
          </cell>
          <cell r="K393">
            <v>0</v>
          </cell>
          <cell r="M393">
            <v>0</v>
          </cell>
          <cell r="O393">
            <v>0</v>
          </cell>
          <cell r="Q393">
            <v>0</v>
          </cell>
          <cell r="S393">
            <v>0</v>
          </cell>
          <cell r="U393">
            <v>0</v>
          </cell>
          <cell r="W393">
            <v>0</v>
          </cell>
          <cell r="Y393">
            <v>0</v>
          </cell>
          <cell r="AA393">
            <v>0</v>
          </cell>
          <cell r="AC393">
            <v>0</v>
          </cell>
          <cell r="AE393">
            <v>0</v>
          </cell>
          <cell r="AG393">
            <v>0</v>
          </cell>
        </row>
        <row r="394">
          <cell r="D394">
            <v>0</v>
          </cell>
          <cell r="E394">
            <v>0</v>
          </cell>
          <cell r="F394">
            <v>0</v>
          </cell>
          <cell r="G394">
            <v>0</v>
          </cell>
          <cell r="H394">
            <v>0</v>
          </cell>
          <cell r="I394">
            <v>0</v>
          </cell>
          <cell r="K394">
            <v>0</v>
          </cell>
          <cell r="M394">
            <v>0</v>
          </cell>
          <cell r="O394">
            <v>0</v>
          </cell>
          <cell r="Q394">
            <v>0</v>
          </cell>
          <cell r="S394">
            <v>0</v>
          </cell>
          <cell r="U394">
            <v>0</v>
          </cell>
          <cell r="W394">
            <v>0</v>
          </cell>
          <cell r="Y394">
            <v>0</v>
          </cell>
          <cell r="AA394">
            <v>0</v>
          </cell>
          <cell r="AC394">
            <v>0</v>
          </cell>
          <cell r="AE394">
            <v>0</v>
          </cell>
          <cell r="AG394">
            <v>0</v>
          </cell>
        </row>
        <row r="395">
          <cell r="D395">
            <v>0</v>
          </cell>
          <cell r="E395">
            <v>0</v>
          </cell>
          <cell r="F395">
            <v>0</v>
          </cell>
          <cell r="G395">
            <v>0</v>
          </cell>
          <cell r="H395">
            <v>0</v>
          </cell>
          <cell r="I395">
            <v>0</v>
          </cell>
          <cell r="K395">
            <v>0</v>
          </cell>
          <cell r="M395">
            <v>0</v>
          </cell>
          <cell r="O395">
            <v>0</v>
          </cell>
          <cell r="Q395">
            <v>0</v>
          </cell>
          <cell r="S395">
            <v>0</v>
          </cell>
          <cell r="U395">
            <v>0</v>
          </cell>
          <cell r="W395">
            <v>0</v>
          </cell>
          <cell r="Y395">
            <v>0</v>
          </cell>
          <cell r="AA395">
            <v>0</v>
          </cell>
          <cell r="AC395">
            <v>0</v>
          </cell>
          <cell r="AE395">
            <v>0</v>
          </cell>
          <cell r="AG395">
            <v>0</v>
          </cell>
        </row>
        <row r="396">
          <cell r="D396">
            <v>0</v>
          </cell>
          <cell r="E396">
            <v>0</v>
          </cell>
          <cell r="F396">
            <v>0</v>
          </cell>
          <cell r="G396">
            <v>0</v>
          </cell>
          <cell r="H396">
            <v>0</v>
          </cell>
          <cell r="I396">
            <v>0</v>
          </cell>
          <cell r="K396">
            <v>0</v>
          </cell>
          <cell r="M396">
            <v>0</v>
          </cell>
          <cell r="O396">
            <v>0</v>
          </cell>
          <cell r="Q396">
            <v>0</v>
          </cell>
          <cell r="S396">
            <v>0</v>
          </cell>
          <cell r="U396">
            <v>0</v>
          </cell>
          <cell r="W396">
            <v>0</v>
          </cell>
          <cell r="Y396">
            <v>0</v>
          </cell>
          <cell r="AA396">
            <v>0</v>
          </cell>
          <cell r="AC396">
            <v>0</v>
          </cell>
          <cell r="AE396">
            <v>0</v>
          </cell>
          <cell r="AG396">
            <v>0</v>
          </cell>
        </row>
        <row r="397">
          <cell r="D397">
            <v>0</v>
          </cell>
          <cell r="E397">
            <v>0</v>
          </cell>
          <cell r="F397">
            <v>0</v>
          </cell>
          <cell r="G397">
            <v>0</v>
          </cell>
          <cell r="H397">
            <v>0</v>
          </cell>
          <cell r="I397">
            <v>0</v>
          </cell>
          <cell r="K397">
            <v>0</v>
          </cell>
          <cell r="M397">
            <v>0</v>
          </cell>
          <cell r="O397">
            <v>0</v>
          </cell>
          <cell r="Q397">
            <v>0</v>
          </cell>
          <cell r="S397">
            <v>0</v>
          </cell>
          <cell r="U397">
            <v>0</v>
          </cell>
          <cell r="W397">
            <v>0</v>
          </cell>
          <cell r="Y397">
            <v>0</v>
          </cell>
          <cell r="AA397">
            <v>0</v>
          </cell>
          <cell r="AC397">
            <v>0</v>
          </cell>
          <cell r="AE397">
            <v>0</v>
          </cell>
          <cell r="AG397">
            <v>0</v>
          </cell>
        </row>
        <row r="398">
          <cell r="D398">
            <v>0</v>
          </cell>
          <cell r="E398">
            <v>0</v>
          </cell>
          <cell r="F398">
            <v>0</v>
          </cell>
          <cell r="G398">
            <v>0</v>
          </cell>
          <cell r="H398">
            <v>0</v>
          </cell>
          <cell r="I398">
            <v>0</v>
          </cell>
          <cell r="K398">
            <v>0</v>
          </cell>
          <cell r="M398">
            <v>0</v>
          </cell>
          <cell r="O398">
            <v>0</v>
          </cell>
          <cell r="Q398">
            <v>0</v>
          </cell>
          <cell r="S398">
            <v>0</v>
          </cell>
          <cell r="U398">
            <v>0</v>
          </cell>
          <cell r="W398">
            <v>0</v>
          </cell>
          <cell r="Y398">
            <v>0</v>
          </cell>
          <cell r="AA398">
            <v>0</v>
          </cell>
          <cell r="AC398">
            <v>0</v>
          </cell>
          <cell r="AE398">
            <v>0</v>
          </cell>
          <cell r="AG398">
            <v>0</v>
          </cell>
        </row>
        <row r="399">
          <cell r="D399">
            <v>0</v>
          </cell>
          <cell r="E399">
            <v>0</v>
          </cell>
          <cell r="F399">
            <v>0</v>
          </cell>
          <cell r="G399">
            <v>0</v>
          </cell>
          <cell r="H399">
            <v>0</v>
          </cell>
          <cell r="I399">
            <v>0</v>
          </cell>
          <cell r="K399">
            <v>0</v>
          </cell>
          <cell r="M399">
            <v>0</v>
          </cell>
          <cell r="O399">
            <v>0</v>
          </cell>
          <cell r="Q399">
            <v>0</v>
          </cell>
          <cell r="S399">
            <v>0</v>
          </cell>
          <cell r="U399">
            <v>0</v>
          </cell>
          <cell r="W399">
            <v>0</v>
          </cell>
          <cell r="Y399">
            <v>0</v>
          </cell>
          <cell r="AA399">
            <v>0</v>
          </cell>
          <cell r="AC399">
            <v>0</v>
          </cell>
          <cell r="AE399">
            <v>0</v>
          </cell>
          <cell r="AG399">
            <v>0</v>
          </cell>
        </row>
        <row r="400">
          <cell r="D400">
            <v>0</v>
          </cell>
          <cell r="E400">
            <v>0</v>
          </cell>
          <cell r="F400">
            <v>0</v>
          </cell>
          <cell r="G400">
            <v>0</v>
          </cell>
          <cell r="H400">
            <v>0</v>
          </cell>
          <cell r="I400">
            <v>0</v>
          </cell>
          <cell r="K400">
            <v>0</v>
          </cell>
          <cell r="M400">
            <v>0</v>
          </cell>
          <cell r="O400">
            <v>0</v>
          </cell>
          <cell r="Q400">
            <v>0</v>
          </cell>
          <cell r="S400">
            <v>0</v>
          </cell>
          <cell r="U400">
            <v>0</v>
          </cell>
          <cell r="W400">
            <v>0</v>
          </cell>
          <cell r="Y400">
            <v>0</v>
          </cell>
          <cell r="AA400">
            <v>0</v>
          </cell>
          <cell r="AC400">
            <v>0</v>
          </cell>
          <cell r="AE400">
            <v>0</v>
          </cell>
          <cell r="AG400">
            <v>0</v>
          </cell>
        </row>
        <row r="401">
          <cell r="D401">
            <v>0</v>
          </cell>
          <cell r="E401">
            <v>0</v>
          </cell>
          <cell r="F401">
            <v>0</v>
          </cell>
          <cell r="G401">
            <v>0</v>
          </cell>
          <cell r="H401">
            <v>0</v>
          </cell>
          <cell r="I401">
            <v>0</v>
          </cell>
          <cell r="K401">
            <v>0</v>
          </cell>
          <cell r="M401">
            <v>0</v>
          </cell>
          <cell r="O401">
            <v>0</v>
          </cell>
          <cell r="Q401">
            <v>0</v>
          </cell>
          <cell r="S401">
            <v>0</v>
          </cell>
          <cell r="U401">
            <v>0</v>
          </cell>
          <cell r="W401">
            <v>0</v>
          </cell>
          <cell r="Y401">
            <v>0</v>
          </cell>
          <cell r="AA401">
            <v>0</v>
          </cell>
          <cell r="AC401">
            <v>0</v>
          </cell>
          <cell r="AE401">
            <v>0</v>
          </cell>
          <cell r="AG401">
            <v>0</v>
          </cell>
        </row>
        <row r="402">
          <cell r="D402">
            <v>0</v>
          </cell>
          <cell r="E402">
            <v>0</v>
          </cell>
          <cell r="F402">
            <v>0</v>
          </cell>
          <cell r="G402">
            <v>0</v>
          </cell>
          <cell r="H402">
            <v>0</v>
          </cell>
          <cell r="I402">
            <v>0</v>
          </cell>
          <cell r="K402">
            <v>0</v>
          </cell>
          <cell r="M402">
            <v>0</v>
          </cell>
          <cell r="O402">
            <v>0</v>
          </cell>
          <cell r="Q402">
            <v>0</v>
          </cell>
          <cell r="S402">
            <v>0</v>
          </cell>
          <cell r="U402">
            <v>0</v>
          </cell>
          <cell r="W402">
            <v>0</v>
          </cell>
          <cell r="Y402">
            <v>0</v>
          </cell>
          <cell r="AA402">
            <v>0</v>
          </cell>
          <cell r="AC402">
            <v>0</v>
          </cell>
          <cell r="AE402">
            <v>0</v>
          </cell>
          <cell r="AG402">
            <v>0</v>
          </cell>
        </row>
        <row r="403">
          <cell r="D403">
            <v>0</v>
          </cell>
          <cell r="E403">
            <v>0</v>
          </cell>
          <cell r="F403">
            <v>0</v>
          </cell>
          <cell r="G403">
            <v>0</v>
          </cell>
          <cell r="H403">
            <v>0</v>
          </cell>
          <cell r="I403">
            <v>0</v>
          </cell>
          <cell r="K403">
            <v>0</v>
          </cell>
          <cell r="M403">
            <v>0</v>
          </cell>
          <cell r="O403">
            <v>0</v>
          </cell>
          <cell r="Q403">
            <v>0</v>
          </cell>
          <cell r="S403">
            <v>0</v>
          </cell>
          <cell r="U403">
            <v>0</v>
          </cell>
          <cell r="W403">
            <v>0</v>
          </cell>
          <cell r="Y403">
            <v>0</v>
          </cell>
          <cell r="AA403">
            <v>0</v>
          </cell>
          <cell r="AC403">
            <v>0</v>
          </cell>
          <cell r="AE403">
            <v>0</v>
          </cell>
          <cell r="AG403">
            <v>0</v>
          </cell>
        </row>
        <row r="404">
          <cell r="D404">
            <v>0</v>
          </cell>
          <cell r="E404">
            <v>0</v>
          </cell>
          <cell r="F404">
            <v>0</v>
          </cell>
          <cell r="G404">
            <v>0</v>
          </cell>
          <cell r="H404">
            <v>0</v>
          </cell>
          <cell r="I404">
            <v>0</v>
          </cell>
          <cell r="K404">
            <v>0</v>
          </cell>
          <cell r="M404">
            <v>0</v>
          </cell>
          <cell r="O404">
            <v>0</v>
          </cell>
          <cell r="Q404">
            <v>0</v>
          </cell>
          <cell r="S404">
            <v>0</v>
          </cell>
          <cell r="U404">
            <v>0</v>
          </cell>
          <cell r="W404">
            <v>0</v>
          </cell>
          <cell r="Y404">
            <v>0</v>
          </cell>
          <cell r="AA404">
            <v>0</v>
          </cell>
          <cell r="AC404">
            <v>0</v>
          </cell>
          <cell r="AE404">
            <v>0</v>
          </cell>
          <cell r="AG404">
            <v>0</v>
          </cell>
        </row>
        <row r="405">
          <cell r="D405">
            <v>0</v>
          </cell>
          <cell r="E405">
            <v>0</v>
          </cell>
          <cell r="F405">
            <v>0</v>
          </cell>
          <cell r="G405">
            <v>0</v>
          </cell>
          <cell r="H405">
            <v>0</v>
          </cell>
          <cell r="I405">
            <v>0</v>
          </cell>
          <cell r="K405">
            <v>0</v>
          </cell>
          <cell r="M405">
            <v>0</v>
          </cell>
          <cell r="O405">
            <v>0</v>
          </cell>
          <cell r="Q405">
            <v>0</v>
          </cell>
          <cell r="S405">
            <v>0</v>
          </cell>
          <cell r="U405">
            <v>0</v>
          </cell>
          <cell r="W405">
            <v>0</v>
          </cell>
          <cell r="Y405">
            <v>0</v>
          </cell>
          <cell r="AA405">
            <v>0</v>
          </cell>
          <cell r="AC405">
            <v>0</v>
          </cell>
          <cell r="AE405">
            <v>0</v>
          </cell>
          <cell r="AG405">
            <v>0</v>
          </cell>
        </row>
        <row r="406">
          <cell r="D406">
            <v>0</v>
          </cell>
          <cell r="E406">
            <v>0</v>
          </cell>
          <cell r="F406">
            <v>0</v>
          </cell>
          <cell r="G406">
            <v>0</v>
          </cell>
          <cell r="H406">
            <v>0</v>
          </cell>
          <cell r="I406">
            <v>0</v>
          </cell>
          <cell r="K406">
            <v>0</v>
          </cell>
          <cell r="M406">
            <v>0</v>
          </cell>
          <cell r="O406">
            <v>0</v>
          </cell>
          <cell r="Q406">
            <v>0</v>
          </cell>
          <cell r="S406">
            <v>0</v>
          </cell>
          <cell r="U406">
            <v>0</v>
          </cell>
          <cell r="W406">
            <v>0</v>
          </cell>
          <cell r="Y406">
            <v>0</v>
          </cell>
          <cell r="AA406">
            <v>0</v>
          </cell>
          <cell r="AC406">
            <v>0</v>
          </cell>
          <cell r="AE406">
            <v>0</v>
          </cell>
          <cell r="AG406">
            <v>0</v>
          </cell>
        </row>
        <row r="407">
          <cell r="D407">
            <v>0</v>
          </cell>
          <cell r="E407">
            <v>0</v>
          </cell>
          <cell r="F407">
            <v>0</v>
          </cell>
          <cell r="G407">
            <v>0</v>
          </cell>
          <cell r="H407">
            <v>0</v>
          </cell>
          <cell r="I407">
            <v>0</v>
          </cell>
          <cell r="K407">
            <v>0</v>
          </cell>
          <cell r="M407">
            <v>0</v>
          </cell>
          <cell r="O407">
            <v>0</v>
          </cell>
          <cell r="Q407">
            <v>0</v>
          </cell>
          <cell r="S407">
            <v>0</v>
          </cell>
          <cell r="U407">
            <v>0</v>
          </cell>
          <cell r="W407">
            <v>0</v>
          </cell>
          <cell r="Y407">
            <v>0</v>
          </cell>
          <cell r="AA407">
            <v>0</v>
          </cell>
          <cell r="AC407">
            <v>0</v>
          </cell>
          <cell r="AE407">
            <v>0</v>
          </cell>
          <cell r="AG407">
            <v>0</v>
          </cell>
        </row>
        <row r="408">
          <cell r="D408">
            <v>0</v>
          </cell>
          <cell r="E408">
            <v>0</v>
          </cell>
          <cell r="F408">
            <v>0</v>
          </cell>
          <cell r="G408">
            <v>0</v>
          </cell>
          <cell r="H408">
            <v>0</v>
          </cell>
          <cell r="I408">
            <v>0</v>
          </cell>
          <cell r="K408">
            <v>0</v>
          </cell>
          <cell r="M408">
            <v>0</v>
          </cell>
          <cell r="O408">
            <v>0</v>
          </cell>
          <cell r="Q408">
            <v>0</v>
          </cell>
          <cell r="S408">
            <v>0</v>
          </cell>
          <cell r="U408">
            <v>0</v>
          </cell>
          <cell r="W408">
            <v>0</v>
          </cell>
          <cell r="Y408">
            <v>0</v>
          </cell>
          <cell r="AA408">
            <v>0</v>
          </cell>
          <cell r="AC408">
            <v>0</v>
          </cell>
          <cell r="AE408">
            <v>0</v>
          </cell>
          <cell r="AG408">
            <v>0</v>
          </cell>
        </row>
        <row r="409">
          <cell r="D409">
            <v>0</v>
          </cell>
          <cell r="E409">
            <v>0</v>
          </cell>
          <cell r="F409">
            <v>0</v>
          </cell>
          <cell r="G409">
            <v>0</v>
          </cell>
          <cell r="H409">
            <v>0</v>
          </cell>
          <cell r="I409">
            <v>0</v>
          </cell>
          <cell r="K409">
            <v>0</v>
          </cell>
          <cell r="M409">
            <v>0</v>
          </cell>
          <cell r="O409">
            <v>0</v>
          </cell>
          <cell r="Q409">
            <v>0</v>
          </cell>
          <cell r="S409">
            <v>0</v>
          </cell>
          <cell r="U409">
            <v>0</v>
          </cell>
          <cell r="W409">
            <v>0</v>
          </cell>
          <cell r="Y409">
            <v>0</v>
          </cell>
          <cell r="AA409">
            <v>0</v>
          </cell>
          <cell r="AC409">
            <v>0</v>
          </cell>
          <cell r="AE409">
            <v>0</v>
          </cell>
          <cell r="AG409">
            <v>0</v>
          </cell>
        </row>
        <row r="410">
          <cell r="D410">
            <v>0</v>
          </cell>
          <cell r="E410">
            <v>0</v>
          </cell>
          <cell r="F410">
            <v>0</v>
          </cell>
          <cell r="G410">
            <v>0</v>
          </cell>
          <cell r="H410">
            <v>0</v>
          </cell>
          <cell r="I410">
            <v>0</v>
          </cell>
          <cell r="K410">
            <v>0</v>
          </cell>
          <cell r="M410">
            <v>0</v>
          </cell>
          <cell r="O410">
            <v>0</v>
          </cell>
          <cell r="Q410">
            <v>0</v>
          </cell>
          <cell r="S410">
            <v>0</v>
          </cell>
          <cell r="U410">
            <v>0</v>
          </cell>
          <cell r="W410">
            <v>0</v>
          </cell>
          <cell r="Y410">
            <v>0</v>
          </cell>
          <cell r="AA410">
            <v>0</v>
          </cell>
          <cell r="AC410">
            <v>0</v>
          </cell>
          <cell r="AE410">
            <v>0</v>
          </cell>
          <cell r="AG410">
            <v>0</v>
          </cell>
        </row>
        <row r="411">
          <cell r="D411">
            <v>0</v>
          </cell>
          <cell r="E411">
            <v>0</v>
          </cell>
          <cell r="F411">
            <v>0</v>
          </cell>
          <cell r="G411">
            <v>0</v>
          </cell>
          <cell r="H411">
            <v>0</v>
          </cell>
          <cell r="I411">
            <v>0</v>
          </cell>
          <cell r="K411">
            <v>0</v>
          </cell>
          <cell r="M411">
            <v>0</v>
          </cell>
          <cell r="O411">
            <v>0</v>
          </cell>
          <cell r="Q411">
            <v>0</v>
          </cell>
          <cell r="S411">
            <v>0</v>
          </cell>
          <cell r="U411">
            <v>0</v>
          </cell>
          <cell r="W411">
            <v>0</v>
          </cell>
          <cell r="Y411">
            <v>0</v>
          </cell>
          <cell r="AA411">
            <v>0</v>
          </cell>
          <cell r="AC411">
            <v>0</v>
          </cell>
          <cell r="AE411">
            <v>0</v>
          </cell>
          <cell r="AG411">
            <v>0</v>
          </cell>
        </row>
        <row r="412">
          <cell r="D412">
            <v>0</v>
          </cell>
          <cell r="E412">
            <v>0</v>
          </cell>
          <cell r="F412">
            <v>0</v>
          </cell>
          <cell r="G412">
            <v>0</v>
          </cell>
          <cell r="H412">
            <v>0</v>
          </cell>
          <cell r="I412">
            <v>0</v>
          </cell>
          <cell r="K412">
            <v>0</v>
          </cell>
          <cell r="M412">
            <v>0</v>
          </cell>
          <cell r="O412">
            <v>0</v>
          </cell>
          <cell r="Q412">
            <v>0</v>
          </cell>
          <cell r="S412">
            <v>0</v>
          </cell>
          <cell r="U412">
            <v>0</v>
          </cell>
          <cell r="W412">
            <v>0</v>
          </cell>
          <cell r="Y412">
            <v>0</v>
          </cell>
          <cell r="AA412">
            <v>0</v>
          </cell>
          <cell r="AC412">
            <v>0</v>
          </cell>
          <cell r="AE412">
            <v>0</v>
          </cell>
          <cell r="AG412">
            <v>0</v>
          </cell>
        </row>
        <row r="413">
          <cell r="D413">
            <v>0</v>
          </cell>
          <cell r="E413">
            <v>0</v>
          </cell>
          <cell r="F413">
            <v>0</v>
          </cell>
          <cell r="G413">
            <v>0</v>
          </cell>
          <cell r="H413">
            <v>0</v>
          </cell>
          <cell r="I413">
            <v>0</v>
          </cell>
          <cell r="K413">
            <v>0</v>
          </cell>
          <cell r="M413">
            <v>0</v>
          </cell>
          <cell r="O413">
            <v>0</v>
          </cell>
          <cell r="Q413">
            <v>0</v>
          </cell>
          <cell r="S413">
            <v>0</v>
          </cell>
          <cell r="U413">
            <v>0</v>
          </cell>
          <cell r="W413">
            <v>0</v>
          </cell>
          <cell r="Y413">
            <v>0</v>
          </cell>
          <cell r="AA413">
            <v>0</v>
          </cell>
          <cell r="AC413">
            <v>0</v>
          </cell>
          <cell r="AE413">
            <v>0</v>
          </cell>
          <cell r="AG413">
            <v>0</v>
          </cell>
        </row>
        <row r="414">
          <cell r="D414">
            <v>0</v>
          </cell>
          <cell r="E414">
            <v>0</v>
          </cell>
          <cell r="F414">
            <v>0</v>
          </cell>
          <cell r="G414">
            <v>0</v>
          </cell>
          <cell r="H414">
            <v>0</v>
          </cell>
          <cell r="I414">
            <v>0</v>
          </cell>
          <cell r="K414">
            <v>0</v>
          </cell>
          <cell r="M414">
            <v>0</v>
          </cell>
          <cell r="O414">
            <v>0</v>
          </cell>
          <cell r="Q414">
            <v>0</v>
          </cell>
          <cell r="S414">
            <v>0</v>
          </cell>
          <cell r="U414">
            <v>0</v>
          </cell>
          <cell r="W414">
            <v>0</v>
          </cell>
          <cell r="Y414">
            <v>0</v>
          </cell>
          <cell r="AA414">
            <v>0</v>
          </cell>
          <cell r="AC414">
            <v>0</v>
          </cell>
          <cell r="AE414">
            <v>0</v>
          </cell>
          <cell r="AG414">
            <v>0</v>
          </cell>
        </row>
        <row r="415">
          <cell r="D415">
            <v>0</v>
          </cell>
          <cell r="E415">
            <v>0</v>
          </cell>
          <cell r="F415">
            <v>0</v>
          </cell>
          <cell r="G415">
            <v>0</v>
          </cell>
          <cell r="H415">
            <v>0</v>
          </cell>
          <cell r="I415">
            <v>0</v>
          </cell>
          <cell r="K415">
            <v>0</v>
          </cell>
          <cell r="M415">
            <v>0</v>
          </cell>
          <cell r="O415">
            <v>0</v>
          </cell>
          <cell r="Q415">
            <v>0</v>
          </cell>
          <cell r="S415">
            <v>0</v>
          </cell>
          <cell r="U415">
            <v>0</v>
          </cell>
          <cell r="W415">
            <v>0</v>
          </cell>
          <cell r="Y415">
            <v>0</v>
          </cell>
          <cell r="AA415">
            <v>0</v>
          </cell>
          <cell r="AC415">
            <v>0</v>
          </cell>
          <cell r="AE415">
            <v>0</v>
          </cell>
          <cell r="AG415">
            <v>0</v>
          </cell>
        </row>
        <row r="416">
          <cell r="D416">
            <v>0</v>
          </cell>
          <cell r="E416">
            <v>0</v>
          </cell>
          <cell r="F416">
            <v>0</v>
          </cell>
          <cell r="G416">
            <v>0</v>
          </cell>
          <cell r="H416">
            <v>0</v>
          </cell>
          <cell r="I416">
            <v>0</v>
          </cell>
          <cell r="K416">
            <v>0</v>
          </cell>
          <cell r="M416">
            <v>0</v>
          </cell>
          <cell r="O416">
            <v>0</v>
          </cell>
          <cell r="Q416">
            <v>0</v>
          </cell>
          <cell r="S416">
            <v>0</v>
          </cell>
          <cell r="U416">
            <v>0</v>
          </cell>
          <cell r="W416">
            <v>0</v>
          </cell>
          <cell r="Y416">
            <v>0</v>
          </cell>
          <cell r="AA416">
            <v>0</v>
          </cell>
          <cell r="AC416">
            <v>0</v>
          </cell>
          <cell r="AE416">
            <v>0</v>
          </cell>
          <cell r="AG416">
            <v>0</v>
          </cell>
        </row>
        <row r="417">
          <cell r="D417">
            <v>0</v>
          </cell>
          <cell r="E417">
            <v>0</v>
          </cell>
          <cell r="F417">
            <v>0</v>
          </cell>
          <cell r="G417">
            <v>0</v>
          </cell>
          <cell r="H417">
            <v>0</v>
          </cell>
          <cell r="I417">
            <v>0</v>
          </cell>
          <cell r="K417">
            <v>0</v>
          </cell>
          <cell r="M417">
            <v>0</v>
          </cell>
          <cell r="O417">
            <v>0</v>
          </cell>
          <cell r="Q417">
            <v>0</v>
          </cell>
          <cell r="S417">
            <v>0</v>
          </cell>
          <cell r="U417">
            <v>0</v>
          </cell>
          <cell r="W417">
            <v>0</v>
          </cell>
          <cell r="Y417">
            <v>0</v>
          </cell>
          <cell r="AA417">
            <v>0</v>
          </cell>
          <cell r="AC417">
            <v>0</v>
          </cell>
          <cell r="AE417">
            <v>0</v>
          </cell>
          <cell r="AG417">
            <v>0</v>
          </cell>
        </row>
        <row r="418">
          <cell r="D418">
            <v>0</v>
          </cell>
          <cell r="E418">
            <v>0</v>
          </cell>
          <cell r="F418">
            <v>0</v>
          </cell>
          <cell r="G418">
            <v>0</v>
          </cell>
          <cell r="H418">
            <v>0</v>
          </cell>
          <cell r="I418">
            <v>0</v>
          </cell>
          <cell r="K418">
            <v>0</v>
          </cell>
          <cell r="M418">
            <v>0</v>
          </cell>
          <cell r="O418">
            <v>0</v>
          </cell>
          <cell r="Q418">
            <v>0</v>
          </cell>
          <cell r="S418">
            <v>0</v>
          </cell>
          <cell r="U418">
            <v>0</v>
          </cell>
          <cell r="W418">
            <v>0</v>
          </cell>
          <cell r="Y418">
            <v>0</v>
          </cell>
          <cell r="AA418">
            <v>0</v>
          </cell>
          <cell r="AC418">
            <v>0</v>
          </cell>
          <cell r="AE418">
            <v>0</v>
          </cell>
          <cell r="AG418">
            <v>0</v>
          </cell>
        </row>
        <row r="419">
          <cell r="D419">
            <v>0</v>
          </cell>
          <cell r="E419">
            <v>0</v>
          </cell>
          <cell r="F419">
            <v>0</v>
          </cell>
          <cell r="G419">
            <v>0</v>
          </cell>
          <cell r="H419">
            <v>0</v>
          </cell>
          <cell r="I419">
            <v>0</v>
          </cell>
          <cell r="K419">
            <v>0</v>
          </cell>
          <cell r="M419">
            <v>0</v>
          </cell>
          <cell r="O419">
            <v>0</v>
          </cell>
          <cell r="Q419">
            <v>0</v>
          </cell>
          <cell r="S419">
            <v>0</v>
          </cell>
          <cell r="U419">
            <v>0</v>
          </cell>
          <cell r="W419">
            <v>0</v>
          </cell>
          <cell r="Y419">
            <v>0</v>
          </cell>
          <cell r="AA419">
            <v>0</v>
          </cell>
          <cell r="AC419">
            <v>0</v>
          </cell>
          <cell r="AE419">
            <v>0</v>
          </cell>
          <cell r="AG419">
            <v>0</v>
          </cell>
        </row>
        <row r="420">
          <cell r="D420">
            <v>0</v>
          </cell>
          <cell r="E420">
            <v>0</v>
          </cell>
          <cell r="F420">
            <v>0</v>
          </cell>
          <cell r="G420">
            <v>0</v>
          </cell>
          <cell r="H420">
            <v>0</v>
          </cell>
          <cell r="I420">
            <v>0</v>
          </cell>
          <cell r="K420">
            <v>0</v>
          </cell>
          <cell r="M420">
            <v>0</v>
          </cell>
          <cell r="O420">
            <v>0</v>
          </cell>
          <cell r="Q420">
            <v>0</v>
          </cell>
          <cell r="S420">
            <v>0</v>
          </cell>
          <cell r="U420">
            <v>0</v>
          </cell>
          <cell r="W420">
            <v>0</v>
          </cell>
          <cell r="Y420">
            <v>0</v>
          </cell>
          <cell r="AA420">
            <v>0</v>
          </cell>
          <cell r="AC420">
            <v>0</v>
          </cell>
          <cell r="AE420">
            <v>0</v>
          </cell>
          <cell r="AG420">
            <v>0</v>
          </cell>
        </row>
        <row r="421">
          <cell r="D421">
            <v>0</v>
          </cell>
          <cell r="E421">
            <v>0</v>
          </cell>
          <cell r="F421">
            <v>0</v>
          </cell>
          <cell r="G421">
            <v>0</v>
          </cell>
          <cell r="H421">
            <v>0</v>
          </cell>
          <cell r="I421">
            <v>0</v>
          </cell>
          <cell r="K421">
            <v>0</v>
          </cell>
          <cell r="M421">
            <v>0</v>
          </cell>
          <cell r="O421">
            <v>0</v>
          </cell>
          <cell r="Q421">
            <v>0</v>
          </cell>
          <cell r="S421">
            <v>0</v>
          </cell>
          <cell r="U421">
            <v>0</v>
          </cell>
          <cell r="W421">
            <v>0</v>
          </cell>
          <cell r="Y421">
            <v>0</v>
          </cell>
          <cell r="AA421">
            <v>0</v>
          </cell>
          <cell r="AC421">
            <v>0</v>
          </cell>
          <cell r="AE421">
            <v>0</v>
          </cell>
          <cell r="AG421">
            <v>0</v>
          </cell>
        </row>
        <row r="422">
          <cell r="D422">
            <v>0</v>
          </cell>
          <cell r="E422">
            <v>0</v>
          </cell>
          <cell r="F422">
            <v>0</v>
          </cell>
          <cell r="G422">
            <v>0</v>
          </cell>
          <cell r="H422">
            <v>0</v>
          </cell>
          <cell r="I422">
            <v>0</v>
          </cell>
          <cell r="K422">
            <v>0</v>
          </cell>
          <cell r="M422">
            <v>0</v>
          </cell>
          <cell r="O422">
            <v>0</v>
          </cell>
          <cell r="Q422">
            <v>0</v>
          </cell>
          <cell r="S422">
            <v>0</v>
          </cell>
          <cell r="U422">
            <v>0</v>
          </cell>
          <cell r="W422">
            <v>0</v>
          </cell>
          <cell r="Y422">
            <v>0</v>
          </cell>
          <cell r="AA422">
            <v>0</v>
          </cell>
          <cell r="AC422">
            <v>0</v>
          </cell>
          <cell r="AE422">
            <v>0</v>
          </cell>
          <cell r="AG422">
            <v>0</v>
          </cell>
        </row>
        <row r="423">
          <cell r="D423">
            <v>0</v>
          </cell>
          <cell r="E423">
            <v>0</v>
          </cell>
          <cell r="F423">
            <v>0</v>
          </cell>
          <cell r="G423">
            <v>0</v>
          </cell>
          <cell r="H423">
            <v>0</v>
          </cell>
          <cell r="I423">
            <v>0</v>
          </cell>
          <cell r="K423">
            <v>0</v>
          </cell>
          <cell r="M423">
            <v>0</v>
          </cell>
          <cell r="O423">
            <v>0</v>
          </cell>
          <cell r="Q423">
            <v>0</v>
          </cell>
          <cell r="S423">
            <v>0</v>
          </cell>
          <cell r="U423">
            <v>0</v>
          </cell>
          <cell r="W423">
            <v>0</v>
          </cell>
          <cell r="Y423">
            <v>0</v>
          </cell>
          <cell r="AA423">
            <v>0</v>
          </cell>
          <cell r="AC423">
            <v>0</v>
          </cell>
          <cell r="AE423">
            <v>0</v>
          </cell>
          <cell r="AG423">
            <v>0</v>
          </cell>
        </row>
        <row r="424">
          <cell r="D424">
            <v>0</v>
          </cell>
          <cell r="E424">
            <v>0</v>
          </cell>
          <cell r="F424">
            <v>0</v>
          </cell>
          <cell r="G424">
            <v>0</v>
          </cell>
          <cell r="H424">
            <v>0</v>
          </cell>
          <cell r="I424">
            <v>0</v>
          </cell>
          <cell r="K424">
            <v>0</v>
          </cell>
          <cell r="M424">
            <v>0</v>
          </cell>
          <cell r="O424">
            <v>0</v>
          </cell>
          <cell r="Q424">
            <v>0</v>
          </cell>
          <cell r="S424">
            <v>0</v>
          </cell>
          <cell r="U424">
            <v>0</v>
          </cell>
          <cell r="W424">
            <v>0</v>
          </cell>
          <cell r="Y424">
            <v>0</v>
          </cell>
          <cell r="AA424">
            <v>0</v>
          </cell>
          <cell r="AC424">
            <v>0</v>
          </cell>
          <cell r="AE424">
            <v>0</v>
          </cell>
          <cell r="AG424">
            <v>0</v>
          </cell>
        </row>
        <row r="425">
          <cell r="D425">
            <v>0</v>
          </cell>
          <cell r="E425">
            <v>0</v>
          </cell>
          <cell r="F425">
            <v>0</v>
          </cell>
          <cell r="G425">
            <v>0</v>
          </cell>
          <cell r="H425">
            <v>0</v>
          </cell>
          <cell r="I425">
            <v>0</v>
          </cell>
          <cell r="K425">
            <v>0</v>
          </cell>
          <cell r="M425">
            <v>0</v>
          </cell>
          <cell r="O425">
            <v>0</v>
          </cell>
          <cell r="Q425">
            <v>0</v>
          </cell>
          <cell r="S425">
            <v>0</v>
          </cell>
          <cell r="U425">
            <v>0</v>
          </cell>
          <cell r="W425">
            <v>0</v>
          </cell>
          <cell r="Y425">
            <v>0</v>
          </cell>
          <cell r="AA425">
            <v>0</v>
          </cell>
          <cell r="AC425">
            <v>0</v>
          </cell>
          <cell r="AE425">
            <v>0</v>
          </cell>
          <cell r="AG425">
            <v>0</v>
          </cell>
        </row>
        <row r="426">
          <cell r="D426">
            <v>0</v>
          </cell>
          <cell r="E426">
            <v>0</v>
          </cell>
          <cell r="F426">
            <v>0</v>
          </cell>
          <cell r="G426">
            <v>0</v>
          </cell>
          <cell r="H426">
            <v>0</v>
          </cell>
          <cell r="I426">
            <v>0</v>
          </cell>
          <cell r="K426">
            <v>0</v>
          </cell>
          <cell r="M426">
            <v>0</v>
          </cell>
          <cell r="O426">
            <v>0</v>
          </cell>
          <cell r="Q426">
            <v>0</v>
          </cell>
          <cell r="S426">
            <v>0</v>
          </cell>
          <cell r="U426">
            <v>0</v>
          </cell>
          <cell r="W426">
            <v>0</v>
          </cell>
          <cell r="Y426">
            <v>0</v>
          </cell>
          <cell r="AA426">
            <v>0</v>
          </cell>
          <cell r="AC426">
            <v>0</v>
          </cell>
          <cell r="AE426">
            <v>0</v>
          </cell>
          <cell r="AG426">
            <v>0</v>
          </cell>
        </row>
        <row r="427">
          <cell r="D427">
            <v>0</v>
          </cell>
          <cell r="E427">
            <v>0</v>
          </cell>
          <cell r="F427">
            <v>0</v>
          </cell>
          <cell r="G427">
            <v>0</v>
          </cell>
          <cell r="H427">
            <v>0</v>
          </cell>
          <cell r="I427">
            <v>0</v>
          </cell>
          <cell r="K427">
            <v>0</v>
          </cell>
          <cell r="M427">
            <v>0</v>
          </cell>
          <cell r="O427">
            <v>0</v>
          </cell>
          <cell r="Q427">
            <v>0</v>
          </cell>
          <cell r="S427">
            <v>0</v>
          </cell>
          <cell r="U427">
            <v>0</v>
          </cell>
          <cell r="W427">
            <v>0</v>
          </cell>
          <cell r="Y427">
            <v>0</v>
          </cell>
          <cell r="AA427">
            <v>0</v>
          </cell>
          <cell r="AC427">
            <v>0</v>
          </cell>
          <cell r="AE427">
            <v>0</v>
          </cell>
          <cell r="AG427">
            <v>0</v>
          </cell>
        </row>
        <row r="428">
          <cell r="D428">
            <v>0</v>
          </cell>
          <cell r="E428">
            <v>0</v>
          </cell>
          <cell r="F428">
            <v>0</v>
          </cell>
          <cell r="G428">
            <v>0</v>
          </cell>
          <cell r="H428">
            <v>0</v>
          </cell>
          <cell r="I428">
            <v>0</v>
          </cell>
          <cell r="K428">
            <v>0</v>
          </cell>
          <cell r="M428">
            <v>0</v>
          </cell>
          <cell r="O428">
            <v>0</v>
          </cell>
          <cell r="Q428">
            <v>0</v>
          </cell>
          <cell r="S428">
            <v>0</v>
          </cell>
          <cell r="U428">
            <v>0</v>
          </cell>
          <cell r="W428">
            <v>0</v>
          </cell>
          <cell r="Y428">
            <v>0</v>
          </cell>
          <cell r="AA428">
            <v>0</v>
          </cell>
          <cell r="AC428">
            <v>0</v>
          </cell>
          <cell r="AE428">
            <v>0</v>
          </cell>
          <cell r="AG428">
            <v>0</v>
          </cell>
        </row>
        <row r="429">
          <cell r="D429">
            <v>0</v>
          </cell>
          <cell r="E429">
            <v>0</v>
          </cell>
          <cell r="F429">
            <v>0</v>
          </cell>
          <cell r="G429">
            <v>0</v>
          </cell>
          <cell r="H429">
            <v>0</v>
          </cell>
          <cell r="I429">
            <v>0</v>
          </cell>
          <cell r="K429">
            <v>0</v>
          </cell>
          <cell r="M429">
            <v>0</v>
          </cell>
          <cell r="O429">
            <v>0</v>
          </cell>
          <cell r="Q429">
            <v>0</v>
          </cell>
          <cell r="S429">
            <v>0</v>
          </cell>
          <cell r="U429">
            <v>0</v>
          </cell>
          <cell r="W429">
            <v>0</v>
          </cell>
          <cell r="Y429">
            <v>0</v>
          </cell>
          <cell r="AA429">
            <v>0</v>
          </cell>
          <cell r="AC429">
            <v>0</v>
          </cell>
          <cell r="AE429">
            <v>0</v>
          </cell>
          <cell r="AG429">
            <v>0</v>
          </cell>
        </row>
        <row r="430">
          <cell r="D430">
            <v>0</v>
          </cell>
          <cell r="E430">
            <v>0</v>
          </cell>
          <cell r="F430">
            <v>0</v>
          </cell>
          <cell r="G430">
            <v>0</v>
          </cell>
          <cell r="H430">
            <v>0</v>
          </cell>
          <cell r="I430">
            <v>0</v>
          </cell>
          <cell r="K430">
            <v>0</v>
          </cell>
          <cell r="M430">
            <v>0</v>
          </cell>
          <cell r="O430">
            <v>0</v>
          </cell>
          <cell r="Q430">
            <v>0</v>
          </cell>
          <cell r="S430">
            <v>0</v>
          </cell>
          <cell r="U430">
            <v>0</v>
          </cell>
          <cell r="W430">
            <v>0</v>
          </cell>
          <cell r="Y430">
            <v>0</v>
          </cell>
          <cell r="AA430">
            <v>0</v>
          </cell>
          <cell r="AC430">
            <v>0</v>
          </cell>
          <cell r="AE430">
            <v>0</v>
          </cell>
          <cell r="AG430">
            <v>0</v>
          </cell>
        </row>
        <row r="431">
          <cell r="D431">
            <v>0</v>
          </cell>
          <cell r="E431">
            <v>0</v>
          </cell>
          <cell r="F431">
            <v>0</v>
          </cell>
          <cell r="G431">
            <v>0</v>
          </cell>
          <cell r="H431">
            <v>0</v>
          </cell>
          <cell r="I431">
            <v>0</v>
          </cell>
          <cell r="K431">
            <v>0</v>
          </cell>
          <cell r="M431">
            <v>0</v>
          </cell>
          <cell r="O431">
            <v>0</v>
          </cell>
          <cell r="Q431">
            <v>0</v>
          </cell>
          <cell r="S431">
            <v>0</v>
          </cell>
          <cell r="U431">
            <v>0</v>
          </cell>
          <cell r="W431">
            <v>0</v>
          </cell>
          <cell r="Y431">
            <v>0</v>
          </cell>
          <cell r="AA431">
            <v>0</v>
          </cell>
          <cell r="AC431">
            <v>0</v>
          </cell>
          <cell r="AE431">
            <v>0</v>
          </cell>
          <cell r="AG431">
            <v>0</v>
          </cell>
        </row>
        <row r="432">
          <cell r="D432">
            <v>0</v>
          </cell>
          <cell r="E432">
            <v>0</v>
          </cell>
          <cell r="F432">
            <v>0</v>
          </cell>
          <cell r="G432">
            <v>0</v>
          </cell>
          <cell r="H432">
            <v>0</v>
          </cell>
          <cell r="I432">
            <v>0</v>
          </cell>
          <cell r="K432">
            <v>0</v>
          </cell>
          <cell r="M432">
            <v>0</v>
          </cell>
          <cell r="O432">
            <v>0</v>
          </cell>
          <cell r="Q432">
            <v>0</v>
          </cell>
          <cell r="S432">
            <v>0</v>
          </cell>
          <cell r="U432">
            <v>0</v>
          </cell>
          <cell r="W432">
            <v>0</v>
          </cell>
          <cell r="Y432">
            <v>0</v>
          </cell>
          <cell r="AA432">
            <v>0</v>
          </cell>
          <cell r="AC432">
            <v>0</v>
          </cell>
          <cell r="AE432">
            <v>0</v>
          </cell>
          <cell r="AG432">
            <v>0</v>
          </cell>
        </row>
        <row r="433">
          <cell r="D433">
            <v>0</v>
          </cell>
          <cell r="E433">
            <v>0</v>
          </cell>
          <cell r="F433">
            <v>0</v>
          </cell>
          <cell r="G433">
            <v>0</v>
          </cell>
          <cell r="H433">
            <v>0</v>
          </cell>
          <cell r="I433">
            <v>0</v>
          </cell>
          <cell r="K433">
            <v>0</v>
          </cell>
          <cell r="M433">
            <v>0</v>
          </cell>
          <cell r="O433">
            <v>0</v>
          </cell>
          <cell r="Q433">
            <v>0</v>
          </cell>
          <cell r="S433">
            <v>0</v>
          </cell>
          <cell r="U433">
            <v>0</v>
          </cell>
          <cell r="W433">
            <v>0</v>
          </cell>
          <cell r="Y433">
            <v>0</v>
          </cell>
          <cell r="AA433">
            <v>0</v>
          </cell>
          <cell r="AC433">
            <v>0</v>
          </cell>
          <cell r="AE433">
            <v>0</v>
          </cell>
          <cell r="AG433">
            <v>0</v>
          </cell>
        </row>
        <row r="434">
          <cell r="D434">
            <v>0</v>
          </cell>
          <cell r="E434">
            <v>0</v>
          </cell>
          <cell r="F434">
            <v>0</v>
          </cell>
          <cell r="G434">
            <v>0</v>
          </cell>
          <cell r="H434">
            <v>0</v>
          </cell>
          <cell r="I434">
            <v>0</v>
          </cell>
          <cell r="K434">
            <v>0</v>
          </cell>
          <cell r="M434">
            <v>0</v>
          </cell>
          <cell r="O434">
            <v>0</v>
          </cell>
          <cell r="Q434">
            <v>0</v>
          </cell>
          <cell r="S434">
            <v>0</v>
          </cell>
          <cell r="U434">
            <v>0</v>
          </cell>
          <cell r="W434">
            <v>0</v>
          </cell>
          <cell r="Y434">
            <v>0</v>
          </cell>
          <cell r="AA434">
            <v>0</v>
          </cell>
          <cell r="AC434">
            <v>0</v>
          </cell>
          <cell r="AE434">
            <v>0</v>
          </cell>
          <cell r="AG434">
            <v>0</v>
          </cell>
        </row>
        <row r="435">
          <cell r="D435">
            <v>0</v>
          </cell>
          <cell r="E435">
            <v>0</v>
          </cell>
          <cell r="F435">
            <v>0</v>
          </cell>
          <cell r="G435">
            <v>0</v>
          </cell>
          <cell r="H435">
            <v>0</v>
          </cell>
          <cell r="I435">
            <v>0</v>
          </cell>
          <cell r="K435">
            <v>0</v>
          </cell>
          <cell r="M435">
            <v>0</v>
          </cell>
          <cell r="O435">
            <v>0</v>
          </cell>
          <cell r="Q435">
            <v>0</v>
          </cell>
          <cell r="S435">
            <v>0</v>
          </cell>
          <cell r="U435">
            <v>0</v>
          </cell>
          <cell r="W435">
            <v>0</v>
          </cell>
          <cell r="Y435">
            <v>0</v>
          </cell>
          <cell r="AA435">
            <v>0</v>
          </cell>
          <cell r="AC435">
            <v>0</v>
          </cell>
          <cell r="AE435">
            <v>0</v>
          </cell>
          <cell r="AG435">
            <v>0</v>
          </cell>
        </row>
        <row r="436">
          <cell r="D436">
            <v>0</v>
          </cell>
          <cell r="E436">
            <v>0</v>
          </cell>
          <cell r="F436">
            <v>0</v>
          </cell>
          <cell r="G436">
            <v>0</v>
          </cell>
          <cell r="H436">
            <v>0</v>
          </cell>
          <cell r="I436">
            <v>0</v>
          </cell>
          <cell r="K436">
            <v>0</v>
          </cell>
          <cell r="M436">
            <v>0</v>
          </cell>
          <cell r="O436">
            <v>0</v>
          </cell>
          <cell r="Q436">
            <v>0</v>
          </cell>
          <cell r="S436">
            <v>0</v>
          </cell>
          <cell r="U436">
            <v>0</v>
          </cell>
          <cell r="W436">
            <v>0</v>
          </cell>
          <cell r="Y436">
            <v>0</v>
          </cell>
          <cell r="AA436">
            <v>0</v>
          </cell>
          <cell r="AC436">
            <v>0</v>
          </cell>
          <cell r="AE436">
            <v>0</v>
          </cell>
          <cell r="AG436">
            <v>0</v>
          </cell>
        </row>
        <row r="437">
          <cell r="D437">
            <v>0</v>
          </cell>
          <cell r="E437">
            <v>0</v>
          </cell>
          <cell r="F437">
            <v>0</v>
          </cell>
          <cell r="G437">
            <v>0</v>
          </cell>
          <cell r="H437">
            <v>0</v>
          </cell>
          <cell r="I437">
            <v>0</v>
          </cell>
          <cell r="K437">
            <v>0</v>
          </cell>
          <cell r="M437">
            <v>0</v>
          </cell>
          <cell r="O437">
            <v>0</v>
          </cell>
          <cell r="Q437">
            <v>0</v>
          </cell>
          <cell r="S437">
            <v>0</v>
          </cell>
          <cell r="U437">
            <v>0</v>
          </cell>
          <cell r="W437">
            <v>0</v>
          </cell>
          <cell r="Y437">
            <v>0</v>
          </cell>
          <cell r="AA437">
            <v>0</v>
          </cell>
          <cell r="AC437">
            <v>0</v>
          </cell>
          <cell r="AE437">
            <v>0</v>
          </cell>
          <cell r="AG437">
            <v>0</v>
          </cell>
        </row>
        <row r="438">
          <cell r="D438">
            <v>0</v>
          </cell>
          <cell r="E438">
            <v>0</v>
          </cell>
          <cell r="F438">
            <v>0</v>
          </cell>
          <cell r="G438">
            <v>0</v>
          </cell>
          <cell r="H438">
            <v>0</v>
          </cell>
          <cell r="I438">
            <v>0</v>
          </cell>
          <cell r="K438">
            <v>0</v>
          </cell>
          <cell r="M438">
            <v>0</v>
          </cell>
          <cell r="O438">
            <v>0</v>
          </cell>
          <cell r="Q438">
            <v>0</v>
          </cell>
          <cell r="S438">
            <v>0</v>
          </cell>
          <cell r="U438">
            <v>0</v>
          </cell>
          <cell r="W438">
            <v>0</v>
          </cell>
          <cell r="Y438">
            <v>0</v>
          </cell>
          <cell r="AA438">
            <v>0</v>
          </cell>
          <cell r="AC438">
            <v>0</v>
          </cell>
          <cell r="AE438">
            <v>0</v>
          </cell>
          <cell r="AG438">
            <v>0</v>
          </cell>
        </row>
        <row r="439">
          <cell r="D439">
            <v>0</v>
          </cell>
          <cell r="E439">
            <v>0</v>
          </cell>
          <cell r="F439">
            <v>0</v>
          </cell>
          <cell r="G439">
            <v>0</v>
          </cell>
          <cell r="H439">
            <v>0</v>
          </cell>
          <cell r="I439">
            <v>0</v>
          </cell>
          <cell r="K439">
            <v>0</v>
          </cell>
          <cell r="M439">
            <v>0</v>
          </cell>
          <cell r="O439">
            <v>0</v>
          </cell>
          <cell r="Q439">
            <v>0</v>
          </cell>
          <cell r="S439">
            <v>0</v>
          </cell>
          <cell r="U439">
            <v>0</v>
          </cell>
          <cell r="W439">
            <v>0</v>
          </cell>
          <cell r="Y439">
            <v>0</v>
          </cell>
          <cell r="AA439">
            <v>0</v>
          </cell>
          <cell r="AC439">
            <v>0</v>
          </cell>
          <cell r="AE439">
            <v>0</v>
          </cell>
          <cell r="AG439">
            <v>0</v>
          </cell>
        </row>
        <row r="440">
          <cell r="D440">
            <v>0</v>
          </cell>
          <cell r="E440">
            <v>0</v>
          </cell>
          <cell r="F440">
            <v>0</v>
          </cell>
          <cell r="G440">
            <v>0</v>
          </cell>
          <cell r="H440">
            <v>0</v>
          </cell>
          <cell r="I440">
            <v>0</v>
          </cell>
          <cell r="K440">
            <v>0</v>
          </cell>
          <cell r="M440">
            <v>0</v>
          </cell>
          <cell r="O440">
            <v>0</v>
          </cell>
          <cell r="Q440">
            <v>0</v>
          </cell>
          <cell r="S440">
            <v>0</v>
          </cell>
          <cell r="U440">
            <v>0</v>
          </cell>
          <cell r="W440">
            <v>0</v>
          </cell>
          <cell r="Y440">
            <v>0</v>
          </cell>
          <cell r="AA440">
            <v>0</v>
          </cell>
          <cell r="AC440">
            <v>0</v>
          </cell>
          <cell r="AE440">
            <v>0</v>
          </cell>
          <cell r="AG440">
            <v>0</v>
          </cell>
        </row>
        <row r="441">
          <cell r="D441">
            <v>0</v>
          </cell>
          <cell r="E441">
            <v>0</v>
          </cell>
          <cell r="F441">
            <v>0</v>
          </cell>
          <cell r="G441">
            <v>0</v>
          </cell>
          <cell r="H441">
            <v>0</v>
          </cell>
          <cell r="I441">
            <v>0</v>
          </cell>
          <cell r="K441">
            <v>0</v>
          </cell>
          <cell r="M441">
            <v>0</v>
          </cell>
          <cell r="O441">
            <v>0</v>
          </cell>
          <cell r="Q441">
            <v>0</v>
          </cell>
          <cell r="S441">
            <v>0</v>
          </cell>
          <cell r="U441">
            <v>0</v>
          </cell>
          <cell r="W441">
            <v>0</v>
          </cell>
          <cell r="Y441">
            <v>0</v>
          </cell>
          <cell r="AA441">
            <v>0</v>
          </cell>
          <cell r="AC441">
            <v>0</v>
          </cell>
          <cell r="AE441">
            <v>0</v>
          </cell>
          <cell r="AG441">
            <v>0</v>
          </cell>
        </row>
        <row r="442">
          <cell r="D442">
            <v>0</v>
          </cell>
          <cell r="E442">
            <v>0</v>
          </cell>
          <cell r="F442">
            <v>0</v>
          </cell>
          <cell r="G442">
            <v>0</v>
          </cell>
          <cell r="H442">
            <v>0</v>
          </cell>
          <cell r="I442">
            <v>0</v>
          </cell>
          <cell r="K442">
            <v>0</v>
          </cell>
          <cell r="M442">
            <v>0</v>
          </cell>
          <cell r="O442">
            <v>0</v>
          </cell>
          <cell r="Q442">
            <v>0</v>
          </cell>
          <cell r="S442">
            <v>0</v>
          </cell>
          <cell r="U442">
            <v>0</v>
          </cell>
          <cell r="W442">
            <v>0</v>
          </cell>
          <cell r="Y442">
            <v>0</v>
          </cell>
          <cell r="AA442">
            <v>0</v>
          </cell>
          <cell r="AC442">
            <v>0</v>
          </cell>
          <cell r="AE442">
            <v>0</v>
          </cell>
          <cell r="AG442">
            <v>0</v>
          </cell>
        </row>
        <row r="443">
          <cell r="D443">
            <v>0</v>
          </cell>
          <cell r="E443">
            <v>0</v>
          </cell>
          <cell r="F443">
            <v>0</v>
          </cell>
          <cell r="G443">
            <v>0</v>
          </cell>
          <cell r="H443">
            <v>0</v>
          </cell>
          <cell r="I443">
            <v>0</v>
          </cell>
          <cell r="K443">
            <v>0</v>
          </cell>
          <cell r="M443">
            <v>0</v>
          </cell>
          <cell r="O443">
            <v>0</v>
          </cell>
          <cell r="Q443">
            <v>0</v>
          </cell>
          <cell r="S443">
            <v>0</v>
          </cell>
          <cell r="U443">
            <v>0</v>
          </cell>
          <cell r="W443">
            <v>0</v>
          </cell>
          <cell r="Y443">
            <v>0</v>
          </cell>
          <cell r="AA443">
            <v>0</v>
          </cell>
          <cell r="AC443">
            <v>0</v>
          </cell>
          <cell r="AE443">
            <v>0</v>
          </cell>
          <cell r="AG443">
            <v>0</v>
          </cell>
        </row>
        <row r="444">
          <cell r="D444">
            <v>0</v>
          </cell>
          <cell r="E444">
            <v>0</v>
          </cell>
          <cell r="F444">
            <v>0</v>
          </cell>
          <cell r="G444">
            <v>0</v>
          </cell>
          <cell r="H444">
            <v>0</v>
          </cell>
          <cell r="I444">
            <v>0</v>
          </cell>
          <cell r="K444">
            <v>0</v>
          </cell>
          <cell r="M444">
            <v>0</v>
          </cell>
          <cell r="O444">
            <v>0</v>
          </cell>
          <cell r="Q444">
            <v>0</v>
          </cell>
          <cell r="S444">
            <v>0</v>
          </cell>
          <cell r="U444">
            <v>0</v>
          </cell>
          <cell r="W444">
            <v>0</v>
          </cell>
          <cell r="Y444">
            <v>0</v>
          </cell>
          <cell r="AA444">
            <v>0</v>
          </cell>
          <cell r="AC444">
            <v>0</v>
          </cell>
          <cell r="AE444">
            <v>0</v>
          </cell>
          <cell r="AG444">
            <v>0</v>
          </cell>
        </row>
        <row r="445">
          <cell r="D445">
            <v>0</v>
          </cell>
          <cell r="E445">
            <v>0</v>
          </cell>
          <cell r="F445">
            <v>0</v>
          </cell>
          <cell r="G445">
            <v>0</v>
          </cell>
          <cell r="H445">
            <v>0</v>
          </cell>
          <cell r="I445">
            <v>0</v>
          </cell>
          <cell r="K445">
            <v>0</v>
          </cell>
          <cell r="M445">
            <v>0</v>
          </cell>
          <cell r="O445">
            <v>0</v>
          </cell>
          <cell r="Q445">
            <v>0</v>
          </cell>
          <cell r="S445">
            <v>0</v>
          </cell>
          <cell r="U445">
            <v>0</v>
          </cell>
          <cell r="W445">
            <v>0</v>
          </cell>
          <cell r="Y445">
            <v>0</v>
          </cell>
          <cell r="AA445">
            <v>0</v>
          </cell>
          <cell r="AC445">
            <v>0</v>
          </cell>
          <cell r="AE445">
            <v>0</v>
          </cell>
          <cell r="AG445">
            <v>0</v>
          </cell>
        </row>
        <row r="446">
          <cell r="D446">
            <v>0</v>
          </cell>
          <cell r="E446">
            <v>0</v>
          </cell>
          <cell r="F446">
            <v>0</v>
          </cell>
          <cell r="G446">
            <v>0</v>
          </cell>
          <cell r="H446">
            <v>0</v>
          </cell>
          <cell r="I446">
            <v>0</v>
          </cell>
          <cell r="K446">
            <v>0</v>
          </cell>
          <cell r="M446">
            <v>0</v>
          </cell>
          <cell r="O446">
            <v>0</v>
          </cell>
          <cell r="Q446">
            <v>0</v>
          </cell>
          <cell r="S446">
            <v>0</v>
          </cell>
          <cell r="U446">
            <v>0</v>
          </cell>
          <cell r="W446">
            <v>0</v>
          </cell>
          <cell r="Y446">
            <v>0</v>
          </cell>
          <cell r="AA446">
            <v>0</v>
          </cell>
          <cell r="AC446">
            <v>0</v>
          </cell>
          <cell r="AE446">
            <v>0</v>
          </cell>
          <cell r="AG446">
            <v>0</v>
          </cell>
        </row>
        <row r="447">
          <cell r="D447">
            <v>0</v>
          </cell>
          <cell r="E447">
            <v>0</v>
          </cell>
          <cell r="F447">
            <v>0</v>
          </cell>
          <cell r="G447">
            <v>0</v>
          </cell>
          <cell r="H447">
            <v>0</v>
          </cell>
          <cell r="I447">
            <v>0</v>
          </cell>
          <cell r="K447">
            <v>0</v>
          </cell>
          <cell r="M447">
            <v>0</v>
          </cell>
          <cell r="O447">
            <v>0</v>
          </cell>
          <cell r="Q447">
            <v>0</v>
          </cell>
          <cell r="S447">
            <v>0</v>
          </cell>
          <cell r="U447">
            <v>0</v>
          </cell>
          <cell r="W447">
            <v>0</v>
          </cell>
          <cell r="Y447">
            <v>0</v>
          </cell>
          <cell r="AA447">
            <v>0</v>
          </cell>
          <cell r="AC447">
            <v>0</v>
          </cell>
          <cell r="AE447">
            <v>0</v>
          </cell>
          <cell r="AG447">
            <v>0</v>
          </cell>
        </row>
        <row r="448">
          <cell r="D448">
            <v>0</v>
          </cell>
          <cell r="E448">
            <v>0</v>
          </cell>
          <cell r="F448">
            <v>0</v>
          </cell>
          <cell r="G448">
            <v>0</v>
          </cell>
          <cell r="H448">
            <v>0</v>
          </cell>
          <cell r="I448">
            <v>0</v>
          </cell>
          <cell r="K448">
            <v>0</v>
          </cell>
          <cell r="M448">
            <v>0</v>
          </cell>
          <cell r="O448">
            <v>0</v>
          </cell>
          <cell r="Q448">
            <v>0</v>
          </cell>
          <cell r="S448">
            <v>0</v>
          </cell>
          <cell r="U448">
            <v>0</v>
          </cell>
          <cell r="W448">
            <v>0</v>
          </cell>
          <cell r="Y448">
            <v>0</v>
          </cell>
          <cell r="AA448">
            <v>0</v>
          </cell>
          <cell r="AC448">
            <v>0</v>
          </cell>
          <cell r="AE448">
            <v>0</v>
          </cell>
          <cell r="AG448">
            <v>0</v>
          </cell>
        </row>
        <row r="449">
          <cell r="D449">
            <v>0</v>
          </cell>
          <cell r="E449">
            <v>0</v>
          </cell>
          <cell r="F449">
            <v>0</v>
          </cell>
          <cell r="G449">
            <v>0</v>
          </cell>
          <cell r="H449">
            <v>0</v>
          </cell>
          <cell r="I449">
            <v>0</v>
          </cell>
          <cell r="K449">
            <v>0</v>
          </cell>
          <cell r="M449">
            <v>0</v>
          </cell>
          <cell r="O449">
            <v>0</v>
          </cell>
          <cell r="Q449">
            <v>0</v>
          </cell>
          <cell r="S449">
            <v>0</v>
          </cell>
          <cell r="U449">
            <v>0</v>
          </cell>
          <cell r="W449">
            <v>0</v>
          </cell>
          <cell r="Y449">
            <v>0</v>
          </cell>
          <cell r="AA449">
            <v>0</v>
          </cell>
          <cell r="AC449">
            <v>0</v>
          </cell>
          <cell r="AE449">
            <v>0</v>
          </cell>
          <cell r="AG449">
            <v>0</v>
          </cell>
        </row>
        <row r="450">
          <cell r="D450">
            <v>0</v>
          </cell>
          <cell r="E450">
            <v>0</v>
          </cell>
          <cell r="F450">
            <v>0</v>
          </cell>
          <cell r="G450">
            <v>0</v>
          </cell>
          <cell r="H450">
            <v>0</v>
          </cell>
          <cell r="I450">
            <v>0</v>
          </cell>
          <cell r="K450">
            <v>0</v>
          </cell>
          <cell r="M450">
            <v>0</v>
          </cell>
          <cell r="O450">
            <v>0</v>
          </cell>
          <cell r="Q450">
            <v>0</v>
          </cell>
          <cell r="S450">
            <v>0</v>
          </cell>
          <cell r="U450">
            <v>0</v>
          </cell>
          <cell r="W450">
            <v>0</v>
          </cell>
          <cell r="Y450">
            <v>0</v>
          </cell>
          <cell r="AA450">
            <v>0</v>
          </cell>
          <cell r="AC450">
            <v>0</v>
          </cell>
          <cell r="AE450">
            <v>0</v>
          </cell>
          <cell r="AG450">
            <v>0</v>
          </cell>
        </row>
        <row r="451">
          <cell r="D451">
            <v>0</v>
          </cell>
          <cell r="E451">
            <v>0</v>
          </cell>
          <cell r="F451">
            <v>0</v>
          </cell>
          <cell r="G451">
            <v>0</v>
          </cell>
          <cell r="H451">
            <v>0</v>
          </cell>
          <cell r="I451">
            <v>0</v>
          </cell>
          <cell r="K451">
            <v>0</v>
          </cell>
          <cell r="M451">
            <v>0</v>
          </cell>
          <cell r="O451">
            <v>0</v>
          </cell>
          <cell r="Q451">
            <v>0</v>
          </cell>
          <cell r="S451">
            <v>0</v>
          </cell>
          <cell r="U451">
            <v>0</v>
          </cell>
          <cell r="W451">
            <v>0</v>
          </cell>
          <cell r="Y451">
            <v>0</v>
          </cell>
          <cell r="AA451">
            <v>0</v>
          </cell>
          <cell r="AC451">
            <v>0</v>
          </cell>
          <cell r="AE451">
            <v>0</v>
          </cell>
          <cell r="AG451">
            <v>0</v>
          </cell>
        </row>
        <row r="452">
          <cell r="D452">
            <v>0</v>
          </cell>
          <cell r="E452">
            <v>0</v>
          </cell>
          <cell r="F452">
            <v>0</v>
          </cell>
          <cell r="G452">
            <v>0</v>
          </cell>
          <cell r="H452">
            <v>0</v>
          </cell>
          <cell r="I452">
            <v>0</v>
          </cell>
          <cell r="K452">
            <v>0</v>
          </cell>
          <cell r="M452">
            <v>0</v>
          </cell>
          <cell r="O452">
            <v>0</v>
          </cell>
          <cell r="Q452">
            <v>0</v>
          </cell>
          <cell r="S452">
            <v>0</v>
          </cell>
          <cell r="U452">
            <v>0</v>
          </cell>
          <cell r="W452">
            <v>0</v>
          </cell>
          <cell r="Y452">
            <v>0</v>
          </cell>
          <cell r="AA452">
            <v>0</v>
          </cell>
          <cell r="AC452">
            <v>0</v>
          </cell>
          <cell r="AE452">
            <v>0</v>
          </cell>
          <cell r="AG452">
            <v>0</v>
          </cell>
        </row>
        <row r="453">
          <cell r="D453">
            <v>0</v>
          </cell>
          <cell r="E453">
            <v>0</v>
          </cell>
          <cell r="F453">
            <v>0</v>
          </cell>
          <cell r="G453">
            <v>0</v>
          </cell>
          <cell r="H453">
            <v>0</v>
          </cell>
          <cell r="I453">
            <v>0</v>
          </cell>
          <cell r="K453">
            <v>0</v>
          </cell>
          <cell r="M453">
            <v>0</v>
          </cell>
          <cell r="O453">
            <v>0</v>
          </cell>
          <cell r="Q453">
            <v>0</v>
          </cell>
          <cell r="S453">
            <v>0</v>
          </cell>
          <cell r="U453">
            <v>0</v>
          </cell>
          <cell r="W453">
            <v>0</v>
          </cell>
          <cell r="Y453">
            <v>0</v>
          </cell>
          <cell r="AA453">
            <v>0</v>
          </cell>
          <cell r="AC453">
            <v>0</v>
          </cell>
          <cell r="AE453">
            <v>0</v>
          </cell>
          <cell r="AG453">
            <v>0</v>
          </cell>
        </row>
        <row r="454">
          <cell r="D454">
            <v>0</v>
          </cell>
          <cell r="E454">
            <v>0</v>
          </cell>
          <cell r="F454">
            <v>0</v>
          </cell>
          <cell r="G454">
            <v>0</v>
          </cell>
          <cell r="H454">
            <v>0</v>
          </cell>
          <cell r="I454">
            <v>0</v>
          </cell>
          <cell r="K454">
            <v>0</v>
          </cell>
          <cell r="M454">
            <v>0</v>
          </cell>
          <cell r="O454">
            <v>0</v>
          </cell>
          <cell r="Q454">
            <v>0</v>
          </cell>
          <cell r="S454">
            <v>0</v>
          </cell>
          <cell r="U454">
            <v>0</v>
          </cell>
          <cell r="W454">
            <v>0</v>
          </cell>
          <cell r="Y454">
            <v>0</v>
          </cell>
          <cell r="AA454">
            <v>0</v>
          </cell>
          <cell r="AC454">
            <v>0</v>
          </cell>
          <cell r="AE454">
            <v>0</v>
          </cell>
          <cell r="AG454">
            <v>0</v>
          </cell>
        </row>
        <row r="455">
          <cell r="D455">
            <v>0</v>
          </cell>
          <cell r="E455">
            <v>0</v>
          </cell>
          <cell r="F455">
            <v>0</v>
          </cell>
          <cell r="G455">
            <v>0</v>
          </cell>
          <cell r="H455">
            <v>0</v>
          </cell>
          <cell r="I455">
            <v>0</v>
          </cell>
          <cell r="K455">
            <v>0</v>
          </cell>
          <cell r="M455">
            <v>0</v>
          </cell>
          <cell r="O455">
            <v>0</v>
          </cell>
          <cell r="Q455">
            <v>0</v>
          </cell>
          <cell r="S455">
            <v>0</v>
          </cell>
          <cell r="U455">
            <v>0</v>
          </cell>
          <cell r="W455">
            <v>0</v>
          </cell>
          <cell r="Y455">
            <v>0</v>
          </cell>
          <cell r="AA455">
            <v>0</v>
          </cell>
          <cell r="AC455">
            <v>0</v>
          </cell>
          <cell r="AE455">
            <v>0</v>
          </cell>
          <cell r="AG455">
            <v>0</v>
          </cell>
        </row>
        <row r="456">
          <cell r="D456">
            <v>0</v>
          </cell>
          <cell r="E456">
            <v>0</v>
          </cell>
          <cell r="F456">
            <v>0</v>
          </cell>
          <cell r="G456">
            <v>0</v>
          </cell>
          <cell r="H456">
            <v>0</v>
          </cell>
          <cell r="I456">
            <v>0</v>
          </cell>
          <cell r="K456">
            <v>0</v>
          </cell>
          <cell r="M456">
            <v>0</v>
          </cell>
          <cell r="O456">
            <v>0</v>
          </cell>
          <cell r="Q456">
            <v>0</v>
          </cell>
          <cell r="S456">
            <v>0</v>
          </cell>
          <cell r="U456">
            <v>0</v>
          </cell>
          <cell r="W456">
            <v>0</v>
          </cell>
          <cell r="Y456">
            <v>0</v>
          </cell>
          <cell r="AA456">
            <v>0</v>
          </cell>
          <cell r="AC456">
            <v>0</v>
          </cell>
          <cell r="AE456">
            <v>0</v>
          </cell>
          <cell r="AG456">
            <v>0</v>
          </cell>
        </row>
        <row r="457">
          <cell r="D457">
            <v>0</v>
          </cell>
          <cell r="E457">
            <v>0</v>
          </cell>
          <cell r="F457">
            <v>0</v>
          </cell>
          <cell r="G457">
            <v>0</v>
          </cell>
          <cell r="H457">
            <v>0</v>
          </cell>
          <cell r="I457">
            <v>0</v>
          </cell>
          <cell r="K457">
            <v>0</v>
          </cell>
          <cell r="M457">
            <v>0</v>
          </cell>
          <cell r="O457">
            <v>0</v>
          </cell>
          <cell r="Q457">
            <v>0</v>
          </cell>
          <cell r="S457">
            <v>0</v>
          </cell>
          <cell r="U457">
            <v>0</v>
          </cell>
          <cell r="W457">
            <v>0</v>
          </cell>
          <cell r="Y457">
            <v>0</v>
          </cell>
          <cell r="AA457">
            <v>0</v>
          </cell>
          <cell r="AC457">
            <v>0</v>
          </cell>
          <cell r="AE457">
            <v>0</v>
          </cell>
          <cell r="AG457">
            <v>0</v>
          </cell>
        </row>
        <row r="458">
          <cell r="D458">
            <v>0</v>
          </cell>
          <cell r="E458">
            <v>0</v>
          </cell>
          <cell r="F458">
            <v>0</v>
          </cell>
          <cell r="G458">
            <v>0</v>
          </cell>
          <cell r="H458">
            <v>0</v>
          </cell>
          <cell r="I458">
            <v>0</v>
          </cell>
          <cell r="K458">
            <v>0</v>
          </cell>
          <cell r="M458">
            <v>0</v>
          </cell>
          <cell r="O458">
            <v>0</v>
          </cell>
          <cell r="Q458">
            <v>0</v>
          </cell>
          <cell r="S458">
            <v>0</v>
          </cell>
          <cell r="U458">
            <v>0</v>
          </cell>
          <cell r="W458">
            <v>0</v>
          </cell>
          <cell r="Y458">
            <v>0</v>
          </cell>
          <cell r="AA458">
            <v>0</v>
          </cell>
          <cell r="AC458">
            <v>0</v>
          </cell>
          <cell r="AE458">
            <v>0</v>
          </cell>
          <cell r="AG458">
            <v>0</v>
          </cell>
        </row>
        <row r="459">
          <cell r="D459">
            <v>0</v>
          </cell>
          <cell r="E459">
            <v>0</v>
          </cell>
          <cell r="F459">
            <v>0</v>
          </cell>
          <cell r="G459">
            <v>0</v>
          </cell>
          <cell r="H459">
            <v>0</v>
          </cell>
          <cell r="I459">
            <v>0</v>
          </cell>
          <cell r="K459">
            <v>0</v>
          </cell>
          <cell r="M459">
            <v>0</v>
          </cell>
          <cell r="O459">
            <v>0</v>
          </cell>
          <cell r="Q459">
            <v>0</v>
          </cell>
          <cell r="S459">
            <v>0</v>
          </cell>
          <cell r="U459">
            <v>0</v>
          </cell>
          <cell r="W459">
            <v>0</v>
          </cell>
          <cell r="Y459">
            <v>0</v>
          </cell>
          <cell r="AA459">
            <v>0</v>
          </cell>
          <cell r="AC459">
            <v>0</v>
          </cell>
          <cell r="AE459">
            <v>0</v>
          </cell>
          <cell r="AG459">
            <v>0</v>
          </cell>
        </row>
        <row r="460">
          <cell r="D460">
            <v>0</v>
          </cell>
          <cell r="E460">
            <v>0</v>
          </cell>
          <cell r="F460">
            <v>0</v>
          </cell>
          <cell r="G460">
            <v>0</v>
          </cell>
          <cell r="H460">
            <v>0</v>
          </cell>
          <cell r="I460">
            <v>0</v>
          </cell>
          <cell r="K460">
            <v>0</v>
          </cell>
          <cell r="M460">
            <v>0</v>
          </cell>
          <cell r="O460">
            <v>0</v>
          </cell>
          <cell r="Q460">
            <v>0</v>
          </cell>
          <cell r="S460">
            <v>0</v>
          </cell>
          <cell r="U460">
            <v>0</v>
          </cell>
          <cell r="W460">
            <v>0</v>
          </cell>
          <cell r="Y460">
            <v>0</v>
          </cell>
          <cell r="AA460">
            <v>0</v>
          </cell>
          <cell r="AC460">
            <v>0</v>
          </cell>
          <cell r="AE460">
            <v>0</v>
          </cell>
          <cell r="AG460">
            <v>0</v>
          </cell>
        </row>
        <row r="461">
          <cell r="D461">
            <v>0</v>
          </cell>
          <cell r="E461">
            <v>0</v>
          </cell>
          <cell r="F461">
            <v>0</v>
          </cell>
          <cell r="G461">
            <v>0</v>
          </cell>
          <cell r="H461">
            <v>0</v>
          </cell>
          <cell r="I461">
            <v>0</v>
          </cell>
          <cell r="K461">
            <v>0</v>
          </cell>
          <cell r="M461">
            <v>0</v>
          </cell>
          <cell r="O461">
            <v>0</v>
          </cell>
          <cell r="Q461">
            <v>0</v>
          </cell>
          <cell r="S461">
            <v>0</v>
          </cell>
          <cell r="U461">
            <v>0</v>
          </cell>
          <cell r="W461">
            <v>0</v>
          </cell>
          <cell r="Y461">
            <v>0</v>
          </cell>
          <cell r="AA461">
            <v>0</v>
          </cell>
          <cell r="AC461">
            <v>0</v>
          </cell>
          <cell r="AE461">
            <v>0</v>
          </cell>
          <cell r="AG461">
            <v>0</v>
          </cell>
        </row>
        <row r="462">
          <cell r="D462">
            <v>0</v>
          </cell>
          <cell r="E462">
            <v>0</v>
          </cell>
          <cell r="F462">
            <v>0</v>
          </cell>
          <cell r="G462">
            <v>0</v>
          </cell>
          <cell r="H462">
            <v>0</v>
          </cell>
          <cell r="I462">
            <v>0</v>
          </cell>
          <cell r="K462">
            <v>0</v>
          </cell>
          <cell r="M462">
            <v>0</v>
          </cell>
          <cell r="O462">
            <v>0</v>
          </cell>
          <cell r="Q462">
            <v>0</v>
          </cell>
          <cell r="S462">
            <v>0</v>
          </cell>
          <cell r="U462">
            <v>0</v>
          </cell>
          <cell r="W462">
            <v>0</v>
          </cell>
          <cell r="Y462">
            <v>0</v>
          </cell>
          <cell r="AA462">
            <v>0</v>
          </cell>
          <cell r="AC462">
            <v>0</v>
          </cell>
          <cell r="AE462">
            <v>0</v>
          </cell>
          <cell r="AG462">
            <v>0</v>
          </cell>
        </row>
        <row r="463">
          <cell r="D463">
            <v>0</v>
          </cell>
          <cell r="E463">
            <v>0</v>
          </cell>
          <cell r="F463">
            <v>0</v>
          </cell>
          <cell r="G463">
            <v>0</v>
          </cell>
          <cell r="H463">
            <v>0</v>
          </cell>
          <cell r="I463">
            <v>0</v>
          </cell>
          <cell r="K463">
            <v>0</v>
          </cell>
          <cell r="M463">
            <v>0</v>
          </cell>
          <cell r="O463">
            <v>0</v>
          </cell>
          <cell r="Q463">
            <v>0</v>
          </cell>
          <cell r="S463">
            <v>0</v>
          </cell>
          <cell r="U463">
            <v>0</v>
          </cell>
          <cell r="W463">
            <v>0</v>
          </cell>
          <cell r="Y463">
            <v>0</v>
          </cell>
          <cell r="AA463">
            <v>0</v>
          </cell>
          <cell r="AC463">
            <v>0</v>
          </cell>
          <cell r="AE463">
            <v>0</v>
          </cell>
          <cell r="AG463">
            <v>0</v>
          </cell>
        </row>
        <row r="464">
          <cell r="D464">
            <v>0</v>
          </cell>
          <cell r="E464">
            <v>0</v>
          </cell>
          <cell r="F464">
            <v>0</v>
          </cell>
          <cell r="G464">
            <v>0</v>
          </cell>
          <cell r="H464">
            <v>0</v>
          </cell>
          <cell r="I464">
            <v>0</v>
          </cell>
          <cell r="K464">
            <v>0</v>
          </cell>
          <cell r="M464">
            <v>0</v>
          </cell>
          <cell r="O464">
            <v>0</v>
          </cell>
          <cell r="Q464">
            <v>0</v>
          </cell>
          <cell r="S464">
            <v>0</v>
          </cell>
          <cell r="U464">
            <v>0</v>
          </cell>
          <cell r="W464">
            <v>0</v>
          </cell>
          <cell r="Y464">
            <v>0</v>
          </cell>
          <cell r="AA464">
            <v>0</v>
          </cell>
          <cell r="AC464">
            <v>0</v>
          </cell>
          <cell r="AE464">
            <v>0</v>
          </cell>
          <cell r="AG464">
            <v>0</v>
          </cell>
        </row>
        <row r="465">
          <cell r="D465">
            <v>0</v>
          </cell>
          <cell r="E465">
            <v>0</v>
          </cell>
          <cell r="F465">
            <v>0</v>
          </cell>
          <cell r="G465">
            <v>0</v>
          </cell>
          <cell r="H465">
            <v>0</v>
          </cell>
          <cell r="I465">
            <v>0</v>
          </cell>
          <cell r="K465">
            <v>0</v>
          </cell>
          <cell r="M465">
            <v>0</v>
          </cell>
          <cell r="O465">
            <v>0</v>
          </cell>
          <cell r="Q465">
            <v>0</v>
          </cell>
          <cell r="S465">
            <v>0</v>
          </cell>
          <cell r="U465">
            <v>0</v>
          </cell>
          <cell r="W465">
            <v>0</v>
          </cell>
          <cell r="Y465">
            <v>0</v>
          </cell>
          <cell r="AA465">
            <v>0</v>
          </cell>
          <cell r="AC465">
            <v>0</v>
          </cell>
          <cell r="AE465">
            <v>0</v>
          </cell>
          <cell r="AG465">
            <v>0</v>
          </cell>
        </row>
        <row r="466">
          <cell r="D466">
            <v>0</v>
          </cell>
          <cell r="E466">
            <v>0</v>
          </cell>
          <cell r="F466">
            <v>0</v>
          </cell>
          <cell r="G466">
            <v>0</v>
          </cell>
          <cell r="H466">
            <v>0</v>
          </cell>
          <cell r="I466">
            <v>0</v>
          </cell>
          <cell r="K466">
            <v>0</v>
          </cell>
          <cell r="M466">
            <v>0</v>
          </cell>
          <cell r="O466">
            <v>0</v>
          </cell>
          <cell r="Q466">
            <v>0</v>
          </cell>
          <cell r="S466">
            <v>0</v>
          </cell>
          <cell r="U466">
            <v>0</v>
          </cell>
          <cell r="W466">
            <v>0</v>
          </cell>
          <cell r="Y466">
            <v>0</v>
          </cell>
          <cell r="AA466">
            <v>0</v>
          </cell>
          <cell r="AC466">
            <v>0</v>
          </cell>
          <cell r="AE466">
            <v>0</v>
          </cell>
          <cell r="AG466">
            <v>0</v>
          </cell>
        </row>
        <row r="467">
          <cell r="D467">
            <v>0</v>
          </cell>
          <cell r="E467">
            <v>0</v>
          </cell>
          <cell r="F467">
            <v>0</v>
          </cell>
          <cell r="G467">
            <v>0</v>
          </cell>
          <cell r="H467">
            <v>0</v>
          </cell>
          <cell r="I467">
            <v>0</v>
          </cell>
          <cell r="K467">
            <v>0</v>
          </cell>
          <cell r="M467">
            <v>0</v>
          </cell>
          <cell r="O467">
            <v>0</v>
          </cell>
          <cell r="Q467">
            <v>0</v>
          </cell>
          <cell r="S467">
            <v>0</v>
          </cell>
          <cell r="U467">
            <v>0</v>
          </cell>
          <cell r="W467">
            <v>0</v>
          </cell>
          <cell r="Y467">
            <v>0</v>
          </cell>
          <cell r="AA467">
            <v>0</v>
          </cell>
          <cell r="AC467">
            <v>0</v>
          </cell>
          <cell r="AE467">
            <v>0</v>
          </cell>
          <cell r="AG467">
            <v>0</v>
          </cell>
        </row>
        <row r="468">
          <cell r="D468">
            <v>0</v>
          </cell>
          <cell r="E468">
            <v>0</v>
          </cell>
          <cell r="F468">
            <v>0</v>
          </cell>
          <cell r="G468">
            <v>0</v>
          </cell>
          <cell r="H468">
            <v>0</v>
          </cell>
          <cell r="I468">
            <v>0</v>
          </cell>
          <cell r="K468">
            <v>0</v>
          </cell>
          <cell r="M468">
            <v>0</v>
          </cell>
          <cell r="O468">
            <v>0</v>
          </cell>
          <cell r="Q468">
            <v>0</v>
          </cell>
          <cell r="S468">
            <v>0</v>
          </cell>
          <cell r="U468">
            <v>0</v>
          </cell>
          <cell r="W468">
            <v>0</v>
          </cell>
          <cell r="Y468">
            <v>0</v>
          </cell>
          <cell r="AA468">
            <v>0</v>
          </cell>
          <cell r="AC468">
            <v>0</v>
          </cell>
          <cell r="AE468">
            <v>0</v>
          </cell>
          <cell r="AG468">
            <v>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0_IS210"/>
      <sheetName val="Empire Consolidated IS"/>
      <sheetName val="Ratios"/>
      <sheetName val="LG-Total Company"/>
      <sheetName val="Reg LG"/>
      <sheetName val="Rate Sheet"/>
      <sheetName val="Mgmt Salary Alloc"/>
    </sheetNames>
    <sheetDataSet>
      <sheetData sheetId="0">
        <row r="197">
          <cell r="AH197">
            <v>11545.88</v>
          </cell>
        </row>
      </sheetData>
      <sheetData sheetId="1"/>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refreshError="1"/>
      <sheetData sheetId="1"/>
      <sheetData sheetId="2">
        <row r="1">
          <cell r="B1" t="str">
            <v>OK!: ReportRange Formula OK [jAction{}]</v>
          </cell>
        </row>
        <row r="7">
          <cell r="N7" t="str">
            <v>wci_corp</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Empire%20Disposal%20Proforma%204-1-2018.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Chelsea Paschke" refreshedDate="43138.458195486113" createdVersion="4" refreshedVersion="4" minRefreshableVersion="3" recordCount="47">
  <cacheSource type="worksheet">
    <worksheetSource ref="B19:AQ66" sheet="JE Query" r:id="rId2"/>
  </cacheSource>
  <cacheFields count="42">
    <cacheField name="Full Account" numFmtId="0">
      <sharedItems/>
    </cacheField>
    <cacheField name="Date" numFmtId="14">
      <sharedItems containsSemiMixedTypes="0" containsNonDate="0" containsDate="1" containsString="0" minDate="2017-03-15T00:00:00" maxDate="2018-01-01T00:00:00"/>
    </cacheField>
    <cacheField name="Amount USD" numFmtId="40">
      <sharedItems containsSemiMixedTypes="0" containsString="0" containsNumber="1" minValue="-3717.48" maxValue="3717.48"/>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20">
        <s v="COLFAX ROTARY CLUB"/>
        <s v="CD'S SMOKE PIT~AARON LAWHEAD"/>
        <s v="COLFAX GOLF COURSE~AARON LAWHEAD"/>
        <s v="ROSAUERS #70~AARON LAWHEAD"/>
        <s v="FONKS~AARON LAWHEAD"/>
        <s v="SNAKEDANCEREXC~AARON LAWHEAD"/>
        <s v="SUBWAY        00177667~DANIEL YOUNG"/>
        <s v="Rcls Jet Boat Prepayment"/>
        <s v="FOLSOM ACE HARDWARE~AARON LAWHEAD"/>
        <s v="SAFEWAY STORE 00026393~AARON LAWHEAD"/>
        <s v="2120ALAWHEAD : Supplies"/>
        <s v="2120ALAWHEAD : Breakfast"/>
        <s v="2120ALAWHEAD : KC's 67th Birthday lunch"/>
        <s v="AARON LAWHEAD"/>
        <s v="DURHAM SCHOOL SERVICES~AARON LAWHEAD"/>
        <s v="BEECHERS RETAIL WEB~AARON LAWHEAD"/>
        <s v="WWW.PAKITRITE.COM~AARON LAWHEAD"/>
        <s v="AMAZON.COM~AARON LAWHEAD"/>
        <s v="AMAZON MKTPLACE PMTS~AARON LAWHEAD"/>
        <s v="HALLETTS MARKET AND CAFE~BILL STANSBERRY"/>
      </sharedItems>
    </cacheField>
    <cacheField name="Date Doc" numFmtId="164">
      <sharedItems containsNonDate="0" containsDate="1" containsString="0" containsBlank="1" minDate="2017-03-06T00:00:00" maxDate="2017-07-26T00:00:00"/>
    </cacheField>
    <cacheField name="Doc Desc" numFmtId="0">
      <sharedItems containsBlank="1"/>
    </cacheField>
    <cacheField name="Doc Ctrl Num" numFmtId="0">
      <sharedItems containsBlank="1"/>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ontainsBlank="1"/>
    </cacheField>
    <cacheField name="Class Code" numFmtId="0">
      <sharedItems containsString="0" containsBlank="1" containsNumber="1" containsInteger="1" minValue="2120" maxValue="2195"/>
    </cacheField>
    <cacheField name="Date Entered" numFmtId="14">
      <sharedItems containsSemiMixedTypes="0" containsNonDate="0" containsDate="1" containsString="0" minDate="2017-03-15T00:00:00" maxDate="2018-01-04T00:00:00"/>
    </cacheField>
    <cacheField name="Date Posted" numFmtId="14">
      <sharedItems containsSemiMixedTypes="0" containsNonDate="0" containsDate="1" containsString="0" minDate="2017-03-15T00:00:00" maxDate="2018-01-04T00:00:00"/>
    </cacheField>
    <cacheField name="Amt Net" numFmtId="0">
      <sharedItems containsString="0" containsBlank="1" containsNumber="1" minValue="40" maxValue="1931.93"/>
    </cacheField>
    <cacheField name="Date Due" numFmtId="14">
      <sharedItems containsNonDate="0" containsDate="1" containsString="0" containsBlank="1" minDate="2017-05-10T00:00:00" maxDate="2017-07-27T00:00:00"/>
    </cacheField>
    <cacheField name="Database" numFmtId="0">
      <sharedItems/>
    </cacheField>
    <cacheField name="Reversing Flag" numFmtId="0">
      <sharedItems containsSemiMixedTypes="0" containsString="0" containsNumber="1" containsInteger="1" minValue="0" maxValue="1"/>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70095" maxValue="70095"/>
    </cacheField>
    <cacheField name="Seg2" numFmtId="0">
      <sharedItems containsSemiMixedTypes="0" containsString="0" containsNumber="1" containsInteger="1" minValue="2120" maxValue="2120"/>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helsea Paschke" refreshedDate="43138.466639467595" createdVersion="4" refreshedVersion="4" minRefreshableVersion="3" recordCount="27">
  <cacheSource type="worksheet">
    <worksheetSource ref="B19:AQ46" sheet="70195"/>
  </cacheSource>
  <cacheFields count="42">
    <cacheField name="Full Account" numFmtId="0">
      <sharedItems/>
    </cacheField>
    <cacheField name="Date" numFmtId="14">
      <sharedItems containsSemiMixedTypes="0" containsNonDate="0" containsDate="1" containsString="0" minDate="2017-01-09T00:00:00" maxDate="2018-01-01T00:00:00"/>
    </cacheField>
    <cacheField name="Amount USD" numFmtId="40">
      <sharedItems containsSemiMixedTypes="0" containsString="0" containsNumber="1" minValue="-240" maxValue="843.54"/>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0">
        <s v="WASHINGTON REFUSE &amp; RECYCLING ASSOC"/>
        <s v="COLFAX CHAMBER OF COMMERCE"/>
        <s v="WHITMAN COUNTY GAZETTE~AARON LAWHEAD"/>
        <s v="WASHINGTON STATE RECYCLIN~BRIAN BROOKES"/>
        <s v="ASSOCIATION OF WASHINGTON BUSINESS"/>
        <s v="25WRRA : WRRA Allocation, regular dues"/>
        <s v="AMAZONPRIME MEMBERSHIP~AARON LAWHEAD"/>
        <s v="25WRRA : Landfill Dues"/>
        <s v="WESTERN STATES EQUIPMENT CO., INC."/>
        <s v="CUMMINS NW PORTLAND~DANIEL YOUNG"/>
      </sharedItems>
    </cacheField>
    <cacheField name="Date Doc" numFmtId="183">
      <sharedItems containsNonDate="0" containsDate="1" containsString="0" containsBlank="1" minDate="2017-01-01T00:00:00" maxDate="2017-12-12T00:00:00"/>
    </cacheField>
    <cacheField name="Doc Desc" numFmtId="0">
      <sharedItems containsBlank="1"/>
    </cacheField>
    <cacheField name="Doc Ctrl Num" numFmtId="0">
      <sharedItems containsBlank="1" containsMixedTypes="1" containsNumber="1" containsInteger="1" minValue="55" maxValue="176910"/>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String="0" containsBlank="1" containsNumber="1" containsInteger="1" minValue="2000" maxValue="2195"/>
    </cacheField>
    <cacheField name="Date Entered" numFmtId="14">
      <sharedItems containsSemiMixedTypes="0" containsNonDate="0" containsDate="1" containsString="0" minDate="2017-01-06T00:00:00" maxDate="2018-01-01T00:00:00"/>
    </cacheField>
    <cacheField name="Date Posted" numFmtId="14">
      <sharedItems containsSemiMixedTypes="0" containsNonDate="0" containsDate="1" containsString="0" minDate="2017-01-06T00:00:00" maxDate="2018-01-03T00:00:00"/>
    </cacheField>
    <cacheField name="Amt Net" numFmtId="0">
      <sharedItems containsString="0" containsBlank="1" containsNumber="1" minValue="300" maxValue="8400"/>
    </cacheField>
    <cacheField name="Date Due" numFmtId="14">
      <sharedItems containsNonDate="0" containsDate="1" containsString="0" containsBlank="1" minDate="2017-03-07T00:00:00" maxDate="2018-02-15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70195" maxValue="70195"/>
    </cacheField>
    <cacheField name="Seg2" numFmtId="0">
      <sharedItems containsSemiMixedTypes="0" containsString="0" containsNumber="1" containsInteger="1" minValue="2120" maxValue="2120"/>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helsea Paschke" refreshedDate="43139.618152893519" createdVersion="4" refreshedVersion="4" minRefreshableVersion="3" recordCount="42">
  <cacheSource type="worksheet">
    <worksheetSource ref="B19:N61" sheet="40101"/>
  </cacheSource>
  <cacheFields count="13">
    <cacheField name="Full Account" numFmtId="0">
      <sharedItems/>
    </cacheField>
    <cacheField name="Date" numFmtId="14">
      <sharedItems containsSemiMixedTypes="0" containsNonDate="0" containsDate="1" containsString="0" minDate="2017-01-31T00:00:00" maxDate="2018-01-01T00:00:00"/>
    </cacheField>
    <cacheField name="Amount USD" numFmtId="40">
      <sharedItems containsSemiMixedTypes="0" containsString="0" containsNumber="1" minValue="-71201.259999999995" maxValue="75640.539999999994"/>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7">
        <s v="2120WHITLAND : PO 01323 : WHITMAN COUNTY"/>
        <s v="Disp Comm - City of Harrington"/>
        <s v="2120WHITLAND : DISPOSAL LANDFILL"/>
        <s v="2120WHITLAND : PO 00049 : WHITMAN COUNTY"/>
        <s v="WHITMAN COUNTY LANDFILL"/>
        <s v="INTEGRITY EXCAVATION~AARON LAWHEAD"/>
        <s v="VUS000014774 : DISPOSAL LANDFILL"/>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Chelsea Paschke" refreshedDate="43139.620075115738" createdVersion="4" refreshedVersion="4" minRefreshableVersion="3" recordCount="104">
  <cacheSource type="worksheet">
    <worksheetSource ref="B19:N123" sheet="40131"/>
  </cacheSource>
  <cacheFields count="13">
    <cacheField name="Full Account" numFmtId="0">
      <sharedItems/>
    </cacheField>
    <cacheField name="Date" numFmtId="14">
      <sharedItems containsSemiMixedTypes="0" containsNonDate="0" containsDate="1" containsString="0" minDate="2017-01-19T00:00:00" maxDate="2018-01-01T00:00:00"/>
    </cacheField>
    <cacheField name="Amount USD" numFmtId="40">
      <sharedItems containsSemiMixedTypes="0" containsString="0" containsNumber="1" minValue="-14142" maxValue="14142"/>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8">
        <s v="SPOKANE COUNTY SOLID WASTE"/>
        <s v="PCARD : PO 01319 : STERICYCLE : PCard"/>
        <s v="VUS000009995 : PO 00818 : SPOKANE COUNTY"/>
        <s v="STERICYCLE~AARON LAWHEAD"/>
        <s v="VUS000009995 : PO 00045 : SPOKANE COUNTY"/>
        <s v="PCARD : PO 00046 : STERICYCLE : PCard"/>
        <s v="VUS000009995 : SPOKANE TRANSFER STATION"/>
        <s v="Rvrs Dup June AP Accrual"/>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Chelsea Paschke" refreshedDate="43139.625877314815" createdVersion="4" refreshedVersion="4" minRefreshableVersion="3" recordCount="22">
  <cacheSource type="worksheet">
    <worksheetSource ref="B19:N41" sheet="40121"/>
  </cacheSource>
  <cacheFields count="13">
    <cacheField name="Full Account" numFmtId="0">
      <sharedItems/>
    </cacheField>
    <cacheField name="Date" numFmtId="14">
      <sharedItems containsSemiMixedTypes="0" containsNonDate="0" containsDate="1" containsString="0" minDate="2017-01-31T00:00:00" maxDate="2018-01-01T00:00:00"/>
    </cacheField>
    <cacheField name="Amount USD" numFmtId="40">
      <sharedItems containsSemiMixedTypes="0" containsString="0" containsNumber="1" minValue="-8236.99" maxValue="8236.99"/>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3">
        <s v="CITY OF SPOKANE"/>
        <s v="2120CITYSPOK : WASTE TO ENERGY"/>
        <s v="VUS000019834 : WASTE TO ENERGY"/>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
  <r>
    <s v="70095-2120-000-00"/>
    <d v="2017-03-15T00:00:00"/>
    <n v="40"/>
    <n v="0"/>
    <s v="USD"/>
    <s v="JRNLWA00351537"/>
    <s v="P"/>
    <s v="From Voucher Posting."/>
    <s v="JeffS"/>
    <s v="0/JE IC"/>
    <s v="2120COLROT"/>
    <m/>
    <x v="0"/>
    <d v="2017-03-06T00:00:00"/>
    <s v="DUES 3/6/2017"/>
    <s v="2017 advertising"/>
    <s v="PO-2120-17-00204"/>
    <m/>
    <m/>
    <s v="VO04229986"/>
    <s v="JRNL00836327"/>
    <n v="2195"/>
    <d v="2017-03-15T00:00:00"/>
    <d v="2017-03-15T00:00:00"/>
    <n v="40"/>
    <d v="2017-05-10T00:00:00"/>
    <s v="wci_wa"/>
    <n v="0"/>
    <n v="0"/>
    <n v="0"/>
    <n v="0"/>
    <n v="0"/>
    <n v="1"/>
    <n v="70095"/>
    <n v="2120"/>
    <n v="0"/>
    <n v="0"/>
    <m/>
    <m/>
    <m/>
    <m/>
    <s v="VO04229986"/>
  </r>
  <r>
    <s v="70095-2120-000-00"/>
    <d v="2017-03-31T00:00:00"/>
    <n v="324.89"/>
    <n v="0"/>
    <s v="USD"/>
    <s v="JRNLWA00351880"/>
    <s v="P"/>
    <s v="PCard Activity March - Western"/>
    <s v="HeatherWe"/>
    <s v="0/JE IC"/>
    <m/>
    <m/>
    <x v="1"/>
    <m/>
    <m/>
    <m/>
    <m/>
    <m/>
    <m/>
    <s v="JRNL00837651"/>
    <s v="JRNL00837651"/>
    <m/>
    <d v="2017-04-03T00:00:00"/>
    <d v="2017-04-04T00:00:00"/>
    <m/>
    <m/>
    <s v="wci_wa"/>
    <n v="0"/>
    <n v="0"/>
    <n v="0"/>
    <n v="0"/>
    <n v="0"/>
    <n v="1"/>
    <n v="70095"/>
    <n v="2120"/>
    <n v="0"/>
    <n v="0"/>
    <m/>
    <m/>
    <m/>
    <m/>
    <s v=""/>
  </r>
  <r>
    <s v="70095-2120-000-00"/>
    <d v="2017-03-31T00:00:00"/>
    <n v="299"/>
    <n v="0"/>
    <s v="USD"/>
    <s v="JRNLWA00352304"/>
    <s v="P"/>
    <s v="OPEX 13- P Card Accrual"/>
    <s v="AdamJo"/>
    <s v="0/JE IC"/>
    <m/>
    <m/>
    <x v="1"/>
    <m/>
    <m/>
    <m/>
    <m/>
    <m/>
    <m/>
    <s v="JRNL00838851"/>
    <s v="JRNL00838851"/>
    <m/>
    <d v="2017-04-06T00:00:00"/>
    <d v="2017-04-06T00:00:00"/>
    <m/>
    <m/>
    <s v="wci_wa"/>
    <n v="0"/>
    <n v="0"/>
    <n v="0"/>
    <n v="0"/>
    <n v="0"/>
    <n v="1"/>
    <n v="70095"/>
    <n v="2120"/>
    <n v="0"/>
    <n v="0"/>
    <m/>
    <m/>
    <m/>
    <m/>
    <s v=""/>
  </r>
  <r>
    <s v="70095-2120-000-00"/>
    <d v="2017-03-31T00:00:00"/>
    <n v="100"/>
    <n v="0"/>
    <s v="USD"/>
    <s v="JRNLWA00352304"/>
    <s v="P"/>
    <s v="OPEX 13- P Card Accrual"/>
    <s v="AdamJo"/>
    <s v="0/JE IC"/>
    <m/>
    <m/>
    <x v="2"/>
    <m/>
    <m/>
    <m/>
    <m/>
    <m/>
    <m/>
    <s v="JRNL00838851"/>
    <s v="JRNL00838851"/>
    <m/>
    <d v="2017-04-06T00:00:00"/>
    <d v="2017-04-06T00:00:00"/>
    <m/>
    <m/>
    <s v="wci_wa"/>
    <n v="0"/>
    <n v="0"/>
    <n v="0"/>
    <n v="0"/>
    <n v="0"/>
    <n v="1"/>
    <n v="70095"/>
    <n v="2120"/>
    <n v="0"/>
    <n v="0"/>
    <m/>
    <m/>
    <m/>
    <m/>
    <s v=""/>
  </r>
  <r>
    <s v="70095-2120-000-00"/>
    <d v="2017-04-30T00:00:00"/>
    <n v="-299"/>
    <n v="0"/>
    <s v="USD"/>
    <s v="JRNLWA00352349"/>
    <s v="P"/>
    <s v="OPEX 13- P Card Accrual"/>
    <s v="AdamJo"/>
    <s v="0/JE IC"/>
    <m/>
    <m/>
    <x v="1"/>
    <m/>
    <m/>
    <m/>
    <m/>
    <m/>
    <m/>
    <s v="JRNL00838851"/>
    <s v="JRNL00838884"/>
    <m/>
    <d v="2017-04-06T00:00:00"/>
    <d v="2017-04-06T00:00:00"/>
    <m/>
    <m/>
    <s v="wci_wa"/>
    <n v="0"/>
    <n v="0"/>
    <n v="0"/>
    <n v="0"/>
    <n v="5"/>
    <n v="1"/>
    <n v="70095"/>
    <n v="2120"/>
    <n v="0"/>
    <n v="0"/>
    <m/>
    <m/>
    <m/>
    <m/>
    <s v=""/>
  </r>
  <r>
    <s v="70095-2120-000-00"/>
    <d v="2017-04-30T00:00:00"/>
    <n v="-100"/>
    <n v="0"/>
    <s v="USD"/>
    <s v="JRNLWA00352349"/>
    <s v="P"/>
    <s v="OPEX 13- P Card Accrual"/>
    <s v="AdamJo"/>
    <s v="0/JE IC"/>
    <m/>
    <m/>
    <x v="2"/>
    <m/>
    <m/>
    <m/>
    <m/>
    <m/>
    <m/>
    <s v="JRNL00838851"/>
    <s v="JRNL00838884"/>
    <m/>
    <d v="2017-04-06T00:00:00"/>
    <d v="2017-04-06T00:00:00"/>
    <m/>
    <m/>
    <s v="wci_wa"/>
    <n v="0"/>
    <n v="0"/>
    <n v="0"/>
    <n v="0"/>
    <n v="5"/>
    <n v="1"/>
    <n v="70095"/>
    <n v="2120"/>
    <n v="0"/>
    <n v="0"/>
    <m/>
    <m/>
    <m/>
    <m/>
    <s v=""/>
  </r>
  <r>
    <s v="70095-2120-000-00"/>
    <d v="2017-04-30T00:00:00"/>
    <n v="299"/>
    <n v="0"/>
    <s v="USD"/>
    <s v="JRNLWA00353598"/>
    <s v="P"/>
    <s v="PCard Activity April - Western"/>
    <s v="HeatherWe"/>
    <s v="0/JE IC"/>
    <m/>
    <m/>
    <x v="1"/>
    <m/>
    <m/>
    <m/>
    <m/>
    <m/>
    <m/>
    <s v="JRNL00841892"/>
    <s v="JRNL00841892"/>
    <m/>
    <d v="2017-05-02T00:00:00"/>
    <d v="2017-05-03T00:00:00"/>
    <m/>
    <m/>
    <s v="wci_wa"/>
    <n v="0"/>
    <n v="0"/>
    <n v="0"/>
    <n v="0"/>
    <n v="0"/>
    <n v="1"/>
    <n v="70095"/>
    <n v="2120"/>
    <n v="0"/>
    <n v="0"/>
    <m/>
    <m/>
    <m/>
    <m/>
    <s v=""/>
  </r>
  <r>
    <s v="70095-2120-000-00"/>
    <d v="2017-04-30T00:00:00"/>
    <n v="100"/>
    <n v="0"/>
    <s v="USD"/>
    <s v="JRNLWA00353598"/>
    <s v="P"/>
    <s v="PCard Activity April - Western"/>
    <s v="HeatherWe"/>
    <s v="0/JE IC"/>
    <m/>
    <m/>
    <x v="2"/>
    <m/>
    <m/>
    <m/>
    <m/>
    <m/>
    <m/>
    <s v="JRNL00841892"/>
    <s v="JRNL00841892"/>
    <m/>
    <d v="2017-05-02T00:00:00"/>
    <d v="2017-05-03T00:00:00"/>
    <m/>
    <m/>
    <s v="wci_wa"/>
    <n v="0"/>
    <n v="0"/>
    <n v="0"/>
    <n v="0"/>
    <n v="0"/>
    <n v="1"/>
    <n v="70095"/>
    <n v="2120"/>
    <n v="0"/>
    <n v="0"/>
    <m/>
    <m/>
    <m/>
    <m/>
    <s v=""/>
  </r>
  <r>
    <s v="70095-2120-000-00"/>
    <d v="2017-04-30T00:00:00"/>
    <n v="7.99"/>
    <n v="0"/>
    <s v="USD"/>
    <s v="JRNLWA00353598"/>
    <s v="P"/>
    <s v="PCard Activity April - Western"/>
    <s v="HeatherWe"/>
    <s v="0/JE IC"/>
    <m/>
    <m/>
    <x v="3"/>
    <m/>
    <m/>
    <m/>
    <m/>
    <m/>
    <m/>
    <s v="JRNL00841892"/>
    <s v="JRNL00841892"/>
    <m/>
    <d v="2017-05-02T00:00:00"/>
    <d v="2017-05-03T00:00:00"/>
    <m/>
    <m/>
    <s v="wci_wa"/>
    <n v="0"/>
    <n v="0"/>
    <n v="0"/>
    <n v="0"/>
    <n v="0"/>
    <n v="1"/>
    <n v="70095"/>
    <n v="2120"/>
    <n v="0"/>
    <n v="0"/>
    <m/>
    <m/>
    <m/>
    <m/>
    <s v=""/>
  </r>
  <r>
    <s v="70095-2120-000-00"/>
    <d v="2017-06-30T00:00:00"/>
    <n v="10.38"/>
    <n v="0"/>
    <s v="USD"/>
    <s v="JRNLWA00356562"/>
    <s v="P"/>
    <s v="PCard Activity June - Western"/>
    <s v="HeatherWe"/>
    <s v="0/JE IC"/>
    <m/>
    <m/>
    <x v="3"/>
    <m/>
    <m/>
    <m/>
    <m/>
    <m/>
    <m/>
    <s v="JRNL00849664"/>
    <s v="JRNL00849664"/>
    <m/>
    <d v="2017-07-05T00:00:00"/>
    <d v="2017-07-06T00:00:00"/>
    <m/>
    <m/>
    <s v="wci_wa"/>
    <n v="0"/>
    <n v="0"/>
    <n v="0"/>
    <n v="0"/>
    <n v="0"/>
    <n v="1"/>
    <n v="70095"/>
    <n v="2120"/>
    <n v="0"/>
    <n v="0"/>
    <m/>
    <m/>
    <m/>
    <m/>
    <s v=""/>
  </r>
  <r>
    <s v="70095-2120-000-00"/>
    <d v="2017-06-30T00:00:00"/>
    <n v="20.22"/>
    <n v="0"/>
    <s v="USD"/>
    <s v="JRNLWA00356562"/>
    <s v="P"/>
    <s v="PCard Activity June - Western"/>
    <s v="HeatherWe"/>
    <s v="0/JE IC"/>
    <m/>
    <m/>
    <x v="4"/>
    <m/>
    <m/>
    <m/>
    <m/>
    <m/>
    <m/>
    <s v="JRNL00849664"/>
    <s v="JRNL00849664"/>
    <m/>
    <d v="2017-07-05T00:00:00"/>
    <d v="2017-07-06T00:00:00"/>
    <m/>
    <m/>
    <s v="wci_wa"/>
    <n v="0"/>
    <n v="0"/>
    <n v="0"/>
    <n v="0"/>
    <n v="0"/>
    <n v="1"/>
    <n v="70095"/>
    <n v="2120"/>
    <n v="0"/>
    <n v="0"/>
    <m/>
    <m/>
    <m/>
    <m/>
    <s v=""/>
  </r>
  <r>
    <s v="70095-2120-000-00"/>
    <d v="2017-06-30T00:00:00"/>
    <n v="3717.48"/>
    <n v="0"/>
    <s v="USD"/>
    <s v="JRNLWA00356562"/>
    <s v="P"/>
    <s v="PCard Activity June - Western"/>
    <s v="HeatherWe"/>
    <s v="0/JE IC"/>
    <m/>
    <m/>
    <x v="5"/>
    <m/>
    <m/>
    <m/>
    <m/>
    <m/>
    <m/>
    <s v="JRNL00849664"/>
    <s v="JRNL00849664"/>
    <m/>
    <d v="2017-07-05T00:00:00"/>
    <d v="2017-07-06T00:00:00"/>
    <m/>
    <m/>
    <s v="wci_wa"/>
    <n v="0"/>
    <n v="0"/>
    <n v="0"/>
    <n v="0"/>
    <n v="0"/>
    <n v="1"/>
    <n v="70095"/>
    <n v="2120"/>
    <n v="0"/>
    <n v="0"/>
    <m/>
    <m/>
    <m/>
    <m/>
    <s v=""/>
  </r>
  <r>
    <s v="70095-2120-000-00"/>
    <d v="2017-06-30T00:00:00"/>
    <n v="146.38999999999999"/>
    <n v="0"/>
    <s v="USD"/>
    <s v="JRNLWA00356562"/>
    <s v="P"/>
    <s v="PCard Activity June - Western"/>
    <s v="HeatherWe"/>
    <s v="0/JE IC"/>
    <m/>
    <m/>
    <x v="6"/>
    <m/>
    <m/>
    <m/>
    <m/>
    <m/>
    <m/>
    <s v="JRNL00849664"/>
    <s v="JRNL00849664"/>
    <m/>
    <d v="2017-07-05T00:00:00"/>
    <d v="2017-07-06T00:00:00"/>
    <m/>
    <m/>
    <s v="wci_wa"/>
    <n v="0"/>
    <n v="0"/>
    <n v="0"/>
    <n v="0"/>
    <n v="0"/>
    <n v="1"/>
    <n v="70095"/>
    <n v="2120"/>
    <n v="0"/>
    <n v="0"/>
    <m/>
    <m/>
    <m/>
    <m/>
    <s v=""/>
  </r>
  <r>
    <s v="70095-2120-000-00"/>
    <d v="2017-06-30T00:00:00"/>
    <n v="-3717.48"/>
    <n v="0"/>
    <s v="USD"/>
    <s v="JRNLWA00357067"/>
    <s v="P"/>
    <s v="MISC5-Reclass Jet Boat Prepaym"/>
    <s v="BrianBr"/>
    <s v="1/JE STD"/>
    <m/>
    <m/>
    <x v="7"/>
    <m/>
    <m/>
    <m/>
    <m/>
    <m/>
    <m/>
    <s v="JRNLWA00357067"/>
    <m/>
    <m/>
    <d v="2017-07-10T00:00:00"/>
    <d v="2017-07-10T00:00:00"/>
    <m/>
    <m/>
    <s v="wci_wa"/>
    <n v="1"/>
    <n v="0"/>
    <n v="0"/>
    <n v="0"/>
    <n v="0"/>
    <n v="1"/>
    <n v="70095"/>
    <n v="2120"/>
    <n v="0"/>
    <n v="0"/>
    <m/>
    <m/>
    <m/>
    <m/>
    <s v=""/>
  </r>
  <r>
    <s v="70095-2120-000-00"/>
    <d v="2017-07-31T00:00:00"/>
    <n v="3717.48"/>
    <n v="0"/>
    <s v="USD"/>
    <s v="JRNLWA00357076"/>
    <s v="P"/>
    <s v="MISC5-Reclass Jet Boat Prepaym"/>
    <s v="BrianBr"/>
    <s v="0/REVERSE"/>
    <m/>
    <m/>
    <x v="7"/>
    <m/>
    <m/>
    <m/>
    <m/>
    <m/>
    <m/>
    <s v="JRNLWA00357067"/>
    <m/>
    <m/>
    <d v="2017-07-10T00:00:00"/>
    <d v="2017-07-10T00:00:00"/>
    <m/>
    <m/>
    <s v="wci_wa"/>
    <n v="0"/>
    <n v="0"/>
    <n v="0"/>
    <n v="0"/>
    <n v="5"/>
    <n v="1"/>
    <n v="70095"/>
    <n v="2120"/>
    <n v="0"/>
    <n v="0"/>
    <m/>
    <m/>
    <m/>
    <m/>
    <s v=""/>
  </r>
  <r>
    <s v="70095-2120-000-00"/>
    <d v="2017-07-31T00:00:00"/>
    <n v="86.23"/>
    <n v="0"/>
    <s v="USD"/>
    <s v="JRNLWA00358110"/>
    <s v="P"/>
    <s v="PCard Activity July - Western"/>
    <s v="HeatherWe"/>
    <s v="0/JE IC"/>
    <m/>
    <m/>
    <x v="8"/>
    <m/>
    <m/>
    <m/>
    <m/>
    <m/>
    <m/>
    <s v="JRNL00853023"/>
    <s v="JRNL00853023"/>
    <m/>
    <d v="2017-08-01T00:00:00"/>
    <d v="2017-08-02T00:00:00"/>
    <m/>
    <m/>
    <s v="wci_wa"/>
    <n v="0"/>
    <n v="0"/>
    <n v="0"/>
    <n v="0"/>
    <n v="0"/>
    <n v="1"/>
    <n v="70095"/>
    <n v="2120"/>
    <n v="0"/>
    <n v="0"/>
    <m/>
    <m/>
    <m/>
    <m/>
    <s v=""/>
  </r>
  <r>
    <s v="70095-2120-000-00"/>
    <d v="2017-07-31T00:00:00"/>
    <n v="216.86"/>
    <n v="0"/>
    <s v="USD"/>
    <s v="JRNLWA00358110"/>
    <s v="P"/>
    <s v="PCard Activity July - Western"/>
    <s v="HeatherWe"/>
    <s v="0/JE IC"/>
    <m/>
    <m/>
    <x v="9"/>
    <m/>
    <m/>
    <m/>
    <m/>
    <m/>
    <m/>
    <s v="JRNL00853023"/>
    <s v="JRNL00853023"/>
    <m/>
    <d v="2017-08-01T00:00:00"/>
    <d v="2017-08-02T00:00:00"/>
    <m/>
    <m/>
    <s v="wci_wa"/>
    <n v="0"/>
    <n v="0"/>
    <n v="0"/>
    <n v="0"/>
    <n v="0"/>
    <n v="1"/>
    <n v="70095"/>
    <n v="2120"/>
    <n v="0"/>
    <n v="0"/>
    <m/>
    <m/>
    <m/>
    <m/>
    <s v=""/>
  </r>
  <r>
    <s v="70095-2120-000-00"/>
    <d v="2017-07-31T00:00:00"/>
    <n v="9.8699999999999992"/>
    <n v="0"/>
    <s v="USD"/>
    <s v="JRNLWA00358110"/>
    <s v="P"/>
    <s v="PCard Activity July - Western"/>
    <s v="HeatherWe"/>
    <s v="0/JE IC"/>
    <m/>
    <m/>
    <x v="3"/>
    <m/>
    <m/>
    <m/>
    <m/>
    <m/>
    <m/>
    <s v="JRNL00853023"/>
    <s v="JRNL00853023"/>
    <m/>
    <d v="2017-08-01T00:00:00"/>
    <d v="2017-08-02T00:00:00"/>
    <m/>
    <m/>
    <s v="wci_wa"/>
    <n v="0"/>
    <n v="0"/>
    <n v="0"/>
    <n v="0"/>
    <n v="0"/>
    <n v="1"/>
    <n v="70095"/>
    <n v="2120"/>
    <n v="0"/>
    <n v="0"/>
    <m/>
    <m/>
    <m/>
    <m/>
    <s v=""/>
  </r>
  <r>
    <s v="70095-2120-000-00"/>
    <d v="2017-07-31T00:00:00"/>
    <n v="69.52"/>
    <n v="0"/>
    <s v="USD"/>
    <s v="JRNLWA00358110"/>
    <s v="P"/>
    <s v="PCard Activity July - Western"/>
    <s v="HeatherWe"/>
    <s v="0/JE IC"/>
    <m/>
    <m/>
    <x v="3"/>
    <m/>
    <m/>
    <m/>
    <m/>
    <m/>
    <m/>
    <s v="JRNL00853023"/>
    <s v="JRNL00853023"/>
    <m/>
    <d v="2017-08-01T00:00:00"/>
    <d v="2017-08-02T00:00:00"/>
    <m/>
    <m/>
    <s v="wci_wa"/>
    <n v="0"/>
    <n v="0"/>
    <n v="0"/>
    <n v="0"/>
    <n v="0"/>
    <n v="1"/>
    <n v="70095"/>
    <n v="2120"/>
    <n v="0"/>
    <n v="0"/>
    <m/>
    <m/>
    <m/>
    <m/>
    <s v=""/>
  </r>
  <r>
    <s v="70095-2120-000-00"/>
    <d v="2017-07-31T00:00:00"/>
    <n v="15.98"/>
    <n v="0"/>
    <s v="USD"/>
    <s v="JRNLWA00358110"/>
    <s v="P"/>
    <s v="PCard Activity July - Western"/>
    <s v="HeatherWe"/>
    <s v="0/JE IC"/>
    <m/>
    <m/>
    <x v="3"/>
    <m/>
    <m/>
    <m/>
    <m/>
    <m/>
    <m/>
    <s v="JRNL00853023"/>
    <s v="JRNL00853023"/>
    <m/>
    <d v="2017-08-01T00:00:00"/>
    <d v="2017-08-02T00:00:00"/>
    <m/>
    <m/>
    <s v="wci_wa"/>
    <n v="0"/>
    <n v="0"/>
    <n v="0"/>
    <n v="0"/>
    <n v="0"/>
    <n v="1"/>
    <n v="70095"/>
    <n v="2120"/>
    <n v="0"/>
    <n v="0"/>
    <m/>
    <m/>
    <m/>
    <m/>
    <s v=""/>
  </r>
  <r>
    <s v="70095-2120-000-00"/>
    <d v="2017-07-31T00:00:00"/>
    <n v="157.13999999999999"/>
    <n v="0"/>
    <s v="USD"/>
    <s v="JRNLWA00358776"/>
    <s v="P"/>
    <s v="OPEX14- AP and Exp Report Accr"/>
    <s v="HeatherWe"/>
    <s v="0/JE IC"/>
    <m/>
    <m/>
    <x v="10"/>
    <m/>
    <m/>
    <m/>
    <m/>
    <m/>
    <m/>
    <s v="JRNL00854579"/>
    <s v="JRNL00854579"/>
    <m/>
    <d v="2017-08-04T00:00:00"/>
    <d v="2017-08-07T00:00:00"/>
    <m/>
    <m/>
    <s v="wci_wa"/>
    <n v="0"/>
    <n v="0"/>
    <n v="0"/>
    <n v="0"/>
    <n v="0"/>
    <n v="1"/>
    <n v="70095"/>
    <n v="2120"/>
    <n v="0"/>
    <n v="0"/>
    <m/>
    <m/>
    <m/>
    <m/>
    <s v=""/>
  </r>
  <r>
    <s v="70095-2120-000-00"/>
    <d v="2017-07-31T00:00:00"/>
    <n v="134.4"/>
    <n v="0"/>
    <s v="USD"/>
    <s v="JRNLWA00358776"/>
    <s v="P"/>
    <s v="OPEX14- AP and Exp Report Accr"/>
    <s v="HeatherWe"/>
    <s v="0/JE IC"/>
    <m/>
    <m/>
    <x v="11"/>
    <m/>
    <m/>
    <m/>
    <m/>
    <m/>
    <m/>
    <s v="JRNL00854579"/>
    <s v="JRNL00854579"/>
    <m/>
    <d v="2017-08-04T00:00:00"/>
    <d v="2017-08-07T00:00:00"/>
    <m/>
    <m/>
    <s v="wci_wa"/>
    <n v="0"/>
    <n v="0"/>
    <n v="0"/>
    <n v="0"/>
    <n v="0"/>
    <n v="1"/>
    <n v="70095"/>
    <n v="2120"/>
    <n v="0"/>
    <n v="0"/>
    <m/>
    <m/>
    <m/>
    <m/>
    <s v=""/>
  </r>
  <r>
    <s v="70095-2120-000-00"/>
    <d v="2017-07-31T00:00:00"/>
    <n v="114.53"/>
    <n v="0"/>
    <s v="USD"/>
    <s v="JRNLWA00358776"/>
    <s v="P"/>
    <s v="OPEX14- AP and Exp Report Accr"/>
    <s v="HeatherWe"/>
    <s v="0/JE IC"/>
    <m/>
    <m/>
    <x v="12"/>
    <m/>
    <m/>
    <m/>
    <m/>
    <m/>
    <m/>
    <s v="JRNL00854579"/>
    <s v="JRNL00854579"/>
    <m/>
    <d v="2017-08-04T00:00:00"/>
    <d v="2017-08-07T00:00:00"/>
    <m/>
    <m/>
    <s v="wci_wa"/>
    <n v="0"/>
    <n v="0"/>
    <n v="0"/>
    <n v="0"/>
    <n v="0"/>
    <n v="1"/>
    <n v="70095"/>
    <n v="2120"/>
    <n v="0"/>
    <n v="0"/>
    <m/>
    <m/>
    <m/>
    <m/>
    <s v=""/>
  </r>
  <r>
    <s v="70095-2120-000-00"/>
    <d v="2017-08-07T00:00:00"/>
    <n v="114.53"/>
    <n v="0"/>
    <s v="USD"/>
    <s v="JRNLWA00358951"/>
    <s v="P"/>
    <s v="From Voucher Posting."/>
    <s v="JeffS"/>
    <s v="0/JE IC"/>
    <s v="2120ALAWHEAD"/>
    <m/>
    <x v="13"/>
    <d v="2017-07-25T00:00:00"/>
    <m/>
    <s v="7/1-7/31/2017"/>
    <m/>
    <m/>
    <m/>
    <s v="VO04371246"/>
    <s v="JRNL00855039"/>
    <n v="2120"/>
    <d v="2017-08-07T00:00:00"/>
    <d v="2017-08-07T00:00:00"/>
    <n v="1931.93"/>
    <d v="2017-07-26T00:00:00"/>
    <s v="wci_wa"/>
    <n v="0"/>
    <n v="0"/>
    <n v="0"/>
    <n v="0"/>
    <n v="0"/>
    <n v="1"/>
    <n v="70095"/>
    <n v="2120"/>
    <n v="0"/>
    <n v="0"/>
    <m/>
    <m/>
    <m/>
    <m/>
    <s v="VO04371246"/>
  </r>
  <r>
    <s v="70095-2120-000-00"/>
    <d v="2017-08-07T00:00:00"/>
    <n v="134.4"/>
    <n v="0"/>
    <s v="USD"/>
    <s v="JRNLWA00358951"/>
    <s v="P"/>
    <s v="From Voucher Posting."/>
    <s v="JeffS"/>
    <s v="0/JE IC"/>
    <s v="2120ALAWHEAD"/>
    <m/>
    <x v="13"/>
    <d v="2017-07-25T00:00:00"/>
    <m/>
    <s v="7/1-7/31/2017"/>
    <m/>
    <m/>
    <m/>
    <s v="VO04371246"/>
    <s v="JRNL00855039"/>
    <n v="2120"/>
    <d v="2017-08-07T00:00:00"/>
    <d v="2017-08-07T00:00:00"/>
    <n v="1931.93"/>
    <d v="2017-07-26T00:00:00"/>
    <s v="wci_wa"/>
    <n v="0"/>
    <n v="0"/>
    <n v="0"/>
    <n v="0"/>
    <n v="0"/>
    <n v="1"/>
    <n v="70095"/>
    <n v="2120"/>
    <n v="0"/>
    <n v="0"/>
    <m/>
    <m/>
    <m/>
    <m/>
    <s v="VO04371246"/>
  </r>
  <r>
    <s v="70095-2120-000-00"/>
    <d v="2017-08-07T00:00:00"/>
    <n v="157.13999999999999"/>
    <n v="0"/>
    <s v="USD"/>
    <s v="JRNLWA00358951"/>
    <s v="P"/>
    <s v="From Voucher Posting."/>
    <s v="JeffS"/>
    <s v="0/JE IC"/>
    <s v="2120ALAWHEAD"/>
    <m/>
    <x v="13"/>
    <d v="2017-07-25T00:00:00"/>
    <m/>
    <s v="7/1-7/31/2017"/>
    <m/>
    <m/>
    <m/>
    <s v="VO04371246"/>
    <s v="JRNL00855039"/>
    <n v="2120"/>
    <d v="2017-08-07T00:00:00"/>
    <d v="2017-08-07T00:00:00"/>
    <n v="1931.93"/>
    <d v="2017-07-26T00:00:00"/>
    <s v="wci_wa"/>
    <n v="0"/>
    <n v="0"/>
    <n v="0"/>
    <n v="0"/>
    <n v="0"/>
    <n v="1"/>
    <n v="70095"/>
    <n v="2120"/>
    <n v="0"/>
    <n v="0"/>
    <m/>
    <m/>
    <m/>
    <m/>
    <s v="VO04371246"/>
  </r>
  <r>
    <s v="70095-2120-000-00"/>
    <d v="2017-08-31T00:00:00"/>
    <n v="-157.13999999999999"/>
    <n v="0"/>
    <s v="USD"/>
    <s v="JRNLWA00358839"/>
    <s v="P"/>
    <s v="OPEX14- AP and Exp Report Accr"/>
    <s v="HeatherWe"/>
    <s v="0/JE IC"/>
    <m/>
    <m/>
    <x v="10"/>
    <m/>
    <m/>
    <m/>
    <m/>
    <m/>
    <m/>
    <s v="JRNL00854579"/>
    <s v="JRNL00854693"/>
    <m/>
    <d v="2017-08-07T00:00:00"/>
    <d v="2017-08-07T00:00:00"/>
    <m/>
    <m/>
    <s v="wci_wa"/>
    <n v="0"/>
    <n v="0"/>
    <n v="0"/>
    <n v="0"/>
    <n v="5"/>
    <n v="1"/>
    <n v="70095"/>
    <n v="2120"/>
    <n v="0"/>
    <n v="0"/>
    <m/>
    <m/>
    <m/>
    <m/>
    <s v=""/>
  </r>
  <r>
    <s v="70095-2120-000-00"/>
    <d v="2017-08-31T00:00:00"/>
    <n v="-134.4"/>
    <n v="0"/>
    <s v="USD"/>
    <s v="JRNLWA00358839"/>
    <s v="P"/>
    <s v="OPEX14- AP and Exp Report Accr"/>
    <s v="HeatherWe"/>
    <s v="0/JE IC"/>
    <m/>
    <m/>
    <x v="11"/>
    <m/>
    <m/>
    <m/>
    <m/>
    <m/>
    <m/>
    <s v="JRNL00854579"/>
    <s v="JRNL00854693"/>
    <m/>
    <d v="2017-08-07T00:00:00"/>
    <d v="2017-08-07T00:00:00"/>
    <m/>
    <m/>
    <s v="wci_wa"/>
    <n v="0"/>
    <n v="0"/>
    <n v="0"/>
    <n v="0"/>
    <n v="5"/>
    <n v="1"/>
    <n v="70095"/>
    <n v="2120"/>
    <n v="0"/>
    <n v="0"/>
    <m/>
    <m/>
    <m/>
    <m/>
    <s v=""/>
  </r>
  <r>
    <s v="70095-2120-000-00"/>
    <d v="2017-08-31T00:00:00"/>
    <n v="-114.53"/>
    <n v="0"/>
    <s v="USD"/>
    <s v="JRNLWA00358839"/>
    <s v="P"/>
    <s v="OPEX14- AP and Exp Report Accr"/>
    <s v="HeatherWe"/>
    <s v="0/JE IC"/>
    <m/>
    <m/>
    <x v="12"/>
    <m/>
    <m/>
    <m/>
    <m/>
    <m/>
    <m/>
    <s v="JRNL00854579"/>
    <s v="JRNL00854693"/>
    <m/>
    <d v="2017-08-07T00:00:00"/>
    <d v="2017-08-07T00:00:00"/>
    <m/>
    <m/>
    <s v="wci_wa"/>
    <n v="0"/>
    <n v="0"/>
    <n v="0"/>
    <n v="0"/>
    <n v="5"/>
    <n v="1"/>
    <n v="70095"/>
    <n v="2120"/>
    <n v="0"/>
    <n v="0"/>
    <m/>
    <m/>
    <m/>
    <m/>
    <s v=""/>
  </r>
  <r>
    <s v="70095-2120-000-00"/>
    <d v="2017-08-31T00:00:00"/>
    <n v="140.16999999999999"/>
    <n v="0"/>
    <s v="USD"/>
    <s v="JRNLWA00359794"/>
    <s v="P"/>
    <s v="PCard Activity - Aug - Western"/>
    <s v="HeatherWe"/>
    <s v="0/JE IC"/>
    <m/>
    <m/>
    <x v="3"/>
    <m/>
    <m/>
    <m/>
    <m/>
    <m/>
    <m/>
    <s v="JRNL00857227"/>
    <s v="JRNL00857227"/>
    <m/>
    <d v="2017-09-05T00:00:00"/>
    <d v="2017-09-06T00:00:00"/>
    <m/>
    <m/>
    <s v="wci_wa"/>
    <n v="0"/>
    <n v="0"/>
    <n v="0"/>
    <n v="0"/>
    <n v="0"/>
    <n v="1"/>
    <n v="70095"/>
    <n v="2120"/>
    <n v="0"/>
    <n v="0"/>
    <m/>
    <m/>
    <m/>
    <m/>
    <s v=""/>
  </r>
  <r>
    <s v="70095-2120-000-00"/>
    <d v="2017-08-31T00:00:00"/>
    <n v="644.55999999999995"/>
    <n v="0"/>
    <s v="USD"/>
    <s v="JRNLWA00359794"/>
    <s v="P"/>
    <s v="PCard Activity - Aug - Western"/>
    <s v="HeatherWe"/>
    <s v="0/JE IC"/>
    <m/>
    <m/>
    <x v="14"/>
    <m/>
    <m/>
    <m/>
    <m/>
    <m/>
    <m/>
    <s v="JRNL00857227"/>
    <s v="JRNL00857227"/>
    <m/>
    <d v="2017-09-05T00:00:00"/>
    <d v="2017-09-06T00:00:00"/>
    <m/>
    <m/>
    <s v="wci_wa"/>
    <n v="0"/>
    <n v="0"/>
    <n v="0"/>
    <n v="0"/>
    <n v="0"/>
    <n v="1"/>
    <n v="70095"/>
    <n v="2120"/>
    <n v="0"/>
    <n v="0"/>
    <m/>
    <m/>
    <m/>
    <m/>
    <s v=""/>
  </r>
  <r>
    <s v="70095-2120-000-00"/>
    <d v="2017-08-31T00:00:00"/>
    <n v="98.18"/>
    <n v="0"/>
    <s v="USD"/>
    <s v="JRNLWA00359794"/>
    <s v="P"/>
    <s v="PCard Activity - Aug - Western"/>
    <s v="HeatherWe"/>
    <s v="0/JE IC"/>
    <m/>
    <m/>
    <x v="15"/>
    <m/>
    <m/>
    <m/>
    <m/>
    <m/>
    <m/>
    <s v="JRNL00857227"/>
    <s v="JRNL00857227"/>
    <m/>
    <d v="2017-09-05T00:00:00"/>
    <d v="2017-09-06T00:00:00"/>
    <m/>
    <m/>
    <s v="wci_wa"/>
    <n v="0"/>
    <n v="0"/>
    <n v="0"/>
    <n v="0"/>
    <n v="0"/>
    <n v="1"/>
    <n v="70095"/>
    <n v="2120"/>
    <n v="0"/>
    <n v="0"/>
    <m/>
    <m/>
    <m/>
    <m/>
    <s v=""/>
  </r>
  <r>
    <s v="70095-2120-000-00"/>
    <d v="2017-08-31T00:00:00"/>
    <n v="101.23"/>
    <n v="0"/>
    <s v="USD"/>
    <s v="JRNLWA00359794"/>
    <s v="P"/>
    <s v="PCard Activity - Aug - Western"/>
    <s v="HeatherWe"/>
    <s v="0/JE IC"/>
    <m/>
    <m/>
    <x v="16"/>
    <m/>
    <m/>
    <m/>
    <m/>
    <m/>
    <m/>
    <s v="JRNL00857227"/>
    <s v="JRNL00857227"/>
    <m/>
    <d v="2017-09-05T00:00:00"/>
    <d v="2017-09-06T00:00:00"/>
    <m/>
    <m/>
    <s v="wci_wa"/>
    <n v="0"/>
    <n v="0"/>
    <n v="0"/>
    <n v="0"/>
    <n v="0"/>
    <n v="1"/>
    <n v="70095"/>
    <n v="2120"/>
    <n v="0"/>
    <n v="0"/>
    <m/>
    <m/>
    <m/>
    <m/>
    <s v=""/>
  </r>
  <r>
    <s v="70095-2120-000-00"/>
    <d v="2017-10-31T00:00:00"/>
    <n v="56.01"/>
    <n v="0"/>
    <s v="USD"/>
    <s v="JRNLWA00362909"/>
    <s v="P"/>
    <s v="Western PCard Activity - Oct"/>
    <s v="HeatherWe"/>
    <s v="0/JE IC"/>
    <m/>
    <m/>
    <x v="17"/>
    <m/>
    <m/>
    <m/>
    <m/>
    <m/>
    <m/>
    <s v="JRNL00864546"/>
    <s v="JRNL00864546"/>
    <m/>
    <d v="2017-11-03T00:00:00"/>
    <d v="2017-11-03T00:00:00"/>
    <m/>
    <m/>
    <s v="wci_wa"/>
    <n v="0"/>
    <n v="0"/>
    <n v="0"/>
    <n v="0"/>
    <n v="0"/>
    <n v="1"/>
    <n v="70095"/>
    <n v="2120"/>
    <n v="0"/>
    <n v="0"/>
    <m/>
    <m/>
    <m/>
    <m/>
    <s v=""/>
  </r>
  <r>
    <s v="70095-2120-000-00"/>
    <d v="2017-10-31T00:00:00"/>
    <n v="300"/>
    <n v="0"/>
    <s v="USD"/>
    <s v="JRNLWA00362909"/>
    <s v="P"/>
    <s v="Western PCard Activity - Oct"/>
    <s v="HeatherWe"/>
    <s v="0/JE IC"/>
    <m/>
    <m/>
    <x v="1"/>
    <m/>
    <m/>
    <m/>
    <m/>
    <m/>
    <m/>
    <s v="JRNL00864546"/>
    <s v="JRNL00864546"/>
    <m/>
    <d v="2017-11-03T00:00:00"/>
    <d v="2017-11-03T00:00:00"/>
    <m/>
    <m/>
    <s v="wci_wa"/>
    <n v="0"/>
    <n v="0"/>
    <n v="0"/>
    <n v="0"/>
    <n v="0"/>
    <n v="1"/>
    <n v="70095"/>
    <n v="2120"/>
    <n v="0"/>
    <n v="0"/>
    <m/>
    <m/>
    <m/>
    <m/>
    <s v=""/>
  </r>
  <r>
    <s v="70095-2120-000-00"/>
    <d v="2017-11-30T00:00:00"/>
    <n v="165.23"/>
    <n v="0"/>
    <s v="USD"/>
    <s v="JRNLWA00364391"/>
    <s v="P"/>
    <s v="Western PCard Activity - Nov"/>
    <s v="AlexandraP"/>
    <s v="0/JE IC"/>
    <m/>
    <m/>
    <x v="3"/>
    <m/>
    <m/>
    <m/>
    <m/>
    <m/>
    <m/>
    <s v="JRNL00867895"/>
    <s v="JRNL00867895"/>
    <m/>
    <d v="2017-12-04T00:00:00"/>
    <d v="2017-12-04T00:00:00"/>
    <m/>
    <m/>
    <s v="wci_wa"/>
    <n v="0"/>
    <n v="0"/>
    <n v="0"/>
    <n v="0"/>
    <n v="0"/>
    <n v="1"/>
    <n v="70095"/>
    <n v="2120"/>
    <n v="0"/>
    <n v="0"/>
    <m/>
    <m/>
    <m/>
    <m/>
    <s v=""/>
  </r>
  <r>
    <s v="70095-2120-000-00"/>
    <d v="2017-11-30T00:00:00"/>
    <n v="317.12"/>
    <n v="0"/>
    <s v="USD"/>
    <s v="JRNLWA00364900"/>
    <s v="P"/>
    <s v="OPEX 13- P Card Accrual"/>
    <s v="MimiS"/>
    <s v="0/JE IC"/>
    <m/>
    <m/>
    <x v="1"/>
    <m/>
    <m/>
    <m/>
    <m/>
    <m/>
    <m/>
    <s v="JRNL00868978"/>
    <s v="JRNL00868978"/>
    <m/>
    <d v="2017-12-06T00:00:00"/>
    <d v="2017-12-06T00:00:00"/>
    <m/>
    <m/>
    <s v="wci_wa"/>
    <n v="0"/>
    <n v="0"/>
    <n v="0"/>
    <n v="0"/>
    <n v="0"/>
    <n v="1"/>
    <n v="70095"/>
    <n v="2120"/>
    <n v="0"/>
    <n v="0"/>
    <m/>
    <m/>
    <m/>
    <m/>
    <s v=""/>
  </r>
  <r>
    <s v="70095-2120-000-00"/>
    <d v="2017-12-31T00:00:00"/>
    <n v="-317.12"/>
    <n v="0"/>
    <s v="USD"/>
    <s v="JRNLWA00364931"/>
    <s v="P"/>
    <s v="OPEX 13- P Card Accrual"/>
    <s v="MimiS"/>
    <s v="0/JE IC"/>
    <m/>
    <m/>
    <x v="1"/>
    <m/>
    <m/>
    <m/>
    <m/>
    <m/>
    <m/>
    <s v="JRNL00868978"/>
    <s v="JRNL00869028"/>
    <m/>
    <d v="2017-12-06T00:00:00"/>
    <d v="2017-12-06T00:00:00"/>
    <m/>
    <m/>
    <s v="wci_wa"/>
    <n v="0"/>
    <n v="0"/>
    <n v="0"/>
    <n v="0"/>
    <n v="5"/>
    <n v="1"/>
    <n v="70095"/>
    <n v="2120"/>
    <n v="0"/>
    <n v="0"/>
    <m/>
    <m/>
    <m/>
    <m/>
    <s v=""/>
  </r>
  <r>
    <s v="70095-2120-000-00"/>
    <d v="2017-12-31T00:00:00"/>
    <n v="317.12"/>
    <n v="0"/>
    <s v="USD"/>
    <s v="JRNLWA00365961"/>
    <s v="P"/>
    <s v="Wester PCard Activity - Dec"/>
    <s v="AlexandraP"/>
    <s v="0/JE IC"/>
    <m/>
    <m/>
    <x v="1"/>
    <m/>
    <m/>
    <m/>
    <m/>
    <m/>
    <m/>
    <s v="JRNL00871495"/>
    <s v="JRNL00871495"/>
    <m/>
    <d v="2018-01-03T00:00:00"/>
    <d v="2018-01-03T00:00:00"/>
    <m/>
    <m/>
    <s v="wci_wa"/>
    <n v="0"/>
    <n v="0"/>
    <n v="0"/>
    <n v="0"/>
    <n v="0"/>
    <n v="1"/>
    <n v="70095"/>
    <n v="2120"/>
    <n v="0"/>
    <n v="0"/>
    <m/>
    <m/>
    <m/>
    <m/>
    <s v=""/>
  </r>
  <r>
    <s v="70095-2120-000-00"/>
    <d v="2017-12-31T00:00:00"/>
    <n v="138.63"/>
    <n v="0"/>
    <s v="USD"/>
    <s v="JRNLWA00365961"/>
    <s v="P"/>
    <s v="Wester PCard Activity - Dec"/>
    <s v="AlexandraP"/>
    <s v="0/JE IC"/>
    <m/>
    <m/>
    <x v="18"/>
    <m/>
    <m/>
    <m/>
    <m/>
    <m/>
    <m/>
    <s v="JRNL00871495"/>
    <s v="JRNL00871495"/>
    <m/>
    <d v="2018-01-03T00:00:00"/>
    <d v="2018-01-03T00:00:00"/>
    <m/>
    <m/>
    <s v="wci_wa"/>
    <n v="0"/>
    <n v="0"/>
    <n v="0"/>
    <n v="0"/>
    <n v="0"/>
    <n v="1"/>
    <n v="70095"/>
    <n v="2120"/>
    <n v="0"/>
    <n v="0"/>
    <m/>
    <m/>
    <m/>
    <m/>
    <s v=""/>
  </r>
  <r>
    <s v="70095-2120-000-00"/>
    <d v="2017-12-31T00:00:00"/>
    <n v="84.88"/>
    <n v="0"/>
    <s v="USD"/>
    <s v="JRNLWA00365961"/>
    <s v="P"/>
    <s v="Wester PCard Activity - Dec"/>
    <s v="AlexandraP"/>
    <s v="0/JE IC"/>
    <m/>
    <m/>
    <x v="18"/>
    <m/>
    <m/>
    <m/>
    <m/>
    <m/>
    <m/>
    <s v="JRNL00871495"/>
    <s v="JRNL00871495"/>
    <m/>
    <d v="2018-01-03T00:00:00"/>
    <d v="2018-01-03T00:00:00"/>
    <m/>
    <m/>
    <s v="wci_wa"/>
    <n v="0"/>
    <n v="0"/>
    <n v="0"/>
    <n v="0"/>
    <n v="0"/>
    <n v="1"/>
    <n v="70095"/>
    <n v="2120"/>
    <n v="0"/>
    <n v="0"/>
    <m/>
    <m/>
    <m/>
    <m/>
    <s v=""/>
  </r>
  <r>
    <s v="70095-2120-000-00"/>
    <d v="2017-12-31T00:00:00"/>
    <n v="21.51"/>
    <n v="0"/>
    <s v="USD"/>
    <s v="JRNLWA00365961"/>
    <s v="P"/>
    <s v="Wester PCard Activity - Dec"/>
    <s v="AlexandraP"/>
    <s v="0/JE IC"/>
    <m/>
    <m/>
    <x v="18"/>
    <m/>
    <m/>
    <m/>
    <m/>
    <m/>
    <m/>
    <s v="JRNL00871495"/>
    <s v="JRNL00871495"/>
    <m/>
    <d v="2018-01-03T00:00:00"/>
    <d v="2018-01-03T00:00:00"/>
    <m/>
    <m/>
    <s v="wci_wa"/>
    <n v="0"/>
    <n v="0"/>
    <n v="0"/>
    <n v="0"/>
    <n v="0"/>
    <n v="1"/>
    <n v="70095"/>
    <n v="2120"/>
    <n v="0"/>
    <n v="0"/>
    <m/>
    <m/>
    <m/>
    <m/>
    <s v=""/>
  </r>
  <r>
    <s v="70095-2120-000-00"/>
    <d v="2017-12-31T00:00:00"/>
    <n v="20.45"/>
    <n v="0"/>
    <s v="USD"/>
    <s v="JRNLWA00365961"/>
    <s v="P"/>
    <s v="Wester PCard Activity - Dec"/>
    <s v="AlexandraP"/>
    <s v="0/JE IC"/>
    <m/>
    <m/>
    <x v="18"/>
    <m/>
    <m/>
    <m/>
    <m/>
    <m/>
    <m/>
    <s v="JRNL00871495"/>
    <s v="JRNL00871495"/>
    <m/>
    <d v="2018-01-03T00:00:00"/>
    <d v="2018-01-03T00:00:00"/>
    <m/>
    <m/>
    <s v="wci_wa"/>
    <n v="0"/>
    <n v="0"/>
    <n v="0"/>
    <n v="0"/>
    <n v="0"/>
    <n v="1"/>
    <n v="70095"/>
    <n v="2120"/>
    <n v="0"/>
    <n v="0"/>
    <m/>
    <m/>
    <m/>
    <m/>
    <s v=""/>
  </r>
  <r>
    <s v="70095-2120-000-00"/>
    <d v="2017-12-31T00:00:00"/>
    <n v="50.56"/>
    <n v="0"/>
    <s v="USD"/>
    <s v="JRNLWA00365961"/>
    <s v="P"/>
    <s v="Wester PCard Activity - Dec"/>
    <s v="AlexandraP"/>
    <s v="0/JE IC"/>
    <m/>
    <m/>
    <x v="3"/>
    <m/>
    <m/>
    <m/>
    <m/>
    <m/>
    <m/>
    <s v="JRNL00871495"/>
    <s v="JRNL00871495"/>
    <m/>
    <d v="2018-01-03T00:00:00"/>
    <d v="2018-01-03T00:00:00"/>
    <m/>
    <m/>
    <s v="wci_wa"/>
    <n v="0"/>
    <n v="0"/>
    <n v="0"/>
    <n v="0"/>
    <n v="0"/>
    <n v="1"/>
    <n v="70095"/>
    <n v="2120"/>
    <n v="0"/>
    <n v="0"/>
    <m/>
    <m/>
    <m/>
    <m/>
    <s v=""/>
  </r>
  <r>
    <s v="70095-2120-000-00"/>
    <d v="2017-12-31T00:00:00"/>
    <n v="307.12"/>
    <n v="0"/>
    <s v="USD"/>
    <s v="JRNLWA00365961"/>
    <s v="P"/>
    <s v="Wester PCard Activity - Dec"/>
    <s v="AlexandraP"/>
    <s v="0/JE IC"/>
    <m/>
    <m/>
    <x v="1"/>
    <m/>
    <m/>
    <m/>
    <m/>
    <m/>
    <m/>
    <s v="JRNL00871495"/>
    <s v="JRNL00871495"/>
    <m/>
    <d v="2018-01-03T00:00:00"/>
    <d v="2018-01-03T00:00:00"/>
    <m/>
    <m/>
    <s v="wci_wa"/>
    <n v="0"/>
    <n v="0"/>
    <n v="0"/>
    <n v="0"/>
    <n v="0"/>
    <n v="1"/>
    <n v="70095"/>
    <n v="2120"/>
    <n v="0"/>
    <n v="0"/>
    <m/>
    <m/>
    <m/>
    <m/>
    <s v=""/>
  </r>
  <r>
    <s v="70095-2120-000-00"/>
    <d v="2017-12-31T00:00:00"/>
    <n v="36.97"/>
    <n v="0"/>
    <s v="USD"/>
    <s v="JRNLWA00365961"/>
    <s v="P"/>
    <s v="Wester PCard Activity - Dec"/>
    <s v="AlexandraP"/>
    <s v="0/JE IC"/>
    <m/>
    <m/>
    <x v="3"/>
    <m/>
    <m/>
    <m/>
    <m/>
    <m/>
    <m/>
    <s v="JRNL00871495"/>
    <s v="JRNL00871495"/>
    <m/>
    <d v="2018-01-03T00:00:00"/>
    <d v="2018-01-03T00:00:00"/>
    <m/>
    <m/>
    <s v="wci_wa"/>
    <n v="0"/>
    <n v="0"/>
    <n v="0"/>
    <n v="0"/>
    <n v="0"/>
    <n v="1"/>
    <n v="70095"/>
    <n v="2120"/>
    <n v="0"/>
    <n v="0"/>
    <m/>
    <m/>
    <m/>
    <m/>
    <s v=""/>
  </r>
  <r>
    <s v="70095-2120-000-00"/>
    <d v="2017-12-31T00:00:00"/>
    <n v="600"/>
    <n v="0"/>
    <s v="USD"/>
    <s v="JRNLWA00365961"/>
    <s v="P"/>
    <s v="Wester PCard Activity - Dec"/>
    <s v="AlexandraP"/>
    <s v="0/JE IC"/>
    <m/>
    <m/>
    <x v="19"/>
    <m/>
    <m/>
    <m/>
    <m/>
    <m/>
    <m/>
    <s v="JRNL00871495"/>
    <s v="JRNL00871495"/>
    <m/>
    <d v="2018-01-03T00:00:00"/>
    <d v="2018-01-03T00:00:00"/>
    <m/>
    <m/>
    <s v="wci_wa"/>
    <n v="0"/>
    <n v="0"/>
    <n v="0"/>
    <n v="0"/>
    <n v="0"/>
    <n v="1"/>
    <n v="70095"/>
    <n v="2120"/>
    <n v="0"/>
    <n v="0"/>
    <m/>
    <m/>
    <m/>
    <m/>
    <s v=""/>
  </r>
</pivotCacheRecords>
</file>

<file path=xl/pivotCache/pivotCacheRecords2.xml><?xml version="1.0" encoding="utf-8"?>
<pivotCacheRecords xmlns="http://schemas.openxmlformats.org/spreadsheetml/2006/main" xmlns:r="http://schemas.openxmlformats.org/officeDocument/2006/relationships" count="27">
  <r>
    <s v="70195-2120-000-00"/>
    <d v="2017-01-09T00:00:00"/>
    <n v="92.73"/>
    <n v="0"/>
    <s v="USD"/>
    <s v="JRNLWA00348169"/>
    <s v="P"/>
    <s v="From Voucher Posting."/>
    <s v="RosemaryS"/>
    <s v="0/JE IC"/>
    <s v="25WRRA"/>
    <m/>
    <x v="0"/>
    <d v="2017-01-01T00:00:00"/>
    <s v="WRRA Regular Dues- January"/>
    <n v="13253"/>
    <s v="PO-2000-17-00092"/>
    <m/>
    <m/>
    <s v="VO04166261"/>
    <s v="JRNL00827837"/>
    <n v="2000"/>
    <d v="2017-01-09T00:00:00"/>
    <d v="2017-01-09T00:00:00"/>
    <n v="8400"/>
    <d v="2017-03-07T00:00:00"/>
    <s v="wci_wa"/>
    <n v="0"/>
    <n v="0"/>
    <n v="0"/>
    <n v="0"/>
    <n v="0"/>
    <n v="1"/>
    <n v="70195"/>
    <n v="2120"/>
    <n v="0"/>
    <n v="0"/>
    <m/>
    <m/>
    <m/>
    <m/>
    <s v="VO04166261"/>
  </r>
  <r>
    <s v="70195-2120-000-00"/>
    <d v="2017-01-13T00:00:00"/>
    <n v="300"/>
    <n v="0"/>
    <s v="USD"/>
    <s v="JRNLWA00348531"/>
    <s v="P"/>
    <s v="From Voucher Posting."/>
    <s v="RosemaryS"/>
    <s v="0/JE IC"/>
    <s v="2120COLCHAM"/>
    <m/>
    <x v="1"/>
    <d v="2017-01-04T00:00:00"/>
    <s v="2017 MEMBERSHIP DUES"/>
    <n v="55"/>
    <s v="PO-2120-17-00029"/>
    <m/>
    <m/>
    <s v="VO04172043"/>
    <s v="JRNL00828532"/>
    <n v="2195"/>
    <d v="2017-01-13T00:00:00"/>
    <d v="2017-01-13T00:00:00"/>
    <n v="300"/>
    <d v="2017-03-10T00:00:00"/>
    <s v="wci_wa"/>
    <n v="0"/>
    <n v="0"/>
    <n v="0"/>
    <n v="0"/>
    <n v="0"/>
    <n v="1"/>
    <n v="70195"/>
    <n v="2120"/>
    <n v="0"/>
    <n v="0"/>
    <m/>
    <m/>
    <m/>
    <m/>
    <s v="VO04172043"/>
  </r>
  <r>
    <s v="70195-2120-000-00"/>
    <d v="2017-01-31T00:00:00"/>
    <n v="-30"/>
    <n v="0"/>
    <s v="USD"/>
    <s v="JRNLWA00347903"/>
    <s v="P"/>
    <s v="OPEX 13- P Card Accrual"/>
    <s v="AdamJo"/>
    <s v="0/JE IC"/>
    <m/>
    <m/>
    <x v="2"/>
    <m/>
    <m/>
    <m/>
    <m/>
    <m/>
    <m/>
    <s v="JRNL00827295"/>
    <s v="JRNL00827352"/>
    <m/>
    <d v="2017-01-06T00:00:00"/>
    <d v="2017-01-06T00:00:00"/>
    <m/>
    <m/>
    <s v="wci_wa"/>
    <n v="0"/>
    <n v="0"/>
    <n v="0"/>
    <n v="0"/>
    <n v="5"/>
    <n v="1"/>
    <n v="70195"/>
    <n v="2120"/>
    <n v="0"/>
    <n v="0"/>
    <m/>
    <m/>
    <m/>
    <m/>
    <s v=""/>
  </r>
  <r>
    <s v="70195-2120-000-00"/>
    <d v="2017-01-31T00:00:00"/>
    <n v="-240"/>
    <n v="0"/>
    <s v="USD"/>
    <s v="JRNLWA00347903"/>
    <s v="P"/>
    <s v="OPEX 13- P Card Accrual"/>
    <s v="AdamJo"/>
    <s v="0/JE IC"/>
    <m/>
    <m/>
    <x v="3"/>
    <m/>
    <m/>
    <m/>
    <m/>
    <m/>
    <m/>
    <s v="JRNL00827295"/>
    <s v="JRNL00827352"/>
    <m/>
    <d v="2017-01-06T00:00:00"/>
    <d v="2017-01-06T00:00:00"/>
    <m/>
    <m/>
    <s v="wci_wa"/>
    <n v="0"/>
    <n v="0"/>
    <n v="0"/>
    <n v="0"/>
    <n v="5"/>
    <n v="1"/>
    <n v="70195"/>
    <n v="2120"/>
    <n v="0"/>
    <n v="0"/>
    <m/>
    <m/>
    <m/>
    <m/>
    <s v=""/>
  </r>
  <r>
    <s v="70195-2120-000-00"/>
    <d v="2017-01-31T00:00:00"/>
    <n v="30"/>
    <n v="0"/>
    <s v="USD"/>
    <s v="JRNLWA00349054"/>
    <s v="P"/>
    <s v="PCard Activity January- Wester"/>
    <s v="AdamJo"/>
    <s v="0/JE IC"/>
    <m/>
    <m/>
    <x v="2"/>
    <m/>
    <m/>
    <m/>
    <m/>
    <m/>
    <m/>
    <s v="JRNL00830275"/>
    <s v="JRNL00830275"/>
    <m/>
    <d v="2017-02-03T00:00:00"/>
    <d v="2017-02-03T00:00:00"/>
    <m/>
    <m/>
    <s v="wci_wa"/>
    <n v="0"/>
    <n v="0"/>
    <n v="0"/>
    <n v="0"/>
    <n v="0"/>
    <n v="1"/>
    <n v="70195"/>
    <n v="2120"/>
    <n v="0"/>
    <n v="0"/>
    <m/>
    <m/>
    <m/>
    <m/>
    <s v=""/>
  </r>
  <r>
    <s v="70195-2120-000-00"/>
    <d v="2017-01-31T00:00:00"/>
    <n v="240"/>
    <n v="0"/>
    <s v="USD"/>
    <s v="JRNLWA00349054"/>
    <s v="P"/>
    <s v="PCard Activity January- Wester"/>
    <s v="AdamJo"/>
    <s v="0/JE IC"/>
    <m/>
    <m/>
    <x v="3"/>
    <m/>
    <m/>
    <m/>
    <m/>
    <m/>
    <m/>
    <s v="JRNL00830275"/>
    <s v="JRNL00830275"/>
    <m/>
    <d v="2017-02-03T00:00:00"/>
    <d v="2017-02-03T00:00:00"/>
    <m/>
    <m/>
    <s v="wci_wa"/>
    <n v="0"/>
    <n v="0"/>
    <n v="0"/>
    <n v="0"/>
    <n v="0"/>
    <n v="1"/>
    <n v="70195"/>
    <n v="2120"/>
    <n v="0"/>
    <n v="0"/>
    <m/>
    <m/>
    <m/>
    <m/>
    <s v=""/>
  </r>
  <r>
    <s v="70195-2120-000-00"/>
    <d v="2017-02-03T00:00:00"/>
    <n v="91.2"/>
    <n v="0"/>
    <s v="USD"/>
    <s v="JRNLWA00348931"/>
    <s v="P"/>
    <s v="From Voucher Posting."/>
    <s v="RosemaryS"/>
    <s v="0/JE IC"/>
    <s v="25WRRA"/>
    <m/>
    <x v="0"/>
    <d v="2017-02-01T00:00:00"/>
    <s v="WRRA Regular Dues- February"/>
    <n v="13305"/>
    <s v="PO-2000-17-00437"/>
    <m/>
    <m/>
    <s v="VO04192647"/>
    <s v="JRNL00830163"/>
    <n v="2000"/>
    <d v="2017-02-03T00:00:00"/>
    <d v="2017-02-03T00:00:00"/>
    <n v="8399.98"/>
    <d v="2017-04-07T00:00:00"/>
    <s v="wci_wa"/>
    <n v="0"/>
    <n v="0"/>
    <n v="0"/>
    <n v="0"/>
    <n v="0"/>
    <n v="1"/>
    <n v="70195"/>
    <n v="2120"/>
    <n v="0"/>
    <n v="0"/>
    <m/>
    <m/>
    <m/>
    <m/>
    <s v="VO04192647"/>
  </r>
  <r>
    <s v="70195-2120-000-00"/>
    <d v="2017-03-03T00:00:00"/>
    <n v="104"/>
    <n v="0"/>
    <s v="USD"/>
    <s v="JRNLWA00350516"/>
    <s v="P"/>
    <s v="From Voucher Posting."/>
    <s v="RosemaryS"/>
    <s v="0/JE IC"/>
    <s v="212AWB"/>
    <m/>
    <x v="4"/>
    <d v="2017-03-01T00:00:00"/>
    <s v="AWB Association of WA Business- 2017 Due"/>
    <n v="176910"/>
    <s v="PO-2000-17-00267"/>
    <m/>
    <m/>
    <s v="VO04220208"/>
    <s v="JRNL00833985"/>
    <n v="2000"/>
    <d v="2017-03-03T00:00:00"/>
    <d v="2017-03-03T00:00:00"/>
    <n v="2600"/>
    <d v="2017-03-11T00:00:00"/>
    <s v="wci_wa"/>
    <n v="0"/>
    <n v="0"/>
    <n v="0"/>
    <n v="0"/>
    <n v="0"/>
    <n v="1"/>
    <n v="70195"/>
    <n v="2120"/>
    <n v="0"/>
    <n v="0"/>
    <m/>
    <m/>
    <m/>
    <m/>
    <s v="VO04220208"/>
  </r>
  <r>
    <s v="70195-2120-000-00"/>
    <d v="2017-03-09T00:00:00"/>
    <n v="92.73"/>
    <n v="0"/>
    <s v="USD"/>
    <s v="JRNLWA00351492"/>
    <s v="P"/>
    <s v="From Voucher Posting."/>
    <s v="RosemaryS"/>
    <s v="0/JE IC"/>
    <s v="25WRRA"/>
    <m/>
    <x v="0"/>
    <d v="2017-03-01T00:00:00"/>
    <s v="WRRA- Regular Dues March 2017"/>
    <n v="13332"/>
    <s v="PO-2000-17-00833"/>
    <m/>
    <m/>
    <s v="VO04226137"/>
    <s v="JRNL00836115"/>
    <n v="2000"/>
    <d v="2017-03-10T00:00:00"/>
    <d v="2017-03-14T00:00:00"/>
    <n v="8400"/>
    <d v="2017-05-05T00:00:00"/>
    <s v="wci_wa"/>
    <n v="0"/>
    <n v="0"/>
    <n v="0"/>
    <n v="0"/>
    <n v="0"/>
    <n v="1"/>
    <n v="70195"/>
    <n v="2120"/>
    <n v="0"/>
    <n v="0"/>
    <m/>
    <m/>
    <m/>
    <m/>
    <s v="VO04226137"/>
  </r>
  <r>
    <s v="70195-2120-000-00"/>
    <d v="2017-04-12T00:00:00"/>
    <n v="91.2"/>
    <n v="0"/>
    <s v="USD"/>
    <s v="JRNLWA00353071"/>
    <s v="P"/>
    <s v="From Voucher Posting."/>
    <s v="JeffS"/>
    <s v="0/JE IC"/>
    <s v="25WRRA"/>
    <m/>
    <x v="0"/>
    <d v="2017-04-01T00:00:00"/>
    <s v="APRIL WRRA INVOICE"/>
    <n v="13359"/>
    <s v="PO-2000-17-01475"/>
    <m/>
    <m/>
    <s v="VO04255529"/>
    <s v="JRNL00840219"/>
    <n v="2000"/>
    <d v="2017-04-12T00:00:00"/>
    <d v="2017-04-18T00:00:00"/>
    <n v="8400"/>
    <d v="2017-06-05T00:00:00"/>
    <s v="wci_wa"/>
    <n v="0"/>
    <n v="0"/>
    <n v="0"/>
    <n v="0"/>
    <n v="0"/>
    <n v="1"/>
    <n v="70195"/>
    <n v="2120"/>
    <n v="0"/>
    <n v="0"/>
    <m/>
    <m/>
    <m/>
    <m/>
    <s v="VO04255529"/>
  </r>
  <r>
    <s v="70195-2120-000-00"/>
    <d v="2017-05-17T00:00:00"/>
    <n v="91.2"/>
    <n v="0"/>
    <s v="USD"/>
    <s v="JRNLWA00354681"/>
    <s v="P"/>
    <s v="From Voucher Posting."/>
    <s v="RosemaryS"/>
    <s v="0/JE IC"/>
    <s v="25WRRA"/>
    <m/>
    <x v="0"/>
    <d v="2017-05-01T00:00:00"/>
    <s v="Regular Dues"/>
    <n v="13423"/>
    <s v="PO-2000-17-01877"/>
    <m/>
    <m/>
    <s v="VO04292441"/>
    <s v="JRNL00844227"/>
    <n v="2000"/>
    <d v="2017-05-17T00:00:00"/>
    <d v="2017-05-17T00:00:00"/>
    <n v="8400"/>
    <d v="2017-07-05T00:00:00"/>
    <s v="wci_wa"/>
    <n v="0"/>
    <n v="0"/>
    <n v="0"/>
    <n v="0"/>
    <n v="0"/>
    <n v="1"/>
    <n v="70195"/>
    <n v="2120"/>
    <n v="0"/>
    <n v="0"/>
    <m/>
    <m/>
    <m/>
    <m/>
    <s v="VO04292441"/>
  </r>
  <r>
    <s v="70195-2120-000-00"/>
    <d v="2017-06-30T00:00:00"/>
    <n v="91.2"/>
    <n v="0"/>
    <s v="USD"/>
    <s v="JRNLWA00357384"/>
    <s v="P"/>
    <s v="PO Log and Expense Report Accr"/>
    <s v="HeatherWe"/>
    <s v="0/JE IC"/>
    <m/>
    <m/>
    <x v="5"/>
    <m/>
    <m/>
    <m/>
    <m/>
    <m/>
    <m/>
    <s v="JRNL00851453"/>
    <s v="JRNL00851453"/>
    <m/>
    <d v="2017-07-10T00:00:00"/>
    <d v="2017-07-10T00:00:00"/>
    <m/>
    <m/>
    <s v="wci_wa"/>
    <n v="0"/>
    <n v="0"/>
    <n v="0"/>
    <n v="0"/>
    <n v="0"/>
    <n v="1"/>
    <n v="70195"/>
    <n v="2120"/>
    <n v="0"/>
    <n v="0"/>
    <m/>
    <m/>
    <m/>
    <m/>
    <s v=""/>
  </r>
  <r>
    <s v="70195-2120-000-00"/>
    <d v="2017-07-07T00:00:00"/>
    <n v="91.2"/>
    <n v="0"/>
    <s v="USD"/>
    <s v="JRNLWA00356733"/>
    <s v="P"/>
    <s v="From Voucher Posting."/>
    <s v="RosemaryS"/>
    <s v="0/JE IC"/>
    <s v="25WRRA"/>
    <m/>
    <x v="0"/>
    <d v="2017-05-01T00:00:00"/>
    <s v="WRRA Allocation, regular dues"/>
    <n v="13486"/>
    <s v="PO-2000-17-02242"/>
    <m/>
    <m/>
    <s v="VO04340580"/>
    <s v="JRNL00850187"/>
    <n v="2000"/>
    <d v="2017-07-07T00:00:00"/>
    <d v="2017-07-07T00:00:00"/>
    <n v="8400"/>
    <d v="2017-07-05T00:00:00"/>
    <s v="wci_wa"/>
    <n v="0"/>
    <n v="0"/>
    <n v="0"/>
    <n v="0"/>
    <n v="0"/>
    <n v="1"/>
    <n v="70195"/>
    <n v="2120"/>
    <n v="0"/>
    <n v="0"/>
    <m/>
    <m/>
    <m/>
    <m/>
    <s v="VO04340580"/>
  </r>
  <r>
    <s v="70195-2120-000-00"/>
    <d v="2017-07-31T00:00:00"/>
    <n v="-91.2"/>
    <n v="0"/>
    <s v="USD"/>
    <s v="JRNLWA00357503"/>
    <s v="P"/>
    <s v="PO Log and Expense Report Accr"/>
    <s v="MaribelV"/>
    <s v="0/JE IC"/>
    <m/>
    <m/>
    <x v="5"/>
    <m/>
    <m/>
    <m/>
    <m/>
    <m/>
    <m/>
    <s v="JRNL00851453"/>
    <s v="JRNL00851472"/>
    <m/>
    <d v="2017-07-10T00:00:00"/>
    <d v="2017-07-11T00:00:00"/>
    <m/>
    <m/>
    <s v="wci_wa"/>
    <n v="0"/>
    <n v="0"/>
    <n v="0"/>
    <n v="0"/>
    <n v="5"/>
    <n v="1"/>
    <n v="70195"/>
    <n v="2120"/>
    <n v="0"/>
    <n v="0"/>
    <m/>
    <m/>
    <m/>
    <m/>
    <s v=""/>
  </r>
  <r>
    <s v="70195-2120-000-00"/>
    <d v="2017-07-31T00:00:00"/>
    <n v="106.72"/>
    <n v="0"/>
    <s v="USD"/>
    <s v="JRNLWA00358110"/>
    <s v="P"/>
    <s v="PCard Activity July - Western"/>
    <s v="HeatherWe"/>
    <s v="0/JE IC"/>
    <m/>
    <m/>
    <x v="6"/>
    <m/>
    <m/>
    <m/>
    <m/>
    <m/>
    <m/>
    <s v="JRNL00853023"/>
    <s v="JRNL00853023"/>
    <m/>
    <d v="2017-08-01T00:00:00"/>
    <d v="2017-08-02T00:00:00"/>
    <m/>
    <m/>
    <s v="wci_wa"/>
    <n v="0"/>
    <n v="0"/>
    <n v="0"/>
    <n v="0"/>
    <n v="0"/>
    <n v="1"/>
    <n v="70195"/>
    <n v="2120"/>
    <n v="0"/>
    <n v="0"/>
    <m/>
    <m/>
    <m/>
    <m/>
    <s v=""/>
  </r>
  <r>
    <s v="70195-2120-000-00"/>
    <d v="2017-07-31T00:00:00"/>
    <n v="91.2"/>
    <n v="0"/>
    <s v="USD"/>
    <s v="JRNLWA00358893"/>
    <s v="P"/>
    <s v="PO Log and Expense Report Accr"/>
    <s v="HeatherWe"/>
    <s v="0/JE IC"/>
    <m/>
    <m/>
    <x v="7"/>
    <m/>
    <m/>
    <m/>
    <m/>
    <m/>
    <m/>
    <s v="JRNL00854889"/>
    <s v="JRNL00854889"/>
    <m/>
    <d v="2017-08-07T00:00:00"/>
    <d v="2017-08-07T00:00:00"/>
    <m/>
    <m/>
    <s v="wci_wa"/>
    <n v="0"/>
    <n v="0"/>
    <n v="0"/>
    <n v="0"/>
    <n v="0"/>
    <n v="1"/>
    <n v="70195"/>
    <n v="2120"/>
    <n v="0"/>
    <n v="0"/>
    <m/>
    <m/>
    <m/>
    <m/>
    <s v=""/>
  </r>
  <r>
    <s v="70195-2120-000-00"/>
    <d v="2017-08-11T00:00:00"/>
    <n v="91.2"/>
    <n v="0"/>
    <s v="USD"/>
    <s v="JRNLWA00359308"/>
    <s v="P"/>
    <s v="From Voucher Posting."/>
    <s v="RosemaryS"/>
    <s v="0/JE IC"/>
    <s v="25WRRA"/>
    <m/>
    <x v="0"/>
    <d v="2017-08-01T00:00:00"/>
    <s v="WRRA Regular Dues"/>
    <n v="13600"/>
    <s v="PO-2000-17-02997"/>
    <m/>
    <m/>
    <s v="VO04377418"/>
    <s v="JRNL00855531"/>
    <n v="2000"/>
    <d v="2017-08-11T00:00:00"/>
    <d v="2017-08-16T00:00:00"/>
    <n v="8400"/>
    <d v="2017-10-05T00:00:00"/>
    <s v="wci_wa"/>
    <n v="0"/>
    <n v="0"/>
    <n v="0"/>
    <n v="0"/>
    <n v="0"/>
    <n v="1"/>
    <n v="70195"/>
    <n v="2120"/>
    <n v="0"/>
    <n v="0"/>
    <m/>
    <m/>
    <m/>
    <m/>
    <s v="VO04377418"/>
  </r>
  <r>
    <s v="70195-2120-000-00"/>
    <d v="2017-08-31T00:00:00"/>
    <n v="-91.2"/>
    <n v="0"/>
    <s v="USD"/>
    <s v="JRNLWA00359015"/>
    <s v="P"/>
    <s v="PO Log and Expense Report Accr"/>
    <s v="HeatherWe"/>
    <s v="0/JE IC"/>
    <m/>
    <m/>
    <x v="7"/>
    <m/>
    <m/>
    <m/>
    <m/>
    <m/>
    <m/>
    <s v="JRNL00854889"/>
    <s v="JRNL00854943"/>
    <m/>
    <d v="2017-08-07T00:00:00"/>
    <d v="2017-08-07T00:00:00"/>
    <m/>
    <m/>
    <s v="wci_wa"/>
    <n v="0"/>
    <n v="0"/>
    <n v="0"/>
    <n v="0"/>
    <n v="5"/>
    <n v="1"/>
    <n v="70195"/>
    <n v="2120"/>
    <n v="0"/>
    <n v="0"/>
    <m/>
    <m/>
    <m/>
    <m/>
    <s v=""/>
  </r>
  <r>
    <s v="70195-2120-000-00"/>
    <d v="2017-09-14T00:00:00"/>
    <n v="91.2"/>
    <n v="0"/>
    <s v="USD"/>
    <s v="JRNLWA00360840"/>
    <s v="P"/>
    <s v="From Voucher Posting."/>
    <s v="RosemaryS"/>
    <s v="0/JE IC"/>
    <s v="25WRRA"/>
    <m/>
    <x v="0"/>
    <d v="2017-09-01T00:00:00"/>
    <s v="WRRA Regular Dues"/>
    <n v="13627"/>
    <s v="PO-2000-17-03413"/>
    <m/>
    <m/>
    <s v="VO04409164"/>
    <s v="JRNL00859253"/>
    <n v="2000"/>
    <d v="2017-09-14T00:00:00"/>
    <d v="2017-09-14T00:00:00"/>
    <n v="8400"/>
    <d v="2017-11-05T00:00:00"/>
    <s v="wci_wa"/>
    <n v="0"/>
    <n v="0"/>
    <n v="0"/>
    <n v="0"/>
    <n v="0"/>
    <n v="1"/>
    <n v="70195"/>
    <n v="2120"/>
    <n v="0"/>
    <n v="0"/>
    <m/>
    <m/>
    <m/>
    <m/>
    <s v="VO04409164"/>
  </r>
  <r>
    <s v="70195-2120-000-00"/>
    <d v="2017-10-12T00:00:00"/>
    <n v="91.2"/>
    <n v="0"/>
    <s v="USD"/>
    <s v="JRNLWA00362458"/>
    <s v="P"/>
    <s v="From Voucher Posting."/>
    <s v="RosemaryS"/>
    <s v="0/JE IC"/>
    <s v="25WRRA"/>
    <m/>
    <x v="0"/>
    <d v="2017-10-01T00:00:00"/>
    <s v="WRRA Regular Dues"/>
    <n v="13674"/>
    <s v="PO-2000-17-03774"/>
    <m/>
    <m/>
    <s v="VO04437537"/>
    <s v="JRNL00862926"/>
    <n v="2000"/>
    <d v="2017-10-12T00:00:00"/>
    <d v="2017-10-20T00:00:00"/>
    <n v="8400"/>
    <d v="2017-12-04T00:00:00"/>
    <s v="wci_wa"/>
    <n v="0"/>
    <n v="0"/>
    <n v="0"/>
    <n v="0"/>
    <n v="0"/>
    <n v="1"/>
    <n v="70195"/>
    <n v="2120"/>
    <n v="0"/>
    <n v="0"/>
    <m/>
    <m/>
    <m/>
    <m/>
    <s v="VO04437537"/>
  </r>
  <r>
    <s v="70195-2120-000-00"/>
    <d v="2017-10-19T00:00:00"/>
    <n v="91.2"/>
    <n v="0"/>
    <s v="USD"/>
    <s v="JRNLWA00362532"/>
    <s v="P"/>
    <s v="From Voucher Posting."/>
    <s v="RosemaryS"/>
    <s v="0/JE IC"/>
    <s v="25WRRA"/>
    <m/>
    <x v="0"/>
    <d v="2017-07-01T00:00:00"/>
    <s v="WRRA Regular Dues"/>
    <n v="13563"/>
    <s v="PO-2000-17-03851"/>
    <m/>
    <m/>
    <s v="VO04452330"/>
    <s v="JRNL00863260"/>
    <n v="2000"/>
    <d v="2017-10-19T00:00:00"/>
    <d v="2017-10-20T00:00:00"/>
    <n v="8400"/>
    <d v="2017-09-04T00:00:00"/>
    <s v="wci_wa"/>
    <n v="0"/>
    <n v="0"/>
    <n v="0"/>
    <n v="0"/>
    <n v="0"/>
    <n v="1"/>
    <n v="70195"/>
    <n v="2120"/>
    <n v="0"/>
    <n v="0"/>
    <m/>
    <m/>
    <m/>
    <m/>
    <s v="VO04452330"/>
  </r>
  <r>
    <s v="70195-2120-000-00"/>
    <d v="2017-11-14T00:00:00"/>
    <n v="91.2"/>
    <n v="0"/>
    <s v="USD"/>
    <s v="JRNLWA00363997"/>
    <s v="P"/>
    <s v="From Voucher Posting."/>
    <s v="RosemaryS"/>
    <s v="0/JE IC"/>
    <s v="25WRRA"/>
    <m/>
    <x v="0"/>
    <d v="2017-11-01T00:00:00"/>
    <s v="November WRRA Dues"/>
    <n v="13701"/>
    <s v="PO-2000-17-04213"/>
    <m/>
    <m/>
    <s v="VO04477067"/>
    <s v="JRNL00866609"/>
    <n v="2000"/>
    <d v="2017-11-14T00:00:00"/>
    <d v="2017-11-14T00:00:00"/>
    <n v="8400"/>
    <d v="2017-12-04T00:00:00"/>
    <s v="wci_wa"/>
    <n v="0"/>
    <n v="0"/>
    <n v="0"/>
    <n v="0"/>
    <n v="0"/>
    <n v="1"/>
    <n v="70195"/>
    <n v="2120"/>
    <n v="0"/>
    <n v="0"/>
    <m/>
    <m/>
    <m/>
    <m/>
    <s v="VO04477067"/>
  </r>
  <r>
    <s v="70195-2120-000-00"/>
    <d v="2017-11-22T00:00:00"/>
    <n v="843.54"/>
    <n v="0"/>
    <s v="USD"/>
    <s v="JRNLWA00364123"/>
    <s v="P"/>
    <s v="From Voucher Posting."/>
    <s v="RosemaryS"/>
    <s v="0/JE IC"/>
    <s v="2120WESTSTAT"/>
    <m/>
    <x v="8"/>
    <d v="2017-11-10T00:00:00"/>
    <s v="ET SUBSCRIPTION INV#IN000501861"/>
    <s v="IN000501861"/>
    <s v="PO-2120-17-01056"/>
    <m/>
    <m/>
    <s v="VO04487217"/>
    <s v="JRNL00867083"/>
    <n v="2195"/>
    <d v="2017-11-22T00:00:00"/>
    <d v="2017-11-27T00:00:00"/>
    <n v="843.54"/>
    <d v="2017-12-01T00:00:00"/>
    <s v="wci_wa"/>
    <n v="0"/>
    <n v="0"/>
    <n v="0"/>
    <n v="0"/>
    <n v="0"/>
    <n v="1"/>
    <n v="70195"/>
    <n v="2120"/>
    <n v="0"/>
    <n v="0"/>
    <m/>
    <m/>
    <m/>
    <m/>
    <s v="VO04487217"/>
  </r>
  <r>
    <s v="70195-2120-000-00"/>
    <d v="2017-11-30T00:00:00"/>
    <n v="390.24"/>
    <n v="0"/>
    <s v="USD"/>
    <s v="JRNLWA00364391"/>
    <s v="P"/>
    <s v="Western PCard Activity - Nov"/>
    <s v="AlexandraP"/>
    <s v="0/JE IC"/>
    <m/>
    <m/>
    <x v="9"/>
    <m/>
    <m/>
    <m/>
    <m/>
    <m/>
    <m/>
    <s v="JRNL00867895"/>
    <s v="JRNL00867895"/>
    <m/>
    <d v="2017-12-04T00:00:00"/>
    <d v="2017-12-04T00:00:00"/>
    <m/>
    <m/>
    <s v="wci_wa"/>
    <n v="0"/>
    <n v="0"/>
    <n v="0"/>
    <n v="0"/>
    <n v="0"/>
    <n v="1"/>
    <n v="70195"/>
    <n v="2120"/>
    <n v="0"/>
    <n v="0"/>
    <m/>
    <m/>
    <m/>
    <m/>
    <s v=""/>
  </r>
  <r>
    <s v="70195-2120-000-00"/>
    <d v="2017-11-30T00:00:00"/>
    <n v="255"/>
    <n v="0"/>
    <s v="USD"/>
    <s v="JRNLWA00364391"/>
    <s v="P"/>
    <s v="Western PCard Activity - Nov"/>
    <s v="AlexandraP"/>
    <s v="0/JE IC"/>
    <m/>
    <m/>
    <x v="3"/>
    <m/>
    <m/>
    <m/>
    <m/>
    <m/>
    <m/>
    <s v="JRNL00867895"/>
    <s v="JRNL00867895"/>
    <m/>
    <d v="2017-12-04T00:00:00"/>
    <d v="2017-12-04T00:00:00"/>
    <m/>
    <m/>
    <s v="wci_wa"/>
    <n v="0"/>
    <n v="0"/>
    <n v="0"/>
    <n v="0"/>
    <n v="0"/>
    <n v="1"/>
    <n v="70195"/>
    <n v="2120"/>
    <n v="0"/>
    <n v="0"/>
    <m/>
    <m/>
    <m/>
    <m/>
    <s v=""/>
  </r>
  <r>
    <s v="70195-2120-000-00"/>
    <d v="2017-12-14T00:00:00"/>
    <n v="91.2"/>
    <n v="0"/>
    <s v="USD"/>
    <s v="JRNLWA00365550"/>
    <s v="P"/>
    <s v="From Voucher Posting."/>
    <s v="RosemaryS"/>
    <s v="0/JE IC"/>
    <s v="VUS000014985"/>
    <m/>
    <x v="0"/>
    <d v="2017-12-01T00:00:00"/>
    <s v="WRRA REGULAR DUES FOR DECEMBER"/>
    <n v="13728"/>
    <s v="PO-2000-17-04557"/>
    <m/>
    <m/>
    <s v="VO04505129"/>
    <s v="JRNL00870250"/>
    <n v="2000"/>
    <d v="2017-12-14T00:00:00"/>
    <d v="2017-12-14T00:00:00"/>
    <n v="8400"/>
    <d v="2017-12-31T00:00:00"/>
    <s v="wci_wa"/>
    <n v="0"/>
    <n v="0"/>
    <n v="0"/>
    <n v="0"/>
    <n v="0"/>
    <n v="1"/>
    <n v="70195"/>
    <n v="2120"/>
    <n v="0"/>
    <n v="0"/>
    <m/>
    <m/>
    <m/>
    <m/>
    <s v="VO04505129"/>
  </r>
  <r>
    <s v="70195-2120-000-00"/>
    <d v="2017-12-31T00:00:00"/>
    <n v="300"/>
    <n v="0"/>
    <s v="USD"/>
    <s v="JRNLWA00365747"/>
    <s v="P"/>
    <s v="From Voucher Posting."/>
    <s v="JeffS"/>
    <s v="0/JE IC"/>
    <s v="VUS000014745"/>
    <m/>
    <x v="1"/>
    <d v="2017-12-11T00:00:00"/>
    <s v="MEMBERSHIP DUES INV#253"/>
    <n v="253"/>
    <s v="PO-2120-17-01159"/>
    <m/>
    <m/>
    <s v="VO04521760"/>
    <s v="JRNL00870988"/>
    <n v="2195"/>
    <d v="2017-12-31T00:00:00"/>
    <d v="2018-01-02T00:00:00"/>
    <n v="300"/>
    <d v="2018-02-14T00:00:00"/>
    <s v="wci_wa"/>
    <n v="0"/>
    <n v="0"/>
    <n v="0"/>
    <n v="0"/>
    <n v="0"/>
    <n v="1"/>
    <n v="70195"/>
    <n v="2120"/>
    <n v="0"/>
    <n v="0"/>
    <m/>
    <m/>
    <m/>
    <m/>
    <s v="VO04521760"/>
  </r>
</pivotCacheRecords>
</file>

<file path=xl/pivotCache/pivotCacheRecords3.xml><?xml version="1.0" encoding="utf-8"?>
<pivotCacheRecords xmlns="http://schemas.openxmlformats.org/spreadsheetml/2006/main" xmlns:r="http://schemas.openxmlformats.org/officeDocument/2006/relationships" count="42">
  <r>
    <s v="40101-2120-000-00"/>
    <d v="2017-01-31T00:00:00"/>
    <n v="-1627.6"/>
    <n v="0"/>
    <s v="USD"/>
    <s v="JRNLWA00348360"/>
    <s v="P"/>
    <s v="OPEX14- AP and Exp Report Accr"/>
    <s v="AdamJo"/>
    <s v="0/JE IC"/>
    <m/>
    <m/>
    <x v="0"/>
  </r>
  <r>
    <s v="40101-2120-000-00"/>
    <d v="2017-01-31T00:00:00"/>
    <n v="1640.93"/>
    <n v="0"/>
    <s v="USD"/>
    <s v="JRNLWA00349180"/>
    <s v="P"/>
    <s v="REV3-Rcrd Other Rev"/>
    <s v="AdamJo"/>
    <s v="0/JE IC"/>
    <m/>
    <m/>
    <x v="1"/>
  </r>
  <r>
    <s v="40101-2120-000-00"/>
    <d v="2017-01-31T00:00:00"/>
    <n v="60448.62"/>
    <n v="0"/>
    <s v="USD"/>
    <s v="JRNLWA00349484"/>
    <s v="P"/>
    <s v="OPEX14- AP and Exp Report Accr"/>
    <s v="HeatherWe"/>
    <s v="0/JE IC"/>
    <m/>
    <m/>
    <x v="2"/>
  </r>
  <r>
    <s v="40101-2120-000-00"/>
    <d v="2017-01-31T00:00:00"/>
    <n v="51.38"/>
    <n v="0"/>
    <s v="USD"/>
    <s v="JRNLWA00349484"/>
    <s v="P"/>
    <s v="OPEX14- AP and Exp Report Accr"/>
    <s v="HeatherWe"/>
    <s v="0/JE IC"/>
    <m/>
    <m/>
    <x v="3"/>
  </r>
  <r>
    <s v="40101-2120-000-00"/>
    <d v="2017-02-13T00:00:00"/>
    <n v="60448.62"/>
    <n v="0"/>
    <s v="USD"/>
    <s v="JRNLWA00350034"/>
    <s v="P"/>
    <s v="From Voucher Posting."/>
    <s v="RosemaryS"/>
    <s v="0/JE IC"/>
    <s v="2120WHITLAND"/>
    <m/>
    <x v="4"/>
  </r>
  <r>
    <s v="40101-2120-000-00"/>
    <d v="2017-02-28T00:00:00"/>
    <n v="-60448.62"/>
    <n v="0"/>
    <s v="USD"/>
    <s v="JRNLWA00349568"/>
    <s v="P"/>
    <s v="OPEX14- AP and Exp Report Accr"/>
    <s v="HeatherWe"/>
    <s v="0/JE IC"/>
    <m/>
    <m/>
    <x v="2"/>
  </r>
  <r>
    <s v="40101-2120-000-00"/>
    <d v="2017-02-28T00:00:00"/>
    <n v="-51.38"/>
    <n v="0"/>
    <s v="USD"/>
    <s v="JRNLWA00349568"/>
    <s v="P"/>
    <s v="OPEX14- AP and Exp Report Accr"/>
    <s v="HeatherWe"/>
    <s v="0/JE IC"/>
    <m/>
    <m/>
    <x v="3"/>
  </r>
  <r>
    <s v="40101-2120-000-00"/>
    <d v="2017-02-28T00:00:00"/>
    <n v="1859.05"/>
    <n v="0"/>
    <s v="USD"/>
    <s v="JRNLWA00350373"/>
    <s v="P"/>
    <s v="REV3-Rcrd Other Rev"/>
    <s v="HeatherWe"/>
    <s v="0/JE IC"/>
    <m/>
    <m/>
    <x v="1"/>
  </r>
  <r>
    <s v="40101-2120-000-00"/>
    <d v="2017-02-28T00:00:00"/>
    <n v="55269.1"/>
    <n v="0"/>
    <s v="USD"/>
    <s v="JRNLWA00351081"/>
    <s v="P"/>
    <s v="OPEX14- AP and Exp Report Accr"/>
    <s v="HeatherWe"/>
    <s v="0/JE IC"/>
    <m/>
    <m/>
    <x v="2"/>
  </r>
  <r>
    <s v="40101-2120-000-00"/>
    <d v="2017-03-09T00:00:00"/>
    <n v="55269.1"/>
    <n v="0"/>
    <s v="USD"/>
    <s v="JRNLWA00351483"/>
    <s v="P"/>
    <s v="From Voucher Posting."/>
    <s v="RosemaryS"/>
    <s v="0/JE IC"/>
    <s v="2120WHITLAND"/>
    <m/>
    <x v="4"/>
  </r>
  <r>
    <s v="40101-2120-000-00"/>
    <d v="2017-03-31T00:00:00"/>
    <n v="-55269.1"/>
    <n v="0"/>
    <s v="USD"/>
    <s v="JRNLWA00351194"/>
    <s v="P"/>
    <s v="OPEX14- AP and Exp Report Accr"/>
    <s v="AdamJo"/>
    <s v="0/JE IC"/>
    <m/>
    <m/>
    <x v="2"/>
  </r>
  <r>
    <s v="40101-2120-000-00"/>
    <d v="2017-03-31T00:00:00"/>
    <n v="68117.72"/>
    <n v="0"/>
    <s v="USD"/>
    <s v="JRNLWA00351901"/>
    <s v="P"/>
    <s v="From Voucher Posting."/>
    <s v="RosemaryS"/>
    <s v="0/JE IC"/>
    <s v="2120WHITLAND"/>
    <m/>
    <x v="4"/>
  </r>
  <r>
    <s v="40101-2120-000-00"/>
    <d v="2017-03-31T00:00:00"/>
    <n v="2469.77"/>
    <n v="0"/>
    <s v="USD"/>
    <s v="JRNLWA00351902"/>
    <s v="P"/>
    <s v="REV3-Rcrd Other Rev"/>
    <s v="AdamJo"/>
    <s v="0/JE IC"/>
    <m/>
    <m/>
    <x v="1"/>
  </r>
  <r>
    <s v="40101-2120-000-00"/>
    <d v="2017-04-30T00:00:00"/>
    <n v="1943.61"/>
    <n v="0"/>
    <s v="USD"/>
    <s v="JRNLWA00353427"/>
    <s v="P"/>
    <s v="REV3-Rcrd Other Rev"/>
    <s v="HeatherWe"/>
    <s v="0/JE IC"/>
    <m/>
    <m/>
    <x v="1"/>
  </r>
  <r>
    <s v="40101-2120-000-00"/>
    <d v="2017-04-30T00:00:00"/>
    <n v="60258.18"/>
    <n v="0"/>
    <s v="USD"/>
    <s v="JRNLWA00354171"/>
    <s v="P"/>
    <s v="OPEX14- AP and Exp Report Accr"/>
    <s v="HeatherWe"/>
    <s v="0/JE IC"/>
    <m/>
    <m/>
    <x v="2"/>
  </r>
  <r>
    <s v="40101-2120-000-00"/>
    <d v="2017-05-08T00:00:00"/>
    <n v="60258.18"/>
    <n v="0"/>
    <s v="USD"/>
    <s v="JRNLWA00354535"/>
    <s v="P"/>
    <s v="From Voucher Posting."/>
    <s v="RosemaryS"/>
    <s v="0/JE IC"/>
    <s v="2120WHITLAND"/>
    <m/>
    <x v="4"/>
  </r>
  <r>
    <s v="40101-2120-000-00"/>
    <d v="2017-05-31T00:00:00"/>
    <n v="-60258.18"/>
    <n v="0"/>
    <s v="USD"/>
    <s v="JRNLWA00354289"/>
    <s v="P"/>
    <s v="OPEX14- AP and Exp Report Accr"/>
    <s v="MaribelV"/>
    <s v="0/JE IC"/>
    <m/>
    <m/>
    <x v="2"/>
  </r>
  <r>
    <s v="40101-2120-000-00"/>
    <d v="2017-05-31T00:00:00"/>
    <n v="2027.34"/>
    <n v="0"/>
    <s v="USD"/>
    <s v="JRNLWA00355202"/>
    <s v="P"/>
    <s v="REV3-Rcrd Other Rev"/>
    <s v="MaribelV"/>
    <s v="0/JE IC"/>
    <m/>
    <m/>
    <x v="1"/>
  </r>
  <r>
    <s v="40101-2120-000-00"/>
    <d v="2017-05-31T00:00:00"/>
    <n v="71201.259999999995"/>
    <n v="0"/>
    <s v="USD"/>
    <s v="JRNLWA00355646"/>
    <s v="P"/>
    <s v="OPEX14- AP and Exp Report Accr"/>
    <s v="HeatherWe"/>
    <s v="0/JE IC"/>
    <m/>
    <m/>
    <x v="2"/>
  </r>
  <r>
    <s v="40101-2120-000-00"/>
    <d v="2017-06-08T00:00:00"/>
    <n v="71201.259999999995"/>
    <n v="0"/>
    <s v="USD"/>
    <s v="JRNLWA00356122"/>
    <s v="P"/>
    <s v="From Voucher Posting."/>
    <s v="RosemaryS"/>
    <s v="0/JE IC"/>
    <s v="2120WHITLAND"/>
    <m/>
    <x v="4"/>
  </r>
  <r>
    <s v="40101-2120-000-00"/>
    <d v="2017-06-30T00:00:00"/>
    <n v="-71201.259999999995"/>
    <n v="0"/>
    <s v="USD"/>
    <s v="JRNLWA00355843"/>
    <s v="P"/>
    <s v="OPEX14- AP and Exp Report Accr"/>
    <s v="HeatherWe"/>
    <s v="0/JE IC"/>
    <m/>
    <m/>
    <x v="2"/>
  </r>
  <r>
    <s v="40101-2120-000-00"/>
    <d v="2017-06-30T00:00:00"/>
    <n v="71224.58"/>
    <n v="0"/>
    <s v="USD"/>
    <s v="JRNLWA00356478"/>
    <s v="P"/>
    <s v="From Voucher Posting."/>
    <s v="RosemaryS"/>
    <s v="0/JE IC"/>
    <s v="2120WHITLAND"/>
    <m/>
    <x v="4"/>
  </r>
  <r>
    <s v="40101-2120-000-00"/>
    <d v="2017-06-30T00:00:00"/>
    <n v="2910.97"/>
    <n v="0"/>
    <s v="USD"/>
    <s v="JRNLWA00356561"/>
    <s v="P"/>
    <s v="REV3-Rcrd Other Rev"/>
    <s v="HeatherWe"/>
    <s v="0/JE IC"/>
    <m/>
    <m/>
    <x v="1"/>
  </r>
  <r>
    <s v="40101-2120-000-00"/>
    <d v="2017-07-31T00:00:00"/>
    <n v="2279.52"/>
    <n v="0"/>
    <s v="USD"/>
    <s v="JRNLWA00358174"/>
    <s v="P"/>
    <s v="REV3-Rcrd Other Rev"/>
    <s v="HeatherWe"/>
    <s v="0/JE IC"/>
    <m/>
    <m/>
    <x v="1"/>
  </r>
  <r>
    <s v="40101-2120-000-00"/>
    <d v="2017-07-31T00:00:00"/>
    <n v="67332.960000000006"/>
    <n v="0"/>
    <s v="USD"/>
    <s v="JRNLWA00358776"/>
    <s v="P"/>
    <s v="OPEX14- AP and Exp Report Accr"/>
    <s v="HeatherWe"/>
    <s v="0/JE IC"/>
    <m/>
    <m/>
    <x v="2"/>
  </r>
  <r>
    <s v="40101-2120-000-00"/>
    <d v="2017-08-08T00:00:00"/>
    <n v="67332.960000000006"/>
    <n v="0"/>
    <s v="USD"/>
    <s v="JRNLWA00359162"/>
    <s v="P"/>
    <s v="From Voucher Posting."/>
    <s v="RosemaryS"/>
    <s v="0/JE IC"/>
    <s v="2120WHITLAND"/>
    <m/>
    <x v="4"/>
  </r>
  <r>
    <s v="40101-2120-000-00"/>
    <d v="2017-08-31T00:00:00"/>
    <n v="-67332.960000000006"/>
    <n v="0"/>
    <s v="USD"/>
    <s v="JRNLWA00358839"/>
    <s v="P"/>
    <s v="OPEX14- AP and Exp Report Accr"/>
    <s v="HeatherWe"/>
    <s v="0/JE IC"/>
    <m/>
    <m/>
    <x v="2"/>
  </r>
  <r>
    <s v="40101-2120-000-00"/>
    <d v="2017-08-31T00:00:00"/>
    <n v="75640.539999999994"/>
    <n v="0"/>
    <s v="USD"/>
    <s v="JRNLWA00359749"/>
    <s v="P"/>
    <s v="From Voucher Posting."/>
    <s v="JeffS"/>
    <s v="0/JE IC"/>
    <s v="2120WHITLAND"/>
    <m/>
    <x v="4"/>
  </r>
  <r>
    <s v="40101-2120-000-00"/>
    <d v="2017-08-31T00:00:00"/>
    <n v="2814.43"/>
    <n v="0"/>
    <s v="USD"/>
    <s v="JRNLWA00359790"/>
    <s v="P"/>
    <s v="REV3-Rcrd Other Rev"/>
    <s v="HeatherWe"/>
    <s v="0/JE IC"/>
    <m/>
    <m/>
    <x v="1"/>
  </r>
  <r>
    <s v="40101-2120-000-00"/>
    <d v="2017-09-30T00:00:00"/>
    <n v="65638.38"/>
    <n v="0"/>
    <s v="USD"/>
    <s v="JRNLWA00361177"/>
    <s v="P"/>
    <s v="From Voucher Posting."/>
    <s v="RosemaryS"/>
    <s v="0/JE IC"/>
    <s v="2120WHITLAND"/>
    <m/>
    <x v="4"/>
  </r>
  <r>
    <s v="40101-2120-000-00"/>
    <d v="2017-09-30T00:00:00"/>
    <n v="2520.87"/>
    <n v="0"/>
    <s v="USD"/>
    <s v="JRNLWA00361182"/>
    <s v="P"/>
    <s v="REV3-Rcrd Other Rev"/>
    <s v="HeatherWe"/>
    <s v="0/JE IC"/>
    <m/>
    <m/>
    <x v="1"/>
  </r>
  <r>
    <s v="40101-2120-000-00"/>
    <d v="2017-10-31T00:00:00"/>
    <n v="2219.44"/>
    <n v="0"/>
    <s v="USD"/>
    <s v="JRNLWA00362879"/>
    <s v="P"/>
    <s v="REV3-Rcrd Other Rev"/>
    <s v="HeatherWe"/>
    <s v="0/JE IC"/>
    <m/>
    <m/>
    <x v="1"/>
  </r>
  <r>
    <s v="40101-2120-000-00"/>
    <d v="2017-10-31T00:00:00"/>
    <n v="71104.2"/>
    <n v="0"/>
    <s v="USD"/>
    <s v="JRNLWA00363524"/>
    <s v="P"/>
    <s v="OPEX14- AP and Exp Report Accr"/>
    <s v="AlexandraP"/>
    <s v="0/JE IC"/>
    <m/>
    <m/>
    <x v="2"/>
  </r>
  <r>
    <s v="40101-2120-000-00"/>
    <d v="2017-11-06T00:00:00"/>
    <n v="71104.2"/>
    <n v="0"/>
    <s v="USD"/>
    <s v="JRNLWA00363297"/>
    <s v="P"/>
    <s v="From Voucher Posting."/>
    <s v="RosemaryS"/>
    <s v="0/JE IC"/>
    <s v="2120WHITLAND"/>
    <m/>
    <x v="4"/>
  </r>
  <r>
    <s v="40101-2120-000-00"/>
    <d v="2017-11-30T00:00:00"/>
    <n v="-71104.2"/>
    <n v="0"/>
    <s v="USD"/>
    <s v="JRNLWA00363671"/>
    <s v="P"/>
    <s v="OPEX14- AP and Exp Report Accr"/>
    <s v="HeatherWe"/>
    <s v="0/JE IC"/>
    <m/>
    <m/>
    <x v="2"/>
  </r>
  <r>
    <s v="40101-2120-000-00"/>
    <d v="2017-11-30T00:00:00"/>
    <n v="351.54"/>
    <n v="0"/>
    <s v="USD"/>
    <s v="JRNLWA00364391"/>
    <s v="P"/>
    <s v="Western PCard Activity - Nov"/>
    <s v="AlexandraP"/>
    <s v="0/JE IC"/>
    <m/>
    <m/>
    <x v="5"/>
  </r>
  <r>
    <s v="40101-2120-000-00"/>
    <d v="2017-11-30T00:00:00"/>
    <n v="2957.27"/>
    <n v="0"/>
    <s v="USD"/>
    <s v="JRNLWA00364427"/>
    <s v="P"/>
    <s v="REV3-Rcrd Other Rev"/>
    <s v="MimiS"/>
    <s v="0/JE IC"/>
    <m/>
    <m/>
    <x v="1"/>
  </r>
  <r>
    <s v="40101-2120-000-00"/>
    <d v="2017-11-30T00:00:00"/>
    <n v="70620.210000000006"/>
    <n v="0"/>
    <s v="USD"/>
    <s v="JRNLWA00365208"/>
    <s v="P"/>
    <s v="OPEX14- AP and Exp Report Accr"/>
    <s v="MimiS"/>
    <s v="0/JE IC"/>
    <m/>
    <m/>
    <x v="6"/>
  </r>
  <r>
    <s v="40101-2120-000-00"/>
    <d v="2017-12-14T00:00:00"/>
    <n v="70620.210000000006"/>
    <n v="0"/>
    <s v="USD"/>
    <s v="JRNLWA00365559"/>
    <s v="P"/>
    <s v="From Voucher Posting."/>
    <s v="RosemaryS"/>
    <s v="0/JE IC"/>
    <s v="VUS000014774"/>
    <m/>
    <x v="4"/>
  </r>
  <r>
    <s v="40101-2120-000-00"/>
    <d v="2017-12-31T00:00:00"/>
    <n v="-70620.210000000006"/>
    <n v="0"/>
    <s v="USD"/>
    <s v="JRNLWA00365353"/>
    <s v="P"/>
    <s v="OPEX14- AP and Exp Report Accr"/>
    <s v="AlexandraP"/>
    <s v="0/JE IC"/>
    <m/>
    <m/>
    <x v="6"/>
  </r>
  <r>
    <s v="40101-2120-000-00"/>
    <d v="2017-12-31T00:00:00"/>
    <n v="2425.3200000000002"/>
    <n v="0"/>
    <s v="USD"/>
    <s v="JRNLWA00365968"/>
    <s v="P"/>
    <s v="REV3-Rcrd Other Rev"/>
    <s v="HeatherWe"/>
    <s v="0/JE IC"/>
    <m/>
    <m/>
    <x v="1"/>
  </r>
  <r>
    <s v="40101-2120-000-00"/>
    <d v="2017-12-31T00:00:00"/>
    <n v="56650.64"/>
    <n v="0"/>
    <s v="USD"/>
    <s v="JRNLWA00366735"/>
    <s v="P"/>
    <s v="OPEX14- AP and Exp Report Accr"/>
    <s v="MimiS"/>
    <s v="0/JE IC"/>
    <m/>
    <m/>
    <x v="6"/>
  </r>
</pivotCacheRecords>
</file>

<file path=xl/pivotCache/pivotCacheRecords4.xml><?xml version="1.0" encoding="utf-8"?>
<pivotCacheRecords xmlns="http://schemas.openxmlformats.org/spreadsheetml/2006/main" xmlns:r="http://schemas.openxmlformats.org/officeDocument/2006/relationships" count="104">
  <r>
    <s v="40131-2120-000-00"/>
    <d v="2017-01-19T00:00:00"/>
    <n v="9492.99"/>
    <n v="0"/>
    <s v="USD"/>
    <s v="JRNLWA00348593"/>
    <s v="P"/>
    <s v="From Voucher Posting."/>
    <s v="RosemaryS"/>
    <s v="0/JE IC"/>
    <s v="VUS000009995"/>
    <m/>
    <x v="0"/>
  </r>
  <r>
    <s v="40131-2120-000-00"/>
    <d v="2017-01-31T00:00:00"/>
    <n v="-929"/>
    <n v="0"/>
    <s v="USD"/>
    <s v="JRNLWA00348360"/>
    <s v="P"/>
    <s v="OPEX14- AP and Exp Report Accr"/>
    <s v="AdamJo"/>
    <s v="0/JE IC"/>
    <m/>
    <m/>
    <x v="1"/>
  </r>
  <r>
    <s v="40131-2120-000-00"/>
    <d v="2017-01-31T00:00:00"/>
    <n v="-9493"/>
    <n v="0"/>
    <s v="USD"/>
    <s v="JRNLWA00348360"/>
    <s v="P"/>
    <s v="OPEX14- AP and Exp Report Accr"/>
    <s v="AdamJo"/>
    <s v="0/JE IC"/>
    <m/>
    <m/>
    <x v="2"/>
  </r>
  <r>
    <s v="40131-2120-000-00"/>
    <d v="2017-01-31T00:00:00"/>
    <n v="28.27"/>
    <n v="0"/>
    <s v="USD"/>
    <s v="JRNLWA00349054"/>
    <s v="P"/>
    <s v="PCard Activity January- Wester"/>
    <s v="AdamJo"/>
    <s v="0/JE IC"/>
    <m/>
    <m/>
    <x v="3"/>
  </r>
  <r>
    <s v="40131-2120-000-00"/>
    <d v="2017-01-31T00:00:00"/>
    <n v="267.51"/>
    <n v="0"/>
    <s v="USD"/>
    <s v="JRNLWA00349054"/>
    <s v="P"/>
    <s v="PCard Activity January- Wester"/>
    <s v="AdamJo"/>
    <s v="0/JE IC"/>
    <m/>
    <m/>
    <x v="3"/>
  </r>
  <r>
    <s v="40131-2120-000-00"/>
    <d v="2017-01-31T00:00:00"/>
    <n v="10611"/>
    <n v="0"/>
    <s v="USD"/>
    <s v="JRNLWA00349484"/>
    <s v="P"/>
    <s v="OPEX14- AP and Exp Report Accr"/>
    <s v="HeatherWe"/>
    <s v="0/JE IC"/>
    <m/>
    <m/>
    <x v="4"/>
  </r>
  <r>
    <s v="40131-2120-000-00"/>
    <d v="2017-01-31T00:00:00"/>
    <n v="1431.6"/>
    <n v="0"/>
    <s v="USD"/>
    <s v="JRNLWA00349484"/>
    <s v="P"/>
    <s v="OPEX14- AP and Exp Report Accr"/>
    <s v="HeatherWe"/>
    <s v="0/JE IC"/>
    <m/>
    <m/>
    <x v="5"/>
  </r>
  <r>
    <s v="40131-2120-000-00"/>
    <d v="2017-02-23T00:00:00"/>
    <n v="10610.05"/>
    <n v="0"/>
    <s v="USD"/>
    <s v="JRNLWA00350171"/>
    <s v="P"/>
    <s v="From Voucher Posting."/>
    <s v="RosemaryS"/>
    <s v="0/JE IC"/>
    <s v="VUS000009995"/>
    <m/>
    <x v="0"/>
  </r>
  <r>
    <s v="40131-2120-000-00"/>
    <d v="2017-02-28T00:00:00"/>
    <n v="-10611"/>
    <n v="0"/>
    <s v="USD"/>
    <s v="JRNLWA00349568"/>
    <s v="P"/>
    <s v="OPEX14- AP and Exp Report Accr"/>
    <s v="HeatherWe"/>
    <s v="0/JE IC"/>
    <m/>
    <m/>
    <x v="4"/>
  </r>
  <r>
    <s v="40131-2120-000-00"/>
    <d v="2017-02-28T00:00:00"/>
    <n v="-1431.6"/>
    <n v="0"/>
    <s v="USD"/>
    <s v="JRNLWA00349568"/>
    <s v="P"/>
    <s v="OPEX14- AP and Exp Report Accr"/>
    <s v="HeatherWe"/>
    <s v="0/JE IC"/>
    <m/>
    <m/>
    <x v="5"/>
  </r>
  <r>
    <s v="40131-2120-000-00"/>
    <d v="2017-02-28T00:00:00"/>
    <n v="565.57000000000005"/>
    <n v="0"/>
    <s v="USD"/>
    <s v="JRNLWA00350488"/>
    <s v="P"/>
    <s v="PCard Activity February - West"/>
    <s v="AdamJo"/>
    <s v="0/JE IC"/>
    <m/>
    <m/>
    <x v="3"/>
  </r>
  <r>
    <s v="40131-2120-000-00"/>
    <d v="2017-02-28T00:00:00"/>
    <n v="431.03"/>
    <n v="0"/>
    <s v="USD"/>
    <s v="JRNLWA00350488"/>
    <s v="P"/>
    <s v="PCard Activity February - West"/>
    <s v="AdamJo"/>
    <s v="0/JE IC"/>
    <m/>
    <m/>
    <x v="3"/>
  </r>
  <r>
    <s v="40131-2120-000-00"/>
    <d v="2017-02-28T00:00:00"/>
    <n v="434.81"/>
    <n v="0"/>
    <s v="USD"/>
    <s v="JRNLWA00350488"/>
    <s v="P"/>
    <s v="PCard Activity February - West"/>
    <s v="AdamJo"/>
    <s v="0/JE IC"/>
    <m/>
    <m/>
    <x v="3"/>
  </r>
  <r>
    <s v="40131-2120-000-00"/>
    <d v="2017-02-28T00:00:00"/>
    <n v="10229"/>
    <n v="0"/>
    <s v="USD"/>
    <s v="JRNLWA00351081"/>
    <s v="P"/>
    <s v="OPEX14- AP and Exp Report Accr"/>
    <s v="HeatherWe"/>
    <s v="0/JE IC"/>
    <m/>
    <m/>
    <x v="4"/>
  </r>
  <r>
    <s v="40131-2120-000-00"/>
    <d v="2017-02-28T00:00:00"/>
    <n v="845.83"/>
    <n v="0"/>
    <s v="USD"/>
    <s v="JRNLWA00351081"/>
    <s v="P"/>
    <s v="OPEX14- AP and Exp Report Accr"/>
    <s v="HeatherWe"/>
    <s v="0/JE IC"/>
    <m/>
    <m/>
    <x v="5"/>
  </r>
  <r>
    <s v="40131-2120-000-00"/>
    <d v="2017-03-16T00:00:00"/>
    <n v="10228.27"/>
    <n v="0"/>
    <s v="USD"/>
    <s v="JRNLWA00351578"/>
    <s v="P"/>
    <s v="From Voucher Posting."/>
    <s v="JeffS"/>
    <s v="0/JE IC"/>
    <s v="VUS000009995"/>
    <m/>
    <x v="0"/>
  </r>
  <r>
    <s v="40131-2120-000-00"/>
    <d v="2017-03-31T00:00:00"/>
    <n v="-10229"/>
    <n v="0"/>
    <s v="USD"/>
    <s v="JRNLWA00351194"/>
    <s v="P"/>
    <s v="OPEX14- AP and Exp Report Accr"/>
    <s v="AdamJo"/>
    <s v="0/JE IC"/>
    <m/>
    <m/>
    <x v="4"/>
  </r>
  <r>
    <s v="40131-2120-000-00"/>
    <d v="2017-03-31T00:00:00"/>
    <n v="-845.83"/>
    <n v="0"/>
    <s v="USD"/>
    <s v="JRNLWA00351194"/>
    <s v="P"/>
    <s v="OPEX14- AP and Exp Report Accr"/>
    <s v="AdamJo"/>
    <s v="0/JE IC"/>
    <m/>
    <m/>
    <x v="5"/>
  </r>
  <r>
    <s v="40131-2120-000-00"/>
    <d v="2017-03-31T00:00:00"/>
    <n v="448.83"/>
    <n v="0"/>
    <s v="USD"/>
    <s v="JRNLWA00351880"/>
    <s v="P"/>
    <s v="PCard Activity March - Western"/>
    <s v="HeatherWe"/>
    <s v="0/JE IC"/>
    <m/>
    <m/>
    <x v="3"/>
  </r>
  <r>
    <s v="40131-2120-000-00"/>
    <d v="2017-03-31T00:00:00"/>
    <n v="396.72"/>
    <n v="0"/>
    <s v="USD"/>
    <s v="JRNLWA00351880"/>
    <s v="P"/>
    <s v="PCard Activity March - Western"/>
    <s v="HeatherWe"/>
    <s v="0/JE IC"/>
    <m/>
    <m/>
    <x v="3"/>
  </r>
  <r>
    <s v="40131-2120-000-00"/>
    <d v="2017-03-31T00:00:00"/>
    <n v="32.04"/>
    <n v="0"/>
    <s v="USD"/>
    <s v="JRNLWA00352304"/>
    <s v="P"/>
    <s v="OPEX 13- P Card Accrual"/>
    <s v="AdamJo"/>
    <s v="0/JE IC"/>
    <m/>
    <m/>
    <x v="3"/>
  </r>
  <r>
    <s v="40131-2120-000-00"/>
    <d v="2017-03-31T00:00:00"/>
    <n v="523.69000000000005"/>
    <n v="0"/>
    <s v="USD"/>
    <s v="JRNLWA00352304"/>
    <s v="P"/>
    <s v="OPEX 13- P Card Accrual"/>
    <s v="AdamJo"/>
    <s v="0/JE IC"/>
    <m/>
    <m/>
    <x v="3"/>
  </r>
  <r>
    <s v="40131-2120-000-00"/>
    <d v="2017-03-31T00:00:00"/>
    <n v="13035"/>
    <n v="0"/>
    <s v="USD"/>
    <s v="JRNLWA00352634"/>
    <s v="P"/>
    <s v="OPEX14- AP and Exp Report Accr"/>
    <s v="AdamJo"/>
    <s v="0/JE IC"/>
    <m/>
    <m/>
    <x v="4"/>
  </r>
  <r>
    <s v="40131-2120-000-00"/>
    <d v="2017-03-31T00:00:00"/>
    <n v="33.270000000000003"/>
    <n v="0"/>
    <s v="USD"/>
    <s v="JRNLWA00352634"/>
    <s v="P"/>
    <s v="OPEX14- AP and Exp Report Accr"/>
    <s v="AdamJo"/>
    <s v="0/JE IC"/>
    <m/>
    <m/>
    <x v="5"/>
  </r>
  <r>
    <s v="40131-2120-000-00"/>
    <d v="2017-04-30T00:00:00"/>
    <n v="-32.04"/>
    <n v="0"/>
    <s v="USD"/>
    <s v="JRNLWA00352349"/>
    <s v="P"/>
    <s v="OPEX 13- P Card Accrual"/>
    <s v="AdamJo"/>
    <s v="0/JE IC"/>
    <m/>
    <m/>
    <x v="3"/>
  </r>
  <r>
    <s v="40131-2120-000-00"/>
    <d v="2017-04-30T00:00:00"/>
    <n v="-523.69000000000005"/>
    <n v="0"/>
    <s v="USD"/>
    <s v="JRNLWA00352349"/>
    <s v="P"/>
    <s v="OPEX 13- P Card Accrual"/>
    <s v="AdamJo"/>
    <s v="0/JE IC"/>
    <m/>
    <m/>
    <x v="3"/>
  </r>
  <r>
    <s v="40131-2120-000-00"/>
    <d v="2017-04-30T00:00:00"/>
    <n v="-13035"/>
    <n v="0"/>
    <s v="USD"/>
    <s v="JRNLWA00352832"/>
    <s v="P"/>
    <s v="OPEX14- AP and Exp Report Accr"/>
    <s v="MaribelV"/>
    <s v="0/JE IC"/>
    <m/>
    <m/>
    <x v="4"/>
  </r>
  <r>
    <s v="40131-2120-000-00"/>
    <d v="2017-04-30T00:00:00"/>
    <n v="-33.270000000000003"/>
    <n v="0"/>
    <s v="USD"/>
    <s v="JRNLWA00352832"/>
    <s v="P"/>
    <s v="OPEX14- AP and Exp Report Accr"/>
    <s v="MaribelV"/>
    <s v="0/JE IC"/>
    <m/>
    <m/>
    <x v="5"/>
  </r>
  <r>
    <s v="40131-2120-000-00"/>
    <d v="2017-04-30T00:00:00"/>
    <n v="32.04"/>
    <n v="0"/>
    <s v="USD"/>
    <s v="JRNLWA00353598"/>
    <s v="P"/>
    <s v="PCard Activity April - Western"/>
    <s v="HeatherWe"/>
    <s v="0/JE IC"/>
    <m/>
    <m/>
    <x v="3"/>
  </r>
  <r>
    <s v="40131-2120-000-00"/>
    <d v="2017-04-30T00:00:00"/>
    <n v="523.69000000000005"/>
    <n v="0"/>
    <s v="USD"/>
    <s v="JRNLWA00353598"/>
    <s v="P"/>
    <s v="PCard Activity April - Western"/>
    <s v="HeatherWe"/>
    <s v="0/JE IC"/>
    <m/>
    <m/>
    <x v="3"/>
  </r>
  <r>
    <s v="40131-2120-000-00"/>
    <d v="2017-04-30T00:00:00"/>
    <n v="13034.05"/>
    <n v="0"/>
    <s v="USD"/>
    <s v="JRNLWA00354171"/>
    <s v="P"/>
    <s v="OPEX14- AP and Exp Report Accr"/>
    <s v="HeatherWe"/>
    <s v="0/JE IC"/>
    <m/>
    <m/>
    <x v="6"/>
  </r>
  <r>
    <s v="40131-2120-000-00"/>
    <d v="2017-04-30T00:00:00"/>
    <n v="14142"/>
    <n v="0"/>
    <s v="USD"/>
    <s v="JRNLWA00354171"/>
    <s v="P"/>
    <s v="OPEX14- AP and Exp Report Accr"/>
    <s v="HeatherWe"/>
    <s v="0/JE IC"/>
    <m/>
    <m/>
    <x v="4"/>
  </r>
  <r>
    <s v="40131-2120-000-00"/>
    <d v="2017-04-30T00:00:00"/>
    <n v="671"/>
    <n v="0"/>
    <s v="USD"/>
    <s v="JRNLWA00354171"/>
    <s v="P"/>
    <s v="OPEX14- AP and Exp Report Accr"/>
    <s v="HeatherWe"/>
    <s v="0/JE IC"/>
    <m/>
    <m/>
    <x v="5"/>
  </r>
  <r>
    <s v="40131-2120-000-00"/>
    <d v="2017-05-03T00:00:00"/>
    <n v="13034.05"/>
    <n v="0"/>
    <s v="USD"/>
    <s v="JRNLWA00353610"/>
    <s v="P"/>
    <s v="From Voucher Posting."/>
    <s v="RosemaryS"/>
    <s v="0/JE IC"/>
    <s v="VUS000009995"/>
    <m/>
    <x v="0"/>
  </r>
  <r>
    <s v="40131-2120-000-00"/>
    <d v="2017-05-19T00:00:00"/>
    <n v="14141.98"/>
    <n v="0"/>
    <s v="USD"/>
    <s v="JRNLWA00354721"/>
    <s v="P"/>
    <s v="From Voucher Posting."/>
    <s v="RosemaryS"/>
    <s v="0/JE IC"/>
    <s v="VUS000009995"/>
    <m/>
    <x v="0"/>
  </r>
  <r>
    <s v="40131-2120-000-00"/>
    <d v="2017-05-31T00:00:00"/>
    <n v="-13034.05"/>
    <n v="0"/>
    <s v="USD"/>
    <s v="JRNLWA00354289"/>
    <s v="P"/>
    <s v="OPEX14- AP and Exp Report Accr"/>
    <s v="MaribelV"/>
    <s v="0/JE IC"/>
    <m/>
    <m/>
    <x v="6"/>
  </r>
  <r>
    <s v="40131-2120-000-00"/>
    <d v="2017-05-31T00:00:00"/>
    <n v="-14142"/>
    <n v="0"/>
    <s v="USD"/>
    <s v="JRNLWA00354289"/>
    <s v="P"/>
    <s v="OPEX14- AP and Exp Report Accr"/>
    <s v="MaribelV"/>
    <s v="0/JE IC"/>
    <m/>
    <m/>
    <x v="4"/>
  </r>
  <r>
    <s v="40131-2120-000-00"/>
    <d v="2017-05-31T00:00:00"/>
    <n v="-671"/>
    <n v="0"/>
    <s v="USD"/>
    <s v="JRNLWA00354289"/>
    <s v="P"/>
    <s v="OPEX14- AP and Exp Report Accr"/>
    <s v="MaribelV"/>
    <s v="0/JE IC"/>
    <m/>
    <m/>
    <x v="5"/>
  </r>
  <r>
    <s v="40131-2120-000-00"/>
    <d v="2017-05-31T00:00:00"/>
    <n v="627.24"/>
    <n v="0"/>
    <s v="USD"/>
    <s v="JRNLWA00355229"/>
    <s v="P"/>
    <s v="Pcard Activity May - Western"/>
    <s v="MaribelV"/>
    <s v="0/JE IC"/>
    <m/>
    <m/>
    <x v="3"/>
  </r>
  <r>
    <s v="40131-2120-000-00"/>
    <d v="2017-05-31T00:00:00"/>
    <n v="20.72"/>
    <n v="0"/>
    <s v="USD"/>
    <s v="JRNLWA00355229"/>
    <s v="P"/>
    <s v="Pcard Activity May - Western"/>
    <s v="MaribelV"/>
    <s v="0/JE IC"/>
    <m/>
    <m/>
    <x v="3"/>
  </r>
  <r>
    <s v="40131-2120-000-00"/>
    <d v="2017-05-31T00:00:00"/>
    <n v="12881"/>
    <n v="0"/>
    <s v="USD"/>
    <s v="JRNLWA00355646"/>
    <s v="P"/>
    <s v="OPEX14- AP and Exp Report Accr"/>
    <s v="HeatherWe"/>
    <s v="0/JE IC"/>
    <m/>
    <m/>
    <x v="4"/>
  </r>
  <r>
    <s v="40131-2120-000-00"/>
    <d v="2017-05-31T00:00:00"/>
    <n v="550.46"/>
    <n v="0"/>
    <s v="USD"/>
    <s v="JRNLWA00355646"/>
    <s v="P"/>
    <s v="OPEX14- AP and Exp Report Accr"/>
    <s v="HeatherWe"/>
    <s v="0/JE IC"/>
    <m/>
    <m/>
    <x v="5"/>
  </r>
  <r>
    <s v="40131-2120-000-00"/>
    <d v="2017-06-15T00:00:00"/>
    <n v="12880.69"/>
    <n v="0"/>
    <s v="USD"/>
    <s v="JRNLWA00356215"/>
    <s v="P"/>
    <s v="From Voucher Posting."/>
    <s v="RosemaryS"/>
    <s v="0/JE IC"/>
    <s v="VUS000009995"/>
    <m/>
    <x v="0"/>
  </r>
  <r>
    <s v="40131-2120-000-00"/>
    <d v="2017-06-30T00:00:00"/>
    <n v="-12881"/>
    <n v="0"/>
    <s v="USD"/>
    <s v="JRNLWA00355843"/>
    <s v="P"/>
    <s v="OPEX14- AP and Exp Report Accr"/>
    <s v="HeatherWe"/>
    <s v="0/JE IC"/>
    <m/>
    <m/>
    <x v="4"/>
  </r>
  <r>
    <s v="40131-2120-000-00"/>
    <d v="2017-06-30T00:00:00"/>
    <n v="-550.46"/>
    <n v="0"/>
    <s v="USD"/>
    <s v="JRNLWA00355843"/>
    <s v="P"/>
    <s v="OPEX14- AP and Exp Report Accr"/>
    <s v="HeatherWe"/>
    <s v="0/JE IC"/>
    <m/>
    <m/>
    <x v="5"/>
  </r>
  <r>
    <s v="40131-2120-000-00"/>
    <d v="2017-06-30T00:00:00"/>
    <n v="400.42"/>
    <n v="0"/>
    <s v="USD"/>
    <s v="JRNLWA00356562"/>
    <s v="P"/>
    <s v="PCard Activity June - Western"/>
    <s v="HeatherWe"/>
    <s v="0/JE IC"/>
    <m/>
    <m/>
    <x v="3"/>
  </r>
  <r>
    <s v="40131-2120-000-00"/>
    <d v="2017-06-30T00:00:00"/>
    <n v="429.46"/>
    <n v="0"/>
    <s v="USD"/>
    <s v="JRNLWA00356562"/>
    <s v="P"/>
    <s v="PCard Activity June - Western"/>
    <s v="HeatherWe"/>
    <s v="0/JE IC"/>
    <m/>
    <m/>
    <x v="3"/>
  </r>
  <r>
    <s v="40131-2120-000-00"/>
    <d v="2017-06-30T00:00:00"/>
    <n v="20.72"/>
    <n v="0"/>
    <s v="USD"/>
    <s v="JRNLWA00356562"/>
    <s v="P"/>
    <s v="PCard Activity June - Western"/>
    <s v="HeatherWe"/>
    <s v="0/JE IC"/>
    <m/>
    <m/>
    <x v="3"/>
  </r>
  <r>
    <s v="40131-2120-000-00"/>
    <d v="2017-06-30T00:00:00"/>
    <n v="13671.75"/>
    <n v="0"/>
    <s v="USD"/>
    <s v="JRNLWA00357155"/>
    <s v="P"/>
    <s v="OPEX14- AP and Exp Report Accr"/>
    <s v="HeatherWe"/>
    <s v="0/JE IC"/>
    <m/>
    <m/>
    <x v="4"/>
  </r>
  <r>
    <s v="40131-2120-000-00"/>
    <d v="2017-06-30T00:00:00"/>
    <n v="931.03"/>
    <n v="0"/>
    <s v="USD"/>
    <s v="JRNLWA00357155"/>
    <s v="P"/>
    <s v="OPEX14- AP and Exp Report Accr"/>
    <s v="HeatherWe"/>
    <s v="0/JE IC"/>
    <m/>
    <m/>
    <x v="5"/>
  </r>
  <r>
    <s v="40131-2120-000-00"/>
    <d v="2017-06-30T00:00:00"/>
    <n v="-13671.75"/>
    <n v="0"/>
    <s v="USD"/>
    <s v="JRNLWA00357163"/>
    <s v="P"/>
    <s v="OPEX14- AP and Exp Report Accr"/>
    <s v="HeatherWe"/>
    <s v="0/JE IC"/>
    <m/>
    <m/>
    <x v="4"/>
  </r>
  <r>
    <s v="40131-2120-000-00"/>
    <d v="2017-06-30T00:00:00"/>
    <n v="-931.03"/>
    <n v="0"/>
    <s v="USD"/>
    <s v="JRNLWA00357163"/>
    <s v="P"/>
    <s v="OPEX14- AP and Exp Report Accr"/>
    <s v="HeatherWe"/>
    <s v="0/JE IC"/>
    <m/>
    <m/>
    <x v="5"/>
  </r>
  <r>
    <s v="40131-2120-000-00"/>
    <d v="2017-06-30T00:00:00"/>
    <n v="13671.75"/>
    <n v="0"/>
    <s v="USD"/>
    <s v="JRNLWA00357459"/>
    <s v="P"/>
    <s v="OPEX14a- AP and Exp Report Acc"/>
    <s v="MaribelV"/>
    <s v="0/JE IC"/>
    <m/>
    <m/>
    <x v="4"/>
  </r>
  <r>
    <s v="40131-2120-000-00"/>
    <d v="2017-06-30T00:00:00"/>
    <n v="931.03"/>
    <n v="0"/>
    <s v="USD"/>
    <s v="JRNLWA00357459"/>
    <s v="P"/>
    <s v="OPEX14a- AP and Exp Report Acc"/>
    <s v="MaribelV"/>
    <s v="0/JE IC"/>
    <m/>
    <m/>
    <x v="5"/>
  </r>
  <r>
    <s v="40131-2120-000-00"/>
    <d v="2017-07-27T00:00:00"/>
    <n v="13671.75"/>
    <n v="0"/>
    <s v="USD"/>
    <s v="JRNLWA00357902"/>
    <s v="P"/>
    <s v="From Voucher Posting."/>
    <s v="RosemaryS"/>
    <s v="0/JE IC"/>
    <s v="VUS000009995"/>
    <m/>
    <x v="0"/>
  </r>
  <r>
    <s v="40131-2120-000-00"/>
    <d v="2017-07-31T00:00:00"/>
    <n v="13671.75"/>
    <n v="0"/>
    <s v="USD"/>
    <s v="JRNLWA00357180"/>
    <s v="P"/>
    <s v="OPEX14- AP and Exp Report Accr"/>
    <s v="MaribelV"/>
    <s v="0/JE IC"/>
    <m/>
    <m/>
    <x v="4"/>
  </r>
  <r>
    <s v="40131-2120-000-00"/>
    <d v="2017-07-31T00:00:00"/>
    <n v="931.03"/>
    <n v="0"/>
    <s v="USD"/>
    <s v="JRNLWA00357180"/>
    <s v="P"/>
    <s v="OPEX14- AP and Exp Report Accr"/>
    <s v="MaribelV"/>
    <s v="0/JE IC"/>
    <m/>
    <m/>
    <x v="5"/>
  </r>
  <r>
    <s v="40131-2120-000-00"/>
    <d v="2017-07-31T00:00:00"/>
    <n v="-13671.75"/>
    <n v="0"/>
    <s v="USD"/>
    <s v="JRNLWA00357519"/>
    <s v="P"/>
    <s v="OPEX14a- AP and Exp Report Acc"/>
    <s v="JoshuaV"/>
    <s v="0/JE IC"/>
    <m/>
    <m/>
    <x v="4"/>
  </r>
  <r>
    <s v="40131-2120-000-00"/>
    <d v="2017-07-31T00:00:00"/>
    <n v="-931.03"/>
    <n v="0"/>
    <s v="USD"/>
    <s v="JRNLWA00357519"/>
    <s v="P"/>
    <s v="OPEX14a- AP and Exp Report Acc"/>
    <s v="JoshuaV"/>
    <s v="0/JE IC"/>
    <m/>
    <m/>
    <x v="5"/>
  </r>
  <r>
    <s v="40131-2120-000-00"/>
    <d v="2017-07-31T00:00:00"/>
    <n v="39.590000000000003"/>
    <n v="0"/>
    <s v="USD"/>
    <s v="JRNLWA00358110"/>
    <s v="P"/>
    <s v="PCard Activity July - Western"/>
    <s v="HeatherWe"/>
    <s v="0/JE IC"/>
    <m/>
    <m/>
    <x v="3"/>
  </r>
  <r>
    <s v="40131-2120-000-00"/>
    <d v="2017-07-31T00:00:00"/>
    <n v="431.03"/>
    <n v="0"/>
    <s v="USD"/>
    <s v="JRNLWA00358110"/>
    <s v="P"/>
    <s v="PCard Activity July - Western"/>
    <s v="HeatherWe"/>
    <s v="0/JE IC"/>
    <m/>
    <m/>
    <x v="3"/>
  </r>
  <r>
    <s v="40131-2120-000-00"/>
    <d v="2017-07-31T00:00:00"/>
    <n v="-13671.75"/>
    <n v="0"/>
    <s v="USD"/>
    <s v="JRNLWA00358455"/>
    <s v="P"/>
    <s v="MISC1-Reverse Dup June AP Accr"/>
    <s v="HeatherWe"/>
    <s v="0/JE IC"/>
    <m/>
    <m/>
    <x v="7"/>
  </r>
  <r>
    <s v="40131-2120-000-00"/>
    <d v="2017-07-31T00:00:00"/>
    <n v="-931.03"/>
    <n v="0"/>
    <s v="USD"/>
    <s v="JRNLWA00358455"/>
    <s v="P"/>
    <s v="MISC1-Reverse Dup June AP Accr"/>
    <s v="HeatherWe"/>
    <s v="0/JE IC"/>
    <m/>
    <m/>
    <x v="7"/>
  </r>
  <r>
    <s v="40131-2120-000-00"/>
    <d v="2017-07-31T00:00:00"/>
    <n v="11376"/>
    <n v="0"/>
    <s v="USD"/>
    <s v="JRNLWA00358776"/>
    <s v="P"/>
    <s v="OPEX14- AP and Exp Report Accr"/>
    <s v="HeatherWe"/>
    <s v="0/JE IC"/>
    <m/>
    <m/>
    <x v="4"/>
  </r>
  <r>
    <s v="40131-2120-000-00"/>
    <d v="2017-07-31T00:00:00"/>
    <n v="832.72"/>
    <n v="0"/>
    <s v="USD"/>
    <s v="JRNLWA00358776"/>
    <s v="P"/>
    <s v="OPEX14- AP and Exp Report Accr"/>
    <s v="HeatherWe"/>
    <s v="0/JE IC"/>
    <m/>
    <m/>
    <x v="5"/>
  </r>
  <r>
    <s v="40131-2120-000-00"/>
    <d v="2017-08-31T00:00:00"/>
    <n v="-11376"/>
    <n v="0"/>
    <s v="USD"/>
    <s v="JRNLWA00358839"/>
    <s v="P"/>
    <s v="OPEX14- AP and Exp Report Accr"/>
    <s v="HeatherWe"/>
    <s v="0/JE IC"/>
    <m/>
    <m/>
    <x v="4"/>
  </r>
  <r>
    <s v="40131-2120-000-00"/>
    <d v="2017-08-31T00:00:00"/>
    <n v="-832.72"/>
    <n v="0"/>
    <s v="USD"/>
    <s v="JRNLWA00358839"/>
    <s v="P"/>
    <s v="OPEX14- AP and Exp Report Accr"/>
    <s v="HeatherWe"/>
    <s v="0/JE IC"/>
    <m/>
    <m/>
    <x v="5"/>
  </r>
  <r>
    <s v="40131-2120-000-00"/>
    <d v="2017-08-31T00:00:00"/>
    <n v="11375.89"/>
    <n v="0"/>
    <s v="USD"/>
    <s v="JRNLWA00359749"/>
    <s v="P"/>
    <s v="From Voucher Posting."/>
    <s v="JeffS"/>
    <s v="0/JE IC"/>
    <s v="VUS000009995"/>
    <m/>
    <x v="0"/>
  </r>
  <r>
    <s v="40131-2120-000-00"/>
    <d v="2017-08-31T00:00:00"/>
    <n v="431.45"/>
    <n v="0"/>
    <s v="USD"/>
    <s v="JRNLWA00359794"/>
    <s v="P"/>
    <s v="PCard Activity - Aug - Western"/>
    <s v="HeatherWe"/>
    <s v="0/JE IC"/>
    <m/>
    <m/>
    <x v="3"/>
  </r>
  <r>
    <s v="40131-2120-000-00"/>
    <d v="2017-08-31T00:00:00"/>
    <n v="401.27"/>
    <n v="0"/>
    <s v="USD"/>
    <s v="JRNLWA00359794"/>
    <s v="P"/>
    <s v="PCard Activity - Aug - Western"/>
    <s v="HeatherWe"/>
    <s v="0/JE IC"/>
    <m/>
    <m/>
    <x v="3"/>
  </r>
  <r>
    <s v="40131-2120-000-00"/>
    <d v="2017-08-31T00:00:00"/>
    <n v="13257"/>
    <n v="0"/>
    <s v="USD"/>
    <s v="JRNLWA00360326"/>
    <s v="P"/>
    <s v="OPEX14- AP and Exp Report Accr"/>
    <s v="HeatherWe"/>
    <s v="0/JE IC"/>
    <m/>
    <m/>
    <x v="4"/>
  </r>
  <r>
    <s v="40131-2120-000-00"/>
    <d v="2017-08-31T00:00:00"/>
    <n v="548.72"/>
    <n v="0"/>
    <s v="USD"/>
    <s v="JRNLWA00360326"/>
    <s v="P"/>
    <s v="OPEX14- AP and Exp Report Accr"/>
    <s v="HeatherWe"/>
    <s v="0/JE IC"/>
    <m/>
    <m/>
    <x v="5"/>
  </r>
  <r>
    <s v="40131-2120-000-00"/>
    <d v="2017-09-14T00:00:00"/>
    <n v="13460.66"/>
    <n v="0"/>
    <s v="USD"/>
    <s v="JRNLWA00360866"/>
    <s v="P"/>
    <s v="From Voucher Posting."/>
    <s v="RosemaryS"/>
    <s v="0/JE IC"/>
    <s v="VUS000009995"/>
    <m/>
    <x v="0"/>
  </r>
  <r>
    <s v="40131-2120-000-00"/>
    <d v="2017-09-30T00:00:00"/>
    <n v="-13257"/>
    <n v="0"/>
    <s v="USD"/>
    <s v="JRNLWA00360518"/>
    <s v="P"/>
    <s v="OPEX14- AP and Exp Report Accr"/>
    <s v="AlexandraP"/>
    <s v="0/JE IC"/>
    <m/>
    <m/>
    <x v="4"/>
  </r>
  <r>
    <s v="40131-2120-000-00"/>
    <d v="2017-09-30T00:00:00"/>
    <n v="-548.72"/>
    <n v="0"/>
    <s v="USD"/>
    <s v="JRNLWA00360518"/>
    <s v="P"/>
    <s v="OPEX14- AP and Exp Report Accr"/>
    <s v="AlexandraP"/>
    <s v="0/JE IC"/>
    <m/>
    <m/>
    <x v="5"/>
  </r>
  <r>
    <s v="40131-2120-000-00"/>
    <d v="2017-09-30T00:00:00"/>
    <n v="528"/>
    <n v="0"/>
    <s v="USD"/>
    <s v="JRNLWA00361268"/>
    <s v="P"/>
    <s v="PCard Activity - Sep - Western"/>
    <s v="HeatherWe"/>
    <s v="0/JE IC"/>
    <m/>
    <m/>
    <x v="3"/>
  </r>
  <r>
    <s v="40131-2120-000-00"/>
    <d v="2017-09-30T00:00:00"/>
    <n v="20.72"/>
    <n v="0"/>
    <s v="USD"/>
    <s v="JRNLWA00361268"/>
    <s v="P"/>
    <s v="PCard Activity - Sep - Western"/>
    <s v="HeatherWe"/>
    <s v="0/JE IC"/>
    <m/>
    <m/>
    <x v="3"/>
  </r>
  <r>
    <s v="40131-2120-000-00"/>
    <d v="2017-09-30T00:00:00"/>
    <n v="372.85"/>
    <n v="0"/>
    <s v="USD"/>
    <s v="JRNLWA00361464"/>
    <s v="P"/>
    <s v="OPEX 13- P Card Accrual"/>
    <s v="MaribelV"/>
    <s v="0/JE IC"/>
    <m/>
    <m/>
    <x v="3"/>
  </r>
  <r>
    <s v="40131-2120-000-00"/>
    <d v="2017-09-30T00:00:00"/>
    <n v="415.59"/>
    <n v="0"/>
    <s v="USD"/>
    <s v="JRNLWA00361464"/>
    <s v="P"/>
    <s v="OPEX 13- P Card Accrual"/>
    <s v="MaribelV"/>
    <s v="0/JE IC"/>
    <m/>
    <m/>
    <x v="3"/>
  </r>
  <r>
    <s v="40131-2120-000-00"/>
    <d v="2017-09-30T00:00:00"/>
    <n v="11363"/>
    <n v="0"/>
    <s v="USD"/>
    <s v="JRNLWA00361731"/>
    <s v="P"/>
    <s v="OPEX14- AP and Exp Report Accr"/>
    <s v="AlexandraP"/>
    <s v="0/JE IC"/>
    <m/>
    <m/>
    <x v="4"/>
  </r>
  <r>
    <s v="40131-2120-000-00"/>
    <d v="2017-10-26T00:00:00"/>
    <n v="11362.28"/>
    <n v="0"/>
    <s v="USD"/>
    <s v="JRNLWA00362596"/>
    <s v="P"/>
    <s v="From Voucher Posting."/>
    <s v="RosemaryS"/>
    <s v="0/JE IC"/>
    <s v="VUS000009995"/>
    <m/>
    <x v="0"/>
  </r>
  <r>
    <s v="40131-2120-000-00"/>
    <d v="2017-10-31T00:00:00"/>
    <n v="-372.85"/>
    <n v="0"/>
    <s v="USD"/>
    <s v="JRNLWA00361527"/>
    <s v="P"/>
    <s v="OPEX 13- P Card Accrual"/>
    <s v="HeatherWe"/>
    <s v="0/JE IC"/>
    <m/>
    <m/>
    <x v="3"/>
  </r>
  <r>
    <s v="40131-2120-000-00"/>
    <d v="2017-10-31T00:00:00"/>
    <n v="-415.59"/>
    <n v="0"/>
    <s v="USD"/>
    <s v="JRNLWA00361527"/>
    <s v="P"/>
    <s v="OPEX 13- P Card Accrual"/>
    <s v="HeatherWe"/>
    <s v="0/JE IC"/>
    <m/>
    <m/>
    <x v="3"/>
  </r>
  <r>
    <s v="40131-2120-000-00"/>
    <d v="2017-10-31T00:00:00"/>
    <n v="-11363"/>
    <n v="0"/>
    <s v="USD"/>
    <s v="JRNLWA00361784"/>
    <s v="P"/>
    <s v="OPEX14- AP and Exp Report Accr"/>
    <s v="HeatherWe"/>
    <s v="0/JE IC"/>
    <m/>
    <m/>
    <x v="4"/>
  </r>
  <r>
    <s v="40131-2120-000-00"/>
    <d v="2017-10-31T00:00:00"/>
    <n v="372.85"/>
    <n v="0"/>
    <s v="USD"/>
    <s v="JRNLWA00362909"/>
    <s v="P"/>
    <s v="Western PCard Activity - Oct"/>
    <s v="HeatherWe"/>
    <s v="0/JE IC"/>
    <m/>
    <m/>
    <x v="3"/>
  </r>
  <r>
    <s v="40131-2120-000-00"/>
    <d v="2017-10-31T00:00:00"/>
    <n v="415.59"/>
    <n v="0"/>
    <s v="USD"/>
    <s v="JRNLWA00362909"/>
    <s v="P"/>
    <s v="Western PCard Activity - Oct"/>
    <s v="HeatherWe"/>
    <s v="0/JE IC"/>
    <m/>
    <m/>
    <x v="3"/>
  </r>
  <r>
    <s v="40131-2120-000-00"/>
    <d v="2017-10-31T00:00:00"/>
    <n v="12561"/>
    <n v="0"/>
    <s v="USD"/>
    <s v="JRNLWA00363524"/>
    <s v="P"/>
    <s v="OPEX14- AP and Exp Report Accr"/>
    <s v="AlexandraP"/>
    <s v="0/JE IC"/>
    <m/>
    <m/>
    <x v="4"/>
  </r>
  <r>
    <s v="40131-2120-000-00"/>
    <d v="2017-10-31T00:00:00"/>
    <n v="1300"/>
    <n v="0"/>
    <s v="USD"/>
    <s v="JRNLWA00363524"/>
    <s v="P"/>
    <s v="OPEX14- AP and Exp Report Accr"/>
    <s v="AlexandraP"/>
    <s v="0/JE IC"/>
    <m/>
    <m/>
    <x v="5"/>
  </r>
  <r>
    <s v="40131-2120-000-00"/>
    <d v="2017-11-27T00:00:00"/>
    <n v="12560.88"/>
    <n v="0"/>
    <s v="USD"/>
    <s v="JRNLWA00364131"/>
    <s v="P"/>
    <s v="From Voucher Posting."/>
    <s v="JeffS"/>
    <s v="0/JE IC"/>
    <s v="VUS000009995"/>
    <m/>
    <x v="0"/>
  </r>
  <r>
    <s v="40131-2120-000-00"/>
    <d v="2017-11-30T00:00:00"/>
    <n v="-12561"/>
    <n v="0"/>
    <s v="USD"/>
    <s v="JRNLWA00363671"/>
    <s v="P"/>
    <s v="OPEX14- AP and Exp Report Accr"/>
    <s v="HeatherWe"/>
    <s v="0/JE IC"/>
    <m/>
    <m/>
    <x v="4"/>
  </r>
  <r>
    <s v="40131-2120-000-00"/>
    <d v="2017-11-30T00:00:00"/>
    <n v="-1300"/>
    <n v="0"/>
    <s v="USD"/>
    <s v="JRNLWA00363671"/>
    <s v="P"/>
    <s v="OPEX14- AP and Exp Report Accr"/>
    <s v="HeatherWe"/>
    <s v="0/JE IC"/>
    <m/>
    <m/>
    <x v="5"/>
  </r>
  <r>
    <s v="40131-2120-000-00"/>
    <d v="2017-11-30T00:00:00"/>
    <n v="424.96"/>
    <n v="0"/>
    <s v="USD"/>
    <s v="JRNLWA00364391"/>
    <s v="P"/>
    <s v="Western PCard Activity - Nov"/>
    <s v="AlexandraP"/>
    <s v="0/JE IC"/>
    <m/>
    <m/>
    <x v="3"/>
  </r>
  <r>
    <s v="40131-2120-000-00"/>
    <d v="2017-11-30T00:00:00"/>
    <n v="280.39999999999998"/>
    <n v="0"/>
    <s v="USD"/>
    <s v="JRNLWA00364391"/>
    <s v="P"/>
    <s v="Western PCard Activity - Nov"/>
    <s v="AlexandraP"/>
    <s v="0/JE IC"/>
    <m/>
    <m/>
    <x v="3"/>
  </r>
  <r>
    <s v="40131-2120-000-00"/>
    <d v="2017-11-30T00:00:00"/>
    <n v="426.49"/>
    <n v="0"/>
    <s v="USD"/>
    <s v="JRNLWA00364391"/>
    <s v="P"/>
    <s v="Western PCard Activity - Nov"/>
    <s v="AlexandraP"/>
    <s v="0/JE IC"/>
    <m/>
    <m/>
    <x v="3"/>
  </r>
  <r>
    <s v="40131-2120-000-00"/>
    <d v="2017-11-30T00:00:00"/>
    <n v="13800"/>
    <n v="0"/>
    <s v="USD"/>
    <s v="JRNLWA00365208"/>
    <s v="P"/>
    <s v="OPEX14- AP and Exp Report Accr"/>
    <s v="MimiS"/>
    <s v="0/JE IC"/>
    <m/>
    <m/>
    <x v="4"/>
  </r>
  <r>
    <s v="40131-2120-000-00"/>
    <d v="2017-11-30T00:00:00"/>
    <n v="1000"/>
    <n v="0"/>
    <s v="USD"/>
    <s v="JRNLWA00365208"/>
    <s v="P"/>
    <s v="OPEX14- AP and Exp Report Accr"/>
    <s v="MimiS"/>
    <s v="0/JE IC"/>
    <m/>
    <m/>
    <x v="5"/>
  </r>
  <r>
    <s v="40131-2120-000-00"/>
    <d v="2017-12-31T00:00:00"/>
    <n v="-13800"/>
    <n v="0"/>
    <s v="USD"/>
    <s v="JRNLWA00365353"/>
    <s v="P"/>
    <s v="OPEX14- AP and Exp Report Accr"/>
    <s v="AlexandraP"/>
    <s v="0/JE IC"/>
    <m/>
    <m/>
    <x v="4"/>
  </r>
  <r>
    <s v="40131-2120-000-00"/>
    <d v="2017-12-31T00:00:00"/>
    <n v="-1000"/>
    <n v="0"/>
    <s v="USD"/>
    <s v="JRNLWA00365353"/>
    <s v="P"/>
    <s v="OPEX14- AP and Exp Report Accr"/>
    <s v="AlexandraP"/>
    <s v="0/JE IC"/>
    <m/>
    <m/>
    <x v="5"/>
  </r>
  <r>
    <s v="40131-2120-000-00"/>
    <d v="2017-12-31T00:00:00"/>
    <n v="13799.24"/>
    <n v="0"/>
    <s v="USD"/>
    <s v="JRNLWA00365922"/>
    <s v="P"/>
    <s v="From Voucher Posting."/>
    <s v="RosemaryS"/>
    <s v="0/JE IC"/>
    <s v="VUS000009995"/>
    <m/>
    <x v="0"/>
  </r>
  <r>
    <s v="40131-2120-000-00"/>
    <d v="2017-12-31T00:00:00"/>
    <n v="286.5"/>
    <n v="0"/>
    <s v="USD"/>
    <s v="JRNLWA00365961"/>
    <s v="P"/>
    <s v="Wester PCard Activity - Dec"/>
    <s v="AlexandraP"/>
    <s v="0/JE IC"/>
    <m/>
    <m/>
    <x v="3"/>
  </r>
  <r>
    <s v="40131-2120-000-00"/>
    <d v="2017-12-31T00:00:00"/>
    <n v="82.88"/>
    <n v="0"/>
    <s v="USD"/>
    <s v="JRNLWA00365961"/>
    <s v="P"/>
    <s v="Wester PCard Activity - Dec"/>
    <s v="AlexandraP"/>
    <s v="0/JE IC"/>
    <m/>
    <m/>
    <x v="3"/>
  </r>
  <r>
    <s v="40131-2120-000-00"/>
    <d v="2017-12-31T00:00:00"/>
    <n v="401.27"/>
    <n v="0"/>
    <s v="USD"/>
    <s v="JRNLWA00365961"/>
    <s v="P"/>
    <s v="Wester PCard Activity - Dec"/>
    <s v="AlexandraP"/>
    <s v="0/JE IC"/>
    <m/>
    <m/>
    <x v="3"/>
  </r>
  <r>
    <s v="40131-2120-000-00"/>
    <d v="2017-12-31T00:00:00"/>
    <n v="11339"/>
    <n v="0"/>
    <s v="USD"/>
    <s v="JRNLWA00366735"/>
    <s v="P"/>
    <s v="OPEX14- AP and Exp Report Accr"/>
    <s v="MimiS"/>
    <s v="0/JE IC"/>
    <m/>
    <m/>
    <x v="4"/>
  </r>
  <r>
    <s v="40131-2120-000-00"/>
    <d v="2017-12-31T00:00:00"/>
    <n v="713.5"/>
    <n v="0"/>
    <s v="USD"/>
    <s v="JRNLWA00366735"/>
    <s v="P"/>
    <s v="OPEX14- AP and Exp Report Accr"/>
    <s v="MimiS"/>
    <s v="0/JE IC"/>
    <m/>
    <m/>
    <x v="5"/>
  </r>
</pivotCacheRecords>
</file>

<file path=xl/pivotCache/pivotCacheRecords5.xml><?xml version="1.0" encoding="utf-8"?>
<pivotCacheRecords xmlns="http://schemas.openxmlformats.org/spreadsheetml/2006/main" xmlns:r="http://schemas.openxmlformats.org/officeDocument/2006/relationships" count="22">
  <r>
    <s v="40121-2120-000-00"/>
    <d v="2017-01-31T00:00:00"/>
    <n v="3305.48"/>
    <n v="0"/>
    <s v="USD"/>
    <s v="JRNLWA00348830"/>
    <s v="P"/>
    <s v="From Voucher Posting."/>
    <s v="RosemaryS"/>
    <s v="0/JE IC"/>
    <s v="2120CITYSPOK"/>
    <m/>
    <x v="0"/>
  </r>
  <r>
    <s v="40121-2120-000-00"/>
    <d v="2017-02-28T00:00:00"/>
    <n v="4772.21"/>
    <n v="0"/>
    <s v="USD"/>
    <s v="JRNLWA00351081"/>
    <s v="P"/>
    <s v="OPEX14- AP and Exp Report Accr"/>
    <s v="HeatherWe"/>
    <s v="0/JE IC"/>
    <m/>
    <m/>
    <x v="1"/>
  </r>
  <r>
    <s v="40121-2120-000-00"/>
    <d v="2017-03-09T00:00:00"/>
    <n v="4772.21"/>
    <n v="0"/>
    <s v="USD"/>
    <s v="JRNLWA00351483"/>
    <s v="P"/>
    <s v="From Voucher Posting."/>
    <s v="RosemaryS"/>
    <s v="0/JE IC"/>
    <s v="2120CITYSPOK"/>
    <m/>
    <x v="0"/>
  </r>
  <r>
    <s v="40121-2120-000-00"/>
    <d v="2017-03-31T00:00:00"/>
    <n v="-4772.21"/>
    <n v="0"/>
    <s v="USD"/>
    <s v="JRNLWA00351194"/>
    <s v="P"/>
    <s v="OPEX14- AP and Exp Report Accr"/>
    <s v="AdamJo"/>
    <s v="0/JE IC"/>
    <m/>
    <m/>
    <x v="1"/>
  </r>
  <r>
    <s v="40121-2120-000-00"/>
    <d v="2017-03-31T00:00:00"/>
    <n v="6324.63"/>
    <n v="0"/>
    <s v="USD"/>
    <s v="JRNLWA00351901"/>
    <s v="P"/>
    <s v="From Voucher Posting."/>
    <s v="RosemaryS"/>
    <s v="0/JE IC"/>
    <s v="2120CITYSPOK"/>
    <m/>
    <x v="0"/>
  </r>
  <r>
    <s v="40121-2120-000-00"/>
    <d v="2017-04-30T00:00:00"/>
    <n v="7169.15"/>
    <n v="0"/>
    <s v="USD"/>
    <s v="JRNLWA00354171"/>
    <s v="P"/>
    <s v="OPEX14- AP and Exp Report Accr"/>
    <s v="HeatherWe"/>
    <s v="0/JE IC"/>
    <m/>
    <m/>
    <x v="1"/>
  </r>
  <r>
    <s v="40121-2120-000-00"/>
    <d v="2017-05-08T00:00:00"/>
    <n v="7169.15"/>
    <n v="0"/>
    <s v="USD"/>
    <s v="JRNLWA00354535"/>
    <s v="P"/>
    <s v="From Voucher Posting."/>
    <s v="RosemaryS"/>
    <s v="0/JE IC"/>
    <s v="2120CITYSPOK"/>
    <m/>
    <x v="0"/>
  </r>
  <r>
    <s v="40121-2120-000-00"/>
    <d v="2017-05-31T00:00:00"/>
    <n v="-7169.15"/>
    <n v="0"/>
    <s v="USD"/>
    <s v="JRNLWA00354289"/>
    <s v="P"/>
    <s v="OPEX14- AP and Exp Report Accr"/>
    <s v="MaribelV"/>
    <s v="0/JE IC"/>
    <m/>
    <m/>
    <x v="1"/>
  </r>
  <r>
    <s v="40121-2120-000-00"/>
    <d v="2017-05-31T00:00:00"/>
    <n v="5058.41"/>
    <n v="0"/>
    <s v="USD"/>
    <s v="JRNLWA00354864"/>
    <s v="P"/>
    <s v="From Voucher Posting."/>
    <s v="RosemaryS"/>
    <s v="0/JE IC"/>
    <s v="2120CITYSPOK"/>
    <m/>
    <x v="0"/>
  </r>
  <r>
    <s v="40121-2120-000-00"/>
    <d v="2017-06-30T00:00:00"/>
    <n v="6319.21"/>
    <n v="0"/>
    <s v="USD"/>
    <s v="JRNLWA00356477"/>
    <s v="P"/>
    <s v="From Voucher Posting."/>
    <s v="RosemaryS"/>
    <s v="0/JE IC"/>
    <s v="2120CITYSPOK"/>
    <m/>
    <x v="0"/>
  </r>
  <r>
    <s v="40121-2120-000-00"/>
    <d v="2017-07-31T00:00:00"/>
    <n v="3212.19"/>
    <n v="0"/>
    <s v="USD"/>
    <s v="JRNLWA00358776"/>
    <s v="P"/>
    <s v="OPEX14- AP and Exp Report Accr"/>
    <s v="HeatherWe"/>
    <s v="0/JE IC"/>
    <m/>
    <m/>
    <x v="1"/>
  </r>
  <r>
    <s v="40121-2120-000-00"/>
    <d v="2017-08-08T00:00:00"/>
    <n v="3212.19"/>
    <n v="0"/>
    <s v="USD"/>
    <s v="JRNLWA00359162"/>
    <s v="P"/>
    <s v="From Voucher Posting."/>
    <s v="RosemaryS"/>
    <s v="0/JE IC"/>
    <s v="2120CITYSPOK"/>
    <m/>
    <x v="0"/>
  </r>
  <r>
    <s v="40121-2120-000-00"/>
    <d v="2017-08-31T00:00:00"/>
    <n v="-3212.19"/>
    <n v="0"/>
    <s v="USD"/>
    <s v="JRNLWA00358839"/>
    <s v="P"/>
    <s v="OPEX14- AP and Exp Report Accr"/>
    <s v="HeatherWe"/>
    <s v="0/JE IC"/>
    <m/>
    <m/>
    <x v="1"/>
  </r>
  <r>
    <s v="40121-2120-000-00"/>
    <d v="2017-08-31T00:00:00"/>
    <n v="6993.53"/>
    <n v="0"/>
    <s v="USD"/>
    <s v="JRNLWA00359671"/>
    <s v="P"/>
    <s v="From Voucher Posting."/>
    <s v="JeffS"/>
    <s v="0/JE IC"/>
    <s v="2120CITYSPOK"/>
    <m/>
    <x v="0"/>
  </r>
  <r>
    <s v="40121-2120-000-00"/>
    <d v="2017-09-30T00:00:00"/>
    <n v="6657.45"/>
    <n v="0"/>
    <s v="USD"/>
    <s v="JRNLWA00361176"/>
    <s v="P"/>
    <s v="From Voucher Posting."/>
    <s v="RosemaryS"/>
    <s v="0/JE IC"/>
    <s v="2120CITYSPOK"/>
    <m/>
    <x v="0"/>
  </r>
  <r>
    <s v="40121-2120-000-00"/>
    <d v="2017-10-31T00:00:00"/>
    <n v="8236.99"/>
    <n v="0"/>
    <s v="USD"/>
    <s v="JRNLWA00363524"/>
    <s v="P"/>
    <s v="OPEX14- AP and Exp Report Accr"/>
    <s v="AlexandraP"/>
    <s v="0/JE IC"/>
    <m/>
    <m/>
    <x v="1"/>
  </r>
  <r>
    <s v="40121-2120-000-00"/>
    <d v="2017-11-06T00:00:00"/>
    <n v="8236.99"/>
    <n v="0"/>
    <s v="USD"/>
    <s v="JRNLWA00363297"/>
    <s v="P"/>
    <s v="From Voucher Posting."/>
    <s v="RosemaryS"/>
    <s v="0/JE IC"/>
    <s v="2120CITYSPOK"/>
    <m/>
    <x v="0"/>
  </r>
  <r>
    <s v="40121-2120-000-00"/>
    <d v="2017-11-30T00:00:00"/>
    <n v="-8236.99"/>
    <n v="0"/>
    <s v="USD"/>
    <s v="JRNLWA00363671"/>
    <s v="P"/>
    <s v="OPEX14- AP and Exp Report Accr"/>
    <s v="HeatherWe"/>
    <s v="0/JE IC"/>
    <m/>
    <m/>
    <x v="1"/>
  </r>
  <r>
    <s v="40121-2120-000-00"/>
    <d v="2017-11-30T00:00:00"/>
    <n v="6242.23"/>
    <n v="0"/>
    <s v="USD"/>
    <s v="JRNLWA00365208"/>
    <s v="P"/>
    <s v="OPEX14- AP and Exp Report Accr"/>
    <s v="MimiS"/>
    <s v="0/JE IC"/>
    <m/>
    <m/>
    <x v="2"/>
  </r>
  <r>
    <s v="40121-2120-000-00"/>
    <d v="2017-12-06T00:00:00"/>
    <n v="6242.23"/>
    <n v="0"/>
    <s v="USD"/>
    <s v="JRNLWA00364878"/>
    <s v="P"/>
    <s v="From Voucher Posting."/>
    <s v="RosemaryS"/>
    <s v="0/JE IC"/>
    <s v="VUS000019834"/>
    <m/>
    <x v="0"/>
  </r>
  <r>
    <s v="40121-2120-000-00"/>
    <d v="2017-12-31T00:00:00"/>
    <n v="-6242.23"/>
    <n v="0"/>
    <s v="USD"/>
    <s v="JRNLWA00365353"/>
    <s v="P"/>
    <s v="OPEX14- AP and Exp Report Accr"/>
    <s v="AlexandraP"/>
    <s v="0/JE IC"/>
    <m/>
    <m/>
    <x v="2"/>
  </r>
  <r>
    <s v="40121-2120-000-00"/>
    <d v="2017-12-31T00:00:00"/>
    <n v="5510.49"/>
    <n v="0"/>
    <s v="USD"/>
    <s v="JRNLWA00366735"/>
    <s v="P"/>
    <s v="OPEX14- AP and Exp Report Accr"/>
    <s v="MimiS"/>
    <s v="0/JE IC"/>
    <m/>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3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67:C75"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8">
        <item x="2"/>
        <item x="3"/>
        <item x="0"/>
        <item x="1"/>
        <item x="5"/>
        <item x="6"/>
        <item x="4"/>
        <item t="default"/>
      </items>
    </pivotField>
  </pivotFields>
  <rowFields count="1">
    <field x="12"/>
  </rowFields>
  <rowItems count="8">
    <i>
      <x/>
    </i>
    <i>
      <x v="1"/>
    </i>
    <i>
      <x v="2"/>
    </i>
    <i>
      <x v="3"/>
    </i>
    <i>
      <x v="4"/>
    </i>
    <i>
      <x v="5"/>
    </i>
    <i>
      <x v="6"/>
    </i>
    <i t="grand">
      <x/>
    </i>
  </rowItems>
  <colItems count="1">
    <i/>
  </colItems>
  <dataFields count="1">
    <dataField name="Sum of Amount USD" fld="2" baseField="0" baseItem="0" numFmtId="43"/>
  </dataFields>
  <formats count="4">
    <format dxfId="13">
      <pivotArea outline="0" collapsedLevelsAreSubtotals="1" fieldPosition="0"/>
    </format>
    <format dxfId="12">
      <pivotArea collapsedLevelsAreSubtotals="1" fieldPosition="0">
        <references count="1">
          <reference field="12" count="1">
            <x v="3"/>
          </reference>
        </references>
      </pivotArea>
    </format>
    <format dxfId="11">
      <pivotArea dataOnly="0" labelOnly="1" fieldPosition="0">
        <references count="1">
          <reference field="12" count="1">
            <x v="3"/>
          </reference>
        </references>
      </pivotArea>
    </format>
    <format dxfId="1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3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46:C50"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s>
  <rowFields count="1">
    <field x="12"/>
  </rowFields>
  <rowItems count="4">
    <i>
      <x/>
    </i>
    <i>
      <x v="1"/>
    </i>
    <i>
      <x v="2"/>
    </i>
    <i t="grand">
      <x/>
    </i>
  </rowItems>
  <colItems count="1">
    <i/>
  </colItems>
  <dataFields count="1">
    <dataField name="Sum of Amount USD" fld="2" baseField="0" baseItem="0" numFmtId="43"/>
  </data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3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130:C139"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9">
        <item x="5"/>
        <item x="1"/>
        <item x="7"/>
        <item x="0"/>
        <item x="3"/>
        <item x="4"/>
        <item x="2"/>
        <item x="6"/>
        <item t="default"/>
      </items>
    </pivotField>
  </pivotFields>
  <rowFields count="1">
    <field x="12"/>
  </rowFields>
  <rowItems count="9">
    <i>
      <x/>
    </i>
    <i>
      <x v="1"/>
    </i>
    <i>
      <x v="2"/>
    </i>
    <i>
      <x v="3"/>
    </i>
    <i>
      <x v="4"/>
    </i>
    <i>
      <x v="5"/>
    </i>
    <i>
      <x v="6"/>
    </i>
    <i>
      <x v="7"/>
    </i>
    <i t="grand">
      <x/>
    </i>
  </rowItems>
  <colItems count="1">
    <i/>
  </colItems>
  <dataFields count="1">
    <dataField name="Sum of Amount USD" fld="2" baseField="0" baseItem="0" numFmtId="43"/>
  </dataFields>
  <formats count="5">
    <format dxfId="8">
      <pivotArea outline="0" collapsedLevelsAreSubtotals="1" fieldPosition="0"/>
    </format>
    <format dxfId="7">
      <pivotArea collapsedLevelsAreSubtotals="1" fieldPosition="0">
        <references count="1">
          <reference field="12" count="2">
            <x v="0"/>
            <x v="1"/>
          </reference>
        </references>
      </pivotArea>
    </format>
    <format dxfId="6">
      <pivotArea dataOnly="0" labelOnly="1" fieldPosition="0">
        <references count="1">
          <reference field="12" count="2">
            <x v="0"/>
            <x v="1"/>
          </reference>
        </references>
      </pivotArea>
    </format>
    <format dxfId="5">
      <pivotArea collapsedLevelsAreSubtotals="1" fieldPosition="0">
        <references count="1">
          <reference field="12" count="1">
            <x v="4"/>
          </reference>
        </references>
      </pivotArea>
    </format>
    <format dxfId="4">
      <pivotArea dataOnly="0" labelOnly="1" fieldPosition="0">
        <references count="1">
          <reference field="1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3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74:C95"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21">
        <item x="11"/>
        <item x="12"/>
        <item x="10"/>
        <item x="13"/>
        <item x="18"/>
        <item x="17"/>
        <item x="15"/>
        <item x="1"/>
        <item x="2"/>
        <item x="0"/>
        <item x="14"/>
        <item x="8"/>
        <item x="4"/>
        <item x="19"/>
        <item x="7"/>
        <item x="3"/>
        <item x="9"/>
        <item x="5"/>
        <item x="6"/>
        <item x="16"/>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Sum of Amount USD" fld="2" baseField="0" baseItem="0" numFmtId="43"/>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3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56:C67"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1">
        <item x="7"/>
        <item x="5"/>
        <item x="6"/>
        <item x="4"/>
        <item x="1"/>
        <item x="9"/>
        <item x="0"/>
        <item x="3"/>
        <item x="8"/>
        <item x="2"/>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1">
    <i>
      <x/>
    </i>
    <i>
      <x v="1"/>
    </i>
    <i>
      <x v="2"/>
    </i>
    <i>
      <x v="3"/>
    </i>
    <i>
      <x v="4"/>
    </i>
    <i>
      <x v="5"/>
    </i>
    <i>
      <x v="6"/>
    </i>
    <i>
      <x v="7"/>
    </i>
    <i>
      <x v="8"/>
    </i>
    <i>
      <x v="9"/>
    </i>
    <i t="grand">
      <x/>
    </i>
  </rowItems>
  <colItems count="1">
    <i/>
  </colItems>
  <dataFields count="1">
    <dataField name="Sum of Amount USD" fld="2" baseField="0" baseItem="0" numFmtId="43"/>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2.bin"/><Relationship Id="rId1" Type="http://schemas.openxmlformats.org/officeDocument/2006/relationships/pivotTable" Target="../pivotTables/pivotTable1.xml"/><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3.bin"/><Relationship Id="rId1" Type="http://schemas.openxmlformats.org/officeDocument/2006/relationships/pivotTable" Target="../pivotTables/pivotTable2.xml"/><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4.bin"/><Relationship Id="rId1" Type="http://schemas.openxmlformats.org/officeDocument/2006/relationships/pivotTable" Target="../pivotTables/pivotTable3.xml"/><Relationship Id="rId4"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5.bin"/><Relationship Id="rId1" Type="http://schemas.openxmlformats.org/officeDocument/2006/relationships/pivotTable" Target="../pivotTables/pivotTable4.xml"/><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26.bin"/><Relationship Id="rId1" Type="http://schemas.openxmlformats.org/officeDocument/2006/relationships/pivotTable" Target="../pivotTables/pivotTable5.xml"/><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42"/>
  <sheetViews>
    <sheetView tabSelected="1" view="pageBreakPreview" zoomScale="85" zoomScaleNormal="100" zoomScaleSheetLayoutView="85" workbookViewId="0">
      <selection activeCell="Q27" sqref="Q27"/>
    </sheetView>
  </sheetViews>
  <sheetFormatPr defaultRowHeight="15"/>
  <cols>
    <col min="1" max="1" width="30.7109375" style="244" customWidth="1"/>
    <col min="2" max="8" width="9" style="244" customWidth="1"/>
    <col min="9" max="9" width="15.85546875" style="244" bestFit="1" customWidth="1"/>
    <col min="10" max="10" width="12" style="244" bestFit="1" customWidth="1"/>
    <col min="11" max="16384" width="9.140625" style="244"/>
  </cols>
  <sheetData>
    <row r="1" spans="1:8">
      <c r="A1" s="503" t="s">
        <v>1378</v>
      </c>
    </row>
    <row r="2" spans="1:8">
      <c r="A2" s="378" t="s">
        <v>1379</v>
      </c>
    </row>
    <row r="3" spans="1:8">
      <c r="A3" s="503" t="s">
        <v>688</v>
      </c>
    </row>
    <row r="4" spans="1:8">
      <c r="A4" s="241"/>
    </row>
    <row r="5" spans="1:8">
      <c r="A5" s="1656" t="s">
        <v>689</v>
      </c>
      <c r="B5" s="1656"/>
      <c r="C5" s="1656"/>
      <c r="D5" s="1656"/>
      <c r="E5" s="1656"/>
      <c r="F5" s="1656"/>
      <c r="G5" s="1656"/>
      <c r="H5" s="1656"/>
    </row>
    <row r="6" spans="1:8">
      <c r="A6" s="244" t="s">
        <v>690</v>
      </c>
      <c r="B6" s="281" t="s">
        <v>691</v>
      </c>
      <c r="C6" s="281" t="s">
        <v>692</v>
      </c>
      <c r="D6" s="281" t="s">
        <v>693</v>
      </c>
      <c r="E6" s="281" t="s">
        <v>694</v>
      </c>
      <c r="F6" s="281" t="s">
        <v>695</v>
      </c>
      <c r="G6" s="281" t="s">
        <v>696</v>
      </c>
      <c r="H6" s="281" t="s">
        <v>697</v>
      </c>
    </row>
    <row r="7" spans="1:8">
      <c r="A7" s="244" t="s">
        <v>698</v>
      </c>
      <c r="B7" s="282">
        <f>B11*5</f>
        <v>21.65</v>
      </c>
      <c r="C7" s="283">
        <f>$B$7*2</f>
        <v>43.3</v>
      </c>
      <c r="D7" s="283">
        <f>$B$7*3</f>
        <v>64.949999999999989</v>
      </c>
      <c r="E7" s="283">
        <f>$B$7*4</f>
        <v>86.6</v>
      </c>
      <c r="F7" s="283">
        <f>$B$7*5</f>
        <v>108.25</v>
      </c>
      <c r="G7" s="283">
        <f>$B$7*6</f>
        <v>129.89999999999998</v>
      </c>
      <c r="H7" s="283">
        <f>$B$7*7</f>
        <v>151.54999999999998</v>
      </c>
    </row>
    <row r="8" spans="1:8">
      <c r="A8" s="244" t="s">
        <v>699</v>
      </c>
      <c r="B8" s="282">
        <f>B11*4</f>
        <v>17.32</v>
      </c>
      <c r="C8" s="283">
        <f>$B$8*2</f>
        <v>34.64</v>
      </c>
      <c r="D8" s="283">
        <f>$B$8*3</f>
        <v>51.96</v>
      </c>
      <c r="E8" s="283">
        <f>$B$8*4</f>
        <v>69.28</v>
      </c>
      <c r="F8" s="283">
        <f>$B$8*5</f>
        <v>86.6</v>
      </c>
      <c r="G8" s="283">
        <f>$B$8*6</f>
        <v>103.92</v>
      </c>
      <c r="H8" s="283">
        <f>$B$8*7</f>
        <v>121.24000000000001</v>
      </c>
    </row>
    <row r="9" spans="1:8">
      <c r="A9" s="244" t="s">
        <v>700</v>
      </c>
      <c r="B9" s="282">
        <f>B11*3</f>
        <v>12.99</v>
      </c>
      <c r="C9" s="283">
        <f>$B$9*2</f>
        <v>25.98</v>
      </c>
      <c r="D9" s="283">
        <f>$B$9*3</f>
        <v>38.97</v>
      </c>
      <c r="E9" s="283">
        <f>$B$9*4</f>
        <v>51.96</v>
      </c>
      <c r="F9" s="283">
        <f>$B$9*5</f>
        <v>64.95</v>
      </c>
      <c r="G9" s="283">
        <f>$B$9*6</f>
        <v>77.94</v>
      </c>
      <c r="H9" s="283">
        <f>$B$9*7</f>
        <v>90.93</v>
      </c>
    </row>
    <row r="10" spans="1:8">
      <c r="A10" s="244" t="s">
        <v>701</v>
      </c>
      <c r="B10" s="282">
        <f>B11*2</f>
        <v>8.66</v>
      </c>
      <c r="C10" s="284">
        <f>$B$10*2</f>
        <v>17.32</v>
      </c>
      <c r="D10" s="284">
        <f>$B$10*3</f>
        <v>25.98</v>
      </c>
      <c r="E10" s="284">
        <f>$B$10*4</f>
        <v>34.64</v>
      </c>
      <c r="F10" s="284">
        <f>$B$10*5</f>
        <v>43.3</v>
      </c>
      <c r="G10" s="284">
        <f>$B$10*6</f>
        <v>51.96</v>
      </c>
      <c r="H10" s="284">
        <f>$B$10*7</f>
        <v>60.620000000000005</v>
      </c>
    </row>
    <row r="11" spans="1:8">
      <c r="A11" s="244" t="s">
        <v>702</v>
      </c>
      <c r="B11" s="282">
        <f>ROUND(52/12,2)</f>
        <v>4.33</v>
      </c>
      <c r="C11" s="284">
        <f>$B$11*2</f>
        <v>8.66</v>
      </c>
      <c r="D11" s="284">
        <f>$B$11*3</f>
        <v>12.99</v>
      </c>
      <c r="E11" s="284">
        <f>$B$11*4</f>
        <v>17.32</v>
      </c>
      <c r="F11" s="284">
        <f>$B$11*5</f>
        <v>21.65</v>
      </c>
      <c r="G11" s="284">
        <f>$B$11*6</f>
        <v>25.98</v>
      </c>
      <c r="H11" s="284">
        <f>$B$11*7</f>
        <v>30.310000000000002</v>
      </c>
    </row>
    <row r="12" spans="1:8">
      <c r="A12" s="244" t="s">
        <v>703</v>
      </c>
      <c r="B12" s="282">
        <f>ROUND(26/12,2)</f>
        <v>2.17</v>
      </c>
      <c r="C12" s="284">
        <f>$B$12*2</f>
        <v>4.34</v>
      </c>
      <c r="D12" s="284">
        <f>$B$12*3</f>
        <v>6.51</v>
      </c>
      <c r="E12" s="284">
        <f>$B$12*4</f>
        <v>8.68</v>
      </c>
      <c r="F12" s="284">
        <f>$B$12*5</f>
        <v>10.85</v>
      </c>
      <c r="G12" s="284">
        <f>$B$12*6</f>
        <v>13.02</v>
      </c>
      <c r="H12" s="284">
        <f>$B$12*7</f>
        <v>15.19</v>
      </c>
    </row>
    <row r="13" spans="1:8">
      <c r="A13" s="244" t="s">
        <v>704</v>
      </c>
      <c r="B13" s="282">
        <f>12/12</f>
        <v>1</v>
      </c>
      <c r="C13" s="284">
        <f>$B$13*2</f>
        <v>2</v>
      </c>
      <c r="D13" s="284">
        <f>$B$13*3</f>
        <v>3</v>
      </c>
      <c r="E13" s="284">
        <f>$B$13*4</f>
        <v>4</v>
      </c>
      <c r="F13" s="284">
        <f>$B$13*5</f>
        <v>5</v>
      </c>
      <c r="G13" s="284">
        <f>$B$13*6</f>
        <v>6</v>
      </c>
      <c r="H13" s="284">
        <f>$B$13*7</f>
        <v>7</v>
      </c>
    </row>
    <row r="14" spans="1:8">
      <c r="B14" s="282"/>
      <c r="C14" s="284"/>
      <c r="D14" s="284"/>
      <c r="E14" s="284"/>
      <c r="F14" s="284"/>
      <c r="G14" s="284"/>
      <c r="H14" s="284"/>
    </row>
    <row r="15" spans="1:8">
      <c r="A15" s="1656" t="s">
        <v>705</v>
      </c>
      <c r="B15" s="1656"/>
      <c r="C15" s="1656"/>
      <c r="D15" s="284"/>
      <c r="E15" s="284"/>
      <c r="F15" s="284"/>
      <c r="G15" s="284"/>
      <c r="H15" s="284"/>
    </row>
    <row r="16" spans="1:8">
      <c r="A16" s="280" t="s">
        <v>706</v>
      </c>
      <c r="B16" s="1467" t="s">
        <v>707</v>
      </c>
      <c r="C16" s="284"/>
      <c r="D16" s="284"/>
      <c r="E16" s="284"/>
      <c r="F16" s="284"/>
      <c r="G16" s="284"/>
      <c r="H16" s="284"/>
    </row>
    <row r="17" spans="1:8">
      <c r="A17" s="285" t="s">
        <v>708</v>
      </c>
      <c r="B17" s="286">
        <v>20</v>
      </c>
      <c r="C17" s="284"/>
      <c r="D17" s="284"/>
      <c r="E17" s="284"/>
      <c r="F17" s="284"/>
      <c r="G17" s="284"/>
      <c r="H17" s="284"/>
    </row>
    <row r="18" spans="1:8">
      <c r="A18" s="285" t="s">
        <v>709</v>
      </c>
      <c r="B18" s="286">
        <v>34</v>
      </c>
      <c r="C18" s="284"/>
      <c r="D18" s="284"/>
      <c r="E18" s="284"/>
      <c r="F18" s="284"/>
      <c r="G18" s="284"/>
      <c r="H18" s="284"/>
    </row>
    <row r="19" spans="1:8">
      <c r="A19" s="285" t="s">
        <v>710</v>
      </c>
      <c r="B19" s="286">
        <v>51</v>
      </c>
      <c r="C19" s="284"/>
      <c r="D19" s="284"/>
      <c r="E19" s="284"/>
      <c r="F19" s="284"/>
      <c r="G19" s="284"/>
      <c r="H19" s="284"/>
    </row>
    <row r="20" spans="1:8">
      <c r="A20" s="285" t="s">
        <v>711</v>
      </c>
      <c r="B20" s="286">
        <v>77</v>
      </c>
      <c r="C20" s="284"/>
      <c r="D20" s="284"/>
      <c r="E20" s="284"/>
      <c r="F20" s="1469" t="s">
        <v>712</v>
      </c>
      <c r="G20" s="286">
        <v>2000</v>
      </c>
      <c r="H20" s="284"/>
    </row>
    <row r="21" spans="1:8">
      <c r="A21" s="285" t="s">
        <v>713</v>
      </c>
      <c r="B21" s="286">
        <v>97</v>
      </c>
      <c r="C21" s="284"/>
      <c r="D21" s="284"/>
      <c r="E21" s="284"/>
      <c r="F21" s="1469" t="s">
        <v>714</v>
      </c>
      <c r="G21" s="287" t="s">
        <v>715</v>
      </c>
      <c r="H21" s="284"/>
    </row>
    <row r="22" spans="1:8">
      <c r="A22" s="285" t="s">
        <v>716</v>
      </c>
      <c r="B22" s="286">
        <v>117</v>
      </c>
      <c r="C22" s="284"/>
      <c r="D22" s="284"/>
      <c r="E22" s="284"/>
      <c r="H22" s="284"/>
    </row>
    <row r="23" spans="1:8">
      <c r="A23" s="285" t="s">
        <v>717</v>
      </c>
      <c r="B23" s="286">
        <v>157</v>
      </c>
      <c r="C23" s="284"/>
      <c r="D23" s="284"/>
      <c r="E23" s="284"/>
      <c r="F23" s="288"/>
      <c r="G23" s="289"/>
      <c r="H23" s="284"/>
    </row>
    <row r="24" spans="1:8">
      <c r="A24" s="285" t="s">
        <v>718</v>
      </c>
      <c r="B24" s="286">
        <v>47</v>
      </c>
      <c r="C24" s="284"/>
      <c r="D24" s="284"/>
      <c r="E24" s="284"/>
      <c r="F24" s="284"/>
      <c r="G24" s="284"/>
      <c r="H24" s="284"/>
    </row>
    <row r="25" spans="1:8">
      <c r="A25" s="285" t="s">
        <v>719</v>
      </c>
      <c r="B25" s="286">
        <v>68</v>
      </c>
      <c r="C25" s="284"/>
      <c r="D25" s="284"/>
      <c r="E25" s="284"/>
      <c r="F25" s="284"/>
      <c r="G25" s="284"/>
      <c r="H25" s="284"/>
    </row>
    <row r="26" spans="1:8">
      <c r="A26" s="285" t="s">
        <v>720</v>
      </c>
      <c r="B26" s="286">
        <v>34</v>
      </c>
      <c r="C26" s="284"/>
      <c r="D26" s="284"/>
      <c r="E26" s="284"/>
      <c r="F26" s="284"/>
      <c r="G26" s="284"/>
      <c r="H26" s="284"/>
    </row>
    <row r="27" spans="1:8">
      <c r="A27" s="285" t="s">
        <v>721</v>
      </c>
      <c r="B27" s="286">
        <v>34</v>
      </c>
      <c r="C27" s="284"/>
      <c r="D27" s="284"/>
      <c r="E27" s="284"/>
      <c r="F27" s="284"/>
      <c r="G27" s="284"/>
      <c r="H27" s="284"/>
    </row>
    <row r="28" spans="1:8">
      <c r="A28" s="280" t="s">
        <v>722</v>
      </c>
      <c r="B28" s="286"/>
      <c r="C28" s="284"/>
      <c r="D28" s="284"/>
      <c r="E28" s="284"/>
      <c r="F28" s="284"/>
      <c r="G28" s="284"/>
      <c r="H28" s="284"/>
    </row>
    <row r="29" spans="1:8">
      <c r="A29" s="285" t="s">
        <v>464</v>
      </c>
      <c r="B29" s="286">
        <v>29</v>
      </c>
      <c r="C29" s="284"/>
      <c r="D29" s="284"/>
      <c r="E29" s="284"/>
      <c r="F29" s="284"/>
      <c r="G29" s="284"/>
      <c r="H29" s="284"/>
    </row>
    <row r="30" spans="1:8">
      <c r="A30" s="285" t="s">
        <v>723</v>
      </c>
      <c r="B30" s="286">
        <v>175</v>
      </c>
      <c r="C30" s="284"/>
      <c r="D30" s="284"/>
      <c r="E30" s="284"/>
      <c r="F30" s="284"/>
      <c r="G30" s="284"/>
      <c r="H30" s="284"/>
    </row>
    <row r="31" spans="1:8">
      <c r="A31" s="285" t="s">
        <v>724</v>
      </c>
      <c r="B31" s="286">
        <v>250</v>
      </c>
      <c r="C31" s="284"/>
      <c r="D31" s="284"/>
      <c r="E31" s="284"/>
      <c r="F31" s="284"/>
      <c r="G31" s="284"/>
      <c r="H31" s="284"/>
    </row>
    <row r="32" spans="1:8">
      <c r="A32" s="285" t="s">
        <v>725</v>
      </c>
      <c r="B32" s="286">
        <v>324</v>
      </c>
      <c r="C32" s="284"/>
      <c r="D32" s="284"/>
      <c r="E32" s="284"/>
      <c r="F32" s="284"/>
      <c r="G32" s="284"/>
      <c r="H32" s="284"/>
    </row>
    <row r="33" spans="1:8">
      <c r="A33" s="285" t="s">
        <v>726</v>
      </c>
      <c r="B33" s="286">
        <v>473</v>
      </c>
      <c r="C33" s="284"/>
      <c r="D33" s="284"/>
      <c r="E33" s="284"/>
      <c r="F33" s="284"/>
      <c r="G33" s="284"/>
      <c r="H33" s="284"/>
    </row>
    <row r="34" spans="1:8">
      <c r="A34" s="285" t="s">
        <v>727</v>
      </c>
      <c r="B34" s="286">
        <v>613</v>
      </c>
      <c r="C34" s="284"/>
      <c r="D34" s="284"/>
      <c r="E34" s="284"/>
      <c r="F34" s="284"/>
      <c r="G34" s="284"/>
      <c r="H34" s="284"/>
    </row>
    <row r="35" spans="1:8">
      <c r="A35" s="285" t="s">
        <v>728</v>
      </c>
      <c r="B35" s="286">
        <v>840</v>
      </c>
      <c r="C35" s="284"/>
      <c r="D35" s="284"/>
      <c r="E35" s="284"/>
      <c r="F35" s="284"/>
      <c r="G35" s="284"/>
      <c r="H35" s="284"/>
    </row>
    <row r="36" spans="1:8">
      <c r="A36" s="285" t="s">
        <v>729</v>
      </c>
      <c r="B36" s="286">
        <v>980</v>
      </c>
      <c r="C36" s="284"/>
      <c r="D36" s="284"/>
      <c r="E36" s="284"/>
      <c r="F36" s="284"/>
      <c r="G36" s="284"/>
      <c r="H36" s="284"/>
    </row>
    <row r="37" spans="1:8">
      <c r="A37" s="285" t="s">
        <v>730</v>
      </c>
      <c r="B37" s="286">
        <v>1301</v>
      </c>
      <c r="C37" s="284"/>
      <c r="D37" s="284"/>
      <c r="E37" s="284"/>
      <c r="F37" s="284"/>
      <c r="G37" s="284"/>
      <c r="H37" s="284"/>
    </row>
    <row r="38" spans="1:8">
      <c r="A38" s="285" t="s">
        <v>731</v>
      </c>
      <c r="B38" s="286">
        <v>1686</v>
      </c>
      <c r="C38" s="284"/>
      <c r="D38" s="284"/>
      <c r="E38" s="284"/>
      <c r="F38" s="284"/>
      <c r="G38" s="284"/>
      <c r="H38" s="284"/>
    </row>
    <row r="39" spans="1:8">
      <c r="A39" s="285" t="s">
        <v>732</v>
      </c>
      <c r="B39" s="286">
        <v>2046</v>
      </c>
      <c r="C39" s="284"/>
      <c r="D39" s="284"/>
      <c r="E39" s="284"/>
      <c r="F39" s="284"/>
      <c r="G39" s="284"/>
      <c r="H39" s="284"/>
    </row>
    <row r="40" spans="1:8">
      <c r="A40" s="285" t="s">
        <v>733</v>
      </c>
      <c r="B40" s="286">
        <v>2310</v>
      </c>
      <c r="C40" s="284"/>
      <c r="D40" s="284"/>
      <c r="E40" s="284"/>
      <c r="F40" s="284"/>
      <c r="G40" s="284"/>
      <c r="H40" s="284"/>
    </row>
    <row r="41" spans="1:8">
      <c r="A41" s="285" t="s">
        <v>734</v>
      </c>
      <c r="B41" s="286">
        <v>125</v>
      </c>
      <c r="C41" s="284"/>
      <c r="D41" s="284"/>
      <c r="E41" s="284"/>
      <c r="F41" s="284"/>
      <c r="G41" s="284"/>
      <c r="H41" s="284"/>
    </row>
    <row r="42" spans="1:8">
      <c r="B42" s="1468" t="s">
        <v>735</v>
      </c>
      <c r="C42" s="1468"/>
      <c r="D42" s="1468"/>
    </row>
  </sheetData>
  <mergeCells count="2">
    <mergeCell ref="A5:H5"/>
    <mergeCell ref="A15:C15"/>
  </mergeCells>
  <pageMargins left="0.28000000000000003" right="0.52" top="0.75" bottom="0.75" header="0.3" footer="0.3"/>
  <pageSetup orientation="portrait" r:id="rId1"/>
  <headerFooter>
    <oddHeader>&amp;C&amp;"-,Bold"&amp;12Empire Disposal Inc&amp;"-,Regular"
Disposal Fee Reference</oddHeader>
    <oddFooter>&amp;L&amp;F - &amp;A&amp;C&amp;D&amp;R&amp;P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F371"/>
  <sheetViews>
    <sheetView view="pageBreakPreview" zoomScale="115" zoomScaleNormal="100" zoomScaleSheetLayoutView="115" workbookViewId="0">
      <selection activeCell="Q27" sqref="Q27"/>
    </sheetView>
  </sheetViews>
  <sheetFormatPr defaultRowHeight="15"/>
  <cols>
    <col min="1" max="1" width="2" style="1193" customWidth="1"/>
    <col min="2" max="4" width="9.140625" style="1193"/>
    <col min="5" max="5" width="13" style="1193" customWidth="1"/>
    <col min="6" max="6" width="9.7109375" style="1193" bestFit="1" customWidth="1"/>
    <col min="7" max="7" width="9.140625" style="1193"/>
    <col min="8" max="8" width="9.7109375" style="1193" bestFit="1" customWidth="1"/>
    <col min="9" max="9" width="5.140625" style="1193" customWidth="1"/>
    <col min="10" max="10" width="9.140625" style="1193"/>
    <col min="11" max="11" width="10" style="1193" customWidth="1"/>
    <col min="12" max="12" width="2.85546875" style="1193" customWidth="1"/>
    <col min="13" max="13" width="11.140625" style="1193" customWidth="1"/>
    <col min="14" max="16384" width="9.140625" style="1193"/>
  </cols>
  <sheetData>
    <row r="1" spans="1:84">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1"/>
      <c r="BL1" s="591"/>
      <c r="BM1" s="591"/>
      <c r="BN1" s="591"/>
      <c r="BO1" s="591"/>
      <c r="BP1" s="591"/>
      <c r="BQ1" s="591"/>
      <c r="BR1" s="591"/>
      <c r="BS1" s="591"/>
      <c r="BT1" s="591"/>
      <c r="BU1" s="591"/>
      <c r="BV1" s="591"/>
      <c r="BW1" s="591"/>
      <c r="BX1" s="591"/>
      <c r="BY1" s="591"/>
      <c r="BZ1" s="591"/>
      <c r="CA1" s="591"/>
      <c r="CB1" s="591"/>
      <c r="CC1" s="591"/>
      <c r="CD1" s="591"/>
      <c r="CE1" s="591"/>
      <c r="CF1" s="591"/>
    </row>
    <row r="2" spans="1:84">
      <c r="A2" s="590"/>
      <c r="B2" s="590"/>
      <c r="C2" s="590"/>
      <c r="D2" s="590"/>
      <c r="E2" s="590"/>
      <c r="F2" s="590"/>
      <c r="G2" s="590"/>
      <c r="H2" s="590"/>
      <c r="I2" s="590"/>
      <c r="J2" s="590"/>
      <c r="K2" s="592"/>
      <c r="L2" s="592"/>
      <c r="M2" s="592"/>
      <c r="N2" s="592"/>
      <c r="O2" s="592"/>
      <c r="P2" s="592"/>
      <c r="Q2" s="592"/>
      <c r="R2" s="592"/>
      <c r="S2" s="592"/>
      <c r="T2" s="592"/>
      <c r="U2" s="592"/>
      <c r="V2" s="592"/>
      <c r="W2" s="592"/>
      <c r="X2" s="592"/>
      <c r="Y2" s="592"/>
      <c r="Z2" s="592"/>
      <c r="AA2" s="592"/>
      <c r="AB2" s="592"/>
      <c r="AC2" s="592"/>
      <c r="AD2" s="592"/>
      <c r="AE2" s="593" t="s">
        <v>335</v>
      </c>
      <c r="AF2" s="593" t="s">
        <v>336</v>
      </c>
      <c r="AG2" s="592"/>
      <c r="AH2" s="592"/>
      <c r="AI2" s="592" t="s">
        <v>337</v>
      </c>
      <c r="AJ2" s="592"/>
      <c r="AK2" s="592"/>
      <c r="AL2" s="592"/>
      <c r="AM2" s="592"/>
      <c r="AN2" s="592"/>
      <c r="AO2" s="592"/>
      <c r="AP2" s="592"/>
      <c r="AQ2" s="592"/>
      <c r="AR2" s="592"/>
      <c r="AS2" s="590"/>
      <c r="AT2" s="590"/>
      <c r="AU2" s="590"/>
      <c r="AV2" s="590"/>
      <c r="AW2" s="590"/>
      <c r="AX2" s="590"/>
      <c r="AY2" s="590"/>
      <c r="AZ2" s="590"/>
      <c r="BA2" s="590"/>
      <c r="BB2" s="590"/>
      <c r="BC2" s="590"/>
      <c r="BD2" s="590"/>
      <c r="BE2" s="590"/>
      <c r="BF2" s="590"/>
      <c r="BG2" s="590"/>
      <c r="BH2" s="590"/>
      <c r="BI2" s="590"/>
      <c r="BJ2" s="590"/>
      <c r="BK2" s="591"/>
      <c r="BL2" s="591"/>
      <c r="BM2" s="591"/>
      <c r="BN2" s="591"/>
      <c r="BO2" s="591"/>
      <c r="BP2" s="591"/>
      <c r="BQ2" s="591"/>
      <c r="BR2" s="591"/>
      <c r="BS2" s="591"/>
      <c r="BT2" s="591"/>
      <c r="BU2" s="591"/>
      <c r="BV2" s="591"/>
      <c r="BW2" s="591"/>
      <c r="BX2" s="591"/>
      <c r="BY2" s="591"/>
      <c r="BZ2" s="591"/>
      <c r="CA2" s="591"/>
      <c r="CB2" s="591"/>
      <c r="CC2" s="591"/>
      <c r="CD2" s="591"/>
      <c r="CE2" s="591"/>
      <c r="CF2" s="591"/>
    </row>
    <row r="3" spans="1:84">
      <c r="A3" s="590"/>
      <c r="B3" s="592" t="s">
        <v>1407</v>
      </c>
      <c r="C3" s="590"/>
      <c r="D3" s="590"/>
      <c r="E3" s="590"/>
      <c r="F3" s="590"/>
      <c r="G3" s="590"/>
      <c r="H3" s="590"/>
      <c r="I3" s="590"/>
      <c r="J3" s="590"/>
      <c r="K3" s="592"/>
      <c r="L3" s="592"/>
      <c r="M3" s="592"/>
      <c r="N3" s="592"/>
      <c r="O3" s="592"/>
      <c r="P3" s="592"/>
      <c r="Q3" s="592"/>
      <c r="R3" s="592"/>
      <c r="S3" s="592"/>
      <c r="T3" s="592"/>
      <c r="U3" s="592"/>
      <c r="V3" s="592"/>
      <c r="W3" s="592"/>
      <c r="X3" s="592"/>
      <c r="Y3" s="592"/>
      <c r="Z3" s="592"/>
      <c r="AA3" s="592"/>
      <c r="AB3" s="592"/>
      <c r="AC3" s="592"/>
      <c r="AD3" s="592"/>
      <c r="AE3" s="593"/>
      <c r="AF3" s="593"/>
      <c r="AG3" s="592"/>
      <c r="AH3" s="592"/>
      <c r="AI3" s="592"/>
      <c r="AJ3" s="592"/>
      <c r="AK3" s="592"/>
      <c r="AL3" s="592"/>
      <c r="AM3" s="592"/>
      <c r="AN3" s="592"/>
      <c r="AO3" s="592"/>
      <c r="AP3" s="592"/>
      <c r="AQ3" s="592"/>
      <c r="AR3" s="592"/>
      <c r="AS3" s="590"/>
      <c r="AT3" s="590"/>
      <c r="AU3" s="590"/>
      <c r="AV3" s="590"/>
      <c r="AW3" s="590"/>
      <c r="AX3" s="590"/>
      <c r="AY3" s="590"/>
      <c r="AZ3" s="590"/>
      <c r="BA3" s="590"/>
      <c r="BB3" s="590"/>
      <c r="BC3" s="590"/>
      <c r="BD3" s="590"/>
      <c r="BE3" s="590"/>
      <c r="BF3" s="590"/>
      <c r="BG3" s="590"/>
      <c r="BH3" s="590"/>
      <c r="BI3" s="590"/>
      <c r="BJ3" s="590"/>
      <c r="BK3" s="591"/>
      <c r="BL3" s="591"/>
      <c r="BM3" s="591"/>
      <c r="BN3" s="591"/>
      <c r="BO3" s="591"/>
      <c r="BP3" s="591"/>
      <c r="BQ3" s="591"/>
      <c r="BR3" s="591"/>
      <c r="BS3" s="591"/>
      <c r="BT3" s="591"/>
      <c r="BU3" s="591"/>
      <c r="BV3" s="591"/>
      <c r="BW3" s="591"/>
      <c r="BX3" s="591"/>
      <c r="BY3" s="591"/>
      <c r="BZ3" s="591"/>
      <c r="CA3" s="591"/>
      <c r="CB3" s="591"/>
      <c r="CC3" s="591"/>
      <c r="CD3" s="591"/>
      <c r="CE3" s="591"/>
      <c r="CF3" s="591"/>
    </row>
    <row r="4" spans="1:84">
      <c r="A4" s="590"/>
      <c r="B4" s="594"/>
      <c r="C4" s="592"/>
      <c r="D4" s="592"/>
      <c r="E4" s="595"/>
      <c r="F4" s="592"/>
      <c r="G4" s="596"/>
      <c r="H4" s="592"/>
      <c r="I4" s="592"/>
      <c r="J4" s="592"/>
      <c r="K4" s="592"/>
      <c r="L4" s="592"/>
      <c r="M4" s="592"/>
      <c r="N4" s="592" t="s">
        <v>338</v>
      </c>
      <c r="O4" s="592"/>
      <c r="P4" s="592"/>
      <c r="Q4" s="592"/>
      <c r="R4" s="592"/>
      <c r="S4" s="592"/>
      <c r="T4" s="592"/>
      <c r="U4" s="593" t="s">
        <v>339</v>
      </c>
      <c r="V4" s="593" t="s">
        <v>340</v>
      </c>
      <c r="W4" s="593" t="s">
        <v>331</v>
      </c>
      <c r="X4" s="593" t="s">
        <v>341</v>
      </c>
      <c r="Y4" s="593" t="s">
        <v>342</v>
      </c>
      <c r="Z4" s="592"/>
      <c r="AA4" s="593" t="s">
        <v>343</v>
      </c>
      <c r="AB4" s="592" t="s">
        <v>344</v>
      </c>
      <c r="AC4" s="593" t="s">
        <v>345</v>
      </c>
      <c r="AD4" s="593" t="s">
        <v>346</v>
      </c>
      <c r="AE4" s="593" t="s">
        <v>347</v>
      </c>
      <c r="AF4" s="592"/>
      <c r="AG4" s="592"/>
      <c r="AH4" s="592"/>
      <c r="AI4" s="592" t="s">
        <v>348</v>
      </c>
      <c r="AJ4" s="592"/>
      <c r="AK4" s="592"/>
      <c r="AL4" s="592"/>
      <c r="AM4" s="592"/>
      <c r="AN4" s="592"/>
      <c r="AO4" s="592"/>
      <c r="AP4" s="592"/>
      <c r="AQ4" s="592"/>
      <c r="AR4" s="592"/>
      <c r="AS4" s="590"/>
      <c r="AT4" s="590"/>
      <c r="AU4" s="590"/>
      <c r="AV4" s="590"/>
      <c r="AW4" s="590"/>
      <c r="AX4" s="590"/>
      <c r="AY4" s="590"/>
      <c r="AZ4" s="590"/>
      <c r="BA4" s="590"/>
      <c r="BB4" s="590"/>
      <c r="BC4" s="590"/>
      <c r="BD4" s="590"/>
      <c r="BE4" s="590"/>
      <c r="BF4" s="590"/>
      <c r="BG4" s="590"/>
      <c r="BH4" s="590"/>
      <c r="BI4" s="590"/>
      <c r="BJ4" s="590"/>
      <c r="BK4" s="591"/>
      <c r="BL4" s="591"/>
      <c r="BM4" s="591"/>
      <c r="BN4" s="591"/>
      <c r="BO4" s="591"/>
      <c r="BP4" s="591"/>
      <c r="BQ4" s="591"/>
      <c r="BR4" s="591"/>
      <c r="BS4" s="591"/>
      <c r="BT4" s="591"/>
      <c r="BU4" s="591"/>
      <c r="BV4" s="591"/>
      <c r="BW4" s="591"/>
      <c r="BX4" s="591"/>
      <c r="BY4" s="591"/>
      <c r="BZ4" s="591"/>
      <c r="CA4" s="591"/>
      <c r="CB4" s="591"/>
      <c r="CC4" s="591"/>
      <c r="CD4" s="591"/>
      <c r="CE4" s="591"/>
      <c r="CF4" s="591"/>
    </row>
    <row r="5" spans="1:84">
      <c r="A5" s="590"/>
      <c r="B5" s="597" t="s">
        <v>349</v>
      </c>
      <c r="C5" s="597" t="s">
        <v>350</v>
      </c>
      <c r="D5" s="592"/>
      <c r="E5" s="595">
        <f>E7+E6</f>
        <v>24344.450589897438</v>
      </c>
      <c r="F5" s="597" t="s">
        <v>351</v>
      </c>
      <c r="G5" s="592"/>
      <c r="H5" s="592"/>
      <c r="I5" s="592"/>
      <c r="J5" s="597"/>
      <c r="K5" s="592"/>
      <c r="L5" s="598"/>
      <c r="M5" s="592"/>
      <c r="N5" s="597" t="s">
        <v>352</v>
      </c>
      <c r="O5" s="592"/>
      <c r="P5" s="592"/>
      <c r="Q5" s="597" t="s">
        <v>353</v>
      </c>
      <c r="R5" s="592"/>
      <c r="S5" s="592"/>
      <c r="T5" s="592"/>
      <c r="U5" s="599">
        <f>$E$8*1.25</f>
        <v>29433.443349253062</v>
      </c>
      <c r="V5" s="600">
        <f>100*(+U5/$E$9)</f>
        <v>2992.8743551482357</v>
      </c>
      <c r="W5" s="601">
        <f>EXP(5.7226-(0.68367*LN(+V5)))</f>
        <v>1.2846836224220715</v>
      </c>
      <c r="X5" s="601">
        <f>(+W5*V5)/100</f>
        <v>38.448966680259566</v>
      </c>
      <c r="Y5" s="600">
        <f>100*((((X5/100)-((X5/100)-0.03574)*$E$21)-0.03574-0.00619)/0.344)</f>
        <v>65.111854677242192</v>
      </c>
      <c r="Z5" s="592">
        <f>$E$20</f>
        <v>0.25</v>
      </c>
      <c r="AA5" s="600">
        <f>Y5+Z5</f>
        <v>65.361854677242192</v>
      </c>
      <c r="AB5" s="600">
        <f>100*($E$17*$E$19+($E$18*(AA5/100))/(1-$E$21))</f>
        <v>60.648372994049026</v>
      </c>
      <c r="AC5" s="601">
        <f>AB5/V5</f>
        <v>2.0264256295866166E-2</v>
      </c>
      <c r="AD5" s="599">
        <f>$E$8/(1-AC5)</f>
        <v>24033.781385149945</v>
      </c>
      <c r="AE5" s="592" t="str">
        <f>IF(AD5=$U$5,"yes","not yet")</f>
        <v>not yet</v>
      </c>
      <c r="AF5" s="600">
        <f>100*(1-AC5)</f>
        <v>97.973574370413388</v>
      </c>
      <c r="AG5" s="592"/>
      <c r="AH5" s="592"/>
      <c r="AI5" s="592">
        <v>0</v>
      </c>
      <c r="AJ5" s="592">
        <v>1</v>
      </c>
      <c r="AK5" s="592"/>
      <c r="AL5" s="592"/>
      <c r="AM5" s="592"/>
      <c r="AN5" s="592"/>
      <c r="AO5" s="592"/>
      <c r="AP5" s="592"/>
      <c r="AQ5" s="592"/>
      <c r="AR5" s="592"/>
      <c r="AS5" s="590"/>
      <c r="AT5" s="590"/>
      <c r="AU5" s="590"/>
      <c r="AV5" s="590"/>
      <c r="AW5" s="590"/>
      <c r="AX5" s="590"/>
      <c r="AY5" s="590"/>
      <c r="AZ5" s="590"/>
      <c r="BA5" s="590"/>
      <c r="BB5" s="590"/>
      <c r="BC5" s="590"/>
      <c r="BD5" s="590"/>
      <c r="BE5" s="590"/>
      <c r="BF5" s="590"/>
      <c r="BG5" s="590"/>
      <c r="BH5" s="590"/>
      <c r="BI5" s="590"/>
      <c r="BJ5" s="590"/>
      <c r="BK5" s="591"/>
      <c r="BL5" s="591"/>
      <c r="BM5" s="591"/>
      <c r="BN5" s="591"/>
      <c r="BO5" s="591"/>
      <c r="BP5" s="591"/>
      <c r="BQ5" s="591"/>
      <c r="BR5" s="591"/>
      <c r="BS5" s="591"/>
      <c r="BT5" s="591"/>
      <c r="BU5" s="591"/>
      <c r="BV5" s="591"/>
      <c r="BW5" s="591"/>
      <c r="BX5" s="591"/>
      <c r="BY5" s="591"/>
      <c r="BZ5" s="591"/>
      <c r="CA5" s="591"/>
      <c r="CB5" s="591"/>
      <c r="CC5" s="591"/>
      <c r="CD5" s="591"/>
      <c r="CE5" s="591"/>
      <c r="CF5" s="591"/>
    </row>
    <row r="6" spans="1:84">
      <c r="A6" s="590"/>
      <c r="B6" s="597" t="s">
        <v>349</v>
      </c>
      <c r="C6" s="597" t="s">
        <v>354</v>
      </c>
      <c r="D6" s="592"/>
      <c r="E6" s="595">
        <f>(+E8-((H15/100)*E7))/H25</f>
        <v>10268.845445985999</v>
      </c>
      <c r="F6" s="602" t="s">
        <v>351</v>
      </c>
      <c r="G6" s="592"/>
      <c r="H6" s="603"/>
      <c r="I6" s="592"/>
      <c r="J6" s="604">
        <f>E6/E7</f>
        <v>0.72954912708871378</v>
      </c>
      <c r="K6" s="592" t="s">
        <v>355</v>
      </c>
      <c r="L6" s="598"/>
      <c r="M6" s="592"/>
      <c r="N6" s="597" t="s">
        <v>356</v>
      </c>
      <c r="O6" s="592"/>
      <c r="P6" s="592"/>
      <c r="Q6" s="597" t="s">
        <v>357</v>
      </c>
      <c r="R6" s="592"/>
      <c r="S6" s="592"/>
      <c r="T6" s="592"/>
      <c r="U6" s="599">
        <f>$E$8*1.25</f>
        <v>29433.443349253062</v>
      </c>
      <c r="V6" s="600">
        <f>100*(+U6/$E$9)</f>
        <v>2992.8743551482357</v>
      </c>
      <c r="W6" s="601">
        <f>EXP(5.70827-(0.68367*LN(+V6)))</f>
        <v>1.266405382485543</v>
      </c>
      <c r="X6" s="601">
        <f>(+W6*V6)/100</f>
        <v>37.901921924626748</v>
      </c>
      <c r="Y6" s="600">
        <f>100*((((X6/100)-((X6/100)-0.03574)*$E$21)-0.03574-0.00619)/0.344)</f>
        <v>64.062292064690865</v>
      </c>
      <c r="Z6" s="592">
        <f>$E$20</f>
        <v>0.25</v>
      </c>
      <c r="AA6" s="600">
        <f>Y6+Z6</f>
        <v>64.312292064690865</v>
      </c>
      <c r="AB6" s="600">
        <f>100*($E$17*$E$19+($E$18*(AA6/100))/(1-$E$21))</f>
        <v>59.694225164456917</v>
      </c>
      <c r="AC6" s="601">
        <f>AB6/V6</f>
        <v>1.9945449785345327E-2</v>
      </c>
      <c r="AD6" s="599">
        <f>$E$8/(1-AC6)</f>
        <v>24025.963324434506</v>
      </c>
      <c r="AE6" s="592" t="str">
        <f>IF(AD6=$U$6,"yes","not yet")</f>
        <v>not yet</v>
      </c>
      <c r="AF6" s="600">
        <f>100*(1-AC6)</f>
        <v>98.005455021465465</v>
      </c>
      <c r="AG6" s="592"/>
      <c r="AH6" s="592"/>
      <c r="AI6" s="592">
        <v>50</v>
      </c>
      <c r="AJ6" s="592">
        <v>2</v>
      </c>
      <c r="AK6" s="592"/>
      <c r="AL6" s="592"/>
      <c r="AM6" s="592"/>
      <c r="AN6" s="592"/>
      <c r="AO6" s="592"/>
      <c r="AP6" s="592"/>
      <c r="AQ6" s="592"/>
      <c r="AR6" s="592"/>
      <c r="AS6" s="590"/>
      <c r="AT6" s="590"/>
      <c r="AU6" s="590"/>
      <c r="AV6" s="590"/>
      <c r="AW6" s="590"/>
      <c r="AX6" s="590"/>
      <c r="AY6" s="590"/>
      <c r="AZ6" s="590"/>
      <c r="BA6" s="590"/>
      <c r="BB6" s="590"/>
      <c r="BC6" s="590"/>
      <c r="BD6" s="590"/>
      <c r="BE6" s="590"/>
      <c r="BF6" s="590"/>
      <c r="BG6" s="590"/>
      <c r="BH6" s="590"/>
      <c r="BI6" s="590"/>
      <c r="BJ6" s="590"/>
      <c r="BK6" s="591"/>
      <c r="BL6" s="591"/>
      <c r="BM6" s="591"/>
      <c r="BN6" s="591"/>
      <c r="BO6" s="591"/>
      <c r="BP6" s="591"/>
      <c r="BQ6" s="591"/>
      <c r="BR6" s="591"/>
      <c r="BS6" s="591"/>
      <c r="BT6" s="591"/>
      <c r="BU6" s="591"/>
      <c r="BV6" s="591"/>
      <c r="BW6" s="591"/>
      <c r="BX6" s="591"/>
      <c r="BY6" s="591"/>
      <c r="BZ6" s="591"/>
      <c r="CA6" s="591"/>
      <c r="CB6" s="591"/>
      <c r="CC6" s="591"/>
      <c r="CD6" s="591"/>
      <c r="CE6" s="591"/>
      <c r="CF6" s="591"/>
    </row>
    <row r="7" spans="1:84">
      <c r="A7" s="590"/>
      <c r="B7" s="605" t="s">
        <v>358</v>
      </c>
      <c r="C7" s="597" t="s">
        <v>87</v>
      </c>
      <c r="D7" s="605" t="s">
        <v>359</v>
      </c>
      <c r="E7" s="606">
        <f>'Consolidated IS'!L18</f>
        <v>14075.605143911438</v>
      </c>
      <c r="F7" s="597" t="s">
        <v>360</v>
      </c>
      <c r="G7" s="592"/>
      <c r="H7" s="607"/>
      <c r="I7" s="592"/>
      <c r="J7" s="597"/>
      <c r="K7" s="592"/>
      <c r="L7" s="598"/>
      <c r="M7" s="592"/>
      <c r="N7" s="597" t="s">
        <v>361</v>
      </c>
      <c r="O7" s="592"/>
      <c r="P7" s="592"/>
      <c r="Q7" s="597" t="s">
        <v>362</v>
      </c>
      <c r="R7" s="592"/>
      <c r="S7" s="592"/>
      <c r="T7" s="592"/>
      <c r="U7" s="599">
        <f>$E$8*1.25</f>
        <v>29433.443349253062</v>
      </c>
      <c r="V7" s="600">
        <f>100*(+U7/$E$9)</f>
        <v>2992.8743551482357</v>
      </c>
      <c r="W7" s="601">
        <f>EXP(5.6985-(0.68367*LN(V7)))</f>
        <v>1.2540928465753636</v>
      </c>
      <c r="X7" s="601">
        <f>(+W7*V7)/100</f>
        <v>37.533423194902568</v>
      </c>
      <c r="Y7" s="600">
        <f>100*((((X7/100)-((X7/100)-0.03574)*$E$21)-0.03574-0.00619)/0.344)</f>
        <v>63.355288687894451</v>
      </c>
      <c r="Z7" s="592">
        <f>$E$20</f>
        <v>0.25</v>
      </c>
      <c r="AA7" s="600">
        <f>Y7+Z7</f>
        <v>63.605288687894451</v>
      </c>
      <c r="AB7" s="600">
        <f>100*($E$17*$E$19+($E$18*(AA7/100))/(1-$E$21))</f>
        <v>59.051494821914709</v>
      </c>
      <c r="AC7" s="601">
        <f>AB7/V7</f>
        <v>1.9730696252028234E-2</v>
      </c>
      <c r="AD7" s="599">
        <f>$E$8/(1-AC7)</f>
        <v>24020.69981113715</v>
      </c>
      <c r="AE7" s="592" t="str">
        <f>IF(AD7=$U$7,"yes","not yet")</f>
        <v>not yet</v>
      </c>
      <c r="AF7" s="600">
        <f>100*(1-AC7)</f>
        <v>98.026930374797175</v>
      </c>
      <c r="AG7" s="592"/>
      <c r="AH7" s="592"/>
      <c r="AI7" s="592">
        <v>125</v>
      </c>
      <c r="AJ7" s="592">
        <v>3</v>
      </c>
      <c r="AK7" s="592"/>
      <c r="AL7" s="592"/>
      <c r="AM7" s="592"/>
      <c r="AN7" s="592"/>
      <c r="AO7" s="592"/>
      <c r="AP7" s="592"/>
      <c r="AQ7" s="592"/>
      <c r="AR7" s="592"/>
      <c r="AS7" s="590"/>
      <c r="AT7" s="590"/>
      <c r="AU7" s="590"/>
      <c r="AV7" s="590"/>
      <c r="AW7" s="590"/>
      <c r="AX7" s="590"/>
      <c r="AY7" s="590"/>
      <c r="AZ7" s="590"/>
      <c r="BA7" s="590"/>
      <c r="BB7" s="590"/>
      <c r="BC7" s="590"/>
      <c r="BD7" s="590"/>
      <c r="BE7" s="590"/>
      <c r="BF7" s="590"/>
      <c r="BG7" s="590"/>
      <c r="BH7" s="590"/>
      <c r="BI7" s="590"/>
      <c r="BJ7" s="590"/>
      <c r="BK7" s="591"/>
      <c r="BL7" s="591"/>
      <c r="BM7" s="591"/>
      <c r="BN7" s="591"/>
      <c r="BO7" s="591"/>
      <c r="BP7" s="591"/>
      <c r="BQ7" s="591"/>
      <c r="BR7" s="591"/>
      <c r="BS7" s="591"/>
      <c r="BT7" s="591"/>
      <c r="BU7" s="591"/>
      <c r="BV7" s="591"/>
      <c r="BW7" s="591"/>
      <c r="BX7" s="591"/>
      <c r="BY7" s="591"/>
      <c r="BZ7" s="591"/>
      <c r="CA7" s="591"/>
      <c r="CB7" s="591"/>
      <c r="CC7" s="591"/>
      <c r="CD7" s="591"/>
      <c r="CE7" s="591"/>
      <c r="CF7" s="591"/>
    </row>
    <row r="8" spans="1:84">
      <c r="A8" s="590"/>
      <c r="B8" s="605" t="s">
        <v>358</v>
      </c>
      <c r="C8" s="597" t="s">
        <v>363</v>
      </c>
      <c r="D8" s="605" t="s">
        <v>359</v>
      </c>
      <c r="E8" s="606">
        <f>'Consolidated IS'!L261</f>
        <v>23546.754679402449</v>
      </c>
      <c r="F8" s="597" t="s">
        <v>360</v>
      </c>
      <c r="G8" s="592"/>
      <c r="H8" s="607"/>
      <c r="I8" s="592"/>
      <c r="J8" s="676"/>
      <c r="K8" s="603"/>
      <c r="L8" s="598"/>
      <c r="M8" s="592"/>
      <c r="N8" s="597" t="s">
        <v>364</v>
      </c>
      <c r="O8" s="592"/>
      <c r="P8" s="592"/>
      <c r="Q8" s="597" t="s">
        <v>365</v>
      </c>
      <c r="R8" s="592"/>
      <c r="S8" s="592"/>
      <c r="T8" s="592"/>
      <c r="U8" s="599">
        <f>$E$8*1.25</f>
        <v>29433.443349253062</v>
      </c>
      <c r="V8" s="600">
        <f>100*(+U8/$E$9)</f>
        <v>2992.8743551482357</v>
      </c>
      <c r="W8" s="601">
        <f>EXP(5.6922-(0.68367*LN(V8)))</f>
        <v>1.2462168969329979</v>
      </c>
      <c r="X8" s="601">
        <f>(+W8*V8)/100</f>
        <v>37.297705917831813</v>
      </c>
      <c r="Y8" s="600">
        <f>100*((((X8/100)-((X8/100)-0.03574)*$E$21)-0.03574-0.00619)/0.344)</f>
        <v>62.903040423747093</v>
      </c>
      <c r="Z8" s="592">
        <f>$E$20</f>
        <v>0.25</v>
      </c>
      <c r="AA8" s="600">
        <f>Y8+Z8</f>
        <v>63.153040423747093</v>
      </c>
      <c r="AB8" s="600">
        <f>100*($E$17*$E$19+($E$18*(AA8/100))/(1-$E$21))</f>
        <v>58.640360036326214</v>
      </c>
      <c r="AC8" s="601">
        <f>AB8/V8</f>
        <v>1.9593325037335817E-2</v>
      </c>
      <c r="AD8" s="599">
        <f>$E$8/(1-AC8)</f>
        <v>24017.334113212924</v>
      </c>
      <c r="AE8" s="592" t="str">
        <f>IF(AD8=$U$8,"yes","not yet")</f>
        <v>not yet</v>
      </c>
      <c r="AF8" s="600">
        <f>100*(1-AC8)</f>
        <v>98.040667496266423</v>
      </c>
      <c r="AG8" s="592"/>
      <c r="AH8" s="592"/>
      <c r="AI8" s="592">
        <v>401</v>
      </c>
      <c r="AJ8" s="592">
        <v>4</v>
      </c>
      <c r="AK8" s="592"/>
      <c r="AL8" s="592"/>
      <c r="AM8" s="592"/>
      <c r="AN8" s="592"/>
      <c r="AO8" s="592"/>
      <c r="AP8" s="592"/>
      <c r="AQ8" s="592"/>
      <c r="AR8" s="592"/>
      <c r="AS8" s="590"/>
      <c r="AT8" s="590"/>
      <c r="AU8" s="590"/>
      <c r="AV8" s="590"/>
      <c r="AW8" s="590"/>
      <c r="AX8" s="590"/>
      <c r="AY8" s="590"/>
      <c r="AZ8" s="590"/>
      <c r="BA8" s="590"/>
      <c r="BB8" s="590"/>
      <c r="BC8" s="590"/>
      <c r="BD8" s="590"/>
      <c r="BE8" s="590"/>
      <c r="BF8" s="590"/>
      <c r="BG8" s="590"/>
      <c r="BH8" s="590"/>
      <c r="BI8" s="590"/>
      <c r="BJ8" s="590"/>
      <c r="BK8" s="591"/>
      <c r="BL8" s="591"/>
      <c r="BM8" s="591"/>
      <c r="BN8" s="591"/>
      <c r="BO8" s="591"/>
      <c r="BP8" s="591"/>
      <c r="BQ8" s="591"/>
      <c r="BR8" s="591"/>
      <c r="BS8" s="591"/>
      <c r="BT8" s="591"/>
      <c r="BU8" s="591"/>
      <c r="BV8" s="591"/>
      <c r="BW8" s="591"/>
      <c r="BX8" s="591"/>
      <c r="BY8" s="591"/>
      <c r="BZ8" s="591"/>
      <c r="CA8" s="591"/>
      <c r="CB8" s="591"/>
      <c r="CC8" s="591"/>
      <c r="CD8" s="591"/>
      <c r="CE8" s="591"/>
      <c r="CF8" s="591"/>
    </row>
    <row r="9" spans="1:84">
      <c r="A9" s="590"/>
      <c r="B9" s="605" t="s">
        <v>358</v>
      </c>
      <c r="C9" s="597" t="s">
        <v>366</v>
      </c>
      <c r="D9" s="592"/>
      <c r="E9" s="606">
        <f>'Consolidated IS'!L267</f>
        <v>983.45068507880069</v>
      </c>
      <c r="F9" s="597" t="s">
        <v>360</v>
      </c>
      <c r="G9" s="592"/>
      <c r="H9" s="592"/>
      <c r="I9" s="592"/>
      <c r="J9" s="595"/>
      <c r="K9" s="608"/>
      <c r="L9" s="598"/>
      <c r="M9" s="592"/>
      <c r="N9" s="592"/>
      <c r="O9" s="592"/>
      <c r="P9" s="592"/>
      <c r="Q9" s="592"/>
      <c r="R9" s="592"/>
      <c r="S9" s="592"/>
      <c r="T9" s="592"/>
      <c r="U9" s="592"/>
      <c r="V9" s="592"/>
      <c r="W9" s="592"/>
      <c r="X9" s="592"/>
      <c r="Y9" s="592"/>
      <c r="Z9" s="592"/>
      <c r="AA9" s="600"/>
      <c r="AB9" s="592"/>
      <c r="AC9" s="592"/>
      <c r="AD9" s="592"/>
      <c r="AE9" s="592"/>
      <c r="AF9" s="592"/>
      <c r="AG9" s="592"/>
      <c r="AH9" s="592"/>
      <c r="AI9" s="592"/>
      <c r="AJ9" s="592"/>
      <c r="AK9" s="592"/>
      <c r="AL9" s="592"/>
      <c r="AM9" s="592"/>
      <c r="AN9" s="592"/>
      <c r="AO9" s="592"/>
      <c r="AP9" s="592"/>
      <c r="AQ9" s="592"/>
      <c r="AR9" s="592"/>
      <c r="AS9" s="590"/>
      <c r="AT9" s="590"/>
      <c r="AU9" s="590"/>
      <c r="AV9" s="590"/>
      <c r="AW9" s="590"/>
      <c r="AX9" s="590"/>
      <c r="AY9" s="590"/>
      <c r="AZ9" s="590"/>
      <c r="BA9" s="590"/>
      <c r="BB9" s="590"/>
      <c r="BC9" s="590"/>
      <c r="BD9" s="590"/>
      <c r="BE9" s="590"/>
      <c r="BF9" s="590"/>
      <c r="BG9" s="590"/>
      <c r="BH9" s="590"/>
      <c r="BI9" s="590"/>
      <c r="BJ9" s="590"/>
      <c r="BK9" s="591"/>
      <c r="BL9" s="591"/>
      <c r="BM9" s="591"/>
      <c r="BN9" s="591"/>
      <c r="BO9" s="591"/>
      <c r="BP9" s="591"/>
      <c r="BQ9" s="591"/>
      <c r="BR9" s="591"/>
      <c r="BS9" s="591"/>
      <c r="BT9" s="591"/>
      <c r="BU9" s="591"/>
      <c r="BV9" s="591"/>
      <c r="BW9" s="591"/>
      <c r="BX9" s="591"/>
      <c r="BY9" s="591"/>
      <c r="BZ9" s="591"/>
      <c r="CA9" s="591"/>
      <c r="CB9" s="591"/>
      <c r="CC9" s="591"/>
      <c r="CD9" s="591"/>
      <c r="CE9" s="591"/>
      <c r="CF9" s="591"/>
    </row>
    <row r="10" spans="1:84">
      <c r="A10" s="590"/>
      <c r="B10" s="594"/>
      <c r="C10" s="597" t="s">
        <v>367</v>
      </c>
      <c r="D10" s="592"/>
      <c r="E10" s="600">
        <f>V5</f>
        <v>2992.8743551482357</v>
      </c>
      <c r="F10" s="597" t="s">
        <v>368</v>
      </c>
      <c r="G10" s="592"/>
      <c r="H10" s="600"/>
      <c r="I10" s="600"/>
      <c r="J10" s="626"/>
      <c r="K10" s="596"/>
      <c r="L10" s="592"/>
      <c r="M10" s="592"/>
      <c r="N10" s="592"/>
      <c r="O10" s="592"/>
      <c r="P10" s="592"/>
      <c r="Q10" s="592"/>
      <c r="R10" s="592"/>
      <c r="S10" s="592"/>
      <c r="T10" s="592"/>
      <c r="U10" s="592"/>
      <c r="V10" s="609" t="s">
        <v>369</v>
      </c>
      <c r="W10" s="609" t="s">
        <v>331</v>
      </c>
      <c r="X10" s="609" t="s">
        <v>341</v>
      </c>
      <c r="Y10" s="609" t="s">
        <v>342</v>
      </c>
      <c r="Z10" s="592"/>
      <c r="AA10" s="600"/>
      <c r="AB10" s="592"/>
      <c r="AC10" s="592"/>
      <c r="AD10" s="592"/>
      <c r="AE10" s="592"/>
      <c r="AF10" s="592"/>
      <c r="AG10" s="592"/>
      <c r="AH10" s="592"/>
      <c r="AI10" s="592" t="s">
        <v>370</v>
      </c>
      <c r="AJ10" s="592"/>
      <c r="AK10" s="592"/>
      <c r="AL10" s="592"/>
      <c r="AM10" s="592"/>
      <c r="AN10" s="592"/>
      <c r="AO10" s="592"/>
      <c r="AP10" s="592"/>
      <c r="AQ10" s="592"/>
      <c r="AR10" s="592"/>
      <c r="AS10" s="590"/>
      <c r="AT10" s="590"/>
      <c r="AU10" s="590"/>
      <c r="AV10" s="590"/>
      <c r="AW10" s="590"/>
      <c r="AX10" s="590"/>
      <c r="AY10" s="590"/>
      <c r="AZ10" s="590"/>
      <c r="BA10" s="590"/>
      <c r="BB10" s="590"/>
      <c r="BC10" s="590"/>
      <c r="BD10" s="590"/>
      <c r="BE10" s="590"/>
      <c r="BF10" s="590"/>
      <c r="BG10" s="590"/>
      <c r="BH10" s="590"/>
      <c r="BI10" s="590"/>
      <c r="BJ10" s="590"/>
      <c r="BK10" s="591"/>
      <c r="BL10" s="591"/>
      <c r="BM10" s="591"/>
      <c r="BN10" s="591"/>
      <c r="BO10" s="591"/>
      <c r="BP10" s="591"/>
      <c r="BQ10" s="591"/>
      <c r="BR10" s="591"/>
      <c r="BS10" s="591"/>
      <c r="BT10" s="591"/>
      <c r="BU10" s="591"/>
      <c r="BV10" s="591"/>
      <c r="BW10" s="591"/>
      <c r="BX10" s="591"/>
      <c r="BY10" s="591"/>
      <c r="BZ10" s="591"/>
      <c r="CA10" s="591"/>
      <c r="CB10" s="591"/>
      <c r="CC10" s="591"/>
      <c r="CD10" s="591"/>
      <c r="CE10" s="591"/>
      <c r="CF10" s="591"/>
    </row>
    <row r="11" spans="1:84">
      <c r="A11" s="590"/>
      <c r="B11" s="594"/>
      <c r="C11" s="597" t="s">
        <v>371</v>
      </c>
      <c r="D11" s="592"/>
      <c r="E11" s="600">
        <f>HLOOKUP($AJ$34,$AJ$28:$AR$32,($E$12)+1)</f>
        <v>2448.9280820492008</v>
      </c>
      <c r="F11" s="597" t="s">
        <v>368</v>
      </c>
      <c r="G11" s="592"/>
      <c r="H11" s="592"/>
      <c r="I11" s="592"/>
      <c r="J11" s="605"/>
      <c r="K11" s="595"/>
      <c r="L11" s="592"/>
      <c r="M11" s="592"/>
      <c r="N11" s="592"/>
      <c r="O11" s="592"/>
      <c r="P11" s="592"/>
      <c r="Q11" s="592"/>
      <c r="R11" s="592"/>
      <c r="S11" s="592"/>
      <c r="T11" s="592"/>
      <c r="U11" s="592"/>
      <c r="V11" s="600">
        <f>100*(+AD5/$E$9)</f>
        <v>2443.8217136657136</v>
      </c>
      <c r="W11" s="610">
        <f>EXP(5.7226-(0.68367*LN(+V11)))</f>
        <v>1.4756117810782421</v>
      </c>
      <c r="X11" s="601">
        <f>(+W11*V11)/100</f>
        <v>36.061321115399458</v>
      </c>
      <c r="Y11" s="600">
        <f>100*((((X11/100)-((X11/100)-0.03574)*$E$21)-0.03574-0.00619)/0.344)</f>
        <v>60.530906791173379</v>
      </c>
      <c r="Z11" s="592">
        <f>$E$20</f>
        <v>0.25</v>
      </c>
      <c r="AA11" s="600">
        <f>Y11+Z11</f>
        <v>60.780906791173379</v>
      </c>
      <c r="AB11" s="600">
        <f>100*($E$17*$E$19+($E$18*(AA11/100))/(1-$E$21))</f>
        <v>56.483874915804655</v>
      </c>
      <c r="AC11" s="601">
        <f>AB11/V11</f>
        <v>2.31129278375546E-2</v>
      </c>
      <c r="AD11" s="599">
        <f>$E$8/(1-AC11)</f>
        <v>24103.865585281168</v>
      </c>
      <c r="AE11" s="592" t="str">
        <f>IF(AD11=AD5,"yes","not yet")</f>
        <v>not yet</v>
      </c>
      <c r="AF11" s="600">
        <f>100*(1-AC11)</f>
        <v>97.688707216244538</v>
      </c>
      <c r="AG11" s="592"/>
      <c r="AH11" s="592"/>
      <c r="AI11" s="592"/>
      <c r="AJ11" s="592"/>
      <c r="AK11" s="592"/>
      <c r="AL11" s="592"/>
      <c r="AM11" s="592"/>
      <c r="AN11" s="592"/>
      <c r="AO11" s="592"/>
      <c r="AP11" s="592"/>
      <c r="AQ11" s="592"/>
      <c r="AR11" s="592"/>
      <c r="AS11" s="590"/>
      <c r="AT11" s="590"/>
      <c r="AU11" s="590"/>
      <c r="AV11" s="590"/>
      <c r="AW11" s="590"/>
      <c r="AX11" s="590"/>
      <c r="AY11" s="590"/>
      <c r="AZ11" s="590"/>
      <c r="BA11" s="590"/>
      <c r="BB11" s="590"/>
      <c r="BC11" s="590"/>
      <c r="BD11" s="590"/>
      <c r="BE11" s="590"/>
      <c r="BF11" s="590"/>
      <c r="BG11" s="590"/>
      <c r="BH11" s="590"/>
      <c r="BI11" s="590"/>
      <c r="BJ11" s="590"/>
      <c r="BK11" s="591"/>
      <c r="BL11" s="591"/>
      <c r="BM11" s="591"/>
      <c r="BN11" s="591"/>
      <c r="BO11" s="591"/>
      <c r="BP11" s="591"/>
      <c r="BQ11" s="591"/>
      <c r="BR11" s="591"/>
      <c r="BS11" s="591"/>
      <c r="BT11" s="591"/>
      <c r="BU11" s="591"/>
      <c r="BV11" s="591"/>
      <c r="BW11" s="591"/>
      <c r="BX11" s="591"/>
      <c r="BY11" s="591"/>
      <c r="BZ11" s="591"/>
      <c r="CA11" s="591"/>
      <c r="CB11" s="591"/>
      <c r="CC11" s="591"/>
      <c r="CD11" s="591"/>
      <c r="CE11" s="591"/>
      <c r="CF11" s="591"/>
    </row>
    <row r="12" spans="1:84">
      <c r="A12" s="590"/>
      <c r="B12" s="594"/>
      <c r="C12" s="597" t="s">
        <v>372</v>
      </c>
      <c r="D12" s="592"/>
      <c r="E12" s="592">
        <f>VLOOKUP(E10,AI5:AJ8,2)</f>
        <v>4</v>
      </c>
      <c r="F12" s="597" t="s">
        <v>368</v>
      </c>
      <c r="G12" s="592"/>
      <c r="H12" s="592"/>
      <c r="I12" s="592"/>
      <c r="J12" s="605"/>
      <c r="K12" s="595"/>
      <c r="L12" s="592"/>
      <c r="M12" s="592"/>
      <c r="N12" s="592"/>
      <c r="O12" s="592"/>
      <c r="P12" s="592"/>
      <c r="Q12" s="592"/>
      <c r="R12" s="592"/>
      <c r="S12" s="592"/>
      <c r="T12" s="592"/>
      <c r="U12" s="592"/>
      <c r="V12" s="600">
        <f>100*(+AD6/$E$9)</f>
        <v>2443.02675151519</v>
      </c>
      <c r="W12" s="610">
        <f>EXP(5.70827-(0.68367*LN(+V12)))</f>
        <v>1.4549406377756717</v>
      </c>
      <c r="X12" s="601">
        <f>(+W12*V12)/100</f>
        <v>35.544588999525381</v>
      </c>
      <c r="Y12" s="600">
        <f>100*((((X12/100)-((X12/100)-0.03574)*$E$21)-0.03574-0.00619)/0.344)</f>
        <v>59.539502150252176</v>
      </c>
      <c r="Z12" s="592">
        <f>$E$20</f>
        <v>0.25</v>
      </c>
      <c r="AA12" s="600">
        <f>Y12+Z12</f>
        <v>59.789502150252176</v>
      </c>
      <c r="AB12" s="600">
        <f>100*($E$17*$E$19+($E$18*(AA12/100))/(1-$E$21))</f>
        <v>55.582597969512634</v>
      </c>
      <c r="AC12" s="601">
        <f>AB12/V12</f>
        <v>2.2751530631025526E-2</v>
      </c>
      <c r="AD12" s="599">
        <f>$E$8/(1-AC12)</f>
        <v>24094.951711315527</v>
      </c>
      <c r="AE12" s="592" t="str">
        <f>IF(AD12=AD6,"yes","not yet")</f>
        <v>not yet</v>
      </c>
      <c r="AF12" s="600">
        <f>100*(1-AC12)</f>
        <v>97.72484693689745</v>
      </c>
      <c r="AG12" s="592"/>
      <c r="AH12" s="592"/>
      <c r="AI12" s="592"/>
      <c r="AJ12" s="592"/>
      <c r="AK12" s="592"/>
      <c r="AL12" s="592"/>
      <c r="AM12" s="592"/>
      <c r="AN12" s="592"/>
      <c r="AO12" s="592"/>
      <c r="AP12" s="592"/>
      <c r="AQ12" s="592"/>
      <c r="AR12" s="592"/>
      <c r="AS12" s="590"/>
      <c r="AT12" s="590"/>
      <c r="AU12" s="590"/>
      <c r="AV12" s="590"/>
      <c r="AW12" s="590"/>
      <c r="AX12" s="590"/>
      <c r="AY12" s="590"/>
      <c r="AZ12" s="590"/>
      <c r="BA12" s="590"/>
      <c r="BB12" s="590"/>
      <c r="BC12" s="590"/>
      <c r="BD12" s="590"/>
      <c r="BE12" s="590"/>
      <c r="BF12" s="590"/>
      <c r="BG12" s="590"/>
      <c r="BH12" s="590"/>
      <c r="BI12" s="590"/>
      <c r="BJ12" s="590"/>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row>
    <row r="13" spans="1:84">
      <c r="A13" s="590"/>
      <c r="B13" s="594"/>
      <c r="C13" s="592"/>
      <c r="D13" s="592"/>
      <c r="E13" s="592"/>
      <c r="F13" s="592"/>
      <c r="G13" s="592"/>
      <c r="H13" s="592"/>
      <c r="I13" s="592"/>
      <c r="J13" s="605"/>
      <c r="L13" s="611"/>
      <c r="M13" s="596"/>
      <c r="N13" s="595"/>
      <c r="O13" s="592"/>
      <c r="P13" s="592"/>
      <c r="Q13" s="592"/>
      <c r="R13" s="592"/>
      <c r="S13" s="592"/>
      <c r="T13" s="592"/>
      <c r="U13" s="592"/>
      <c r="V13" s="600">
        <f>100*(+AD7/$E$9)</f>
        <v>2442.4915428486838</v>
      </c>
      <c r="W13" s="610">
        <f>EXP(5.6985-(0.68367*LN(V13)))</f>
        <v>1.4410109172449945</v>
      </c>
      <c r="X13" s="601">
        <f>(+W13*V13)/100</f>
        <v>35.196569785235241</v>
      </c>
      <c r="Y13" s="600">
        <f>100*((((X13/100)-((X13/100)-0.03574)*$E$21)-0.03574-0.00619)/0.344)</f>
        <v>58.871790867021112</v>
      </c>
      <c r="Z13" s="592">
        <f>$E$20</f>
        <v>0.25</v>
      </c>
      <c r="AA13" s="600">
        <f>Y13+Z13</f>
        <v>59.121790867021112</v>
      </c>
      <c r="AB13" s="600">
        <f>100*($E$17*$E$19+($E$18*(AA13/100))/(1-$E$21))</f>
        <v>54.975587712029849</v>
      </c>
      <c r="AC13" s="601">
        <f>AB13/V13</f>
        <v>2.2507995113838424E-2</v>
      </c>
      <c r="AD13" s="599">
        <f>$E$8/(1-AC13)</f>
        <v>24088.948617175334</v>
      </c>
      <c r="AE13" s="592" t="str">
        <f>IF(AD13=AD7,"yes","not yet")</f>
        <v>not yet</v>
      </c>
      <c r="AF13" s="600">
        <f>100*(1-AC13)</f>
        <v>97.749200488616168</v>
      </c>
      <c r="AG13" s="592"/>
      <c r="AH13" s="592"/>
      <c r="AI13" s="592"/>
      <c r="AJ13" s="592">
        <v>1</v>
      </c>
      <c r="AK13" s="592">
        <v>2</v>
      </c>
      <c r="AL13" s="592">
        <v>3</v>
      </c>
      <c r="AM13" s="592">
        <v>4</v>
      </c>
      <c r="AN13" s="592">
        <v>5</v>
      </c>
      <c r="AO13" s="592">
        <v>6</v>
      </c>
      <c r="AP13" s="592">
        <v>7</v>
      </c>
      <c r="AQ13" s="592">
        <v>8</v>
      </c>
      <c r="AR13" s="592">
        <v>9</v>
      </c>
      <c r="AS13" s="590"/>
      <c r="AT13" s="590"/>
      <c r="AU13" s="590"/>
      <c r="AV13" s="590"/>
      <c r="AW13" s="590"/>
      <c r="AX13" s="590"/>
      <c r="AY13" s="590"/>
      <c r="AZ13" s="590"/>
      <c r="BA13" s="590"/>
      <c r="BB13" s="590"/>
      <c r="BC13" s="590"/>
      <c r="BD13" s="590"/>
      <c r="BE13" s="590"/>
      <c r="BF13" s="590"/>
      <c r="BG13" s="590"/>
      <c r="BH13" s="590"/>
      <c r="BI13" s="590"/>
      <c r="BJ13" s="590"/>
      <c r="BK13" s="591"/>
      <c r="BL13" s="591"/>
      <c r="BM13" s="591"/>
      <c r="BN13" s="591"/>
      <c r="BO13" s="591"/>
      <c r="BP13" s="591"/>
      <c r="BQ13" s="591"/>
      <c r="BR13" s="591"/>
      <c r="BS13" s="591"/>
      <c r="BT13" s="591"/>
      <c r="BU13" s="591"/>
      <c r="BV13" s="591"/>
      <c r="BW13" s="591"/>
      <c r="BX13" s="591"/>
      <c r="BY13" s="591"/>
      <c r="BZ13" s="591"/>
      <c r="CA13" s="591"/>
      <c r="CB13" s="591"/>
      <c r="CC13" s="591"/>
      <c r="CD13" s="591"/>
      <c r="CE13" s="591"/>
      <c r="CF13" s="591"/>
    </row>
    <row r="14" spans="1:84">
      <c r="A14" s="590"/>
      <c r="B14" s="594"/>
      <c r="C14" s="597" t="s">
        <v>373</v>
      </c>
      <c r="D14" s="592"/>
      <c r="E14" s="592"/>
      <c r="F14" s="592"/>
      <c r="G14" s="592"/>
      <c r="H14" s="592"/>
      <c r="I14" s="592"/>
      <c r="J14" s="594"/>
      <c r="L14" s="611"/>
      <c r="M14" s="596"/>
      <c r="N14" s="595"/>
      <c r="O14" s="592"/>
      <c r="P14" s="592"/>
      <c r="Q14" s="592"/>
      <c r="R14" s="592"/>
      <c r="S14" s="592"/>
      <c r="T14" s="592"/>
      <c r="U14" s="592"/>
      <c r="V14" s="600">
        <f>100*(+AD8/$E$9)</f>
        <v>2442.1493093259164</v>
      </c>
      <c r="W14" s="610">
        <f>EXP(5.6922-(0.68367*LN(V14)))</f>
        <v>1.4320982741031398</v>
      </c>
      <c r="X14" s="601">
        <f>(+W14*V14)/100</f>
        <v>34.973978109878196</v>
      </c>
      <c r="Y14" s="600">
        <f>100*((((X14/100)-((X14/100)-0.03574)*$E$21)-0.03574-0.00619)/0.344)</f>
        <v>58.444725443370956</v>
      </c>
      <c r="Z14" s="592">
        <f>$E$20</f>
        <v>0.25</v>
      </c>
      <c r="AA14" s="600">
        <f>Y14+Z14</f>
        <v>58.694725443370956</v>
      </c>
      <c r="AB14" s="600">
        <f>100*($E$17*$E$19+($E$18*(AA14/100))/(1-$E$21))</f>
        <v>54.587346417802443</v>
      </c>
      <c r="AC14" s="601">
        <f>AB14/V14</f>
        <v>2.2352174049861707E-2</v>
      </c>
      <c r="AD14" s="599">
        <f>$E$8/(1-AC14)</f>
        <v>24085.109232988132</v>
      </c>
      <c r="AE14" s="592" t="str">
        <f>IF(AD14=AD8,"yes","not yet")</f>
        <v>not yet</v>
      </c>
      <c r="AF14" s="600">
        <f>100*(1-AC14)</f>
        <v>97.764782595013827</v>
      </c>
      <c r="AG14" s="592"/>
      <c r="AH14" s="592"/>
      <c r="AI14" s="592"/>
      <c r="AJ14" s="592" t="str">
        <f>AE5</f>
        <v>not yet</v>
      </c>
      <c r="AK14" s="592" t="str">
        <f>AE11</f>
        <v>not yet</v>
      </c>
      <c r="AL14" s="592" t="str">
        <f>AE17</f>
        <v>not yet</v>
      </c>
      <c r="AM14" s="592" t="str">
        <f>AE23</f>
        <v>not yet</v>
      </c>
      <c r="AN14" s="592" t="str">
        <f>AE29</f>
        <v>not yet</v>
      </c>
      <c r="AO14" s="592" t="str">
        <f>AE35</f>
        <v>not yet</v>
      </c>
      <c r="AP14" s="592" t="str">
        <f>AE41</f>
        <v>yes</v>
      </c>
      <c r="AQ14" s="592" t="str">
        <f>AE47</f>
        <v>yes</v>
      </c>
      <c r="AR14" s="592" t="str">
        <f>AE53</f>
        <v>yes</v>
      </c>
      <c r="AS14" s="590"/>
      <c r="AT14" s="590"/>
      <c r="AU14" s="590"/>
      <c r="AV14" s="590"/>
      <c r="AW14" s="590"/>
      <c r="AX14" s="590"/>
      <c r="AY14" s="590"/>
      <c r="AZ14" s="590"/>
      <c r="BA14" s="590"/>
      <c r="BB14" s="590"/>
      <c r="BC14" s="590"/>
      <c r="BD14" s="590"/>
      <c r="BE14" s="590"/>
      <c r="BF14" s="590"/>
      <c r="BG14" s="590"/>
      <c r="BH14" s="590"/>
      <c r="BI14" s="590"/>
      <c r="BJ14" s="590"/>
      <c r="BK14" s="591"/>
      <c r="BL14" s="591"/>
      <c r="BM14" s="591"/>
      <c r="BN14" s="591"/>
      <c r="BO14" s="591"/>
      <c r="BP14" s="591"/>
      <c r="BQ14" s="591"/>
      <c r="BR14" s="591"/>
      <c r="BS14" s="591"/>
      <c r="BT14" s="591"/>
      <c r="BU14" s="591"/>
      <c r="BV14" s="591"/>
      <c r="BW14" s="591"/>
      <c r="BX14" s="591"/>
      <c r="BY14" s="591"/>
      <c r="BZ14" s="591"/>
      <c r="CA14" s="591"/>
      <c r="CB14" s="591"/>
      <c r="CC14" s="591"/>
      <c r="CD14" s="591"/>
      <c r="CE14" s="591"/>
      <c r="CF14" s="591"/>
    </row>
    <row r="15" spans="1:84">
      <c r="A15" s="590"/>
      <c r="B15" s="594"/>
      <c r="C15" s="597" t="s">
        <v>374</v>
      </c>
      <c r="D15" s="592"/>
      <c r="E15" s="605" t="s">
        <v>349</v>
      </c>
      <c r="F15" s="597" t="s">
        <v>375</v>
      </c>
      <c r="G15" s="592"/>
      <c r="H15" s="600">
        <f>HLOOKUP($AJ$25,$AJ$19:$AR$23,($E$12)+1)</f>
        <v>97.768784713928909</v>
      </c>
      <c r="I15" s="597" t="s">
        <v>351</v>
      </c>
      <c r="J15" s="590"/>
      <c r="L15" s="611"/>
      <c r="M15" s="596"/>
      <c r="N15" s="595"/>
      <c r="O15" s="592"/>
      <c r="P15" s="592"/>
      <c r="Q15" s="592"/>
      <c r="R15" s="592"/>
      <c r="S15" s="592"/>
      <c r="T15" s="592"/>
      <c r="U15" s="592"/>
      <c r="V15" s="592"/>
      <c r="W15" s="592"/>
      <c r="X15" s="592"/>
      <c r="Y15" s="592"/>
      <c r="Z15" s="592"/>
      <c r="AA15" s="600"/>
      <c r="AB15" s="592"/>
      <c r="AC15" s="592"/>
      <c r="AD15" s="592"/>
      <c r="AE15" s="592"/>
      <c r="AF15" s="592"/>
      <c r="AG15" s="592"/>
      <c r="AH15" s="592"/>
      <c r="AI15" s="592"/>
      <c r="AJ15" s="592" t="str">
        <f>AE6</f>
        <v>not yet</v>
      </c>
      <c r="AK15" s="592" t="str">
        <f>AE12</f>
        <v>not yet</v>
      </c>
      <c r="AL15" s="592" t="str">
        <f>AE18</f>
        <v>not yet</v>
      </c>
      <c r="AM15" s="592" t="str">
        <f>AE24</f>
        <v>not yet</v>
      </c>
      <c r="AN15" s="592" t="str">
        <f>AE30</f>
        <v>not yet</v>
      </c>
      <c r="AO15" s="592" t="str">
        <f>AE36</f>
        <v>not yet</v>
      </c>
      <c r="AP15" s="592" t="str">
        <f>AE42</f>
        <v>yes</v>
      </c>
      <c r="AQ15" s="592" t="str">
        <f>AE48</f>
        <v>yes</v>
      </c>
      <c r="AR15" s="592" t="str">
        <f>AE54</f>
        <v>yes</v>
      </c>
      <c r="AS15" s="590"/>
      <c r="AT15" s="590"/>
      <c r="AU15" s="590"/>
      <c r="AV15" s="590"/>
      <c r="AW15" s="590"/>
      <c r="AX15" s="590"/>
      <c r="AY15" s="590"/>
      <c r="AZ15" s="590"/>
      <c r="BA15" s="590"/>
      <c r="BB15" s="590"/>
      <c r="BC15" s="590"/>
      <c r="BD15" s="590"/>
      <c r="BE15" s="590"/>
      <c r="BF15" s="590"/>
      <c r="BG15" s="590"/>
      <c r="BH15" s="590"/>
      <c r="BI15" s="590"/>
      <c r="BJ15" s="590"/>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row>
    <row r="16" spans="1:84">
      <c r="A16" s="590"/>
      <c r="B16" s="594"/>
      <c r="C16" s="612"/>
      <c r="D16" s="612"/>
      <c r="E16" s="613"/>
      <c r="F16" s="592"/>
      <c r="G16" s="592"/>
      <c r="H16" s="612"/>
      <c r="I16" s="594"/>
      <c r="J16" s="590"/>
      <c r="K16" s="595"/>
      <c r="L16" s="592"/>
      <c r="M16" s="592"/>
      <c r="N16" s="592"/>
      <c r="O16" s="592"/>
      <c r="P16" s="592"/>
      <c r="Q16" s="592"/>
      <c r="R16" s="592"/>
      <c r="S16" s="592"/>
      <c r="T16" s="592"/>
      <c r="U16" s="592"/>
      <c r="V16" s="597" t="s">
        <v>376</v>
      </c>
      <c r="W16" s="609" t="s">
        <v>331</v>
      </c>
      <c r="X16" s="609" t="s">
        <v>341</v>
      </c>
      <c r="Y16" s="609" t="s">
        <v>342</v>
      </c>
      <c r="Z16" s="592"/>
      <c r="AA16" s="600"/>
      <c r="AB16" s="592"/>
      <c r="AC16" s="592"/>
      <c r="AD16" s="592"/>
      <c r="AE16" s="592"/>
      <c r="AF16" s="592"/>
      <c r="AG16" s="592"/>
      <c r="AH16" s="592"/>
      <c r="AI16" s="592"/>
      <c r="AJ16" s="592" t="str">
        <f>AE7</f>
        <v>not yet</v>
      </c>
      <c r="AK16" s="592" t="str">
        <f>AE13</f>
        <v>not yet</v>
      </c>
      <c r="AL16" s="592" t="str">
        <f>AE19</f>
        <v>not yet</v>
      </c>
      <c r="AM16" s="592" t="str">
        <f>AE25</f>
        <v>not yet</v>
      </c>
      <c r="AN16" s="592" t="str">
        <f>AE31</f>
        <v>not yet</v>
      </c>
      <c r="AO16" s="592" t="str">
        <f>AE37</f>
        <v>not yet</v>
      </c>
      <c r="AP16" s="592" t="str">
        <f>AE43</f>
        <v>yes</v>
      </c>
      <c r="AQ16" s="592" t="str">
        <f>AE49</f>
        <v>yes</v>
      </c>
      <c r="AR16" s="592" t="str">
        <f>AE55</f>
        <v>yes</v>
      </c>
      <c r="AS16" s="590"/>
      <c r="AT16" s="590"/>
      <c r="AU16" s="590"/>
      <c r="AV16" s="590"/>
      <c r="AW16" s="590"/>
      <c r="AX16" s="590"/>
      <c r="AY16" s="590"/>
      <c r="AZ16" s="590"/>
      <c r="BA16" s="590"/>
      <c r="BB16" s="590"/>
      <c r="BC16" s="590"/>
      <c r="BD16" s="590"/>
      <c r="BE16" s="590"/>
      <c r="BF16" s="590"/>
      <c r="BG16" s="590"/>
      <c r="BH16" s="590"/>
      <c r="BI16" s="590"/>
      <c r="BJ16" s="590"/>
      <c r="BK16" s="591"/>
      <c r="BL16" s="591"/>
      <c r="BM16" s="591"/>
      <c r="BN16" s="591"/>
      <c r="BO16" s="591"/>
      <c r="BP16" s="591"/>
      <c r="BQ16" s="591"/>
      <c r="BR16" s="591"/>
      <c r="BS16" s="591"/>
      <c r="BT16" s="591"/>
      <c r="BU16" s="591"/>
      <c r="BV16" s="591"/>
      <c r="BW16" s="591"/>
      <c r="BX16" s="591"/>
      <c r="BY16" s="591"/>
      <c r="BZ16" s="591"/>
      <c r="CA16" s="591"/>
      <c r="CB16" s="591"/>
      <c r="CC16" s="591"/>
      <c r="CD16" s="591"/>
      <c r="CE16" s="591"/>
      <c r="CF16" s="591"/>
    </row>
    <row r="17" spans="1:84">
      <c r="A17" s="590"/>
      <c r="B17" s="605" t="s">
        <v>358</v>
      </c>
      <c r="C17" s="597" t="s">
        <v>377</v>
      </c>
      <c r="D17" s="592"/>
      <c r="E17" s="614">
        <f>'LG - Packer,RO'!E17</f>
        <v>0.4</v>
      </c>
      <c r="F17" s="597" t="s">
        <v>378</v>
      </c>
      <c r="G17" s="592"/>
      <c r="H17" s="592"/>
      <c r="I17" s="594"/>
      <c r="J17" s="590"/>
      <c r="K17" s="592"/>
      <c r="L17" s="592"/>
      <c r="M17" s="592"/>
      <c r="N17" s="592"/>
      <c r="O17" s="592"/>
      <c r="P17" s="592"/>
      <c r="Q17" s="592"/>
      <c r="R17" s="592"/>
      <c r="S17" s="592"/>
      <c r="T17" s="592"/>
      <c r="U17" s="592"/>
      <c r="V17" s="600">
        <f>100*(+AD11/$E$9)</f>
        <v>2450.9480699939522</v>
      </c>
      <c r="W17" s="610">
        <f>EXP(5.7226-(0.68367*LN(+V17)))</f>
        <v>1.4726771602638462</v>
      </c>
      <c r="X17" s="601">
        <f>(+W17*V17)/100</f>
        <v>36.094552436728485</v>
      </c>
      <c r="Y17" s="600">
        <f>100*((((X17/100)-((X17/100)-0.03574)*$E$21)-0.03574-0.00619)/0.344)</f>
        <v>60.59466455883954</v>
      </c>
      <c r="Z17" s="592">
        <f>$E$20</f>
        <v>0.25</v>
      </c>
      <c r="AA17" s="600">
        <f>Y17+Z17</f>
        <v>60.84466455883954</v>
      </c>
      <c r="AB17" s="600">
        <f>100*($E$17*$E$19+($E$18*(AA17/100))/(1-$E$21))</f>
        <v>56.541836522773892</v>
      </c>
      <c r="AC17" s="601">
        <f>AB17/V17</f>
        <v>2.3069373527327901E-2</v>
      </c>
      <c r="AD17" s="599">
        <f>$E$8/(1-AC17)</f>
        <v>24102.79096727768</v>
      </c>
      <c r="AE17" s="592" t="str">
        <f>IF(AD17=AD11,"yes","not yet")</f>
        <v>not yet</v>
      </c>
      <c r="AF17" s="600">
        <f>100*(1-AC17)</f>
        <v>97.693062647267212</v>
      </c>
      <c r="AG17" s="592"/>
      <c r="AH17" s="592"/>
      <c r="AI17" s="592"/>
      <c r="AJ17" s="592" t="str">
        <f>AE8</f>
        <v>not yet</v>
      </c>
      <c r="AK17" s="592" t="str">
        <f>AE14</f>
        <v>not yet</v>
      </c>
      <c r="AL17" s="592" t="str">
        <f>AE20</f>
        <v>not yet</v>
      </c>
      <c r="AM17" s="592" t="str">
        <f>AE26</f>
        <v>not yet</v>
      </c>
      <c r="AN17" s="592" t="str">
        <f>AE32</f>
        <v>not yet</v>
      </c>
      <c r="AO17" s="592" t="str">
        <f>AE38</f>
        <v>not yet</v>
      </c>
      <c r="AP17" s="592" t="str">
        <f>AE44</f>
        <v>yes</v>
      </c>
      <c r="AQ17" s="592" t="str">
        <f>AE50</f>
        <v>yes</v>
      </c>
      <c r="AR17" s="592" t="str">
        <f>AE56</f>
        <v>yes</v>
      </c>
      <c r="AS17" s="590"/>
      <c r="AT17" s="590"/>
      <c r="AU17" s="590"/>
      <c r="AV17" s="590"/>
      <c r="AW17" s="590"/>
      <c r="AX17" s="590"/>
      <c r="AY17" s="590"/>
      <c r="AZ17" s="590"/>
      <c r="BA17" s="590"/>
      <c r="BB17" s="590"/>
      <c r="BC17" s="590"/>
      <c r="BD17" s="590"/>
      <c r="BE17" s="590"/>
      <c r="BF17" s="590"/>
      <c r="BG17" s="590"/>
      <c r="BH17" s="590"/>
      <c r="BI17" s="590"/>
      <c r="BJ17" s="590"/>
      <c r="BK17" s="591"/>
      <c r="BL17" s="591"/>
      <c r="BM17" s="591"/>
      <c r="BN17" s="591"/>
      <c r="BO17" s="591"/>
      <c r="BP17" s="591"/>
      <c r="BQ17" s="591"/>
      <c r="BR17" s="591"/>
      <c r="BS17" s="591"/>
      <c r="BT17" s="591"/>
      <c r="BU17" s="591"/>
      <c r="BV17" s="591"/>
      <c r="BW17" s="591"/>
      <c r="BX17" s="591"/>
      <c r="BY17" s="591"/>
      <c r="BZ17" s="591"/>
      <c r="CA17" s="591"/>
      <c r="CB17" s="591"/>
      <c r="CC17" s="591"/>
      <c r="CD17" s="591"/>
      <c r="CE17" s="591"/>
      <c r="CF17" s="591"/>
    </row>
    <row r="18" spans="1:84">
      <c r="A18" s="590"/>
      <c r="B18" s="605" t="s">
        <v>358</v>
      </c>
      <c r="C18" s="597" t="s">
        <v>379</v>
      </c>
      <c r="D18" s="592"/>
      <c r="E18" s="614">
        <f>'LG - Packer,RO'!E18</f>
        <v>0.6</v>
      </c>
      <c r="F18" s="597" t="s">
        <v>380</v>
      </c>
      <c r="G18" s="592"/>
      <c r="H18" s="598">
        <v>1.4999999999999999E-2</v>
      </c>
      <c r="I18" s="597" t="s">
        <v>358</v>
      </c>
      <c r="J18" s="590"/>
      <c r="K18" s="592"/>
      <c r="L18" s="592"/>
      <c r="M18" s="592"/>
      <c r="N18" s="592"/>
      <c r="O18" s="592"/>
      <c r="P18" s="592"/>
      <c r="Q18" s="592"/>
      <c r="R18" s="592"/>
      <c r="S18" s="592"/>
      <c r="T18" s="592"/>
      <c r="U18" s="592"/>
      <c r="V18" s="600">
        <f>100*(+AD12/$E$9)</f>
        <v>2450.0416825053994</v>
      </c>
      <c r="W18" s="610">
        <f>EXP(5.70827-(0.68367*LN(+V18)))</f>
        <v>1.4520913349871192</v>
      </c>
      <c r="X18" s="601">
        <f>(+W18*V18)/100</f>
        <v>35.576842975233532</v>
      </c>
      <c r="Y18" s="600">
        <f>100*((((X18/100)-((X18/100)-0.03574)*$E$21)-0.03574-0.00619)/0.344)</f>
        <v>59.601384778064336</v>
      </c>
      <c r="Z18" s="592">
        <f>$E$20</f>
        <v>0.25</v>
      </c>
      <c r="AA18" s="600">
        <f>Y18+Z18</f>
        <v>59.851384778064336</v>
      </c>
      <c r="AB18" s="600">
        <f>100*($E$17*$E$19+($E$18*(AA18/100))/(1-$E$21))</f>
        <v>55.638854903887335</v>
      </c>
      <c r="AC18" s="601">
        <f>AB18/V18</f>
        <v>2.2709350335211986E-2</v>
      </c>
      <c r="AD18" s="599">
        <f>$E$8/(1-AC18)</f>
        <v>24093.911762564207</v>
      </c>
      <c r="AE18" s="592" t="str">
        <f>IF(AD18=AD12,"yes","not yet")</f>
        <v>not yet</v>
      </c>
      <c r="AF18" s="600">
        <f>100*(1-AC18)</f>
        <v>97.729064966478802</v>
      </c>
      <c r="AG18" s="592"/>
      <c r="AH18" s="592"/>
      <c r="AI18" s="592"/>
      <c r="AJ18" s="592"/>
      <c r="AK18" s="592"/>
      <c r="AL18" s="592"/>
      <c r="AM18" s="592"/>
      <c r="AN18" s="592"/>
      <c r="AO18" s="592"/>
      <c r="AP18" s="592"/>
      <c r="AQ18" s="592"/>
      <c r="AR18" s="592"/>
      <c r="AS18" s="590"/>
      <c r="AT18" s="590"/>
      <c r="AU18" s="590"/>
      <c r="AV18" s="590"/>
      <c r="AW18" s="590"/>
      <c r="AX18" s="590"/>
      <c r="AY18" s="590"/>
      <c r="AZ18" s="590"/>
      <c r="BA18" s="590"/>
      <c r="BB18" s="590"/>
      <c r="BC18" s="590"/>
      <c r="BD18" s="590"/>
      <c r="BE18" s="590"/>
      <c r="BF18" s="590"/>
      <c r="BG18" s="590"/>
      <c r="BH18" s="590"/>
      <c r="BI18" s="590"/>
      <c r="BJ18" s="590"/>
      <c r="BK18" s="591"/>
      <c r="BL18" s="591"/>
      <c r="BM18" s="591"/>
      <c r="BN18" s="591"/>
      <c r="BO18" s="591"/>
      <c r="BP18" s="591"/>
      <c r="BQ18" s="591"/>
      <c r="BR18" s="591"/>
      <c r="BS18" s="591"/>
      <c r="BT18" s="591"/>
      <c r="BU18" s="591"/>
      <c r="BV18" s="591"/>
      <c r="BW18" s="591"/>
      <c r="BX18" s="591"/>
      <c r="BY18" s="591"/>
      <c r="BZ18" s="591"/>
      <c r="CA18" s="591"/>
      <c r="CB18" s="591"/>
      <c r="CC18" s="591"/>
      <c r="CD18" s="591"/>
      <c r="CE18" s="591"/>
      <c r="CF18" s="591"/>
    </row>
    <row r="19" spans="1:84">
      <c r="A19" s="590"/>
      <c r="B19" s="605" t="s">
        <v>358</v>
      </c>
      <c r="C19" s="597" t="s">
        <v>381</v>
      </c>
      <c r="D19" s="592"/>
      <c r="E19" s="614">
        <f>'LG - Packer,RO'!E19</f>
        <v>3.071262764117556E-2</v>
      </c>
      <c r="F19" s="597" t="s">
        <v>382</v>
      </c>
      <c r="G19" s="592"/>
      <c r="H19" s="614">
        <f>'LG - Packer,RO'!H19</f>
        <v>5.1000000000000004E-3</v>
      </c>
      <c r="I19" s="597" t="s">
        <v>358</v>
      </c>
      <c r="J19" s="590"/>
      <c r="K19" s="592"/>
      <c r="L19" s="592"/>
      <c r="M19" s="592"/>
      <c r="N19" s="592"/>
      <c r="O19" s="592"/>
      <c r="P19" s="592"/>
      <c r="Q19" s="592"/>
      <c r="R19" s="592"/>
      <c r="S19" s="592"/>
      <c r="T19" s="592"/>
      <c r="U19" s="592"/>
      <c r="V19" s="600">
        <f>100*(+AD13/$E$9)</f>
        <v>2449.4312712024971</v>
      </c>
      <c r="W19" s="610">
        <f>EXP(5.6985-(0.68367*LN(V19)))</f>
        <v>1.4382184645888338</v>
      </c>
      <c r="X19" s="601">
        <f>(+W19*V19)/100</f>
        <v>35.228172819847309</v>
      </c>
      <c r="Y19" s="600">
        <f>100*((((X19/100)-((X19/100)-0.03574)*$E$21)-0.03574-0.00619)/0.344)</f>
        <v>58.932424596218667</v>
      </c>
      <c r="Z19" s="592">
        <f>$E$20</f>
        <v>0.25</v>
      </c>
      <c r="AA19" s="600">
        <f>Y19+Z19</f>
        <v>59.182424596218667</v>
      </c>
      <c r="AB19" s="600">
        <f>100*($E$17*$E$19+($E$18*(AA19/100))/(1-$E$21))</f>
        <v>55.030709284027637</v>
      </c>
      <c r="AC19" s="601">
        <f>AB19/V19</f>
        <v>2.2466729289779771E-2</v>
      </c>
      <c r="AD19" s="599">
        <f>$E$8/(1-AC19)</f>
        <v>24087.931720518027</v>
      </c>
      <c r="AE19" s="592" t="str">
        <f>IF(AD19=AD13,"yes","not yet")</f>
        <v>not yet</v>
      </c>
      <c r="AF19" s="600">
        <f>100*(1-AC19)</f>
        <v>97.753327071022028</v>
      </c>
      <c r="AG19" s="592"/>
      <c r="AH19" s="592"/>
      <c r="AI19" s="592"/>
      <c r="AJ19" s="592" t="str">
        <f>HLOOKUP(1,$AJ$13:$AR$17,($E$12)+1)</f>
        <v>not yet</v>
      </c>
      <c r="AK19" s="592" t="str">
        <f>HLOOKUP(2,$AJ$13:$AR$17,($E$12)+1)</f>
        <v>not yet</v>
      </c>
      <c r="AL19" s="592" t="str">
        <f>HLOOKUP(3,$AJ$13:$AR$17,($E$12)+1)</f>
        <v>not yet</v>
      </c>
      <c r="AM19" s="592" t="str">
        <f>HLOOKUP(4,$AJ$13:$AR$17,($E$12)+1)</f>
        <v>not yet</v>
      </c>
      <c r="AN19" s="592" t="str">
        <f>HLOOKUP(5,$AJ$13:$AR$17,($E$12)+1)</f>
        <v>not yet</v>
      </c>
      <c r="AO19" s="592" t="str">
        <f>HLOOKUP(6,$AJ$13:$AR$17,($E$12)+1)</f>
        <v>not yet</v>
      </c>
      <c r="AP19" s="592" t="str">
        <f>HLOOKUP(7,$AJ$13:$AR$17,($E$12)+1)</f>
        <v>yes</v>
      </c>
      <c r="AQ19" s="592" t="str">
        <f>HLOOKUP(8,$AJ$13:$AR$17,($E$12)+1)</f>
        <v>yes</v>
      </c>
      <c r="AR19" s="592" t="str">
        <f>HLOOKUP(9,$AJ$13:$AR$17,($E$12)+1)</f>
        <v>yes</v>
      </c>
      <c r="AS19" s="590"/>
      <c r="AT19" s="590"/>
      <c r="AU19" s="590"/>
      <c r="AV19" s="590"/>
      <c r="AW19" s="590"/>
      <c r="AX19" s="590"/>
      <c r="AY19" s="590"/>
      <c r="AZ19" s="590"/>
      <c r="BA19" s="590"/>
      <c r="BB19" s="590"/>
      <c r="BC19" s="590"/>
      <c r="BD19" s="590"/>
      <c r="BE19" s="590"/>
      <c r="BF19" s="590"/>
      <c r="BG19" s="590"/>
      <c r="BH19" s="590"/>
      <c r="BI19" s="590"/>
      <c r="BJ19" s="590"/>
      <c r="BK19" s="591"/>
      <c r="BL19" s="591"/>
      <c r="BM19" s="591"/>
      <c r="BN19" s="591"/>
      <c r="BO19" s="591"/>
      <c r="BP19" s="591"/>
      <c r="BQ19" s="591"/>
      <c r="BR19" s="591"/>
      <c r="BS19" s="591"/>
      <c r="BT19" s="591"/>
      <c r="BU19" s="591"/>
      <c r="BV19" s="591"/>
      <c r="BW19" s="591"/>
      <c r="BX19" s="591"/>
      <c r="BY19" s="591"/>
      <c r="BZ19" s="591"/>
      <c r="CA19" s="591"/>
      <c r="CB19" s="591"/>
      <c r="CC19" s="591"/>
      <c r="CD19" s="591"/>
      <c r="CE19" s="591"/>
      <c r="CF19" s="591"/>
    </row>
    <row r="20" spans="1:84">
      <c r="A20" s="590"/>
      <c r="B20" s="605" t="s">
        <v>358</v>
      </c>
      <c r="C20" s="597" t="s">
        <v>383</v>
      </c>
      <c r="D20" s="592"/>
      <c r="E20" s="616">
        <v>0.25</v>
      </c>
      <c r="F20" s="597" t="s">
        <v>384</v>
      </c>
      <c r="G20" s="592"/>
      <c r="H20" s="598"/>
      <c r="I20" s="597" t="s">
        <v>358</v>
      </c>
      <c r="J20" s="590"/>
      <c r="K20" s="617"/>
      <c r="L20" s="592"/>
      <c r="M20" s="592"/>
      <c r="N20" s="592"/>
      <c r="O20" s="592"/>
      <c r="P20" s="592"/>
      <c r="Q20" s="592"/>
      <c r="R20" s="592"/>
      <c r="S20" s="592"/>
      <c r="T20" s="592"/>
      <c r="U20" s="592"/>
      <c r="V20" s="600">
        <f>100*(+AD14/$E$9)</f>
        <v>2449.0408719434945</v>
      </c>
      <c r="W20" s="610">
        <f>EXP(5.6922-(0.68367*LN(V20)))</f>
        <v>1.4293419231909321</v>
      </c>
      <c r="X20" s="601">
        <f>(+W20*V20)/100</f>
        <v>35.005167898769116</v>
      </c>
      <c r="Y20" s="600">
        <f>100*((((X20/100)-((X20/100)-0.03574)*$E$21)-0.03574-0.00619)/0.344)</f>
        <v>58.504566317405867</v>
      </c>
      <c r="Z20" s="592">
        <f>$E$20</f>
        <v>0.25</v>
      </c>
      <c r="AA20" s="600">
        <f>Y20+Z20</f>
        <v>58.754566317405867</v>
      </c>
      <c r="AB20" s="600">
        <f>100*($E$17*$E$19+($E$18*(AA20/100))/(1-$E$21))</f>
        <v>54.641747212379634</v>
      </c>
      <c r="AC20" s="601">
        <f>AB20/V20</f>
        <v>2.2311488484476529E-2</v>
      </c>
      <c r="AD20" s="599">
        <f>$E$8/(1-AC20)</f>
        <v>24084.106954373863</v>
      </c>
      <c r="AE20" s="592" t="str">
        <f>IF(AD20=AD14,"yes","not yet")</f>
        <v>not yet</v>
      </c>
      <c r="AF20" s="600">
        <f>100*(1-AC20)</f>
        <v>97.768851151552354</v>
      </c>
      <c r="AG20" s="592"/>
      <c r="AH20" s="592"/>
      <c r="AI20" s="592">
        <v>1</v>
      </c>
      <c r="AJ20" s="600">
        <f>AF5</f>
        <v>97.973574370413388</v>
      </c>
      <c r="AK20" s="600">
        <f>AF11</f>
        <v>97.688707216244538</v>
      </c>
      <c r="AL20" s="600">
        <f>AF17</f>
        <v>97.693062647267212</v>
      </c>
      <c r="AM20" s="600">
        <f>AF23</f>
        <v>97.692996020084692</v>
      </c>
      <c r="AN20" s="600">
        <f>AF29</f>
        <v>97.69299703930534</v>
      </c>
      <c r="AO20" s="600">
        <f>AF35</f>
        <v>97.692997023713943</v>
      </c>
      <c r="AP20" s="600">
        <f>AF41</f>
        <v>97.693008980660906</v>
      </c>
      <c r="AQ20" s="600">
        <f>AF47</f>
        <v>97.693008980660906</v>
      </c>
      <c r="AR20" s="600">
        <f>AF53</f>
        <v>97.693008980660906</v>
      </c>
      <c r="AS20" s="590"/>
      <c r="AT20" s="590"/>
      <c r="AU20" s="590"/>
      <c r="AV20" s="590"/>
      <c r="AW20" s="590"/>
      <c r="AX20" s="590"/>
      <c r="AY20" s="590"/>
      <c r="AZ20" s="590"/>
      <c r="BA20" s="590"/>
      <c r="BB20" s="590"/>
      <c r="BC20" s="590"/>
      <c r="BD20" s="590"/>
      <c r="BE20" s="590"/>
      <c r="BF20" s="590"/>
      <c r="BG20" s="590"/>
      <c r="BH20" s="590"/>
      <c r="BI20" s="590"/>
      <c r="BJ20" s="590"/>
      <c r="BK20" s="591"/>
      <c r="BL20" s="591"/>
      <c r="BM20" s="591"/>
      <c r="BN20" s="591"/>
      <c r="BO20" s="591"/>
      <c r="BP20" s="591"/>
      <c r="BQ20" s="591"/>
      <c r="BR20" s="591"/>
      <c r="BS20" s="591"/>
      <c r="BT20" s="591"/>
      <c r="BU20" s="591"/>
      <c r="BV20" s="591"/>
      <c r="BW20" s="591"/>
      <c r="BX20" s="591"/>
      <c r="BY20" s="591"/>
      <c r="BZ20" s="591"/>
      <c r="CA20" s="591"/>
      <c r="CB20" s="591"/>
      <c r="CC20" s="591"/>
      <c r="CD20" s="591"/>
      <c r="CE20" s="591"/>
      <c r="CF20" s="591"/>
    </row>
    <row r="21" spans="1:84">
      <c r="A21" s="590"/>
      <c r="B21" s="605" t="s">
        <v>358</v>
      </c>
      <c r="C21" s="597" t="s">
        <v>385</v>
      </c>
      <c r="D21" s="592"/>
      <c r="E21" s="616">
        <v>0.34</v>
      </c>
      <c r="F21" s="597" t="s">
        <v>386</v>
      </c>
      <c r="G21" s="592"/>
      <c r="H21" s="614">
        <f>'LG - Packer,RO'!H21</f>
        <v>4.6855329951100907E-3</v>
      </c>
      <c r="I21" s="597" t="s">
        <v>358</v>
      </c>
      <c r="J21" s="590"/>
      <c r="K21" s="618"/>
      <c r="L21" s="592"/>
      <c r="M21" s="592"/>
      <c r="N21" s="592"/>
      <c r="O21" s="592"/>
      <c r="P21" s="592"/>
      <c r="Q21" s="592"/>
      <c r="R21" s="592"/>
      <c r="S21" s="592"/>
      <c r="T21" s="592"/>
      <c r="U21" s="592"/>
      <c r="V21" s="592"/>
      <c r="W21" s="592"/>
      <c r="X21" s="592"/>
      <c r="Y21" s="592"/>
      <c r="Z21" s="592"/>
      <c r="AA21" s="600"/>
      <c r="AB21" s="592"/>
      <c r="AC21" s="592"/>
      <c r="AD21" s="592"/>
      <c r="AE21" s="592"/>
      <c r="AF21" s="592"/>
      <c r="AG21" s="592"/>
      <c r="AH21" s="592"/>
      <c r="AI21" s="592">
        <v>2</v>
      </c>
      <c r="AJ21" s="600">
        <f>AF6</f>
        <v>98.005455021465465</v>
      </c>
      <c r="AK21" s="600">
        <f>AF12</f>
        <v>97.72484693689745</v>
      </c>
      <c r="AL21" s="600">
        <f>AF18</f>
        <v>97.729064966478802</v>
      </c>
      <c r="AM21" s="600">
        <f>AF24</f>
        <v>97.729001528737996</v>
      </c>
      <c r="AN21" s="600">
        <f>AF30</f>
        <v>97.72900248281266</v>
      </c>
      <c r="AO21" s="600">
        <f>AF36</f>
        <v>97.729002468463804</v>
      </c>
      <c r="AP21" s="600">
        <f>AF42</f>
        <v>97.729006911468147</v>
      </c>
      <c r="AQ21" s="600">
        <f>AF48</f>
        <v>97.729006911468147</v>
      </c>
      <c r="AR21" s="600">
        <f>AF54</f>
        <v>97.729006911468147</v>
      </c>
      <c r="AS21" s="590"/>
      <c r="AT21" s="590"/>
      <c r="AU21" s="590"/>
      <c r="AV21" s="590"/>
      <c r="AW21" s="590"/>
      <c r="AX21" s="590"/>
      <c r="AY21" s="590"/>
      <c r="AZ21" s="590"/>
      <c r="BA21" s="590"/>
      <c r="BB21" s="590"/>
      <c r="BC21" s="590"/>
      <c r="BD21" s="590"/>
      <c r="BE21" s="590"/>
      <c r="BF21" s="590"/>
      <c r="BG21" s="590"/>
      <c r="BH21" s="590"/>
      <c r="BI21" s="590"/>
      <c r="BJ21" s="590"/>
      <c r="BK21" s="591"/>
      <c r="BL21" s="591"/>
      <c r="BM21" s="591"/>
      <c r="BN21" s="591"/>
      <c r="BO21" s="591"/>
      <c r="BP21" s="591"/>
      <c r="BQ21" s="591"/>
      <c r="BR21" s="591"/>
      <c r="BS21" s="591"/>
      <c r="BT21" s="591"/>
      <c r="BU21" s="591"/>
      <c r="BV21" s="591"/>
      <c r="BW21" s="591"/>
      <c r="BX21" s="591"/>
      <c r="BY21" s="591"/>
      <c r="BZ21" s="591"/>
      <c r="CA21" s="591"/>
      <c r="CB21" s="591"/>
      <c r="CC21" s="591"/>
      <c r="CD21" s="591"/>
      <c r="CE21" s="591"/>
      <c r="CF21" s="591"/>
    </row>
    <row r="22" spans="1:84">
      <c r="A22" s="590"/>
      <c r="B22" s="594"/>
      <c r="C22" s="592"/>
      <c r="D22" s="592"/>
      <c r="E22" s="592"/>
      <c r="F22" s="592"/>
      <c r="G22" s="592"/>
      <c r="H22" s="612"/>
      <c r="I22" s="612"/>
      <c r="J22" s="594"/>
      <c r="K22" s="592"/>
      <c r="L22" s="592"/>
      <c r="M22" s="592"/>
      <c r="N22" s="592"/>
      <c r="O22" s="592"/>
      <c r="P22" s="592"/>
      <c r="Q22" s="592"/>
      <c r="R22" s="592"/>
      <c r="S22" s="592"/>
      <c r="T22" s="592"/>
      <c r="U22" s="592"/>
      <c r="V22" s="597" t="s">
        <v>387</v>
      </c>
      <c r="W22" s="609" t="s">
        <v>331</v>
      </c>
      <c r="X22" s="609" t="s">
        <v>341</v>
      </c>
      <c r="Y22" s="609" t="s">
        <v>342</v>
      </c>
      <c r="Z22" s="592"/>
      <c r="AA22" s="600"/>
      <c r="AB22" s="592"/>
      <c r="AC22" s="592"/>
      <c r="AD22" s="592"/>
      <c r="AE22" s="592"/>
      <c r="AF22" s="592"/>
      <c r="AG22" s="592"/>
      <c r="AH22" s="592"/>
      <c r="AI22" s="592">
        <v>3</v>
      </c>
      <c r="AJ22" s="600">
        <f>AF7</f>
        <v>98.026930374797175</v>
      </c>
      <c r="AK22" s="600">
        <f>AF13</f>
        <v>97.749200488616168</v>
      </c>
      <c r="AL22" s="600">
        <f>AF19</f>
        <v>97.753327071022028</v>
      </c>
      <c r="AM22" s="600">
        <f>AF25</f>
        <v>97.753265725182587</v>
      </c>
      <c r="AN22" s="600">
        <f>AF31</f>
        <v>97.753266637143724</v>
      </c>
      <c r="AO22" s="600">
        <f>AF37</f>
        <v>97.753266623586597</v>
      </c>
      <c r="AP22" s="600">
        <f>AF43</f>
        <v>97.753269844378238</v>
      </c>
      <c r="AQ22" s="600">
        <f>AF49</f>
        <v>97.753269844378238</v>
      </c>
      <c r="AR22" s="600">
        <f>AF55</f>
        <v>97.753269844378238</v>
      </c>
      <c r="AS22" s="590"/>
      <c r="AT22" s="590"/>
      <c r="AU22" s="590"/>
      <c r="AV22" s="590"/>
      <c r="AW22" s="590"/>
      <c r="AX22" s="590"/>
      <c r="AY22" s="590"/>
      <c r="AZ22" s="590"/>
      <c r="BA22" s="590"/>
      <c r="BB22" s="590"/>
      <c r="BC22" s="590"/>
      <c r="BD22" s="590"/>
      <c r="BE22" s="590"/>
      <c r="BF22" s="590"/>
      <c r="BG22" s="590"/>
      <c r="BH22" s="590"/>
      <c r="BI22" s="590"/>
      <c r="BJ22" s="590"/>
      <c r="BK22" s="591"/>
      <c r="BL22" s="591"/>
      <c r="BM22" s="591"/>
      <c r="BN22" s="591"/>
      <c r="BO22" s="591"/>
      <c r="BP22" s="591"/>
      <c r="BQ22" s="591"/>
      <c r="BR22" s="591"/>
      <c r="BS22" s="591"/>
      <c r="BT22" s="591"/>
      <c r="BU22" s="591"/>
      <c r="BV22" s="591"/>
      <c r="BW22" s="591"/>
      <c r="BX22" s="591"/>
      <c r="BY22" s="591"/>
      <c r="BZ22" s="591"/>
      <c r="CA22" s="591"/>
      <c r="CB22" s="591"/>
      <c r="CC22" s="591"/>
      <c r="CD22" s="591"/>
      <c r="CE22" s="591"/>
      <c r="CF22" s="591"/>
    </row>
    <row r="23" spans="1:84">
      <c r="A23" s="590"/>
      <c r="B23" s="594"/>
      <c r="C23" s="592"/>
      <c r="D23" s="592"/>
      <c r="E23" s="592"/>
      <c r="F23" s="597" t="s">
        <v>388</v>
      </c>
      <c r="G23" s="592"/>
      <c r="H23" s="598">
        <f>SUM(H18:H21)</f>
        <v>2.4785532995110091E-2</v>
      </c>
      <c r="I23" s="598"/>
      <c r="J23" s="594"/>
      <c r="K23" s="619"/>
      <c r="L23" s="592"/>
      <c r="M23" s="592"/>
      <c r="N23" s="595"/>
      <c r="O23" s="592"/>
      <c r="P23" s="595"/>
      <c r="Q23" s="592"/>
      <c r="R23" s="592"/>
      <c r="S23" s="592"/>
      <c r="T23" s="592"/>
      <c r="U23" s="592"/>
      <c r="V23" s="600">
        <f>100*(+AD17/$E$9)</f>
        <v>2450.8387998475391</v>
      </c>
      <c r="W23" s="610">
        <f>EXP(5.7226-(0.68367*LN(+V23)))</f>
        <v>1.4727220490425756</v>
      </c>
      <c r="X23" s="601">
        <f>(+W23*V23)/100</f>
        <v>36.094043391845148</v>
      </c>
      <c r="Y23" s="600">
        <f>100*((((X23/100)-((X23/100)-0.03574)*$E$21)-0.03574-0.00619)/0.344)</f>
        <v>60.593687902958727</v>
      </c>
      <c r="Z23" s="592">
        <f>$E$20</f>
        <v>0.25</v>
      </c>
      <c r="AA23" s="600">
        <f>Y23+Z23</f>
        <v>60.843687902958727</v>
      </c>
      <c r="AB23" s="600">
        <f>100*($E$17*$E$19+($E$18*(AA23/100))/(1-$E$21))</f>
        <v>56.540948653791332</v>
      </c>
      <c r="AC23" s="601">
        <f>AB23/V23</f>
        <v>2.3070039799153095E-2</v>
      </c>
      <c r="AD23" s="599">
        <f>$E$8/(1-AC23)</f>
        <v>24102.807405519099</v>
      </c>
      <c r="AE23" s="592" t="str">
        <f>IF(AD23=AD17,"yes","not yet")</f>
        <v>not yet</v>
      </c>
      <c r="AF23" s="600">
        <f>100*(1-AC23)</f>
        <v>97.692996020084692</v>
      </c>
      <c r="AG23" s="592"/>
      <c r="AH23" s="592"/>
      <c r="AI23" s="592">
        <v>4</v>
      </c>
      <c r="AJ23" s="600">
        <f>AF8</f>
        <v>98.040667496266423</v>
      </c>
      <c r="AK23" s="600">
        <f>AF14</f>
        <v>97.764782595013827</v>
      </c>
      <c r="AL23" s="600">
        <f>AF20</f>
        <v>97.768851151552354</v>
      </c>
      <c r="AM23" s="600">
        <f>AF26</f>
        <v>97.768791120188865</v>
      </c>
      <c r="AN23" s="600">
        <f>AF32</f>
        <v>97.768792005942061</v>
      </c>
      <c r="AO23" s="600">
        <f>AF38</f>
        <v>97.76879199287292</v>
      </c>
      <c r="AP23" s="600">
        <f>AF44</f>
        <v>97.768784713928909</v>
      </c>
      <c r="AQ23" s="600">
        <f>AF50</f>
        <v>97.768784713928909</v>
      </c>
      <c r="AR23" s="600">
        <f>AF56</f>
        <v>97.768784713928909</v>
      </c>
      <c r="AS23" s="590"/>
      <c r="AT23" s="590"/>
      <c r="AU23" s="590"/>
      <c r="AV23" s="590"/>
      <c r="AW23" s="590"/>
      <c r="AX23" s="590"/>
      <c r="AY23" s="590"/>
      <c r="AZ23" s="590"/>
      <c r="BA23" s="590"/>
      <c r="BB23" s="590"/>
      <c r="BC23" s="590"/>
      <c r="BD23" s="590"/>
      <c r="BE23" s="590"/>
      <c r="BF23" s="590"/>
      <c r="BG23" s="590"/>
      <c r="BH23" s="590"/>
      <c r="BI23" s="590"/>
      <c r="BJ23" s="590"/>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row>
    <row r="24" spans="1:84">
      <c r="A24" s="590"/>
      <c r="B24" s="594"/>
      <c r="C24" s="592"/>
      <c r="D24" s="592"/>
      <c r="E24" s="592"/>
      <c r="F24" s="592"/>
      <c r="G24" s="592"/>
      <c r="H24" s="592"/>
      <c r="I24" s="592"/>
      <c r="J24" s="594"/>
      <c r="K24" s="592"/>
      <c r="L24" s="592"/>
      <c r="M24" s="592"/>
      <c r="N24" s="592"/>
      <c r="O24" s="592"/>
      <c r="P24" s="592"/>
      <c r="Q24" s="592"/>
      <c r="R24" s="592"/>
      <c r="S24" s="592"/>
      <c r="T24" s="592"/>
      <c r="U24" s="592"/>
      <c r="V24" s="600">
        <f>100*(+AD18/$E$9)</f>
        <v>2449.9359376249395</v>
      </c>
      <c r="W24" s="610">
        <f>EXP(5.70827-(0.68367*LN(+V24)))</f>
        <v>1.4521341841275752</v>
      </c>
      <c r="X24" s="601">
        <f>(+W24*V24)/100</f>
        <v>35.576357239478178</v>
      </c>
      <c r="Y24" s="600">
        <f>100*((((X24/100)-((X24/100)-0.03574)*$E$21)-0.03574-0.00619)/0.344)</f>
        <v>59.600452843184883</v>
      </c>
      <c r="Z24" s="592">
        <f>$E$20</f>
        <v>0.25</v>
      </c>
      <c r="AA24" s="600">
        <f>Y24+Z24</f>
        <v>59.850452843184883</v>
      </c>
      <c r="AB24" s="600">
        <f>100*($E$17*$E$19+($E$18*(AA24/100))/(1-$E$21))</f>
        <v>55.63800769036056</v>
      </c>
      <c r="AC24" s="601">
        <f>AB24/V24</f>
        <v>2.2709984712619934E-2</v>
      </c>
      <c r="AD24" s="599">
        <f>$E$8/(1-AC24)</f>
        <v>24093.927402377416</v>
      </c>
      <c r="AE24" s="592" t="str">
        <f>IF(AD24=AD18,"yes","not yet")</f>
        <v>not yet</v>
      </c>
      <c r="AF24" s="600">
        <f>100*(1-AC24)</f>
        <v>97.729001528737996</v>
      </c>
      <c r="AG24" s="592"/>
      <c r="AH24" s="592"/>
      <c r="AI24" s="592"/>
      <c r="AJ24" s="592"/>
      <c r="AK24" s="592"/>
      <c r="AL24" s="592"/>
      <c r="AM24" s="592"/>
      <c r="AN24" s="592"/>
      <c r="AO24" s="592"/>
      <c r="AP24" s="592"/>
      <c r="AQ24" s="592"/>
      <c r="AR24" s="592"/>
      <c r="AS24" s="590"/>
      <c r="AT24" s="590"/>
      <c r="AU24" s="590"/>
      <c r="AV24" s="590"/>
      <c r="AW24" s="590"/>
      <c r="AX24" s="590"/>
      <c r="AY24" s="590"/>
      <c r="AZ24" s="590"/>
      <c r="BA24" s="590"/>
      <c r="BB24" s="590"/>
      <c r="BC24" s="590"/>
      <c r="BD24" s="590"/>
      <c r="BE24" s="590"/>
      <c r="BF24" s="590"/>
      <c r="BG24" s="590"/>
      <c r="BH24" s="590"/>
      <c r="BI24" s="590"/>
      <c r="BJ24" s="590"/>
      <c r="BK24" s="591"/>
      <c r="BL24" s="591"/>
      <c r="BM24" s="591"/>
      <c r="BN24" s="591"/>
      <c r="BO24" s="591"/>
      <c r="BP24" s="591"/>
      <c r="BQ24" s="591"/>
      <c r="BR24" s="591"/>
      <c r="BS24" s="591"/>
      <c r="BT24" s="591"/>
      <c r="BU24" s="591"/>
      <c r="BV24" s="591"/>
      <c r="BW24" s="591"/>
      <c r="BX24" s="591"/>
      <c r="BY24" s="591"/>
      <c r="BZ24" s="591"/>
      <c r="CA24" s="591"/>
      <c r="CB24" s="591"/>
      <c r="CC24" s="591"/>
      <c r="CD24" s="591"/>
      <c r="CE24" s="591"/>
      <c r="CF24" s="591"/>
    </row>
    <row r="25" spans="1:84">
      <c r="A25" s="590"/>
      <c r="B25" s="594"/>
      <c r="C25" s="592"/>
      <c r="D25" s="592"/>
      <c r="E25" s="592"/>
      <c r="F25" s="597" t="s">
        <v>389</v>
      </c>
      <c r="G25" s="592"/>
      <c r="H25" s="601">
        <f>((+H15/100)-H23)</f>
        <v>0.95290231414417903</v>
      </c>
      <c r="I25" s="601"/>
      <c r="J25" s="594"/>
      <c r="K25" s="592"/>
      <c r="L25" s="595"/>
      <c r="M25" s="592"/>
      <c r="N25" s="592"/>
      <c r="O25" s="592"/>
      <c r="P25" s="592"/>
      <c r="Q25" s="592"/>
      <c r="R25" s="592"/>
      <c r="S25" s="592"/>
      <c r="T25" s="592"/>
      <c r="U25" s="592"/>
      <c r="V25" s="600">
        <f>100*(+AD19/$E$9)</f>
        <v>2449.327870323049</v>
      </c>
      <c r="W25" s="610">
        <f>EXP(5.6985-(0.68367*LN(V25)))</f>
        <v>1.4382599739253585</v>
      </c>
      <c r="X25" s="601">
        <f>(+W25*V25)/100</f>
        <v>35.227702389054826</v>
      </c>
      <c r="Y25" s="600">
        <f>100*((((X25/100)-((X25/100)-0.03574)*$E$21)-0.03574-0.00619)/0.344)</f>
        <v>58.931522025512173</v>
      </c>
      <c r="Z25" s="592">
        <f>$E$20</f>
        <v>0.25</v>
      </c>
      <c r="AA25" s="600">
        <f>Y25+Z25</f>
        <v>59.181522025512173</v>
      </c>
      <c r="AB25" s="600">
        <f>100*($E$17*$E$19+($E$18*(AA25/100))/(1-$E$21))</f>
        <v>55.029888765203538</v>
      </c>
      <c r="AC25" s="601">
        <f>AB25/V25</f>
        <v>2.2467342748174211E-2</v>
      </c>
      <c r="AD25" s="599">
        <f>$E$8/(1-AC25)</f>
        <v>24087.946837091175</v>
      </c>
      <c r="AE25" s="592" t="str">
        <f>IF(AD25=AD19,"yes","not yet")</f>
        <v>not yet</v>
      </c>
      <c r="AF25" s="600">
        <f>100*(1-AC25)</f>
        <v>97.753265725182587</v>
      </c>
      <c r="AG25" s="592"/>
      <c r="AH25" s="592"/>
      <c r="AI25" s="592"/>
      <c r="AJ25" s="592" t="s">
        <v>390</v>
      </c>
      <c r="AK25" s="592"/>
      <c r="AL25" s="592"/>
      <c r="AM25" s="592"/>
      <c r="AN25" s="592"/>
      <c r="AO25" s="592"/>
      <c r="AP25" s="592"/>
      <c r="AQ25" s="592"/>
      <c r="AR25" s="592"/>
      <c r="AS25" s="590"/>
      <c r="AT25" s="590"/>
      <c r="AU25" s="590"/>
      <c r="AV25" s="590"/>
      <c r="AW25" s="590"/>
      <c r="AX25" s="590"/>
      <c r="AY25" s="590"/>
      <c r="AZ25" s="590"/>
      <c r="BA25" s="590"/>
      <c r="BB25" s="590"/>
      <c r="BC25" s="590"/>
      <c r="BD25" s="590"/>
      <c r="BE25" s="590"/>
      <c r="BF25" s="590"/>
      <c r="BG25" s="590"/>
      <c r="BH25" s="590"/>
      <c r="BI25" s="590"/>
      <c r="BJ25" s="590"/>
      <c r="BK25" s="591"/>
      <c r="BL25" s="591"/>
      <c r="BM25" s="591"/>
      <c r="BN25" s="591"/>
      <c r="BO25" s="591"/>
      <c r="BP25" s="591"/>
      <c r="BQ25" s="591"/>
      <c r="BR25" s="591"/>
      <c r="BS25" s="591"/>
      <c r="BT25" s="591"/>
      <c r="BU25" s="591"/>
      <c r="BV25" s="591"/>
      <c r="BW25" s="591"/>
      <c r="BX25" s="591"/>
      <c r="BY25" s="591"/>
      <c r="BZ25" s="591"/>
      <c r="CA25" s="591"/>
      <c r="CB25" s="591"/>
      <c r="CC25" s="591"/>
      <c r="CD25" s="591"/>
      <c r="CE25" s="591"/>
      <c r="CF25" s="591"/>
    </row>
    <row r="26" spans="1:84">
      <c r="A26" s="590"/>
      <c r="B26" s="594"/>
      <c r="C26" s="592"/>
      <c r="D26" s="592"/>
      <c r="E26" s="592"/>
      <c r="F26" s="592"/>
      <c r="G26" s="592"/>
      <c r="H26" s="592"/>
      <c r="I26" s="592"/>
      <c r="J26" s="594"/>
      <c r="K26" s="592"/>
      <c r="L26" s="592"/>
      <c r="M26" s="592"/>
      <c r="N26" s="592"/>
      <c r="O26" s="592"/>
      <c r="P26" s="592"/>
      <c r="Q26" s="592"/>
      <c r="R26" s="592"/>
      <c r="S26" s="592"/>
      <c r="T26" s="592"/>
      <c r="U26" s="592"/>
      <c r="V26" s="600">
        <f>100*(+AD20/$E$9)</f>
        <v>2448.9389574673064</v>
      </c>
      <c r="W26" s="610">
        <f>EXP(5.6922-(0.68367*LN(V26)))</f>
        <v>1.4293825897768089</v>
      </c>
      <c r="X26" s="601">
        <f>(+W26*V26)/100</f>
        <v>35.00470709229937</v>
      </c>
      <c r="Y26" s="600">
        <f>100*((((X26/100)-((X26/100)-0.03574)*$E$21)-0.03574-0.00619)/0.344)</f>
        <v>58.503682211969718</v>
      </c>
      <c r="Z26" s="592">
        <f>$E$20</f>
        <v>0.25</v>
      </c>
      <c r="AA26" s="600">
        <f>Y26+Z26</f>
        <v>58.753682211969718</v>
      </c>
      <c r="AB26" s="600">
        <f>100*($E$17*$E$19+($E$18*(AA26/100))/(1-$E$21))</f>
        <v>54.64094348016495</v>
      </c>
      <c r="AC26" s="601">
        <f>AB26/V26</f>
        <v>2.2312088798111421E-2</v>
      </c>
      <c r="AD26" s="599">
        <f>$E$8/(1-AC26)</f>
        <v>24084.121742342111</v>
      </c>
      <c r="AE26" s="592" t="str">
        <f>IF(AD26=AD20,"yes","not yet")</f>
        <v>not yet</v>
      </c>
      <c r="AF26" s="600">
        <f>100*(1-AC26)</f>
        <v>97.768791120188865</v>
      </c>
      <c r="AG26" s="592"/>
      <c r="AH26" s="592"/>
      <c r="AI26" s="592"/>
      <c r="AJ26" s="600">
        <f>HLOOKUP($AJ$25,$AJ$19:$AR$23,($E$12)+1)</f>
        <v>97.768784713928909</v>
      </c>
      <c r="AK26" s="592"/>
      <c r="AL26" s="592"/>
      <c r="AM26" s="592"/>
      <c r="AN26" s="592"/>
      <c r="AO26" s="592"/>
      <c r="AP26" s="592"/>
      <c r="AQ26" s="592"/>
      <c r="AR26" s="592"/>
      <c r="AS26" s="590"/>
      <c r="AT26" s="590"/>
      <c r="AU26" s="590"/>
      <c r="AV26" s="590"/>
      <c r="AW26" s="590"/>
      <c r="AX26" s="590"/>
      <c r="AY26" s="590"/>
      <c r="AZ26" s="590"/>
      <c r="BA26" s="590"/>
      <c r="BB26" s="590"/>
      <c r="BC26" s="590"/>
      <c r="BD26" s="590"/>
      <c r="BE26" s="590"/>
      <c r="BF26" s="590"/>
      <c r="BG26" s="590"/>
      <c r="BH26" s="590"/>
      <c r="BI26" s="590"/>
      <c r="BJ26" s="590"/>
      <c r="BK26" s="591"/>
      <c r="BL26" s="591"/>
      <c r="BM26" s="591"/>
      <c r="BN26" s="591"/>
      <c r="BO26" s="591"/>
      <c r="BP26" s="591"/>
      <c r="BQ26" s="591"/>
      <c r="BR26" s="591"/>
      <c r="BS26" s="591"/>
      <c r="BT26" s="591"/>
      <c r="BU26" s="591"/>
      <c r="BV26" s="591"/>
      <c r="BW26" s="591"/>
      <c r="BX26" s="591"/>
      <c r="BY26" s="591"/>
      <c r="BZ26" s="591"/>
      <c r="CA26" s="591"/>
      <c r="CB26" s="591"/>
      <c r="CC26" s="591"/>
      <c r="CD26" s="591"/>
      <c r="CE26" s="591"/>
      <c r="CF26" s="591"/>
    </row>
    <row r="27" spans="1:84" ht="30" customHeight="1">
      <c r="A27" s="590"/>
      <c r="B27" s="1662" t="s">
        <v>2113</v>
      </c>
      <c r="C27" s="1662"/>
      <c r="D27" s="1662"/>
      <c r="E27" s="1662"/>
      <c r="F27" s="1662"/>
      <c r="G27" s="1662"/>
      <c r="H27" s="1662"/>
      <c r="I27" s="592"/>
      <c r="J27" s="594"/>
      <c r="K27" s="592"/>
      <c r="L27" s="592"/>
      <c r="M27" s="592"/>
      <c r="N27" s="592"/>
      <c r="O27" s="592"/>
      <c r="P27" s="592"/>
      <c r="Q27" s="592"/>
      <c r="R27" s="592"/>
      <c r="S27" s="592"/>
      <c r="T27" s="592"/>
      <c r="U27" s="592"/>
      <c r="V27" s="592"/>
      <c r="W27" s="592"/>
      <c r="X27" s="592"/>
      <c r="Y27" s="592"/>
      <c r="Z27" s="592"/>
      <c r="AA27" s="600"/>
      <c r="AB27" s="592"/>
      <c r="AC27" s="592"/>
      <c r="AD27" s="592"/>
      <c r="AE27" s="592"/>
      <c r="AF27" s="592"/>
      <c r="AG27" s="592"/>
      <c r="AH27" s="592"/>
      <c r="AI27" s="592"/>
      <c r="AJ27" s="592"/>
      <c r="AK27" s="592"/>
      <c r="AL27" s="592"/>
      <c r="AM27" s="592"/>
      <c r="AN27" s="592"/>
      <c r="AO27" s="592"/>
      <c r="AP27" s="592"/>
      <c r="AQ27" s="592"/>
      <c r="AR27" s="592"/>
      <c r="AS27" s="590"/>
      <c r="AT27" s="590"/>
      <c r="AU27" s="590"/>
      <c r="AV27" s="590"/>
      <c r="AW27" s="590"/>
      <c r="AX27" s="590"/>
      <c r="AY27" s="590"/>
      <c r="AZ27" s="590"/>
      <c r="BA27" s="590"/>
      <c r="BB27" s="590"/>
      <c r="BC27" s="590"/>
      <c r="BD27" s="590"/>
      <c r="BE27" s="590"/>
      <c r="BF27" s="590"/>
      <c r="BG27" s="590"/>
      <c r="BH27" s="590"/>
      <c r="BI27" s="590"/>
      <c r="BJ27" s="590"/>
      <c r="BK27" s="591"/>
      <c r="BL27" s="591"/>
      <c r="BM27" s="591"/>
      <c r="BN27" s="591"/>
      <c r="BO27" s="591"/>
      <c r="BP27" s="591"/>
      <c r="BQ27" s="591"/>
      <c r="BR27" s="591"/>
      <c r="BS27" s="591"/>
      <c r="BT27" s="591"/>
      <c r="BU27" s="591"/>
      <c r="BV27" s="591"/>
      <c r="BW27" s="591"/>
      <c r="BX27" s="591"/>
      <c r="BY27" s="591"/>
      <c r="BZ27" s="591"/>
      <c r="CA27" s="591"/>
      <c r="CB27" s="591"/>
      <c r="CC27" s="591"/>
      <c r="CD27" s="591"/>
      <c r="CE27" s="591"/>
      <c r="CF27" s="591"/>
    </row>
    <row r="28" spans="1:84">
      <c r="A28" s="590"/>
      <c r="B28" s="594"/>
      <c r="C28" s="622"/>
      <c r="D28" s="623"/>
      <c r="E28" s="606"/>
      <c r="F28" s="624"/>
      <c r="G28" s="625"/>
      <c r="H28" s="622"/>
      <c r="I28" s="622"/>
      <c r="J28" s="592"/>
      <c r="K28" s="592"/>
      <c r="L28" s="592"/>
      <c r="M28" s="592"/>
      <c r="N28" s="592"/>
      <c r="O28" s="592"/>
      <c r="P28" s="592"/>
      <c r="Q28" s="592"/>
      <c r="R28" s="592"/>
      <c r="S28" s="592"/>
      <c r="T28" s="592"/>
      <c r="U28" s="592"/>
      <c r="V28" s="597" t="s">
        <v>391</v>
      </c>
      <c r="W28" s="609" t="s">
        <v>331</v>
      </c>
      <c r="X28" s="609" t="s">
        <v>341</v>
      </c>
      <c r="Y28" s="609" t="s">
        <v>342</v>
      </c>
      <c r="Z28" s="592"/>
      <c r="AA28" s="600"/>
      <c r="AB28" s="592"/>
      <c r="AC28" s="592"/>
      <c r="AD28" s="592"/>
      <c r="AE28" s="592"/>
      <c r="AF28" s="592"/>
      <c r="AG28" s="592"/>
      <c r="AH28" s="592"/>
      <c r="AI28" s="592"/>
      <c r="AJ28" s="592" t="str">
        <f>HLOOKUP(1,$AJ$13:$AR$17,($E$12)+1)</f>
        <v>not yet</v>
      </c>
      <c r="AK28" s="592" t="str">
        <f>HLOOKUP(2,$AJ$13:$AR$17,($E$12)+1)</f>
        <v>not yet</v>
      </c>
      <c r="AL28" s="592" t="str">
        <f>HLOOKUP(3,$AJ$13:$AR$17,($E$12)+1)</f>
        <v>not yet</v>
      </c>
      <c r="AM28" s="592" t="str">
        <f>HLOOKUP(4,$AJ$13:$AR$17,($E$12)+1)</f>
        <v>not yet</v>
      </c>
      <c r="AN28" s="592" t="str">
        <f>HLOOKUP(5,$AJ$13:$AR$17,($E$12)+1)</f>
        <v>not yet</v>
      </c>
      <c r="AO28" s="592" t="str">
        <f>HLOOKUP(6,$AJ$13:$AR$17,($E$12)+1)</f>
        <v>not yet</v>
      </c>
      <c r="AP28" s="592" t="str">
        <f>HLOOKUP(7,$AJ$13:$AR$17,($E$12)+1)</f>
        <v>yes</v>
      </c>
      <c r="AQ28" s="592" t="str">
        <f>HLOOKUP(8,$AJ$13:$AR$17,($E$12)+1)</f>
        <v>yes</v>
      </c>
      <c r="AR28" s="592" t="str">
        <f>HLOOKUP(9,$AJ$13:$AR$17,($E$12)+1)</f>
        <v>yes</v>
      </c>
      <c r="AS28" s="590"/>
      <c r="AT28" s="590"/>
      <c r="AU28" s="590"/>
      <c r="AV28" s="590"/>
      <c r="AW28" s="590"/>
      <c r="AX28" s="590"/>
      <c r="AY28" s="590"/>
      <c r="AZ28" s="590"/>
      <c r="BA28" s="590"/>
      <c r="BB28" s="590"/>
      <c r="BC28" s="590"/>
      <c r="BD28" s="590"/>
      <c r="BE28" s="590"/>
      <c r="BF28" s="590"/>
      <c r="BG28" s="590"/>
      <c r="BH28" s="590"/>
      <c r="BI28" s="590"/>
      <c r="BJ28" s="590"/>
      <c r="BK28" s="591"/>
      <c r="BL28" s="591"/>
      <c r="BM28" s="591"/>
      <c r="BN28" s="591"/>
      <c r="BO28" s="591"/>
      <c r="BP28" s="591"/>
      <c r="BQ28" s="591"/>
      <c r="BR28" s="591"/>
      <c r="BS28" s="591"/>
      <c r="BT28" s="591"/>
      <c r="BU28" s="591"/>
      <c r="BV28" s="591"/>
      <c r="BW28" s="591"/>
      <c r="BX28" s="591"/>
      <c r="BY28" s="591"/>
      <c r="BZ28" s="591"/>
      <c r="CA28" s="591"/>
      <c r="CB28" s="591"/>
      <c r="CC28" s="591"/>
      <c r="CD28" s="591"/>
      <c r="CE28" s="591"/>
      <c r="CF28" s="591"/>
    </row>
    <row r="29" spans="1:84">
      <c r="A29" s="590"/>
      <c r="B29" s="592"/>
      <c r="C29" s="629"/>
      <c r="D29" s="628"/>
      <c r="E29" s="611"/>
      <c r="F29" s="626"/>
      <c r="G29" s="627"/>
      <c r="H29" s="592"/>
      <c r="I29" s="596"/>
      <c r="J29" s="592"/>
      <c r="K29" s="592"/>
      <c r="L29" s="592"/>
      <c r="M29" s="592"/>
      <c r="N29" s="592"/>
      <c r="O29" s="592"/>
      <c r="P29" s="592"/>
      <c r="Q29" s="592"/>
      <c r="R29" s="592"/>
      <c r="S29" s="592"/>
      <c r="T29" s="592"/>
      <c r="U29" s="592"/>
      <c r="V29" s="600">
        <f>100*(+AD23/$E$9)</f>
        <v>2450.8404713336308</v>
      </c>
      <c r="W29" s="610">
        <f>EXP(5.7226-(0.68367*LN(+V29)))</f>
        <v>1.4727213623614939</v>
      </c>
      <c r="X29" s="601">
        <f>(+W29*V29)/100</f>
        <v>36.094051178731505</v>
      </c>
      <c r="Y29" s="600">
        <f>100*((((X29/100)-((X29/100)-0.03574)*$E$21)-0.03574-0.00619)/0.344)</f>
        <v>60.5937028429151</v>
      </c>
      <c r="Z29" s="592">
        <f>$E$20</f>
        <v>0.25</v>
      </c>
      <c r="AA29" s="600">
        <f>Y29+Z29</f>
        <v>60.8437028429151</v>
      </c>
      <c r="AB29" s="600">
        <f>100*($E$17*$E$19+($E$18*(AA29/100))/(1-$E$21))</f>
        <v>56.54096223556985</v>
      </c>
      <c r="AC29" s="601">
        <f>AB29/V29</f>
        <v>2.307002960694661E-2</v>
      </c>
      <c r="AD29" s="599">
        <f>$E$8/(1-AC29)</f>
        <v>24102.807154057071</v>
      </c>
      <c r="AE29" s="592" t="str">
        <f>IF(AD29=AD23,"yes","not yet")</f>
        <v>not yet</v>
      </c>
      <c r="AF29" s="600">
        <f>100*(1-AC29)</f>
        <v>97.69299703930534</v>
      </c>
      <c r="AG29" s="592"/>
      <c r="AH29" s="592"/>
      <c r="AI29" s="592">
        <v>1</v>
      </c>
      <c r="AJ29" s="600">
        <f>V5</f>
        <v>2992.8743551482357</v>
      </c>
      <c r="AK29" s="600">
        <f>V11</f>
        <v>2443.8217136657136</v>
      </c>
      <c r="AL29" s="600">
        <f>V17</f>
        <v>2450.9480699939522</v>
      </c>
      <c r="AM29" s="600">
        <f>V23</f>
        <v>2450.8387998475391</v>
      </c>
      <c r="AN29" s="600">
        <f>V29</f>
        <v>2450.8404713336308</v>
      </c>
      <c r="AO29" s="600">
        <f>V35</f>
        <v>2450.8404457642728</v>
      </c>
      <c r="AP29" s="600">
        <f>V41</f>
        <v>2450.8600548759296</v>
      </c>
      <c r="AQ29" s="600">
        <f>V47</f>
        <v>2450.8600548759296</v>
      </c>
      <c r="AR29" s="600">
        <f>V53</f>
        <v>2450.8600548759296</v>
      </c>
      <c r="AS29" s="590"/>
      <c r="AT29" s="590"/>
      <c r="AU29" s="590"/>
      <c r="AV29" s="590"/>
      <c r="AW29" s="590"/>
      <c r="AX29" s="590"/>
      <c r="AY29" s="590"/>
      <c r="AZ29" s="590"/>
      <c r="BA29" s="590"/>
      <c r="BB29" s="590"/>
      <c r="BC29" s="590"/>
      <c r="BD29" s="590"/>
      <c r="BE29" s="590"/>
      <c r="BF29" s="590"/>
      <c r="BG29" s="590"/>
      <c r="BH29" s="590"/>
      <c r="BI29" s="590"/>
      <c r="BJ29" s="590"/>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row>
    <row r="30" spans="1:84">
      <c r="A30" s="590"/>
      <c r="B30" s="592"/>
      <c r="C30" s="629"/>
      <c r="D30" s="628"/>
      <c r="E30" s="668"/>
      <c r="F30" s="626"/>
      <c r="G30" s="627"/>
      <c r="H30" s="592"/>
      <c r="I30" s="596"/>
      <c r="J30" s="592"/>
      <c r="K30" s="592"/>
      <c r="L30" s="592"/>
      <c r="M30" s="592"/>
      <c r="N30" s="592"/>
      <c r="O30" s="592"/>
      <c r="P30" s="592"/>
      <c r="Q30" s="592"/>
      <c r="R30" s="592"/>
      <c r="S30" s="592"/>
      <c r="T30" s="592"/>
      <c r="U30" s="592"/>
      <c r="V30" s="600">
        <f>100*(+AD24/$E$9)</f>
        <v>2449.937527924631</v>
      </c>
      <c r="W30" s="610">
        <f>EXP(5.70827-(0.68367*LN(+V30)))</f>
        <v>1.4521335396953017</v>
      </c>
      <c r="X30" s="601">
        <f>(+W30*V30)/100</f>
        <v>35.576364544575512</v>
      </c>
      <c r="Y30" s="600">
        <f>100*((((X30/100)-((X30/100)-0.03574)*$E$21)-0.03574-0.00619)/0.344)</f>
        <v>59.600466858778603</v>
      </c>
      <c r="Z30" s="592">
        <f>$E$20</f>
        <v>0.25</v>
      </c>
      <c r="AA30" s="600">
        <f>Y30+Z30</f>
        <v>59.850466858778603</v>
      </c>
      <c r="AB30" s="600">
        <f>100*($E$17*$E$19+($E$18*(AA30/100))/(1-$E$21))</f>
        <v>55.638020431809402</v>
      </c>
      <c r="AC30" s="601">
        <f>AB30/V30</f>
        <v>2.2709975171873457E-2</v>
      </c>
      <c r="AD30" s="599">
        <f>$E$8/(1-AC30)</f>
        <v>24093.927167161615</v>
      </c>
      <c r="AE30" s="592" t="str">
        <f>IF(AD30=AD24,"yes","not yet")</f>
        <v>not yet</v>
      </c>
      <c r="AF30" s="600">
        <f>100*(1-AC30)</f>
        <v>97.72900248281266</v>
      </c>
      <c r="AG30" s="592"/>
      <c r="AH30" s="592"/>
      <c r="AI30" s="592">
        <v>2</v>
      </c>
      <c r="AJ30" s="600">
        <f>V6</f>
        <v>2992.8743551482357</v>
      </c>
      <c r="AK30" s="600">
        <f>V12</f>
        <v>2443.02675151519</v>
      </c>
      <c r="AL30" s="600">
        <f>V18</f>
        <v>2450.0416825053994</v>
      </c>
      <c r="AM30" s="600">
        <f>V24</f>
        <v>2449.9359376249395</v>
      </c>
      <c r="AN30" s="600">
        <f>V30</f>
        <v>2449.937527924631</v>
      </c>
      <c r="AO30" s="600">
        <f>V36</f>
        <v>2449.9375040072341</v>
      </c>
      <c r="AP30" s="600">
        <f>V42</f>
        <v>2449.9449098527421</v>
      </c>
      <c r="AQ30" s="600">
        <f>V48</f>
        <v>2449.9449098527421</v>
      </c>
      <c r="AR30" s="600">
        <f>V54</f>
        <v>2449.9449098527421</v>
      </c>
      <c r="AS30" s="590"/>
      <c r="AT30" s="590"/>
      <c r="AU30" s="590"/>
      <c r="AV30" s="590"/>
      <c r="AW30" s="590"/>
      <c r="AX30" s="590"/>
      <c r="AY30" s="590"/>
      <c r="AZ30" s="590"/>
      <c r="BA30" s="590"/>
      <c r="BB30" s="590"/>
      <c r="BC30" s="590"/>
      <c r="BD30" s="590"/>
      <c r="BE30" s="590"/>
      <c r="BF30" s="590"/>
      <c r="BG30" s="590"/>
      <c r="BH30" s="590"/>
      <c r="BI30" s="590"/>
      <c r="BJ30" s="590"/>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row>
    <row r="31" spans="1:84">
      <c r="A31" s="590"/>
      <c r="B31" s="592"/>
      <c r="C31" s="629"/>
      <c r="D31" s="629"/>
      <c r="E31" s="669"/>
      <c r="F31" s="630"/>
      <c r="G31" s="631"/>
      <c r="H31" s="632"/>
      <c r="I31" s="631"/>
      <c r="J31" s="592"/>
      <c r="K31" s="592"/>
      <c r="L31" s="592"/>
      <c r="M31" s="592"/>
      <c r="N31" s="592"/>
      <c r="O31" s="592"/>
      <c r="P31" s="592"/>
      <c r="Q31" s="592"/>
      <c r="R31" s="592"/>
      <c r="S31" s="592"/>
      <c r="T31" s="592"/>
      <c r="U31" s="592"/>
      <c r="V31" s="600">
        <f>100*(+AD25/$E$9)</f>
        <v>2449.3294074182363</v>
      </c>
      <c r="W31" s="610">
        <f>EXP(5.6985-(0.68367*LN(V31)))</f>
        <v>1.4382593568509623</v>
      </c>
      <c r="X31" s="601">
        <f>(+W31*V31)/100</f>
        <v>35.227709382295011</v>
      </c>
      <c r="Y31" s="600">
        <f>100*((((X31/100)-((X31/100)-0.03574)*$E$21)-0.03574-0.00619)/0.344)</f>
        <v>58.931535442775306</v>
      </c>
      <c r="Z31" s="592">
        <f>$E$20</f>
        <v>0.25</v>
      </c>
      <c r="AA31" s="600">
        <f>Y31+Z31</f>
        <v>59.181535442775306</v>
      </c>
      <c r="AB31" s="600">
        <f>100*($E$17*$E$19+($E$18*(AA31/100))/(1-$E$21))</f>
        <v>55.02990096271548</v>
      </c>
      <c r="AC31" s="601">
        <f>AB31/V31</f>
        <v>2.2467333628562777E-2</v>
      </c>
      <c r="AD31" s="599">
        <f>$E$8/(1-AC31)</f>
        <v>24087.946612369564</v>
      </c>
      <c r="AE31" s="592" t="str">
        <f>IF(AD31=AD25,"yes","not yet")</f>
        <v>not yet</v>
      </c>
      <c r="AF31" s="600">
        <f>100*(1-AC31)</f>
        <v>97.753266637143724</v>
      </c>
      <c r="AG31" s="592"/>
      <c r="AH31" s="592"/>
      <c r="AI31" s="592">
        <v>3</v>
      </c>
      <c r="AJ31" s="600">
        <f>V7</f>
        <v>2992.8743551482357</v>
      </c>
      <c r="AK31" s="600">
        <f>V13</f>
        <v>2442.4915428486838</v>
      </c>
      <c r="AL31" s="600">
        <f>V19</f>
        <v>2449.4312712024971</v>
      </c>
      <c r="AM31" s="600">
        <f>V25</f>
        <v>2449.327870323049</v>
      </c>
      <c r="AN31" s="600">
        <f>V31</f>
        <v>2449.3294074182363</v>
      </c>
      <c r="AO31" s="600">
        <f>V37</f>
        <v>2449.3293845679182</v>
      </c>
      <c r="AP31" s="600">
        <f>V43</f>
        <v>2449.3348131706175</v>
      </c>
      <c r="AQ31" s="600">
        <f>V49</f>
        <v>2449.3348131706175</v>
      </c>
      <c r="AR31" s="600">
        <f>V55</f>
        <v>2449.3348131706175</v>
      </c>
      <c r="AS31" s="590"/>
      <c r="AT31" s="590"/>
      <c r="AU31" s="590"/>
      <c r="AV31" s="590"/>
      <c r="AW31" s="590"/>
      <c r="AX31" s="590"/>
      <c r="AY31" s="590"/>
      <c r="AZ31" s="590"/>
      <c r="BA31" s="590"/>
      <c r="BB31" s="590"/>
      <c r="BC31" s="590"/>
      <c r="BD31" s="590"/>
      <c r="BE31" s="590"/>
      <c r="BF31" s="590"/>
      <c r="BG31" s="590"/>
      <c r="BH31" s="590"/>
      <c r="BI31" s="590"/>
      <c r="BJ31" s="590"/>
      <c r="BK31" s="591"/>
      <c r="BL31" s="591"/>
      <c r="BM31" s="591"/>
      <c r="BN31" s="591"/>
      <c r="BO31" s="591"/>
      <c r="BP31" s="591"/>
      <c r="BQ31" s="591"/>
      <c r="BR31" s="591"/>
      <c r="BS31" s="591"/>
      <c r="BT31" s="591"/>
      <c r="BU31" s="591"/>
      <c r="BV31" s="591"/>
      <c r="BW31" s="591"/>
      <c r="BX31" s="591"/>
      <c r="BY31" s="591"/>
      <c r="BZ31" s="591"/>
      <c r="CA31" s="591"/>
      <c r="CB31" s="591"/>
      <c r="CC31" s="591"/>
      <c r="CD31" s="591"/>
      <c r="CE31" s="591"/>
      <c r="CF31" s="591"/>
    </row>
    <row r="32" spans="1:84">
      <c r="A32" s="590"/>
      <c r="B32" s="592"/>
      <c r="C32" s="629"/>
      <c r="D32" s="633"/>
      <c r="E32" s="670"/>
      <c r="F32" s="630"/>
      <c r="G32" s="599"/>
      <c r="H32" s="592"/>
      <c r="I32" s="592"/>
      <c r="J32" s="592"/>
      <c r="K32" s="592"/>
      <c r="L32" s="592"/>
      <c r="M32" s="592"/>
      <c r="N32" s="592"/>
      <c r="O32" s="592"/>
      <c r="P32" s="592"/>
      <c r="Q32" s="592"/>
      <c r="R32" s="592"/>
      <c r="S32" s="592"/>
      <c r="T32" s="592"/>
      <c r="U32" s="592"/>
      <c r="V32" s="600">
        <f>100*(+AD26/$E$9)</f>
        <v>2448.9404611490336</v>
      </c>
      <c r="W32" s="610">
        <f>EXP(5.6922-(0.68367*LN(V32)))</f>
        <v>1.429381989747107</v>
      </c>
      <c r="X32" s="601">
        <f>(+W32*V32)/100</f>
        <v>35.004713891294031</v>
      </c>
      <c r="Y32" s="600">
        <f>100*((((X32/100)-((X32/100)-0.03574)*$E$21)-0.03574-0.00619)/0.344)</f>
        <v>58.503695256552511</v>
      </c>
      <c r="Z32" s="592">
        <f>$E$20</f>
        <v>0.25</v>
      </c>
      <c r="AA32" s="600">
        <f>Y32+Z32</f>
        <v>58.753695256552511</v>
      </c>
      <c r="AB32" s="600">
        <f>100*($E$17*$E$19+($E$18*(AA32/100))/(1-$E$21))</f>
        <v>54.640955338876587</v>
      </c>
      <c r="AC32" s="601">
        <f>AB32/V32</f>
        <v>2.2312079940579387E-2</v>
      </c>
      <c r="AD32" s="599">
        <f>$E$8/(1-AC32)</f>
        <v>24084.121524147864</v>
      </c>
      <c r="AE32" s="592" t="str">
        <f>IF(AD32=AD26,"yes","not yet")</f>
        <v>not yet</v>
      </c>
      <c r="AF32" s="600">
        <f>100*(1-AC32)</f>
        <v>97.768792005942061</v>
      </c>
      <c r="AG32" s="592"/>
      <c r="AH32" s="592"/>
      <c r="AI32" s="592">
        <v>4</v>
      </c>
      <c r="AJ32" s="600">
        <f>V8</f>
        <v>2992.8743551482357</v>
      </c>
      <c r="AK32" s="600">
        <f>V14</f>
        <v>2442.1493093259164</v>
      </c>
      <c r="AL32" s="600">
        <f>V20</f>
        <v>2449.0408719434945</v>
      </c>
      <c r="AM32" s="600">
        <f>V26</f>
        <v>2448.9389574673064</v>
      </c>
      <c r="AN32" s="600">
        <f>V32</f>
        <v>2448.9404611490336</v>
      </c>
      <c r="AO32" s="600">
        <f>V38</f>
        <v>2448.940438962436</v>
      </c>
      <c r="AP32" s="600">
        <f>V44</f>
        <v>2448.9280820492008</v>
      </c>
      <c r="AQ32" s="600">
        <f>V50</f>
        <v>2448.9280820492008</v>
      </c>
      <c r="AR32" s="600">
        <f>V56</f>
        <v>2448.9280820492008</v>
      </c>
      <c r="AS32" s="590"/>
      <c r="AT32" s="590"/>
      <c r="AU32" s="590"/>
      <c r="AV32" s="590"/>
      <c r="AW32" s="590"/>
      <c r="AX32" s="590"/>
      <c r="AY32" s="590"/>
      <c r="AZ32" s="590"/>
      <c r="BA32" s="590"/>
      <c r="BB32" s="590"/>
      <c r="BC32" s="590"/>
      <c r="BD32" s="590"/>
      <c r="BE32" s="590"/>
      <c r="BF32" s="590"/>
      <c r="BG32" s="590"/>
      <c r="BH32" s="590"/>
      <c r="BI32" s="590"/>
      <c r="BJ32" s="590"/>
      <c r="BK32" s="591"/>
      <c r="BL32" s="591"/>
      <c r="BM32" s="591"/>
      <c r="BN32" s="591"/>
      <c r="BO32" s="591"/>
      <c r="BP32" s="591"/>
      <c r="BQ32" s="591"/>
      <c r="BR32" s="591"/>
      <c r="BS32" s="591"/>
      <c r="BT32" s="591"/>
      <c r="BU32" s="591"/>
      <c r="BV32" s="591"/>
      <c r="BW32" s="591"/>
      <c r="BX32" s="591"/>
      <c r="BY32" s="591"/>
      <c r="BZ32" s="591"/>
      <c r="CA32" s="591"/>
      <c r="CB32" s="591"/>
      <c r="CC32" s="591"/>
      <c r="CD32" s="591"/>
      <c r="CE32" s="591"/>
      <c r="CF32" s="591"/>
    </row>
    <row r="33" spans="1:84">
      <c r="A33" s="590"/>
      <c r="B33" s="592"/>
      <c r="C33" s="629"/>
      <c r="D33" s="629"/>
      <c r="E33" s="671"/>
      <c r="F33" s="630"/>
      <c r="G33" s="598"/>
      <c r="H33" s="592"/>
      <c r="I33" s="598"/>
      <c r="J33" s="592"/>
      <c r="K33" s="592"/>
      <c r="L33" s="592"/>
      <c r="M33" s="592"/>
      <c r="N33" s="592"/>
      <c r="O33" s="592"/>
      <c r="P33" s="592"/>
      <c r="Q33" s="592"/>
      <c r="R33" s="592"/>
      <c r="S33" s="592"/>
      <c r="T33" s="592"/>
      <c r="U33" s="592"/>
      <c r="V33" s="592"/>
      <c r="W33" s="592"/>
      <c r="X33" s="592"/>
      <c r="Y33" s="592"/>
      <c r="Z33" s="592"/>
      <c r="AA33" s="600"/>
      <c r="AB33" s="592"/>
      <c r="AC33" s="592"/>
      <c r="AD33" s="592"/>
      <c r="AE33" s="592"/>
      <c r="AF33" s="592"/>
      <c r="AG33" s="592"/>
      <c r="AH33" s="592"/>
      <c r="AI33" s="592"/>
      <c r="AJ33" s="592"/>
      <c r="AK33" s="592"/>
      <c r="AL33" s="592"/>
      <c r="AM33" s="592"/>
      <c r="AN33" s="592"/>
      <c r="AO33" s="592"/>
      <c r="AP33" s="592"/>
      <c r="AQ33" s="592"/>
      <c r="AR33" s="592"/>
      <c r="AS33" s="590"/>
      <c r="AT33" s="590"/>
      <c r="AU33" s="590"/>
      <c r="AV33" s="590"/>
      <c r="AW33" s="590"/>
      <c r="AX33" s="590"/>
      <c r="AY33" s="590"/>
      <c r="AZ33" s="590"/>
      <c r="BA33" s="590"/>
      <c r="BB33" s="590"/>
      <c r="BC33" s="590"/>
      <c r="BD33" s="590"/>
      <c r="BE33" s="590"/>
      <c r="BF33" s="590"/>
      <c r="BG33" s="590"/>
      <c r="BH33" s="590"/>
      <c r="BI33" s="590"/>
      <c r="BJ33" s="590"/>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row>
    <row r="34" spans="1:84">
      <c r="A34" s="590"/>
      <c r="B34" s="592"/>
      <c r="C34" s="629"/>
      <c r="D34" s="629"/>
      <c r="E34" s="668"/>
      <c r="F34" s="630"/>
      <c r="G34" s="592"/>
      <c r="H34" s="592"/>
      <c r="I34" s="592"/>
      <c r="J34" s="592"/>
      <c r="K34" s="592"/>
      <c r="L34" s="592"/>
      <c r="M34" s="592"/>
      <c r="N34" s="592"/>
      <c r="O34" s="592"/>
      <c r="P34" s="592"/>
      <c r="Q34" s="592"/>
      <c r="R34" s="592"/>
      <c r="S34" s="592"/>
      <c r="T34" s="592"/>
      <c r="U34" s="592"/>
      <c r="V34" s="597" t="s">
        <v>392</v>
      </c>
      <c r="W34" s="609" t="s">
        <v>331</v>
      </c>
      <c r="X34" s="609" t="s">
        <v>341</v>
      </c>
      <c r="Y34" s="609" t="s">
        <v>342</v>
      </c>
      <c r="Z34" s="592"/>
      <c r="AA34" s="600"/>
      <c r="AB34" s="592"/>
      <c r="AC34" s="592"/>
      <c r="AD34" s="592"/>
      <c r="AE34" s="592"/>
      <c r="AF34" s="592"/>
      <c r="AG34" s="592"/>
      <c r="AH34" s="592"/>
      <c r="AI34" s="592"/>
      <c r="AJ34" s="592" t="s">
        <v>390</v>
      </c>
      <c r="AK34" s="592"/>
      <c r="AL34" s="592"/>
      <c r="AM34" s="592"/>
      <c r="AN34" s="592"/>
      <c r="AO34" s="592"/>
      <c r="AP34" s="592"/>
      <c r="AQ34" s="592"/>
      <c r="AR34" s="592"/>
      <c r="AS34" s="590"/>
      <c r="AT34" s="590"/>
      <c r="AU34" s="590"/>
      <c r="AV34" s="590"/>
      <c r="AW34" s="590"/>
      <c r="AX34" s="590"/>
      <c r="AY34" s="590"/>
      <c r="AZ34" s="590"/>
      <c r="BA34" s="590"/>
      <c r="BB34" s="590"/>
      <c r="BC34" s="590"/>
      <c r="BD34" s="590"/>
      <c r="BE34" s="590"/>
      <c r="BF34" s="590"/>
      <c r="BG34" s="590"/>
      <c r="BH34" s="590"/>
      <c r="BI34" s="590"/>
      <c r="BJ34" s="590"/>
      <c r="BK34" s="591"/>
      <c r="BL34" s="591"/>
      <c r="BM34" s="591"/>
      <c r="BN34" s="591"/>
      <c r="BO34" s="591"/>
      <c r="BP34" s="591"/>
      <c r="BQ34" s="591"/>
      <c r="BR34" s="591"/>
      <c r="BS34" s="591"/>
      <c r="BT34" s="591"/>
      <c r="BU34" s="591"/>
      <c r="BV34" s="591"/>
      <c r="BW34" s="591"/>
      <c r="BX34" s="591"/>
      <c r="BY34" s="591"/>
      <c r="BZ34" s="591"/>
      <c r="CA34" s="591"/>
      <c r="CB34" s="591"/>
      <c r="CC34" s="591"/>
      <c r="CD34" s="591"/>
      <c r="CE34" s="591"/>
      <c r="CF34" s="591"/>
    </row>
    <row r="35" spans="1:84">
      <c r="A35" s="590"/>
      <c r="B35" s="592"/>
      <c r="C35" s="629"/>
      <c r="D35" s="629"/>
      <c r="E35" s="672"/>
      <c r="F35" s="630"/>
      <c r="G35" s="630"/>
      <c r="H35" s="592"/>
      <c r="I35" s="592"/>
      <c r="J35" s="592"/>
      <c r="K35" s="592"/>
      <c r="L35" s="592"/>
      <c r="M35" s="592"/>
      <c r="N35" s="592"/>
      <c r="O35" s="592"/>
      <c r="P35" s="592"/>
      <c r="Q35" s="592"/>
      <c r="R35" s="592"/>
      <c r="S35" s="592"/>
      <c r="T35" s="592"/>
      <c r="U35" s="592"/>
      <c r="V35" s="600">
        <f>100*(+AD29/$E$9)</f>
        <v>2450.8404457642728</v>
      </c>
      <c r="W35" s="610">
        <f>EXP(5.7226-(0.68367*LN(+V35)))</f>
        <v>1.4727213728659092</v>
      </c>
      <c r="X35" s="601">
        <f>(+W35*V35)/100</f>
        <v>36.094051059612568</v>
      </c>
      <c r="Y35" s="600">
        <f>100*((((X35/100)-((X35/100)-0.03574)*$E$21)-0.03574-0.00619)/0.344)</f>
        <v>60.593702614372958</v>
      </c>
      <c r="Z35" s="592">
        <f>$E$20</f>
        <v>0.25</v>
      </c>
      <c r="AA35" s="600">
        <f>Y35+Z35</f>
        <v>60.843702614372958</v>
      </c>
      <c r="AB35" s="600">
        <f>100*($E$17*$E$19+($E$18*(AA35/100))/(1-$E$21))</f>
        <v>56.540962027804262</v>
      </c>
      <c r="AC35" s="601">
        <f>AB35/V35</f>
        <v>2.3070029762860579E-2</v>
      </c>
      <c r="AD35" s="599">
        <f>ROUND($E$8/(1-AC35),0)</f>
        <v>24103</v>
      </c>
      <c r="AE35" s="592" t="str">
        <f>IF(AD35=AD29,"yes","not yet")</f>
        <v>not yet</v>
      </c>
      <c r="AF35" s="600">
        <f>100*(1-AC35)</f>
        <v>97.692997023713943</v>
      </c>
      <c r="AG35" s="592"/>
      <c r="AH35" s="592"/>
      <c r="AI35" s="592"/>
      <c r="AJ35" s="600">
        <f>HLOOKUP($AJ$34,$AJ$28:$AR$32,($E$12)+1)</f>
        <v>2448.9280820492008</v>
      </c>
      <c r="AK35" s="592"/>
      <c r="AL35" s="592"/>
      <c r="AM35" s="592"/>
      <c r="AN35" s="592"/>
      <c r="AO35" s="592"/>
      <c r="AP35" s="592"/>
      <c r="AQ35" s="592"/>
      <c r="AR35" s="592"/>
      <c r="AS35" s="590"/>
      <c r="AT35" s="590"/>
      <c r="AU35" s="590"/>
      <c r="AV35" s="590"/>
      <c r="AW35" s="590"/>
      <c r="AX35" s="590"/>
      <c r="AY35" s="590"/>
      <c r="AZ35" s="590"/>
      <c r="BA35" s="590"/>
      <c r="BB35" s="590"/>
      <c r="BC35" s="590"/>
      <c r="BD35" s="590"/>
      <c r="BE35" s="590"/>
      <c r="BF35" s="590"/>
      <c r="BG35" s="590"/>
      <c r="BH35" s="590"/>
      <c r="BI35" s="590"/>
      <c r="BJ35" s="590"/>
      <c r="BK35" s="591"/>
      <c r="BL35" s="591"/>
      <c r="BM35" s="591"/>
      <c r="BN35" s="591"/>
      <c r="BO35" s="591"/>
      <c r="BP35" s="591"/>
      <c r="BQ35" s="591"/>
      <c r="BR35" s="591"/>
      <c r="BS35" s="591"/>
      <c r="BT35" s="591"/>
      <c r="BU35" s="591"/>
      <c r="BV35" s="591"/>
      <c r="BW35" s="591"/>
      <c r="BX35" s="591"/>
      <c r="BY35" s="591"/>
      <c r="BZ35" s="591"/>
      <c r="CA35" s="591"/>
      <c r="CB35" s="591"/>
      <c r="CC35" s="591"/>
      <c r="CD35" s="591"/>
      <c r="CE35" s="591"/>
      <c r="CF35" s="591"/>
    </row>
    <row r="36" spans="1:84" ht="15.75">
      <c r="A36" s="590"/>
      <c r="B36" s="592"/>
      <c r="C36" s="629"/>
      <c r="D36" s="629"/>
      <c r="E36" s="673"/>
      <c r="F36" s="592"/>
      <c r="G36" s="592"/>
      <c r="H36" s="592"/>
      <c r="I36" s="592"/>
      <c r="J36" s="592"/>
      <c r="K36" s="592"/>
      <c r="L36" s="592"/>
      <c r="M36" s="592"/>
      <c r="N36" s="592"/>
      <c r="O36" s="592"/>
      <c r="P36" s="592"/>
      <c r="Q36" s="592"/>
      <c r="R36" s="592"/>
      <c r="S36" s="592"/>
      <c r="T36" s="592"/>
      <c r="U36" s="592"/>
      <c r="V36" s="600">
        <f>100*(+AD30/$E$9)</f>
        <v>2449.9375040072341</v>
      </c>
      <c r="W36" s="610">
        <f>EXP(5.70827-(0.68367*LN(+V36)))</f>
        <v>1.4521335493872705</v>
      </c>
      <c r="X36" s="601">
        <f>(+W36*V36)/100</f>
        <v>35.57636443471015</v>
      </c>
      <c r="Y36" s="600">
        <f>100*((((X36/100)-((X36/100)-0.03574)*$E$21)-0.03574-0.00619)/0.344)</f>
        <v>59.600466647990416</v>
      </c>
      <c r="Z36" s="592">
        <f>$E$20</f>
        <v>0.25</v>
      </c>
      <c r="AA36" s="600">
        <f>Y36+Z36</f>
        <v>59.850466647990416</v>
      </c>
      <c r="AB36" s="600">
        <f>100*($E$17*$E$19+($E$18*(AA36/100))/(1-$E$21))</f>
        <v>55.638020240183785</v>
      </c>
      <c r="AC36" s="601">
        <f>AB36/V36</f>
        <v>2.2709975315361963E-2</v>
      </c>
      <c r="AD36" s="599">
        <f>ROUND($E$8/(1-AC36),0)</f>
        <v>24094</v>
      </c>
      <c r="AE36" s="592" t="str">
        <f>IF(AD36=AD30,"yes","not yet")</f>
        <v>not yet</v>
      </c>
      <c r="AF36" s="600">
        <f>100*(1-AC36)</f>
        <v>97.729002468463804</v>
      </c>
      <c r="AG36" s="592"/>
      <c r="AH36" s="592"/>
      <c r="AI36" s="592"/>
      <c r="AJ36" s="592"/>
      <c r="AK36" s="592"/>
      <c r="AL36" s="592"/>
      <c r="AM36" s="592"/>
      <c r="AN36" s="592"/>
      <c r="AO36" s="592"/>
      <c r="AP36" s="592"/>
      <c r="AQ36" s="592"/>
      <c r="AR36" s="592"/>
      <c r="AS36" s="590"/>
      <c r="AT36" s="590"/>
      <c r="AU36" s="590"/>
      <c r="AV36" s="590"/>
      <c r="AW36" s="590"/>
      <c r="AX36" s="590"/>
      <c r="AY36" s="590"/>
      <c r="AZ36" s="590"/>
      <c r="BA36" s="590"/>
      <c r="BB36" s="590"/>
      <c r="BC36" s="590"/>
      <c r="BD36" s="590"/>
      <c r="BE36" s="590"/>
      <c r="BF36" s="590"/>
      <c r="BG36" s="590"/>
      <c r="BH36" s="590"/>
      <c r="BI36" s="590"/>
      <c r="BJ36" s="590"/>
      <c r="BK36" s="591"/>
      <c r="BL36" s="591"/>
      <c r="BM36" s="591"/>
      <c r="BN36" s="591"/>
      <c r="BO36" s="591"/>
      <c r="BP36" s="591"/>
      <c r="BQ36" s="591"/>
      <c r="BR36" s="591"/>
      <c r="BS36" s="591"/>
      <c r="BT36" s="591"/>
      <c r="BU36" s="591"/>
      <c r="BV36" s="591"/>
      <c r="BW36" s="591"/>
      <c r="BX36" s="591"/>
      <c r="BY36" s="591"/>
      <c r="BZ36" s="591"/>
      <c r="CA36" s="591"/>
      <c r="CB36" s="591"/>
      <c r="CC36" s="591"/>
      <c r="CD36" s="591"/>
      <c r="CE36" s="591"/>
      <c r="CF36" s="591"/>
    </row>
    <row r="37" spans="1:84">
      <c r="A37" s="590"/>
      <c r="B37" s="592"/>
      <c r="C37" s="629"/>
      <c r="D37" s="629"/>
      <c r="E37" s="611"/>
      <c r="F37" s="592"/>
      <c r="G37" s="630"/>
      <c r="H37" s="592"/>
      <c r="I37" s="592"/>
      <c r="J37" s="592"/>
      <c r="K37" s="592"/>
      <c r="L37" s="592"/>
      <c r="M37" s="592"/>
      <c r="N37" s="592"/>
      <c r="O37" s="592"/>
      <c r="P37" s="592"/>
      <c r="Q37" s="592"/>
      <c r="R37" s="592"/>
      <c r="S37" s="592"/>
      <c r="T37" s="592"/>
      <c r="U37" s="592"/>
      <c r="V37" s="600">
        <f>100*(+AD31/$E$9)</f>
        <v>2449.3293845679182</v>
      </c>
      <c r="W37" s="610">
        <f>EXP(5.6985-(0.68367*LN(V37)))</f>
        <v>1.4382593660243304</v>
      </c>
      <c r="X37" s="601">
        <f>(+W37*V37)/100</f>
        <v>35.227709278334174</v>
      </c>
      <c r="Y37" s="600">
        <f>100*((((X37/100)-((X37/100)-0.03574)*$E$21)-0.03574-0.00619)/0.344)</f>
        <v>58.931535243315572</v>
      </c>
      <c r="Z37" s="592">
        <f>$E$20</f>
        <v>0.25</v>
      </c>
      <c r="AA37" s="600">
        <f>Y37+Z37</f>
        <v>59.181535243315572</v>
      </c>
      <c r="AB37" s="600">
        <f>100*($E$17*$E$19+($E$18*(AA37/100))/(1-$E$21))</f>
        <v>55.029900781388463</v>
      </c>
      <c r="AC37" s="601">
        <f>AB37/V37</f>
        <v>2.246733376413405E-2</v>
      </c>
      <c r="AD37" s="599">
        <f>ROUND($E$8/(1-AC37),0)</f>
        <v>24088</v>
      </c>
      <c r="AE37" s="592" t="str">
        <f>IF(AD37=AD31,"yes","not yet")</f>
        <v>not yet</v>
      </c>
      <c r="AF37" s="600">
        <f>100*(1-AC37)</f>
        <v>97.753266623586597</v>
      </c>
      <c r="AG37" s="592"/>
      <c r="AH37" s="592"/>
      <c r="AI37" s="592"/>
      <c r="AJ37" s="592" t="str">
        <f>HLOOKUP(1,$AJ$13:$AR$17,($E$12)+1)</f>
        <v>not yet</v>
      </c>
      <c r="AK37" s="592" t="str">
        <f>HLOOKUP(2,$AJ$13:$AR$17,($E$12)+1)</f>
        <v>not yet</v>
      </c>
      <c r="AL37" s="592" t="str">
        <f>HLOOKUP(3,$AJ$13:$AR$17,($E$12)+1)</f>
        <v>not yet</v>
      </c>
      <c r="AM37" s="592" t="str">
        <f>HLOOKUP(4,$AJ$13:$AR$17,($E$12)+1)</f>
        <v>not yet</v>
      </c>
      <c r="AN37" s="592" t="str">
        <f>HLOOKUP(5,$AJ$13:$AR$17,($E$12)+1)</f>
        <v>not yet</v>
      </c>
      <c r="AO37" s="592" t="str">
        <f>HLOOKUP(6,$AJ$13:$AR$17,($E$12)+1)</f>
        <v>not yet</v>
      </c>
      <c r="AP37" s="592" t="str">
        <f>HLOOKUP(7,$AJ$13:$AR$17,($E$12)+1)</f>
        <v>yes</v>
      </c>
      <c r="AQ37" s="592" t="str">
        <f>HLOOKUP(8,$AJ$13:$AR$17,($E$12)+1)</f>
        <v>yes</v>
      </c>
      <c r="AR37" s="592" t="str">
        <f>HLOOKUP(9,$AJ$13:$AR$17,($E$12)+1)</f>
        <v>yes</v>
      </c>
      <c r="AS37" s="590"/>
      <c r="AT37" s="590"/>
      <c r="AU37" s="590"/>
      <c r="AV37" s="590"/>
      <c r="AW37" s="590"/>
      <c r="AX37" s="590"/>
      <c r="AY37" s="590"/>
      <c r="AZ37" s="590"/>
      <c r="BA37" s="590"/>
      <c r="BB37" s="590"/>
      <c r="BC37" s="590"/>
      <c r="BD37" s="590"/>
      <c r="BE37" s="590"/>
      <c r="BF37" s="590"/>
      <c r="BG37" s="590"/>
      <c r="BH37" s="590"/>
      <c r="BI37" s="590"/>
      <c r="BJ37" s="590"/>
      <c r="BK37" s="591"/>
      <c r="BL37" s="591"/>
      <c r="BM37" s="591"/>
      <c r="BN37" s="591"/>
      <c r="BO37" s="591"/>
      <c r="BP37" s="591"/>
      <c r="BQ37" s="591"/>
      <c r="BR37" s="591"/>
      <c r="BS37" s="591"/>
      <c r="BT37" s="591"/>
      <c r="BU37" s="591"/>
      <c r="BV37" s="591"/>
      <c r="BW37" s="591"/>
      <c r="BX37" s="591"/>
      <c r="BY37" s="591"/>
      <c r="BZ37" s="591"/>
      <c r="CA37" s="591"/>
      <c r="CB37" s="591"/>
      <c r="CC37" s="591"/>
      <c r="CD37" s="591"/>
      <c r="CE37" s="591"/>
      <c r="CF37" s="591"/>
    </row>
    <row r="38" spans="1:84">
      <c r="A38" s="590"/>
      <c r="B38" s="592"/>
      <c r="C38" s="629"/>
      <c r="D38" s="629"/>
      <c r="E38" s="672"/>
      <c r="F38" s="592"/>
      <c r="G38" s="592"/>
      <c r="H38" s="592"/>
      <c r="I38" s="592"/>
      <c r="J38" s="592"/>
      <c r="K38" s="592"/>
      <c r="L38" s="592"/>
      <c r="M38" s="592"/>
      <c r="N38" s="592"/>
      <c r="O38" s="592"/>
      <c r="P38" s="592"/>
      <c r="Q38" s="592"/>
      <c r="R38" s="592"/>
      <c r="S38" s="592"/>
      <c r="T38" s="592"/>
      <c r="U38" s="592"/>
      <c r="V38" s="600">
        <f>100*(+AD32/$E$9)</f>
        <v>2448.940438962436</v>
      </c>
      <c r="W38" s="610">
        <f>EXP(5.6922-(0.68367*LN(V38)))</f>
        <v>1.4293819986004501</v>
      </c>
      <c r="X38" s="601">
        <f>(+W38*V38)/100</f>
        <v>35.004713790975899</v>
      </c>
      <c r="Y38" s="600">
        <f>100*((((X38/100)-((X38/100)-0.03574)*$E$21)-0.03574-0.00619)/0.344)</f>
        <v>58.503695064081676</v>
      </c>
      <c r="Z38" s="592">
        <f>$E$20</f>
        <v>0.25</v>
      </c>
      <c r="AA38" s="600">
        <f>Y38+Z38</f>
        <v>58.753695064081676</v>
      </c>
      <c r="AB38" s="600">
        <f>100*($E$17*$E$19+($E$18*(AA38/100))/(1-$E$21))</f>
        <v>54.640955163903101</v>
      </c>
      <c r="AC38" s="601">
        <f>AB38/V38</f>
        <v>2.2312080071270869E-2</v>
      </c>
      <c r="AD38" s="599">
        <f>ROUND($E$8/(1-AC38),0)</f>
        <v>24084</v>
      </c>
      <c r="AE38" s="592" t="str">
        <f>IF(AD38=AD32,"yes","not yet")</f>
        <v>not yet</v>
      </c>
      <c r="AF38" s="600">
        <f>100*(1-AC38)</f>
        <v>97.76879199287292</v>
      </c>
      <c r="AG38" s="592"/>
      <c r="AH38" s="592"/>
      <c r="AI38" s="592">
        <v>1</v>
      </c>
      <c r="AJ38" s="599">
        <f>AD5</f>
        <v>24033.781385149945</v>
      </c>
      <c r="AK38" s="599">
        <f>AD11</f>
        <v>24103.865585281168</v>
      </c>
      <c r="AL38" s="599">
        <f>AD17</f>
        <v>24102.79096727768</v>
      </c>
      <c r="AM38" s="599">
        <f>AD23</f>
        <v>24102.807405519099</v>
      </c>
      <c r="AN38" s="599">
        <f>AD29</f>
        <v>24102.807154057071</v>
      </c>
      <c r="AO38" s="599">
        <f>AD35</f>
        <v>24103</v>
      </c>
      <c r="AP38" s="599">
        <f>AD41</f>
        <v>24103</v>
      </c>
      <c r="AQ38" s="599">
        <f>AD47</f>
        <v>24103</v>
      </c>
      <c r="AR38" s="599">
        <f>AD53</f>
        <v>24103</v>
      </c>
      <c r="AS38" s="590"/>
      <c r="AT38" s="590"/>
      <c r="AU38" s="590"/>
      <c r="AV38" s="590"/>
      <c r="AW38" s="590"/>
      <c r="AX38" s="590"/>
      <c r="AY38" s="590"/>
      <c r="AZ38" s="590"/>
      <c r="BA38" s="590"/>
      <c r="BB38" s="590"/>
      <c r="BC38" s="590"/>
      <c r="BD38" s="590"/>
      <c r="BE38" s="590"/>
      <c r="BF38" s="590"/>
      <c r="BG38" s="590"/>
      <c r="BH38" s="590"/>
      <c r="BI38" s="590"/>
      <c r="BJ38" s="590"/>
      <c r="BK38" s="591"/>
      <c r="BL38" s="591"/>
      <c r="BM38" s="591"/>
      <c r="BN38" s="591"/>
      <c r="BO38" s="591"/>
      <c r="BP38" s="591"/>
      <c r="BQ38" s="591"/>
      <c r="BR38" s="591"/>
      <c r="BS38" s="591"/>
      <c r="BT38" s="591"/>
      <c r="BU38" s="591"/>
      <c r="BV38" s="591"/>
      <c r="BW38" s="591"/>
      <c r="BX38" s="591"/>
      <c r="BY38" s="591"/>
      <c r="BZ38" s="591"/>
      <c r="CA38" s="591"/>
      <c r="CB38" s="591"/>
      <c r="CC38" s="591"/>
      <c r="CD38" s="591"/>
      <c r="CE38" s="591"/>
      <c r="CF38" s="591"/>
    </row>
    <row r="39" spans="1:84" ht="15.75">
      <c r="A39" s="590"/>
      <c r="B39" s="592"/>
      <c r="C39" s="629"/>
      <c r="D39" s="629"/>
      <c r="E39" s="674"/>
      <c r="F39" s="592"/>
      <c r="G39" s="592"/>
      <c r="H39" s="592"/>
      <c r="I39" s="592"/>
      <c r="J39" s="592"/>
      <c r="K39" s="592"/>
      <c r="L39" s="592"/>
      <c r="M39" s="592"/>
      <c r="N39" s="592"/>
      <c r="O39" s="592"/>
      <c r="P39" s="592"/>
      <c r="Q39" s="592"/>
      <c r="R39" s="592"/>
      <c r="S39" s="592"/>
      <c r="T39" s="592"/>
      <c r="U39" s="592"/>
      <c r="V39" s="592"/>
      <c r="W39" s="592"/>
      <c r="X39" s="592"/>
      <c r="Y39" s="592"/>
      <c r="Z39" s="592"/>
      <c r="AA39" s="600"/>
      <c r="AB39" s="592"/>
      <c r="AC39" s="592"/>
      <c r="AD39" s="592"/>
      <c r="AE39" s="592"/>
      <c r="AF39" s="592"/>
      <c r="AG39" s="592"/>
      <c r="AH39" s="592"/>
      <c r="AI39" s="592">
        <v>2</v>
      </c>
      <c r="AJ39" s="599">
        <f>AD6</f>
        <v>24025.963324434506</v>
      </c>
      <c r="AK39" s="599">
        <f>AD12</f>
        <v>24094.951711315527</v>
      </c>
      <c r="AL39" s="599">
        <f>AD18</f>
        <v>24093.911762564207</v>
      </c>
      <c r="AM39" s="599">
        <f>AD24</f>
        <v>24093.927402377416</v>
      </c>
      <c r="AN39" s="599">
        <f>AD30</f>
        <v>24093.927167161615</v>
      </c>
      <c r="AO39" s="599">
        <f>AD36</f>
        <v>24094</v>
      </c>
      <c r="AP39" s="599">
        <f>AD42</f>
        <v>24094</v>
      </c>
      <c r="AQ39" s="599">
        <f>AD48</f>
        <v>24094</v>
      </c>
      <c r="AR39" s="599">
        <f>AD54</f>
        <v>24094</v>
      </c>
      <c r="AS39" s="590"/>
      <c r="AT39" s="590"/>
      <c r="AU39" s="590"/>
      <c r="AV39" s="590"/>
      <c r="AW39" s="590"/>
      <c r="AX39" s="590"/>
      <c r="AY39" s="590"/>
      <c r="AZ39" s="590"/>
      <c r="BA39" s="590"/>
      <c r="BB39" s="590"/>
      <c r="BC39" s="590"/>
      <c r="BD39" s="590"/>
      <c r="BE39" s="590"/>
      <c r="BF39" s="590"/>
      <c r="BG39" s="590"/>
      <c r="BH39" s="590"/>
      <c r="BI39" s="590"/>
      <c r="BJ39" s="590"/>
      <c r="BK39" s="591"/>
      <c r="BL39" s="591"/>
      <c r="BM39" s="591"/>
      <c r="BN39" s="591"/>
      <c r="BO39" s="591"/>
      <c r="BP39" s="591"/>
      <c r="BQ39" s="591"/>
      <c r="BR39" s="591"/>
      <c r="BS39" s="591"/>
      <c r="BT39" s="591"/>
      <c r="BU39" s="591"/>
      <c r="BV39" s="591"/>
      <c r="BW39" s="591"/>
      <c r="BX39" s="591"/>
      <c r="BY39" s="591"/>
      <c r="BZ39" s="591"/>
      <c r="CA39" s="591"/>
      <c r="CB39" s="591"/>
      <c r="CC39" s="591"/>
      <c r="CD39" s="591"/>
      <c r="CE39" s="591"/>
      <c r="CF39" s="591"/>
    </row>
    <row r="40" spans="1:84">
      <c r="A40" s="590"/>
      <c r="B40" s="592"/>
      <c r="C40" s="629"/>
      <c r="D40" s="629"/>
      <c r="E40" s="672"/>
      <c r="F40" s="592"/>
      <c r="G40" s="592"/>
      <c r="H40" s="592"/>
      <c r="I40" s="592"/>
      <c r="J40" s="592"/>
      <c r="K40" s="592"/>
      <c r="L40" s="592"/>
      <c r="M40" s="592"/>
      <c r="N40" s="592"/>
      <c r="O40" s="592"/>
      <c r="P40" s="592"/>
      <c r="Q40" s="592"/>
      <c r="R40" s="592"/>
      <c r="S40" s="592"/>
      <c r="T40" s="592"/>
      <c r="U40" s="592"/>
      <c r="V40" s="597" t="s">
        <v>393</v>
      </c>
      <c r="W40" s="609" t="s">
        <v>331</v>
      </c>
      <c r="X40" s="609" t="s">
        <v>341</v>
      </c>
      <c r="Y40" s="609" t="s">
        <v>342</v>
      </c>
      <c r="Z40" s="592"/>
      <c r="AA40" s="600"/>
      <c r="AB40" s="592"/>
      <c r="AC40" s="592"/>
      <c r="AD40" s="592"/>
      <c r="AE40" s="592"/>
      <c r="AF40" s="592"/>
      <c r="AG40" s="592"/>
      <c r="AH40" s="592"/>
      <c r="AI40" s="592">
        <v>3</v>
      </c>
      <c r="AJ40" s="599">
        <f>AD7</f>
        <v>24020.69981113715</v>
      </c>
      <c r="AK40" s="599">
        <f>AD13</f>
        <v>24088.948617175334</v>
      </c>
      <c r="AL40" s="599">
        <f>AD19</f>
        <v>24087.931720518027</v>
      </c>
      <c r="AM40" s="599">
        <f>AD25</f>
        <v>24087.946837091175</v>
      </c>
      <c r="AN40" s="599">
        <f>AD31</f>
        <v>24087.946612369564</v>
      </c>
      <c r="AO40" s="599">
        <f>AD37</f>
        <v>24088</v>
      </c>
      <c r="AP40" s="599">
        <f>AD43</f>
        <v>24088</v>
      </c>
      <c r="AQ40" s="599">
        <f>AD49</f>
        <v>24088</v>
      </c>
      <c r="AR40" s="599">
        <f>AD55</f>
        <v>24088</v>
      </c>
      <c r="AS40" s="590"/>
      <c r="AT40" s="590"/>
      <c r="AU40" s="590"/>
      <c r="AV40" s="590"/>
      <c r="AW40" s="590"/>
      <c r="AX40" s="590"/>
      <c r="AY40" s="590"/>
      <c r="AZ40" s="590"/>
      <c r="BA40" s="590"/>
      <c r="BB40" s="590"/>
      <c r="BC40" s="590"/>
      <c r="BD40" s="590"/>
      <c r="BE40" s="590"/>
      <c r="BF40" s="590"/>
      <c r="BG40" s="590"/>
      <c r="BH40" s="590"/>
      <c r="BI40" s="590"/>
      <c r="BJ40" s="590"/>
      <c r="BK40" s="591"/>
      <c r="BL40" s="591"/>
      <c r="BM40" s="591"/>
      <c r="BN40" s="591"/>
      <c r="BO40" s="591"/>
      <c r="BP40" s="591"/>
      <c r="BQ40" s="591"/>
      <c r="BR40" s="591"/>
      <c r="BS40" s="591"/>
      <c r="BT40" s="591"/>
      <c r="BU40" s="591"/>
      <c r="BV40" s="591"/>
      <c r="BW40" s="591"/>
      <c r="BX40" s="591"/>
      <c r="BY40" s="591"/>
      <c r="BZ40" s="591"/>
      <c r="CA40" s="591"/>
      <c r="CB40" s="591"/>
      <c r="CC40" s="591"/>
      <c r="CD40" s="591"/>
      <c r="CE40" s="591"/>
      <c r="CF40" s="591"/>
    </row>
    <row r="41" spans="1:84">
      <c r="A41" s="590"/>
      <c r="B41" s="592"/>
      <c r="C41" s="592"/>
      <c r="D41" s="592"/>
      <c r="E41" s="596"/>
      <c r="F41" s="592"/>
      <c r="G41" s="592"/>
      <c r="H41" s="592"/>
      <c r="I41" s="592"/>
      <c r="J41" s="592"/>
      <c r="K41" s="592"/>
      <c r="L41" s="592"/>
      <c r="M41" s="592"/>
      <c r="N41" s="592"/>
      <c r="O41" s="592"/>
      <c r="P41" s="592"/>
      <c r="Q41" s="592"/>
      <c r="R41" s="592"/>
      <c r="S41" s="592"/>
      <c r="T41" s="592"/>
      <c r="U41" s="592"/>
      <c r="V41" s="600">
        <f>100*(+AD35/$E$9)</f>
        <v>2450.8600548759296</v>
      </c>
      <c r="W41" s="610">
        <f>EXP(5.7226-(0.68367*LN(+V41)))</f>
        <v>1.4727133170957254</v>
      </c>
      <c r="X41" s="601">
        <f>(+W41*V41)/100</f>
        <v>36.094142411537419</v>
      </c>
      <c r="Y41" s="600">
        <f>100*((((X41/100)-((X41/100)-0.03574)*$E$21)-0.03574-0.00619)/0.344)</f>
        <v>60.593877882600864</v>
      </c>
      <c r="Z41" s="592">
        <f>$E$20</f>
        <v>0.25</v>
      </c>
      <c r="AA41" s="600">
        <f>Y41+Z41</f>
        <v>60.843877882600864</v>
      </c>
      <c r="AB41" s="600">
        <f>100*($E$17*$E$19+($E$18*(AA41/100))/(1-$E$21))</f>
        <v>56.541121362556915</v>
      </c>
      <c r="AC41" s="601">
        <f>AB41/V41</f>
        <v>2.3069910193390952E-2</v>
      </c>
      <c r="AD41" s="599">
        <f>ROUND($E$8/(1-AC41),0)</f>
        <v>24103</v>
      </c>
      <c r="AE41" s="592" t="str">
        <f>IF(OR(OR(AD41=AD35,AD41=(AD35+1)),AD41=(AD27-1)),"yes","not yet")</f>
        <v>yes</v>
      </c>
      <c r="AF41" s="600">
        <f>100*(1-AC41)</f>
        <v>97.693008980660906</v>
      </c>
      <c r="AG41" s="592"/>
      <c r="AH41" s="592"/>
      <c r="AI41" s="592">
        <v>4</v>
      </c>
      <c r="AJ41" s="599">
        <f>AD8</f>
        <v>24017.334113212924</v>
      </c>
      <c r="AK41" s="599">
        <f>AD14</f>
        <v>24085.109232988132</v>
      </c>
      <c r="AL41" s="599">
        <f>AD20</f>
        <v>24084.106954373863</v>
      </c>
      <c r="AM41" s="599">
        <f>AD26</f>
        <v>24084.121742342111</v>
      </c>
      <c r="AN41" s="599">
        <f>AD32</f>
        <v>24084.121524147864</v>
      </c>
      <c r="AO41" s="599">
        <f>AD38</f>
        <v>24084</v>
      </c>
      <c r="AP41" s="599">
        <f>AD44</f>
        <v>24084</v>
      </c>
      <c r="AQ41" s="599">
        <f>AD50</f>
        <v>24084</v>
      </c>
      <c r="AR41" s="599">
        <f>AD56</f>
        <v>24084</v>
      </c>
      <c r="AS41" s="590"/>
      <c r="AT41" s="590"/>
      <c r="AU41" s="590"/>
      <c r="AV41" s="590"/>
      <c r="AW41" s="590"/>
      <c r="AX41" s="590"/>
      <c r="AY41" s="590"/>
      <c r="AZ41" s="590"/>
      <c r="BA41" s="590"/>
      <c r="BB41" s="590"/>
      <c r="BC41" s="590"/>
      <c r="BD41" s="590"/>
      <c r="BE41" s="590"/>
      <c r="BF41" s="590"/>
      <c r="BG41" s="590"/>
      <c r="BH41" s="590"/>
      <c r="BI41" s="590"/>
      <c r="BJ41" s="590"/>
      <c r="BK41" s="591"/>
      <c r="BL41" s="591"/>
      <c r="BM41" s="591"/>
      <c r="BN41" s="591"/>
      <c r="BO41" s="591"/>
      <c r="BP41" s="591"/>
      <c r="BQ41" s="591"/>
      <c r="BR41" s="591"/>
      <c r="BS41" s="591"/>
      <c r="BT41" s="591"/>
      <c r="BU41" s="591"/>
      <c r="BV41" s="591"/>
      <c r="BW41" s="591"/>
      <c r="BX41" s="591"/>
      <c r="BY41" s="591"/>
      <c r="BZ41" s="591"/>
      <c r="CA41" s="591"/>
      <c r="CB41" s="591"/>
      <c r="CC41" s="591"/>
      <c r="CD41" s="591"/>
      <c r="CE41" s="591"/>
      <c r="CF41" s="591"/>
    </row>
    <row r="42" spans="1:84">
      <c r="A42" s="590"/>
      <c r="B42" s="592"/>
      <c r="C42" s="592"/>
      <c r="D42" s="592"/>
      <c r="E42" s="595"/>
      <c r="F42" s="592"/>
      <c r="G42" s="592"/>
      <c r="H42" s="592"/>
      <c r="I42" s="592"/>
      <c r="J42" s="592"/>
      <c r="K42" s="592"/>
      <c r="L42" s="592"/>
      <c r="M42" s="592"/>
      <c r="N42" s="592"/>
      <c r="O42" s="592"/>
      <c r="P42" s="592"/>
      <c r="Q42" s="592"/>
      <c r="R42" s="592"/>
      <c r="S42" s="592"/>
      <c r="T42" s="592"/>
      <c r="U42" s="592"/>
      <c r="V42" s="600">
        <f>100*(+AD36/$E$9)</f>
        <v>2449.9449098527421</v>
      </c>
      <c r="W42" s="610">
        <f>EXP(5.70827-(0.68367*LN(+V42)))</f>
        <v>1.4521305483484079</v>
      </c>
      <c r="X42" s="601">
        <f>(+W42*V42)/100</f>
        <v>35.576398453678529</v>
      </c>
      <c r="Y42" s="600">
        <f>100*((((X42/100)-((X42/100)-0.03574)*$E$21)-0.03574-0.00619)/0.344)</f>
        <v>59.600531916941371</v>
      </c>
      <c r="Z42" s="592">
        <f>$E$20</f>
        <v>0.25</v>
      </c>
      <c r="AA42" s="600">
        <f>Y42+Z42</f>
        <v>59.850531916941371</v>
      </c>
      <c r="AB42" s="600">
        <f>100*($E$17*$E$19+($E$18*(AA42/100))/(1-$E$21))</f>
        <v>55.638079575593736</v>
      </c>
      <c r="AC42" s="601">
        <f>AB42/V42</f>
        <v>2.270993088531854E-2</v>
      </c>
      <c r="AD42" s="599">
        <f>ROUND($E$8/(1-AC42),0)</f>
        <v>24094</v>
      </c>
      <c r="AE42" s="592" t="str">
        <f>IF(OR(OR(AD42=AD36,AD42=(AD36+5)),AD42=(AD28-5)),"yes","not yet")</f>
        <v>yes</v>
      </c>
      <c r="AF42" s="600">
        <f>100*(1-AC42)</f>
        <v>97.729006911468147</v>
      </c>
      <c r="AG42" s="592"/>
      <c r="AH42" s="592"/>
      <c r="AI42" s="592"/>
      <c r="AJ42" s="592"/>
      <c r="AK42" s="592"/>
      <c r="AL42" s="592"/>
      <c r="AM42" s="592"/>
      <c r="AN42" s="592"/>
      <c r="AO42" s="592"/>
      <c r="AP42" s="592"/>
      <c r="AQ42" s="592"/>
      <c r="AR42" s="592"/>
      <c r="AS42" s="590"/>
      <c r="AT42" s="590"/>
      <c r="AU42" s="590"/>
      <c r="AV42" s="590"/>
      <c r="AW42" s="590"/>
      <c r="AX42" s="590"/>
      <c r="AY42" s="590"/>
      <c r="AZ42" s="590"/>
      <c r="BA42" s="590"/>
      <c r="BB42" s="590"/>
      <c r="BC42" s="590"/>
      <c r="BD42" s="590"/>
      <c r="BE42" s="590"/>
      <c r="BF42" s="590"/>
      <c r="BG42" s="590"/>
      <c r="BH42" s="590"/>
      <c r="BI42" s="590"/>
      <c r="BJ42" s="590"/>
      <c r="BK42" s="591"/>
      <c r="BL42" s="591"/>
      <c r="BM42" s="591"/>
      <c r="BN42" s="591"/>
      <c r="BO42" s="591"/>
      <c r="BP42" s="591"/>
      <c r="BQ42" s="591"/>
      <c r="BR42" s="591"/>
      <c r="BS42" s="591"/>
      <c r="BT42" s="591"/>
      <c r="BU42" s="591"/>
      <c r="BV42" s="591"/>
      <c r="BW42" s="591"/>
      <c r="BX42" s="591"/>
      <c r="BY42" s="591"/>
      <c r="BZ42" s="591"/>
      <c r="CA42" s="591"/>
      <c r="CB42" s="591"/>
      <c r="CC42" s="591"/>
      <c r="CD42" s="591"/>
      <c r="CE42" s="591"/>
      <c r="CF42" s="591"/>
    </row>
    <row r="43" spans="1:84">
      <c r="A43" s="590"/>
      <c r="B43" s="592"/>
      <c r="C43" s="592"/>
      <c r="D43" s="592"/>
      <c r="E43" s="596"/>
      <c r="F43" s="592"/>
      <c r="G43" s="592"/>
      <c r="H43" s="592"/>
      <c r="I43" s="592"/>
      <c r="J43" s="592"/>
      <c r="K43" s="592"/>
      <c r="L43" s="592"/>
      <c r="M43" s="592"/>
      <c r="N43" s="592"/>
      <c r="O43" s="592"/>
      <c r="P43" s="592"/>
      <c r="Q43" s="592"/>
      <c r="R43" s="592"/>
      <c r="S43" s="592"/>
      <c r="T43" s="592"/>
      <c r="U43" s="592"/>
      <c r="V43" s="600">
        <f>100*(+AD37/$E$9)</f>
        <v>2449.3348131706175</v>
      </c>
      <c r="W43" s="610">
        <f>EXP(5.6985-(0.68367*LN(V43)))</f>
        <v>1.4382571866903564</v>
      </c>
      <c r="X43" s="601">
        <f>(+W43*V43)/100</f>
        <v>35.22773397653522</v>
      </c>
      <c r="Y43" s="600">
        <f>100*((((X43/100)-((X43/100)-0.03574)*$E$21)-0.03574-0.00619)/0.344)</f>
        <v>58.931582629398974</v>
      </c>
      <c r="Z43" s="592">
        <f>$E$20</f>
        <v>0.25</v>
      </c>
      <c r="AA43" s="600">
        <f>Y43+Z43</f>
        <v>59.181582629398974</v>
      </c>
      <c r="AB43" s="600">
        <f>100*($E$17*$E$19+($E$18*(AA43/100))/(1-$E$21))</f>
        <v>55.029943859646103</v>
      </c>
      <c r="AC43" s="601">
        <f>AB43/V43</f>
        <v>2.2467301556217577E-2</v>
      </c>
      <c r="AD43" s="599">
        <f>ROUND($E$8/(1-AC43),0)</f>
        <v>24088</v>
      </c>
      <c r="AE43" s="592" t="str">
        <f>IF(OR(OR(AD43=AD37,AD43=(AD37+5)),AD43=(AD29-5)),"yes","not yet")</f>
        <v>yes</v>
      </c>
      <c r="AF43" s="600">
        <f>100*(1-AC43)</f>
        <v>97.753269844378238</v>
      </c>
      <c r="AG43" s="592"/>
      <c r="AH43" s="592"/>
      <c r="AI43" s="592"/>
      <c r="AJ43" s="592" t="s">
        <v>390</v>
      </c>
      <c r="AK43" s="592"/>
      <c r="AL43" s="592"/>
      <c r="AM43" s="592"/>
      <c r="AN43" s="592"/>
      <c r="AO43" s="592"/>
      <c r="AP43" s="592"/>
      <c r="AQ43" s="592"/>
      <c r="AR43" s="592"/>
      <c r="AS43" s="590"/>
      <c r="AT43" s="590"/>
      <c r="AU43" s="590"/>
      <c r="AV43" s="590"/>
      <c r="AW43" s="590"/>
      <c r="AX43" s="590"/>
      <c r="AY43" s="590"/>
      <c r="AZ43" s="590"/>
      <c r="BA43" s="590"/>
      <c r="BB43" s="590"/>
      <c r="BC43" s="590"/>
      <c r="BD43" s="590"/>
      <c r="BE43" s="590"/>
      <c r="BF43" s="590"/>
      <c r="BG43" s="590"/>
      <c r="BH43" s="590"/>
      <c r="BI43" s="590"/>
      <c r="BJ43" s="590"/>
      <c r="BK43" s="591"/>
      <c r="BL43" s="591"/>
      <c r="BM43" s="591"/>
      <c r="BN43" s="591"/>
      <c r="BO43" s="591"/>
      <c r="BP43" s="591"/>
      <c r="BQ43" s="591"/>
      <c r="BR43" s="591"/>
      <c r="BS43" s="591"/>
      <c r="BT43" s="591"/>
      <c r="BU43" s="591"/>
      <c r="BV43" s="591"/>
      <c r="BW43" s="591"/>
      <c r="BX43" s="591"/>
      <c r="BY43" s="591"/>
      <c r="BZ43" s="591"/>
      <c r="CA43" s="591"/>
      <c r="CB43" s="591"/>
      <c r="CC43" s="591"/>
      <c r="CD43" s="591"/>
      <c r="CE43" s="591"/>
      <c r="CF43" s="591"/>
    </row>
    <row r="44" spans="1:84">
      <c r="A44" s="590"/>
      <c r="B44" s="592"/>
      <c r="C44" s="592"/>
      <c r="D44" s="592"/>
      <c r="E44" s="630"/>
      <c r="F44" s="592"/>
      <c r="G44" s="592"/>
      <c r="H44" s="592"/>
      <c r="I44" s="592"/>
      <c r="J44" s="592"/>
      <c r="K44" s="592"/>
      <c r="L44" s="592"/>
      <c r="M44" s="592"/>
      <c r="N44" s="592"/>
      <c r="O44" s="592"/>
      <c r="P44" s="592"/>
      <c r="Q44" s="592"/>
      <c r="R44" s="592"/>
      <c r="S44" s="592"/>
      <c r="T44" s="592"/>
      <c r="U44" s="592"/>
      <c r="V44" s="600">
        <f>100*(+AD38/$E$9)</f>
        <v>2448.9280820492008</v>
      </c>
      <c r="W44" s="610">
        <f>EXP(5.6922-(0.68367*LN(V44)))</f>
        <v>1.4293869295260628</v>
      </c>
      <c r="X44" s="601">
        <f>(+W44*V44)/100</f>
        <v>35.004657918304574</v>
      </c>
      <c r="Y44" s="600">
        <f>100*((((X44/100)-((X44/100)-0.03574)*$E$21)-0.03574-0.00619)/0.344)</f>
        <v>58.503587866514586</v>
      </c>
      <c r="Z44" s="592">
        <f>$E$20</f>
        <v>0.25</v>
      </c>
      <c r="AA44" s="600">
        <f>Y44+Z44</f>
        <v>58.753587866514586</v>
      </c>
      <c r="AB44" s="600">
        <f>100*($E$17*$E$19+($E$18*(AA44/100))/(1-$E$21))</f>
        <v>54.640857711569389</v>
      </c>
      <c r="AC44" s="601">
        <f>AB44/V44</f>
        <v>2.2312152860710921E-2</v>
      </c>
      <c r="AD44" s="599">
        <f>ROUND($E$8/(1-AC44),0)</f>
        <v>24084</v>
      </c>
      <c r="AE44" s="592" t="str">
        <f>IF(OR(OR(AD44=AD38,AD44=(AD38+5)),AD44=(AD30-5)),"yes","not yet")</f>
        <v>yes</v>
      </c>
      <c r="AF44" s="600">
        <f>100*(1-AC44)</f>
        <v>97.768784713928909</v>
      </c>
      <c r="AG44" s="592"/>
      <c r="AH44" s="592"/>
      <c r="AI44" s="592"/>
      <c r="AJ44" s="599">
        <f>HLOOKUP($AJ$34,$AJ$37:$AR$41,($E$12)+1)</f>
        <v>24084</v>
      </c>
      <c r="AK44" s="592"/>
      <c r="AL44" s="592"/>
      <c r="AM44" s="592"/>
      <c r="AN44" s="592"/>
      <c r="AO44" s="592"/>
      <c r="AP44" s="592"/>
      <c r="AQ44" s="592"/>
      <c r="AR44" s="592"/>
      <c r="AS44" s="590"/>
      <c r="AT44" s="590"/>
      <c r="AU44" s="590"/>
      <c r="AV44" s="590"/>
      <c r="AW44" s="590"/>
      <c r="AX44" s="590"/>
      <c r="AY44" s="590"/>
      <c r="AZ44" s="590"/>
      <c r="BA44" s="590"/>
      <c r="BB44" s="590"/>
      <c r="BC44" s="590"/>
      <c r="BD44" s="590"/>
      <c r="BE44" s="590"/>
      <c r="BF44" s="590"/>
      <c r="BG44" s="590"/>
      <c r="BH44" s="590"/>
      <c r="BI44" s="590"/>
      <c r="BJ44" s="590"/>
      <c r="BK44" s="591"/>
      <c r="BL44" s="591"/>
      <c r="BM44" s="591"/>
      <c r="BN44" s="591"/>
      <c r="BO44" s="591"/>
      <c r="BP44" s="591"/>
      <c r="BQ44" s="591"/>
      <c r="BR44" s="591"/>
      <c r="BS44" s="591"/>
      <c r="BT44" s="591"/>
      <c r="BU44" s="591"/>
      <c r="BV44" s="591"/>
      <c r="BW44" s="591"/>
      <c r="BX44" s="591"/>
      <c r="BY44" s="591"/>
      <c r="BZ44" s="591"/>
      <c r="CA44" s="591"/>
      <c r="CB44" s="591"/>
      <c r="CC44" s="591"/>
      <c r="CD44" s="591"/>
      <c r="CE44" s="591"/>
      <c r="CF44" s="591"/>
    </row>
    <row r="45" spans="1:84">
      <c r="A45" s="590"/>
      <c r="B45" s="592"/>
      <c r="C45" s="592"/>
      <c r="D45" s="592"/>
      <c r="E45" s="592"/>
      <c r="F45" s="592"/>
      <c r="G45" s="592"/>
      <c r="H45" s="592"/>
      <c r="I45" s="592"/>
      <c r="J45" s="592"/>
      <c r="K45" s="592"/>
      <c r="L45" s="592"/>
      <c r="M45" s="592"/>
      <c r="N45" s="592"/>
      <c r="O45" s="592"/>
      <c r="P45" s="592"/>
      <c r="Q45" s="592"/>
      <c r="R45" s="592"/>
      <c r="S45" s="592"/>
      <c r="T45" s="592"/>
      <c r="U45" s="592"/>
      <c r="V45" s="592"/>
      <c r="W45" s="592"/>
      <c r="X45" s="592"/>
      <c r="Y45" s="592"/>
      <c r="Z45" s="592"/>
      <c r="AA45" s="600"/>
      <c r="AB45" s="592"/>
      <c r="AC45" s="592"/>
      <c r="AD45" s="592"/>
      <c r="AE45" s="592"/>
      <c r="AF45" s="592"/>
      <c r="AG45" s="592"/>
      <c r="AH45" s="592"/>
      <c r="AI45" s="592"/>
      <c r="AJ45" s="592"/>
      <c r="AK45" s="592"/>
      <c r="AL45" s="592"/>
      <c r="AM45" s="592"/>
      <c r="AN45" s="592"/>
      <c r="AO45" s="592"/>
      <c r="AP45" s="592"/>
      <c r="AQ45" s="592"/>
      <c r="AR45" s="592"/>
      <c r="AS45" s="590"/>
      <c r="AT45" s="590"/>
      <c r="AU45" s="590"/>
      <c r="AV45" s="590"/>
      <c r="AW45" s="590"/>
      <c r="AX45" s="590"/>
      <c r="AY45" s="590"/>
      <c r="AZ45" s="590"/>
      <c r="BA45" s="590"/>
      <c r="BB45" s="590"/>
      <c r="BC45" s="590"/>
      <c r="BD45" s="590"/>
      <c r="BE45" s="590"/>
      <c r="BF45" s="590"/>
      <c r="BG45" s="590"/>
      <c r="BH45" s="590"/>
      <c r="BI45" s="590"/>
      <c r="BJ45" s="590"/>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row>
    <row r="46" spans="1:84">
      <c r="A46" s="590"/>
      <c r="B46" s="592"/>
      <c r="C46" s="592"/>
      <c r="D46" s="599"/>
      <c r="E46" s="599"/>
      <c r="F46" s="599"/>
      <c r="G46" s="592"/>
      <c r="H46" s="592"/>
      <c r="I46" s="592"/>
      <c r="J46" s="592"/>
      <c r="K46" s="592"/>
      <c r="L46" s="592"/>
      <c r="M46" s="592"/>
      <c r="N46" s="592"/>
      <c r="O46" s="592"/>
      <c r="P46" s="592"/>
      <c r="Q46" s="592"/>
      <c r="R46" s="592"/>
      <c r="S46" s="592"/>
      <c r="T46" s="592"/>
      <c r="U46" s="592"/>
      <c r="V46" s="597" t="s">
        <v>394</v>
      </c>
      <c r="W46" s="609" t="s">
        <v>331</v>
      </c>
      <c r="X46" s="609" t="s">
        <v>341</v>
      </c>
      <c r="Y46" s="609" t="s">
        <v>342</v>
      </c>
      <c r="Z46" s="592"/>
      <c r="AA46" s="600"/>
      <c r="AB46" s="592"/>
      <c r="AC46" s="592"/>
      <c r="AD46" s="592"/>
      <c r="AE46" s="592"/>
      <c r="AF46" s="592"/>
      <c r="AG46" s="592"/>
      <c r="AH46" s="592"/>
      <c r="AI46" s="592"/>
      <c r="AJ46" s="592"/>
      <c r="AK46" s="592"/>
      <c r="AL46" s="592"/>
      <c r="AM46" s="592"/>
      <c r="AN46" s="592"/>
      <c r="AO46" s="592"/>
      <c r="AP46" s="592"/>
      <c r="AQ46" s="592"/>
      <c r="AR46" s="592"/>
      <c r="AS46" s="590"/>
      <c r="AT46" s="590"/>
      <c r="AU46" s="590"/>
      <c r="AV46" s="590"/>
      <c r="AW46" s="590"/>
      <c r="AX46" s="590"/>
      <c r="AY46" s="590"/>
      <c r="AZ46" s="590"/>
      <c r="BA46" s="590"/>
      <c r="BB46" s="590"/>
      <c r="BC46" s="590"/>
      <c r="BD46" s="590"/>
      <c r="BE46" s="590"/>
      <c r="BF46" s="590"/>
      <c r="BG46" s="590"/>
      <c r="BH46" s="590"/>
      <c r="BI46" s="590"/>
      <c r="BJ46" s="590"/>
      <c r="BK46" s="591"/>
      <c r="BL46" s="591"/>
      <c r="BM46" s="591"/>
      <c r="BN46" s="591"/>
      <c r="BO46" s="591"/>
      <c r="BP46" s="591"/>
      <c r="BQ46" s="591"/>
      <c r="BR46" s="591"/>
      <c r="BS46" s="591"/>
      <c r="BT46" s="591"/>
      <c r="BU46" s="591"/>
      <c r="BV46" s="591"/>
      <c r="BW46" s="591"/>
      <c r="BX46" s="591"/>
      <c r="BY46" s="591"/>
      <c r="BZ46" s="591"/>
      <c r="CA46" s="591"/>
      <c r="CB46" s="591"/>
      <c r="CC46" s="591"/>
      <c r="CD46" s="591"/>
      <c r="CE46" s="591"/>
      <c r="CF46" s="591"/>
    </row>
    <row r="47" spans="1:84">
      <c r="A47" s="590"/>
      <c r="B47" s="592"/>
      <c r="C47" s="592"/>
      <c r="D47" s="599"/>
      <c r="E47" s="599"/>
      <c r="F47" s="599"/>
      <c r="G47" s="592"/>
      <c r="H47" s="592"/>
      <c r="I47" s="592"/>
      <c r="J47" s="592"/>
      <c r="K47" s="592"/>
      <c r="L47" s="592"/>
      <c r="M47" s="592"/>
      <c r="N47" s="592"/>
      <c r="O47" s="592"/>
      <c r="P47" s="592"/>
      <c r="Q47" s="592"/>
      <c r="R47" s="592"/>
      <c r="S47" s="592"/>
      <c r="T47" s="592"/>
      <c r="U47" s="592"/>
      <c r="V47" s="600">
        <f>100*(+AD41/$E$9)</f>
        <v>2450.8600548759296</v>
      </c>
      <c r="W47" s="610">
        <f>EXP(5.7226-(0.68367*LN(+V47)))</f>
        <v>1.4727133170957254</v>
      </c>
      <c r="X47" s="601">
        <f>(+W47*V47)/100</f>
        <v>36.094142411537419</v>
      </c>
      <c r="Y47" s="600">
        <f>100*((((X47/100)-((X47/100)-0.03574)*$E$21)-0.03574-0.00619)/0.344)</f>
        <v>60.593877882600864</v>
      </c>
      <c r="Z47" s="592">
        <f>$E$20</f>
        <v>0.25</v>
      </c>
      <c r="AA47" s="600">
        <f>Y47+Z47</f>
        <v>60.843877882600864</v>
      </c>
      <c r="AB47" s="600">
        <f>100*($E$17*$E$19+($E$18*(AA47/100))/(1-$E$21))</f>
        <v>56.541121362556915</v>
      </c>
      <c r="AC47" s="601">
        <f>AB47/V47</f>
        <v>2.3069910193390952E-2</v>
      </c>
      <c r="AD47" s="599">
        <f>ROUND($E$8/(1-AC47),0)</f>
        <v>24103</v>
      </c>
      <c r="AE47" s="592" t="str">
        <f>IF(OR(OR(AD47=AD41,AD47=(AD41+1)),AD47=(AD33-1)),"yes","not yet")</f>
        <v>yes</v>
      </c>
      <c r="AF47" s="600">
        <f>100*(1-AC47)</f>
        <v>97.693008980660906</v>
      </c>
      <c r="AG47" s="592"/>
      <c r="AH47" s="592"/>
      <c r="AI47" s="592"/>
      <c r="AJ47" s="592"/>
      <c r="AK47" s="592"/>
      <c r="AL47" s="592"/>
      <c r="AM47" s="592"/>
      <c r="AN47" s="592"/>
      <c r="AO47" s="592"/>
      <c r="AP47" s="592"/>
      <c r="AQ47" s="592"/>
      <c r="AR47" s="592"/>
      <c r="AS47" s="590"/>
      <c r="AT47" s="590"/>
      <c r="AU47" s="590"/>
      <c r="AV47" s="590"/>
      <c r="AW47" s="590"/>
      <c r="AX47" s="590"/>
      <c r="AY47" s="590"/>
      <c r="AZ47" s="590"/>
      <c r="BA47" s="590"/>
      <c r="BB47" s="590"/>
      <c r="BC47" s="590"/>
      <c r="BD47" s="590"/>
      <c r="BE47" s="590"/>
      <c r="BF47" s="590"/>
      <c r="BG47" s="590"/>
      <c r="BH47" s="590"/>
      <c r="BI47" s="590"/>
      <c r="BJ47" s="590"/>
      <c r="BK47" s="591"/>
      <c r="BL47" s="591"/>
      <c r="BM47" s="591"/>
      <c r="BN47" s="591"/>
      <c r="BO47" s="591"/>
      <c r="BP47" s="591"/>
      <c r="BQ47" s="591"/>
      <c r="BR47" s="591"/>
      <c r="BS47" s="591"/>
      <c r="BT47" s="591"/>
      <c r="BU47" s="591"/>
      <c r="BV47" s="591"/>
      <c r="BW47" s="591"/>
      <c r="BX47" s="591"/>
      <c r="BY47" s="591"/>
      <c r="BZ47" s="591"/>
      <c r="CA47" s="591"/>
      <c r="CB47" s="591"/>
      <c r="CC47" s="591"/>
      <c r="CD47" s="591"/>
      <c r="CE47" s="591"/>
      <c r="CF47" s="591"/>
    </row>
    <row r="48" spans="1:84">
      <c r="A48" s="590"/>
      <c r="B48" s="592"/>
      <c r="C48" s="592"/>
      <c r="D48" s="592"/>
      <c r="E48" s="595"/>
      <c r="F48" s="592"/>
      <c r="G48" s="592"/>
      <c r="H48" s="592"/>
      <c r="I48" s="592"/>
      <c r="J48" s="592"/>
      <c r="K48" s="592"/>
      <c r="L48" s="592"/>
      <c r="M48" s="592"/>
      <c r="N48" s="592"/>
      <c r="O48" s="592"/>
      <c r="P48" s="592"/>
      <c r="Q48" s="592"/>
      <c r="R48" s="592"/>
      <c r="S48" s="592"/>
      <c r="T48" s="592"/>
      <c r="U48" s="592"/>
      <c r="V48" s="600">
        <f>100*(+AD42/$E$9)</f>
        <v>2449.9449098527421</v>
      </c>
      <c r="W48" s="610">
        <f>EXP(5.70827-(0.68367*LN(+V48)))</f>
        <v>1.4521305483484079</v>
      </c>
      <c r="X48" s="601">
        <f>(+W48*V48)/100</f>
        <v>35.576398453678529</v>
      </c>
      <c r="Y48" s="600">
        <f>100*((((X48/100)-((X48/100)-0.03574)*$E$21)-0.03574-0.00619)/0.344)</f>
        <v>59.600531916941371</v>
      </c>
      <c r="Z48" s="592">
        <f>$E$20</f>
        <v>0.25</v>
      </c>
      <c r="AA48" s="600">
        <f>Y48+Z48</f>
        <v>59.850531916941371</v>
      </c>
      <c r="AB48" s="600">
        <f>100*($E$17*$E$19+($E$18*(AA48/100))/(1-$E$21))</f>
        <v>55.638079575593736</v>
      </c>
      <c r="AC48" s="601">
        <f>AB48/V48</f>
        <v>2.270993088531854E-2</v>
      </c>
      <c r="AD48" s="599">
        <f>ROUND($E$8/(1-AC48),0)</f>
        <v>24094</v>
      </c>
      <c r="AE48" s="592" t="str">
        <f>IF(OR(OR(AD48=AD42,AD48=(AD42+1)),AD48=(AD42-1)),"yes","not yet")</f>
        <v>yes</v>
      </c>
      <c r="AF48" s="600">
        <f>100*(1-AC48)</f>
        <v>97.729006911468147</v>
      </c>
      <c r="AG48" s="592"/>
      <c r="AH48" s="592"/>
      <c r="AI48" s="592"/>
      <c r="AJ48" s="592"/>
      <c r="AK48" s="592"/>
      <c r="AL48" s="592"/>
      <c r="AM48" s="592"/>
      <c r="AN48" s="592"/>
      <c r="AO48" s="592"/>
      <c r="AP48" s="592"/>
      <c r="AQ48" s="592"/>
      <c r="AR48" s="592"/>
      <c r="AS48" s="590"/>
      <c r="AT48" s="590"/>
      <c r="AU48" s="590"/>
      <c r="AV48" s="590"/>
      <c r="AW48" s="590"/>
      <c r="AX48" s="590"/>
      <c r="AY48" s="590"/>
      <c r="AZ48" s="590"/>
      <c r="BA48" s="590"/>
      <c r="BB48" s="590"/>
      <c r="BC48" s="590"/>
      <c r="BD48" s="590"/>
      <c r="BE48" s="590"/>
      <c r="BF48" s="590"/>
      <c r="BG48" s="590"/>
      <c r="BH48" s="590"/>
      <c r="BI48" s="590"/>
      <c r="BJ48" s="590"/>
      <c r="BK48" s="591"/>
      <c r="BL48" s="591"/>
      <c r="BM48" s="591"/>
      <c r="BN48" s="591"/>
      <c r="BO48" s="591"/>
      <c r="BP48" s="591"/>
      <c r="BQ48" s="591"/>
      <c r="BR48" s="591"/>
      <c r="BS48" s="591"/>
      <c r="BT48" s="591"/>
      <c r="BU48" s="591"/>
      <c r="BV48" s="591"/>
      <c r="BW48" s="591"/>
      <c r="BX48" s="591"/>
      <c r="BY48" s="591"/>
      <c r="BZ48" s="591"/>
      <c r="CA48" s="591"/>
      <c r="CB48" s="591"/>
      <c r="CC48" s="591"/>
      <c r="CD48" s="591"/>
      <c r="CE48" s="591"/>
      <c r="CF48" s="591"/>
    </row>
    <row r="49" spans="1:84">
      <c r="A49" s="590"/>
      <c r="B49" s="592"/>
      <c r="C49" s="592"/>
      <c r="D49" s="592"/>
      <c r="E49" s="595"/>
      <c r="F49" s="592"/>
      <c r="G49" s="592"/>
      <c r="H49" s="592"/>
      <c r="I49" s="592"/>
      <c r="J49" s="592"/>
      <c r="K49" s="592"/>
      <c r="L49" s="592"/>
      <c r="M49" s="592"/>
      <c r="N49" s="592"/>
      <c r="O49" s="592"/>
      <c r="P49" s="592"/>
      <c r="Q49" s="592"/>
      <c r="R49" s="592"/>
      <c r="S49" s="592"/>
      <c r="T49" s="592"/>
      <c r="U49" s="592"/>
      <c r="V49" s="600">
        <f>100*(+AD43/$E$9)</f>
        <v>2449.3348131706175</v>
      </c>
      <c r="W49" s="610">
        <f>EXP(5.6985-(0.68367*LN(V49)))</f>
        <v>1.4382571866903564</v>
      </c>
      <c r="X49" s="601">
        <f>(+W49*V49)/100</f>
        <v>35.22773397653522</v>
      </c>
      <c r="Y49" s="600">
        <f>100*((((X49/100)-((X49/100)-0.03574)*$E$21)-0.03574-0.00619)/0.344)</f>
        <v>58.931582629398974</v>
      </c>
      <c r="Z49" s="592">
        <f>$E$20</f>
        <v>0.25</v>
      </c>
      <c r="AA49" s="600">
        <f>Y49+Z49</f>
        <v>59.181582629398974</v>
      </c>
      <c r="AB49" s="600">
        <f>100*($E$17*$E$19+($E$18*(AA49/100))/(1-$E$21))</f>
        <v>55.029943859646103</v>
      </c>
      <c r="AC49" s="601">
        <f>AB49/V49</f>
        <v>2.2467301556217577E-2</v>
      </c>
      <c r="AD49" s="599">
        <f>ROUND($E$8/(1-AC49),0)</f>
        <v>24088</v>
      </c>
      <c r="AE49" s="592" t="str">
        <f>IF(OR(OR(AD49=AD43,AD49=(AD43+1)),AD49=(AD43-1)),"yes","not yet")</f>
        <v>yes</v>
      </c>
      <c r="AF49" s="600">
        <f>100*(1-AC49)</f>
        <v>97.753269844378238</v>
      </c>
      <c r="AG49" s="592"/>
      <c r="AH49" s="592"/>
      <c r="AI49" s="592"/>
      <c r="AJ49" s="592"/>
      <c r="AK49" s="592"/>
      <c r="AL49" s="592"/>
      <c r="AM49" s="592"/>
      <c r="AN49" s="592"/>
      <c r="AO49" s="592"/>
      <c r="AP49" s="592"/>
      <c r="AQ49" s="592"/>
      <c r="AR49" s="592"/>
      <c r="AS49" s="590"/>
      <c r="AT49" s="590"/>
      <c r="AU49" s="590"/>
      <c r="AV49" s="590"/>
      <c r="AW49" s="590"/>
      <c r="AX49" s="590"/>
      <c r="AY49" s="590"/>
      <c r="AZ49" s="590"/>
      <c r="BA49" s="590"/>
      <c r="BB49" s="590"/>
      <c r="BC49" s="590"/>
      <c r="BD49" s="590"/>
      <c r="BE49" s="590"/>
      <c r="BF49" s="590"/>
      <c r="BG49" s="590"/>
      <c r="BH49" s="590"/>
      <c r="BI49" s="590"/>
      <c r="BJ49" s="590"/>
      <c r="BK49" s="591"/>
      <c r="BL49" s="591"/>
      <c r="BM49" s="591"/>
      <c r="BN49" s="591"/>
      <c r="BO49" s="591"/>
      <c r="BP49" s="591"/>
      <c r="BQ49" s="591"/>
      <c r="BR49" s="591"/>
      <c r="BS49" s="591"/>
      <c r="BT49" s="591"/>
      <c r="BU49" s="591"/>
      <c r="BV49" s="591"/>
      <c r="BW49" s="591"/>
      <c r="BX49" s="591"/>
      <c r="BY49" s="591"/>
      <c r="BZ49" s="591"/>
      <c r="CA49" s="591"/>
      <c r="CB49" s="591"/>
      <c r="CC49" s="591"/>
      <c r="CD49" s="591"/>
      <c r="CE49" s="591"/>
      <c r="CF49" s="591"/>
    </row>
    <row r="50" spans="1:84">
      <c r="A50" s="590"/>
      <c r="B50" s="592"/>
      <c r="C50" s="592"/>
      <c r="D50" s="592"/>
      <c r="E50" s="595"/>
      <c r="F50" s="592"/>
      <c r="G50" s="592"/>
      <c r="H50" s="592"/>
      <c r="I50" s="592"/>
      <c r="J50" s="592"/>
      <c r="K50" s="592"/>
      <c r="L50" s="592"/>
      <c r="M50" s="592"/>
      <c r="N50" s="592"/>
      <c r="O50" s="592"/>
      <c r="P50" s="592"/>
      <c r="Q50" s="592"/>
      <c r="R50" s="592"/>
      <c r="S50" s="592"/>
      <c r="T50" s="592"/>
      <c r="U50" s="592"/>
      <c r="V50" s="600">
        <f>100*(+AD44/$E$9)</f>
        <v>2448.9280820492008</v>
      </c>
      <c r="W50" s="610">
        <f>EXP(5.6922-(0.68367*LN(V50)))</f>
        <v>1.4293869295260628</v>
      </c>
      <c r="X50" s="601">
        <f>(+W50*V50)/100</f>
        <v>35.004657918304574</v>
      </c>
      <c r="Y50" s="600">
        <f>100*((((X50/100)-((X50/100)-0.03574)*$E$21)-0.03574-0.00619)/0.344)</f>
        <v>58.503587866514586</v>
      </c>
      <c r="Z50" s="592">
        <f>$E$20</f>
        <v>0.25</v>
      </c>
      <c r="AA50" s="600">
        <f>Y50+Z50</f>
        <v>58.753587866514586</v>
      </c>
      <c r="AB50" s="600">
        <f>100*($E$17*$E$19+($E$18*(AA50/100))/(1-$E$21))</f>
        <v>54.640857711569389</v>
      </c>
      <c r="AC50" s="601">
        <f>AB50/V50</f>
        <v>2.2312152860710921E-2</v>
      </c>
      <c r="AD50" s="599">
        <f>ROUND($E$8/(1-AC50),0)</f>
        <v>24084</v>
      </c>
      <c r="AE50" s="592" t="str">
        <f>IF(OR(OR(AD50=AD44,AD50=(AD44+1)),AD50=(AD44-1)),"yes","not yet")</f>
        <v>yes</v>
      </c>
      <c r="AF50" s="600">
        <f>100*(1-AC50)</f>
        <v>97.768784713928909</v>
      </c>
      <c r="AG50" s="592"/>
      <c r="AH50" s="592"/>
      <c r="AI50" s="592"/>
      <c r="AJ50" s="592"/>
      <c r="AK50" s="592"/>
      <c r="AL50" s="592"/>
      <c r="AM50" s="592"/>
      <c r="AN50" s="592"/>
      <c r="AO50" s="592"/>
      <c r="AP50" s="592"/>
      <c r="AQ50" s="592"/>
      <c r="AR50" s="592"/>
      <c r="AS50" s="590"/>
      <c r="AT50" s="590"/>
      <c r="AU50" s="590"/>
      <c r="AV50" s="590"/>
      <c r="AW50" s="590"/>
      <c r="AX50" s="590"/>
      <c r="AY50" s="590"/>
      <c r="AZ50" s="590"/>
      <c r="BA50" s="590"/>
      <c r="BB50" s="590"/>
      <c r="BC50" s="590"/>
      <c r="BD50" s="590"/>
      <c r="BE50" s="590"/>
      <c r="BF50" s="590"/>
      <c r="BG50" s="590"/>
      <c r="BH50" s="590"/>
      <c r="BI50" s="590"/>
      <c r="BJ50" s="590"/>
      <c r="BK50" s="591"/>
      <c r="BL50" s="591"/>
      <c r="BM50" s="591"/>
      <c r="BN50" s="591"/>
      <c r="BO50" s="591"/>
      <c r="BP50" s="591"/>
      <c r="BQ50" s="591"/>
      <c r="BR50" s="591"/>
      <c r="BS50" s="591"/>
      <c r="BT50" s="591"/>
      <c r="BU50" s="591"/>
      <c r="BV50" s="591"/>
      <c r="BW50" s="591"/>
      <c r="BX50" s="591"/>
      <c r="BY50" s="591"/>
      <c r="BZ50" s="591"/>
      <c r="CA50" s="591"/>
      <c r="CB50" s="591"/>
      <c r="CC50" s="591"/>
      <c r="CD50" s="591"/>
      <c r="CE50" s="591"/>
      <c r="CF50" s="591"/>
    </row>
    <row r="51" spans="1:84">
      <c r="A51" s="590"/>
      <c r="B51" s="592"/>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600"/>
      <c r="AB51" s="592"/>
      <c r="AC51" s="592"/>
      <c r="AD51" s="592"/>
      <c r="AE51" s="592"/>
      <c r="AF51" s="592"/>
      <c r="AG51" s="592"/>
      <c r="AH51" s="592"/>
      <c r="AI51" s="592"/>
      <c r="AJ51" s="592"/>
      <c r="AK51" s="592"/>
      <c r="AL51" s="592"/>
      <c r="AM51" s="592"/>
      <c r="AN51" s="592"/>
      <c r="AO51" s="592"/>
      <c r="AP51" s="592"/>
      <c r="AQ51" s="592"/>
      <c r="AR51" s="592"/>
      <c r="AS51" s="590"/>
      <c r="AT51" s="590"/>
      <c r="AU51" s="590"/>
      <c r="AV51" s="590"/>
      <c r="AW51" s="590"/>
      <c r="AX51" s="590"/>
      <c r="AY51" s="590"/>
      <c r="AZ51" s="590"/>
      <c r="BA51" s="590"/>
      <c r="BB51" s="590"/>
      <c r="BC51" s="590"/>
      <c r="BD51" s="590"/>
      <c r="BE51" s="590"/>
      <c r="BF51" s="590"/>
      <c r="BG51" s="590"/>
      <c r="BH51" s="590"/>
      <c r="BI51" s="590"/>
      <c r="BJ51" s="590"/>
      <c r="BK51" s="591"/>
      <c r="BL51" s="591"/>
      <c r="BM51" s="591"/>
      <c r="BN51" s="591"/>
      <c r="BO51" s="591"/>
      <c r="BP51" s="591"/>
      <c r="BQ51" s="591"/>
      <c r="BR51" s="591"/>
      <c r="BS51" s="591"/>
      <c r="BT51" s="591"/>
      <c r="BU51" s="591"/>
      <c r="BV51" s="591"/>
      <c r="BW51" s="591"/>
      <c r="BX51" s="591"/>
      <c r="BY51" s="591"/>
      <c r="BZ51" s="591"/>
      <c r="CA51" s="591"/>
      <c r="CB51" s="591"/>
      <c r="CC51" s="591"/>
      <c r="CD51" s="591"/>
      <c r="CE51" s="591"/>
      <c r="CF51" s="591"/>
    </row>
    <row r="52" spans="1:84">
      <c r="A52" s="590"/>
      <c r="B52" s="592"/>
      <c r="C52" s="592"/>
      <c r="D52" s="592"/>
      <c r="E52" s="592"/>
      <c r="F52" s="592"/>
      <c r="G52" s="592"/>
      <c r="H52" s="592"/>
      <c r="I52" s="592"/>
      <c r="J52" s="592"/>
      <c r="K52" s="592"/>
      <c r="L52" s="592"/>
      <c r="M52" s="592"/>
      <c r="N52" s="592"/>
      <c r="O52" s="592"/>
      <c r="P52" s="592"/>
      <c r="Q52" s="592"/>
      <c r="R52" s="592"/>
      <c r="S52" s="592"/>
      <c r="T52" s="592"/>
      <c r="U52" s="592"/>
      <c r="V52" s="597" t="s">
        <v>395</v>
      </c>
      <c r="W52" s="609" t="s">
        <v>331</v>
      </c>
      <c r="X52" s="609" t="s">
        <v>341</v>
      </c>
      <c r="Y52" s="609" t="s">
        <v>342</v>
      </c>
      <c r="Z52" s="592"/>
      <c r="AA52" s="600"/>
      <c r="AB52" s="592"/>
      <c r="AC52" s="592"/>
      <c r="AD52" s="592"/>
      <c r="AE52" s="592"/>
      <c r="AF52" s="592"/>
      <c r="AG52" s="592"/>
      <c r="AH52" s="592"/>
      <c r="AI52" s="592"/>
      <c r="AJ52" s="592"/>
      <c r="AK52" s="592"/>
      <c r="AL52" s="592"/>
      <c r="AM52" s="592"/>
      <c r="AN52" s="592"/>
      <c r="AO52" s="592"/>
      <c r="AP52" s="592"/>
      <c r="AQ52" s="592"/>
      <c r="AR52" s="592"/>
      <c r="AS52" s="590"/>
      <c r="AT52" s="590"/>
      <c r="AU52" s="590"/>
      <c r="AV52" s="590"/>
      <c r="AW52" s="590"/>
      <c r="AX52" s="590"/>
      <c r="AY52" s="590"/>
      <c r="AZ52" s="590"/>
      <c r="BA52" s="590"/>
      <c r="BB52" s="590"/>
      <c r="BC52" s="590"/>
      <c r="BD52" s="590"/>
      <c r="BE52" s="590"/>
      <c r="BF52" s="590"/>
      <c r="BG52" s="590"/>
      <c r="BH52" s="590"/>
      <c r="BI52" s="590"/>
      <c r="BJ52" s="590"/>
      <c r="BK52" s="591"/>
      <c r="BL52" s="591"/>
      <c r="BM52" s="591"/>
      <c r="BN52" s="591"/>
      <c r="BO52" s="591"/>
      <c r="BP52" s="591"/>
      <c r="BQ52" s="591"/>
      <c r="BR52" s="591"/>
      <c r="BS52" s="591"/>
      <c r="BT52" s="591"/>
      <c r="BU52" s="591"/>
      <c r="BV52" s="591"/>
      <c r="BW52" s="591"/>
      <c r="BX52" s="591"/>
      <c r="BY52" s="591"/>
      <c r="BZ52" s="591"/>
      <c r="CA52" s="591"/>
      <c r="CB52" s="591"/>
      <c r="CC52" s="591"/>
      <c r="CD52" s="591"/>
      <c r="CE52" s="591"/>
      <c r="CF52" s="591"/>
    </row>
    <row r="53" spans="1:84">
      <c r="A53" s="590"/>
      <c r="B53" s="592"/>
      <c r="C53" s="592"/>
      <c r="D53" s="592"/>
      <c r="E53" s="592"/>
      <c r="F53" s="592"/>
      <c r="G53" s="592"/>
      <c r="H53" s="592"/>
      <c r="I53" s="592"/>
      <c r="J53" s="592"/>
      <c r="K53" s="592"/>
      <c r="L53" s="592"/>
      <c r="M53" s="592"/>
      <c r="N53" s="592"/>
      <c r="O53" s="592"/>
      <c r="P53" s="592"/>
      <c r="Q53" s="592"/>
      <c r="R53" s="592"/>
      <c r="S53" s="592"/>
      <c r="T53" s="592"/>
      <c r="U53" s="592"/>
      <c r="V53" s="600">
        <f>100*(+AD47/$E$9)</f>
        <v>2450.8600548759296</v>
      </c>
      <c r="W53" s="610">
        <f>EXP(5.7226-(0.68367*LN(+V53)))</f>
        <v>1.4727133170957254</v>
      </c>
      <c r="X53" s="601">
        <f>(+W53*V53)/100</f>
        <v>36.094142411537419</v>
      </c>
      <c r="Y53" s="600">
        <f>100*((((X53/100)-((X53/100)-0.03574)*$E$21)-0.03574-0.00619)/0.344)</f>
        <v>60.593877882600864</v>
      </c>
      <c r="Z53" s="592">
        <f>$E$20</f>
        <v>0.25</v>
      </c>
      <c r="AA53" s="600">
        <f>Y53+Z53</f>
        <v>60.843877882600864</v>
      </c>
      <c r="AB53" s="600">
        <f>100*($E$17*$E$19+($E$18*(AA53/100))/(1-$E$21))</f>
        <v>56.541121362556915</v>
      </c>
      <c r="AC53" s="601">
        <f>AB53/V53</f>
        <v>2.3069910193390952E-2</v>
      </c>
      <c r="AD53" s="599">
        <f>ROUND($E$8/(1-AC53),0)</f>
        <v>24103</v>
      </c>
      <c r="AE53" s="592" t="str">
        <f>IF(OR(OR(AD53=AD47,AD53=(AD47+1)),AD53=(AD39-1)),"yes","not yet")</f>
        <v>yes</v>
      </c>
      <c r="AF53" s="600">
        <f>100*(1-AC53)</f>
        <v>97.693008980660906</v>
      </c>
      <c r="AG53" s="592"/>
      <c r="AH53" s="592"/>
      <c r="AI53" s="592"/>
      <c r="AJ53" s="592"/>
      <c r="AK53" s="592"/>
      <c r="AL53" s="592"/>
      <c r="AM53" s="592"/>
      <c r="AN53" s="592"/>
      <c r="AO53" s="592"/>
      <c r="AP53" s="592"/>
      <c r="AQ53" s="592"/>
      <c r="AR53" s="592"/>
      <c r="AS53" s="590"/>
      <c r="AT53" s="590"/>
      <c r="AU53" s="590"/>
      <c r="AV53" s="590"/>
      <c r="AW53" s="590"/>
      <c r="AX53" s="590"/>
      <c r="AY53" s="590"/>
      <c r="AZ53" s="590"/>
      <c r="BA53" s="590"/>
      <c r="BB53" s="590"/>
      <c r="BC53" s="590"/>
      <c r="BD53" s="590"/>
      <c r="BE53" s="590"/>
      <c r="BF53" s="590"/>
      <c r="BG53" s="590"/>
      <c r="BH53" s="590"/>
      <c r="BI53" s="590"/>
      <c r="BJ53" s="590"/>
      <c r="BK53" s="591"/>
      <c r="BL53" s="591"/>
      <c r="BM53" s="591"/>
      <c r="BN53" s="591"/>
      <c r="BO53" s="591"/>
      <c r="BP53" s="591"/>
      <c r="BQ53" s="591"/>
      <c r="BR53" s="591"/>
      <c r="BS53" s="591"/>
      <c r="BT53" s="591"/>
      <c r="BU53" s="591"/>
      <c r="BV53" s="591"/>
      <c r="BW53" s="591"/>
      <c r="BX53" s="591"/>
      <c r="BY53" s="591"/>
      <c r="BZ53" s="591"/>
      <c r="CA53" s="591"/>
      <c r="CB53" s="591"/>
      <c r="CC53" s="591"/>
      <c r="CD53" s="591"/>
      <c r="CE53" s="591"/>
      <c r="CF53" s="591"/>
    </row>
    <row r="54" spans="1:84">
      <c r="A54" s="590"/>
      <c r="B54" s="592"/>
      <c r="C54" s="592"/>
      <c r="D54" s="592"/>
      <c r="E54" s="592"/>
      <c r="F54" s="592"/>
      <c r="G54" s="592"/>
      <c r="H54" s="592"/>
      <c r="I54" s="592"/>
      <c r="J54" s="592"/>
      <c r="K54" s="592"/>
      <c r="L54" s="592"/>
      <c r="M54" s="592"/>
      <c r="N54" s="592"/>
      <c r="O54" s="592"/>
      <c r="P54" s="592"/>
      <c r="Q54" s="592"/>
      <c r="R54" s="592"/>
      <c r="S54" s="592"/>
      <c r="T54" s="592"/>
      <c r="U54" s="592"/>
      <c r="V54" s="600">
        <f>100*(+AD48/$E$9)</f>
        <v>2449.9449098527421</v>
      </c>
      <c r="W54" s="610">
        <f>EXP(5.70827-(0.68367*LN(+V54)))</f>
        <v>1.4521305483484079</v>
      </c>
      <c r="X54" s="601">
        <f>(+W54*V54)/100</f>
        <v>35.576398453678529</v>
      </c>
      <c r="Y54" s="600">
        <f>100*((((X54/100)-((X54/100)-0.03574)*$E$21)-0.03574-0.00619)/0.344)</f>
        <v>59.600531916941371</v>
      </c>
      <c r="Z54" s="592">
        <f>$E$20</f>
        <v>0.25</v>
      </c>
      <c r="AA54" s="600">
        <f>Y54+Z54</f>
        <v>59.850531916941371</v>
      </c>
      <c r="AB54" s="600">
        <f>100*($E$17*$E$19+($E$18*(AA54/100))/(1-$E$21))</f>
        <v>55.638079575593736</v>
      </c>
      <c r="AC54" s="601">
        <f>AB54/V54</f>
        <v>2.270993088531854E-2</v>
      </c>
      <c r="AD54" s="599">
        <f>ROUND($E$8/(1-AC54),0)</f>
        <v>24094</v>
      </c>
      <c r="AE54" s="592" t="str">
        <f>IF(OR(OR(AD54=AD48,AD54=(AD48+1)),AD54=(AD48-1)),"yes","not yet")</f>
        <v>yes</v>
      </c>
      <c r="AF54" s="600">
        <f>100*(1-AC54)</f>
        <v>97.729006911468147</v>
      </c>
      <c r="AG54" s="592"/>
      <c r="AH54" s="592"/>
      <c r="AI54" s="592"/>
      <c r="AJ54" s="592"/>
      <c r="AK54" s="592"/>
      <c r="AL54" s="592"/>
      <c r="AM54" s="592"/>
      <c r="AN54" s="592"/>
      <c r="AO54" s="592"/>
      <c r="AP54" s="592"/>
      <c r="AQ54" s="592"/>
      <c r="AR54" s="592"/>
      <c r="AS54" s="590"/>
      <c r="AT54" s="590"/>
      <c r="AU54" s="590"/>
      <c r="AV54" s="590"/>
      <c r="AW54" s="590"/>
      <c r="AX54" s="590"/>
      <c r="AY54" s="590"/>
      <c r="AZ54" s="590"/>
      <c r="BA54" s="590"/>
      <c r="BB54" s="590"/>
      <c r="BC54" s="590"/>
      <c r="BD54" s="590"/>
      <c r="BE54" s="590"/>
      <c r="BF54" s="590"/>
      <c r="BG54" s="590"/>
      <c r="BH54" s="590"/>
      <c r="BI54" s="590"/>
      <c r="BJ54" s="590"/>
      <c r="BK54" s="591"/>
      <c r="BL54" s="591"/>
      <c r="BM54" s="591"/>
      <c r="BN54" s="591"/>
      <c r="BO54" s="591"/>
      <c r="BP54" s="591"/>
      <c r="BQ54" s="591"/>
      <c r="BR54" s="591"/>
      <c r="BS54" s="591"/>
      <c r="BT54" s="591"/>
      <c r="BU54" s="591"/>
      <c r="BV54" s="591"/>
      <c r="BW54" s="591"/>
      <c r="BX54" s="591"/>
      <c r="BY54" s="591"/>
      <c r="BZ54" s="591"/>
      <c r="CA54" s="591"/>
      <c r="CB54" s="591"/>
      <c r="CC54" s="591"/>
      <c r="CD54" s="591"/>
      <c r="CE54" s="591"/>
      <c r="CF54" s="591"/>
    </row>
    <row r="55" spans="1:84">
      <c r="A55" s="590"/>
      <c r="B55" s="592"/>
      <c r="C55" s="592"/>
      <c r="D55" s="592"/>
      <c r="E55" s="592"/>
      <c r="F55" s="592"/>
      <c r="G55" s="592"/>
      <c r="H55" s="592"/>
      <c r="I55" s="592"/>
      <c r="J55" s="592"/>
      <c r="K55" s="592"/>
      <c r="L55" s="592"/>
      <c r="M55" s="592"/>
      <c r="N55" s="592"/>
      <c r="O55" s="592"/>
      <c r="P55" s="592"/>
      <c r="Q55" s="592"/>
      <c r="R55" s="592"/>
      <c r="S55" s="592"/>
      <c r="T55" s="592"/>
      <c r="U55" s="592"/>
      <c r="V55" s="600">
        <f>100*(+AD49/$E$9)</f>
        <v>2449.3348131706175</v>
      </c>
      <c r="W55" s="610">
        <f>EXP(5.6985-(0.68367*LN(V55)))</f>
        <v>1.4382571866903564</v>
      </c>
      <c r="X55" s="601">
        <f>(+W55*V55)/100</f>
        <v>35.22773397653522</v>
      </c>
      <c r="Y55" s="600">
        <f>100*((((X55/100)-((X55/100)-0.03574)*$E$21)-0.03574-0.00619)/0.344)</f>
        <v>58.931582629398974</v>
      </c>
      <c r="Z55" s="592">
        <f>$E$20</f>
        <v>0.25</v>
      </c>
      <c r="AA55" s="600">
        <f>Y55+Z55</f>
        <v>59.181582629398974</v>
      </c>
      <c r="AB55" s="600">
        <f>100*($E$17*$E$19+($E$18*(AA55/100))/(1-$E$21))</f>
        <v>55.029943859646103</v>
      </c>
      <c r="AC55" s="601">
        <f>AB55/V55</f>
        <v>2.2467301556217577E-2</v>
      </c>
      <c r="AD55" s="599">
        <f>ROUND($E$8/(1-AC55),0)</f>
        <v>24088</v>
      </c>
      <c r="AE55" s="592" t="str">
        <f>IF(OR(OR(AD55=AD49,AD55=(AD49+1)),AD55=(AD49-1)),"yes","not yet")</f>
        <v>yes</v>
      </c>
      <c r="AF55" s="600">
        <f>100*(1-AC55)</f>
        <v>97.753269844378238</v>
      </c>
      <c r="AG55" s="592"/>
      <c r="AH55" s="592"/>
      <c r="AI55" s="592"/>
      <c r="AJ55" s="592"/>
      <c r="AK55" s="592"/>
      <c r="AL55" s="592"/>
      <c r="AM55" s="592"/>
      <c r="AN55" s="592"/>
      <c r="AO55" s="592"/>
      <c r="AP55" s="592"/>
      <c r="AQ55" s="592"/>
      <c r="AR55" s="592"/>
      <c r="AS55" s="590"/>
      <c r="AT55" s="590"/>
      <c r="AU55" s="590"/>
      <c r="AV55" s="590"/>
      <c r="AW55" s="590"/>
      <c r="AX55" s="590"/>
      <c r="AY55" s="590"/>
      <c r="AZ55" s="590"/>
      <c r="BA55" s="590"/>
      <c r="BB55" s="590"/>
      <c r="BC55" s="590"/>
      <c r="BD55" s="590"/>
      <c r="BE55" s="590"/>
      <c r="BF55" s="590"/>
      <c r="BG55" s="590"/>
      <c r="BH55" s="590"/>
      <c r="BI55" s="590"/>
      <c r="BJ55" s="590"/>
      <c r="BK55" s="591"/>
      <c r="BL55" s="591"/>
      <c r="BM55" s="591"/>
      <c r="BN55" s="591"/>
      <c r="BO55" s="591"/>
      <c r="BP55" s="591"/>
      <c r="BQ55" s="591"/>
      <c r="BR55" s="591"/>
      <c r="BS55" s="591"/>
      <c r="BT55" s="591"/>
      <c r="BU55" s="591"/>
      <c r="BV55" s="591"/>
      <c r="BW55" s="591"/>
      <c r="BX55" s="591"/>
      <c r="BY55" s="591"/>
      <c r="BZ55" s="591"/>
      <c r="CA55" s="591"/>
      <c r="CB55" s="591"/>
      <c r="CC55" s="591"/>
      <c r="CD55" s="591"/>
      <c r="CE55" s="591"/>
      <c r="CF55" s="591"/>
    </row>
    <row r="56" spans="1:84">
      <c r="A56" s="590"/>
      <c r="B56" s="592"/>
      <c r="C56" s="592"/>
      <c r="D56" s="592"/>
      <c r="E56" s="592"/>
      <c r="F56" s="592"/>
      <c r="G56" s="592"/>
      <c r="H56" s="592"/>
      <c r="I56" s="592"/>
      <c r="J56" s="592"/>
      <c r="K56" s="592"/>
      <c r="L56" s="592"/>
      <c r="M56" s="592"/>
      <c r="N56" s="592"/>
      <c r="O56" s="592"/>
      <c r="P56" s="592"/>
      <c r="Q56" s="592"/>
      <c r="R56" s="592"/>
      <c r="S56" s="592"/>
      <c r="T56" s="592"/>
      <c r="U56" s="592"/>
      <c r="V56" s="600">
        <f>100*(+AD50/$E$9)</f>
        <v>2448.9280820492008</v>
      </c>
      <c r="W56" s="610">
        <f>EXP(5.6922-(0.68367*LN(V56)))</f>
        <v>1.4293869295260628</v>
      </c>
      <c r="X56" s="601">
        <f>(+W56*V56)/100</f>
        <v>35.004657918304574</v>
      </c>
      <c r="Y56" s="600">
        <f>100*((((X56/100)-((X56/100)-0.03574)*$E$21)-0.03574-0.00619)/0.344)</f>
        <v>58.503587866514586</v>
      </c>
      <c r="Z56" s="592">
        <f>$E$20</f>
        <v>0.25</v>
      </c>
      <c r="AA56" s="600">
        <f>Y56+Z56</f>
        <v>58.753587866514586</v>
      </c>
      <c r="AB56" s="600">
        <f>100*($E$17*$E$19+($E$18*(AA56/100))/(1-$E$21))</f>
        <v>54.640857711569389</v>
      </c>
      <c r="AC56" s="601">
        <f>AB56/V56</f>
        <v>2.2312152860710921E-2</v>
      </c>
      <c r="AD56" s="599">
        <f>ROUND($E$8/(1-AC56),0)</f>
        <v>24084</v>
      </c>
      <c r="AE56" s="592" t="str">
        <f>IF(OR(OR(AD56=AD50,AD56=(AD50+1)),AD56=(AD50-1)),"yes","not yet")</f>
        <v>yes</v>
      </c>
      <c r="AF56" s="600">
        <f>100*(1-AC56)</f>
        <v>97.768784713928909</v>
      </c>
      <c r="AG56" s="592"/>
      <c r="AH56" s="592"/>
      <c r="AI56" s="592"/>
      <c r="AJ56" s="592"/>
      <c r="AK56" s="592"/>
      <c r="AL56" s="592"/>
      <c r="AM56" s="592"/>
      <c r="AN56" s="592"/>
      <c r="AO56" s="592"/>
      <c r="AP56" s="592"/>
      <c r="AQ56" s="592"/>
      <c r="AR56" s="592"/>
      <c r="AS56" s="590"/>
      <c r="AT56" s="590"/>
      <c r="AU56" s="590"/>
      <c r="AV56" s="590"/>
      <c r="AW56" s="590"/>
      <c r="AX56" s="590"/>
      <c r="AY56" s="590"/>
      <c r="AZ56" s="590"/>
      <c r="BA56" s="590"/>
      <c r="BB56" s="590"/>
      <c r="BC56" s="590"/>
      <c r="BD56" s="590"/>
      <c r="BE56" s="590"/>
      <c r="BF56" s="590"/>
      <c r="BG56" s="590"/>
      <c r="BH56" s="590"/>
      <c r="BI56" s="590"/>
      <c r="BJ56" s="590"/>
      <c r="BK56" s="591"/>
      <c r="BL56" s="591"/>
      <c r="BM56" s="591"/>
      <c r="BN56" s="591"/>
      <c r="BO56" s="591"/>
      <c r="BP56" s="591"/>
      <c r="BQ56" s="591"/>
      <c r="BR56" s="591"/>
      <c r="BS56" s="591"/>
      <c r="BT56" s="591"/>
      <c r="BU56" s="591"/>
      <c r="BV56" s="591"/>
      <c r="BW56" s="591"/>
      <c r="BX56" s="591"/>
      <c r="BY56" s="591"/>
      <c r="BZ56" s="591"/>
      <c r="CA56" s="591"/>
      <c r="CB56" s="591"/>
      <c r="CC56" s="591"/>
      <c r="CD56" s="591"/>
      <c r="CE56" s="591"/>
      <c r="CF56" s="591"/>
    </row>
    <row r="57" spans="1:84">
      <c r="A57" s="590"/>
      <c r="B57" s="592"/>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600"/>
      <c r="AB57" s="592"/>
      <c r="AC57" s="592"/>
      <c r="AD57" s="592"/>
      <c r="AE57" s="592"/>
      <c r="AF57" s="592"/>
      <c r="AG57" s="592"/>
      <c r="AH57" s="592"/>
      <c r="AI57" s="592"/>
      <c r="AJ57" s="592"/>
      <c r="AK57" s="592"/>
      <c r="AL57" s="592"/>
      <c r="AM57" s="592"/>
      <c r="AN57" s="592"/>
      <c r="AO57" s="592"/>
      <c r="AP57" s="592"/>
      <c r="AQ57" s="592"/>
      <c r="AR57" s="592"/>
      <c r="AS57" s="590"/>
      <c r="AT57" s="590"/>
      <c r="AU57" s="590"/>
      <c r="AV57" s="590"/>
      <c r="AW57" s="590"/>
      <c r="AX57" s="590"/>
      <c r="AY57" s="590"/>
      <c r="AZ57" s="590"/>
      <c r="BA57" s="590"/>
      <c r="BB57" s="590"/>
      <c r="BC57" s="590"/>
      <c r="BD57" s="590"/>
      <c r="BE57" s="590"/>
      <c r="BF57" s="590"/>
      <c r="BG57" s="590"/>
      <c r="BH57" s="590"/>
      <c r="BI57" s="590"/>
      <c r="BJ57" s="590"/>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row>
    <row r="58" spans="1:84">
      <c r="A58" s="590"/>
      <c r="B58" s="590"/>
      <c r="C58" s="590"/>
      <c r="D58" s="590"/>
      <c r="E58" s="590"/>
      <c r="F58" s="590"/>
      <c r="G58" s="590"/>
      <c r="H58" s="590"/>
      <c r="I58" s="590"/>
      <c r="J58" s="590"/>
      <c r="K58" s="590"/>
      <c r="L58" s="590"/>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0"/>
      <c r="AP58" s="590"/>
      <c r="AQ58" s="590"/>
      <c r="AR58" s="590"/>
      <c r="AS58" s="590"/>
      <c r="AT58" s="590"/>
      <c r="AU58" s="590"/>
      <c r="AV58" s="590"/>
      <c r="AW58" s="590"/>
      <c r="AX58" s="590"/>
      <c r="AY58" s="590"/>
      <c r="AZ58" s="590"/>
      <c r="BA58" s="590"/>
      <c r="BB58" s="590"/>
      <c r="BC58" s="590"/>
      <c r="BD58" s="590"/>
      <c r="BE58" s="590"/>
      <c r="BF58" s="590"/>
      <c r="BG58" s="590"/>
      <c r="BH58" s="590"/>
      <c r="BI58" s="590"/>
      <c r="BJ58" s="590"/>
      <c r="BK58" s="591"/>
      <c r="BL58" s="591"/>
      <c r="BM58" s="591"/>
      <c r="BN58" s="591"/>
      <c r="BO58" s="591"/>
      <c r="BP58" s="591"/>
      <c r="BQ58" s="591"/>
      <c r="BR58" s="591"/>
      <c r="BS58" s="591"/>
      <c r="BT58" s="591"/>
      <c r="BU58" s="591"/>
      <c r="BV58" s="591"/>
      <c r="BW58" s="591"/>
      <c r="BX58" s="591"/>
      <c r="BY58" s="591"/>
      <c r="BZ58" s="591"/>
      <c r="CA58" s="591"/>
      <c r="CB58" s="591"/>
      <c r="CC58" s="591"/>
      <c r="CD58" s="591"/>
      <c r="CE58" s="591"/>
      <c r="CF58" s="591"/>
    </row>
    <row r="59" spans="1:84">
      <c r="A59" s="590"/>
      <c r="B59" s="590"/>
      <c r="C59" s="590"/>
      <c r="D59" s="590"/>
      <c r="E59" s="590"/>
      <c r="F59" s="590"/>
      <c r="G59" s="590"/>
      <c r="H59" s="590"/>
      <c r="I59" s="590"/>
      <c r="J59" s="590"/>
      <c r="K59" s="590"/>
      <c r="L59" s="590"/>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0"/>
      <c r="AP59" s="590"/>
      <c r="AQ59" s="590"/>
      <c r="AR59" s="590"/>
      <c r="AS59" s="590"/>
      <c r="AT59" s="590"/>
      <c r="AU59" s="590"/>
      <c r="AV59" s="590"/>
      <c r="AW59" s="590"/>
      <c r="AX59" s="590"/>
      <c r="AY59" s="590"/>
      <c r="AZ59" s="590"/>
      <c r="BA59" s="590"/>
      <c r="BB59" s="590"/>
      <c r="BC59" s="590"/>
      <c r="BD59" s="590"/>
      <c r="BE59" s="590"/>
      <c r="BF59" s="590"/>
      <c r="BG59" s="590"/>
      <c r="BH59" s="590"/>
      <c r="BI59" s="590"/>
      <c r="BJ59" s="590"/>
      <c r="BK59" s="591"/>
      <c r="BL59" s="591"/>
      <c r="BM59" s="591"/>
      <c r="BN59" s="591"/>
      <c r="BO59" s="591"/>
      <c r="BP59" s="591"/>
      <c r="BQ59" s="591"/>
      <c r="BR59" s="591"/>
      <c r="BS59" s="591"/>
      <c r="BT59" s="591"/>
      <c r="BU59" s="591"/>
      <c r="BV59" s="591"/>
      <c r="BW59" s="591"/>
      <c r="BX59" s="591"/>
      <c r="BY59" s="591"/>
      <c r="BZ59" s="591"/>
      <c r="CA59" s="591"/>
      <c r="CB59" s="591"/>
      <c r="CC59" s="591"/>
      <c r="CD59" s="591"/>
      <c r="CE59" s="591"/>
      <c r="CF59" s="591"/>
    </row>
    <row r="60" spans="1:84">
      <c r="A60" s="59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590"/>
      <c r="AY60" s="590"/>
      <c r="AZ60" s="590"/>
      <c r="BA60" s="590"/>
      <c r="BB60" s="590"/>
      <c r="BC60" s="590"/>
      <c r="BD60" s="590"/>
      <c r="BE60" s="590"/>
      <c r="BF60" s="590"/>
      <c r="BG60" s="590"/>
      <c r="BH60" s="590"/>
      <c r="BI60" s="590"/>
      <c r="BJ60" s="590"/>
      <c r="BK60" s="591"/>
      <c r="BL60" s="591"/>
      <c r="BM60" s="591"/>
      <c r="BN60" s="591"/>
      <c r="BO60" s="591"/>
      <c r="BP60" s="591"/>
      <c r="BQ60" s="591"/>
      <c r="BR60" s="591"/>
      <c r="BS60" s="591"/>
      <c r="BT60" s="591"/>
      <c r="BU60" s="591"/>
      <c r="BV60" s="591"/>
      <c r="BW60" s="591"/>
      <c r="BX60" s="591"/>
      <c r="BY60" s="591"/>
      <c r="BZ60" s="591"/>
      <c r="CA60" s="591"/>
      <c r="CB60" s="591"/>
      <c r="CC60" s="591"/>
      <c r="CD60" s="591"/>
      <c r="CE60" s="591"/>
      <c r="CF60" s="591"/>
    </row>
    <row r="61" spans="1:84">
      <c r="A61" s="590"/>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0"/>
      <c r="AQ61" s="590"/>
      <c r="AR61" s="590"/>
      <c r="AS61" s="590"/>
      <c r="AT61" s="590"/>
      <c r="AU61" s="590"/>
      <c r="AV61" s="590"/>
      <c r="AW61" s="590"/>
      <c r="AX61" s="590"/>
      <c r="AY61" s="590"/>
      <c r="AZ61" s="590"/>
      <c r="BA61" s="590"/>
      <c r="BB61" s="590"/>
      <c r="BC61" s="590"/>
      <c r="BD61" s="590"/>
      <c r="BE61" s="590"/>
      <c r="BF61" s="590"/>
      <c r="BG61" s="590"/>
      <c r="BH61" s="590"/>
      <c r="BI61" s="590"/>
      <c r="BJ61" s="590"/>
      <c r="BK61" s="591"/>
      <c r="BL61" s="591"/>
      <c r="BM61" s="591"/>
      <c r="BN61" s="591"/>
      <c r="BO61" s="591"/>
      <c r="BP61" s="591"/>
      <c r="BQ61" s="591"/>
      <c r="BR61" s="591"/>
      <c r="BS61" s="591"/>
      <c r="BT61" s="591"/>
      <c r="BU61" s="591"/>
      <c r="BV61" s="591"/>
      <c r="BW61" s="591"/>
      <c r="BX61" s="591"/>
      <c r="BY61" s="591"/>
      <c r="BZ61" s="591"/>
      <c r="CA61" s="591"/>
      <c r="CB61" s="591"/>
      <c r="CC61" s="591"/>
      <c r="CD61" s="591"/>
      <c r="CE61" s="591"/>
      <c r="CF61" s="591"/>
    </row>
    <row r="62" spans="1:84">
      <c r="A62" s="590"/>
      <c r="B62" s="590"/>
      <c r="C62" s="590"/>
      <c r="D62" s="590"/>
      <c r="E62" s="590"/>
      <c r="F62" s="590"/>
      <c r="G62" s="590"/>
      <c r="H62" s="590"/>
      <c r="I62" s="590"/>
      <c r="J62" s="590"/>
      <c r="K62" s="590"/>
      <c r="L62" s="590"/>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90"/>
      <c r="AZ62" s="590"/>
      <c r="BA62" s="590"/>
      <c r="BB62" s="590"/>
      <c r="BC62" s="590"/>
      <c r="BD62" s="590"/>
      <c r="BE62" s="590"/>
      <c r="BF62" s="590"/>
      <c r="BG62" s="590"/>
      <c r="BH62" s="590"/>
      <c r="BI62" s="590"/>
      <c r="BJ62" s="590"/>
      <c r="BK62" s="591"/>
      <c r="BL62" s="591"/>
      <c r="BM62" s="591"/>
      <c r="BN62" s="591"/>
      <c r="BO62" s="591"/>
      <c r="BP62" s="591"/>
      <c r="BQ62" s="591"/>
      <c r="BR62" s="591"/>
      <c r="BS62" s="591"/>
      <c r="BT62" s="591"/>
      <c r="BU62" s="591"/>
      <c r="BV62" s="591"/>
      <c r="BW62" s="591"/>
      <c r="BX62" s="591"/>
      <c r="BY62" s="591"/>
      <c r="BZ62" s="591"/>
      <c r="CA62" s="591"/>
      <c r="CB62" s="591"/>
      <c r="CC62" s="591"/>
      <c r="CD62" s="591"/>
      <c r="CE62" s="591"/>
      <c r="CF62" s="591"/>
    </row>
    <row r="63" spans="1:84">
      <c r="A63" s="590"/>
      <c r="B63" s="590"/>
      <c r="C63" s="590"/>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1"/>
      <c r="BL63" s="591"/>
      <c r="BM63" s="591"/>
      <c r="BN63" s="591"/>
      <c r="BO63" s="591"/>
      <c r="BP63" s="591"/>
      <c r="BQ63" s="591"/>
      <c r="BR63" s="591"/>
      <c r="BS63" s="591"/>
      <c r="BT63" s="591"/>
      <c r="BU63" s="591"/>
      <c r="BV63" s="591"/>
      <c r="BW63" s="591"/>
      <c r="BX63" s="591"/>
      <c r="BY63" s="591"/>
      <c r="BZ63" s="591"/>
      <c r="CA63" s="591"/>
      <c r="CB63" s="591"/>
      <c r="CC63" s="591"/>
      <c r="CD63" s="591"/>
      <c r="CE63" s="591"/>
      <c r="CF63" s="591"/>
    </row>
    <row r="64" spans="1:84">
      <c r="A64" s="590"/>
      <c r="B64" s="590"/>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90"/>
      <c r="AZ64" s="590"/>
      <c r="BA64" s="590"/>
      <c r="BB64" s="590"/>
      <c r="BC64" s="590"/>
      <c r="BD64" s="590"/>
      <c r="BE64" s="590"/>
      <c r="BF64" s="590"/>
      <c r="BG64" s="590"/>
      <c r="BH64" s="590"/>
      <c r="BI64" s="590"/>
      <c r="BJ64" s="590"/>
      <c r="BK64" s="591"/>
      <c r="BL64" s="591"/>
      <c r="BM64" s="591"/>
      <c r="BN64" s="591"/>
      <c r="BO64" s="591"/>
      <c r="BP64" s="591"/>
      <c r="BQ64" s="591"/>
      <c r="BR64" s="591"/>
      <c r="BS64" s="591"/>
      <c r="BT64" s="591"/>
      <c r="BU64" s="591"/>
      <c r="BV64" s="591"/>
      <c r="BW64" s="591"/>
      <c r="BX64" s="591"/>
      <c r="BY64" s="591"/>
      <c r="BZ64" s="591"/>
      <c r="CA64" s="591"/>
      <c r="CB64" s="591"/>
      <c r="CC64" s="591"/>
      <c r="CD64" s="591"/>
      <c r="CE64" s="591"/>
      <c r="CF64" s="591"/>
    </row>
    <row r="65" spans="1:84">
      <c r="A65" s="590"/>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90"/>
      <c r="AZ65" s="590"/>
      <c r="BA65" s="590"/>
      <c r="BB65" s="590"/>
      <c r="BC65" s="590"/>
      <c r="BD65" s="590"/>
      <c r="BE65" s="590"/>
      <c r="BF65" s="590"/>
      <c r="BG65" s="590"/>
      <c r="BH65" s="590"/>
      <c r="BI65" s="590"/>
      <c r="BJ65" s="590"/>
      <c r="BK65" s="591"/>
      <c r="BL65" s="591"/>
      <c r="BM65" s="591"/>
      <c r="BN65" s="591"/>
      <c r="BO65" s="591"/>
      <c r="BP65" s="591"/>
      <c r="BQ65" s="591"/>
      <c r="BR65" s="591"/>
      <c r="BS65" s="591"/>
      <c r="BT65" s="591"/>
      <c r="BU65" s="591"/>
      <c r="BV65" s="591"/>
      <c r="BW65" s="591"/>
      <c r="BX65" s="591"/>
      <c r="BY65" s="591"/>
      <c r="BZ65" s="591"/>
      <c r="CA65" s="591"/>
      <c r="CB65" s="591"/>
      <c r="CC65" s="591"/>
      <c r="CD65" s="591"/>
      <c r="CE65" s="591"/>
      <c r="CF65" s="591"/>
    </row>
    <row r="66" spans="1:84">
      <c r="A66" s="590"/>
      <c r="B66" s="590"/>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c r="BF66" s="590"/>
      <c r="BG66" s="590"/>
      <c r="BH66" s="590"/>
      <c r="BI66" s="590"/>
      <c r="BJ66" s="590"/>
      <c r="BK66" s="591"/>
      <c r="BL66" s="591"/>
      <c r="BM66" s="591"/>
      <c r="BN66" s="591"/>
      <c r="BO66" s="591"/>
      <c r="BP66" s="591"/>
      <c r="BQ66" s="591"/>
      <c r="BR66" s="591"/>
      <c r="BS66" s="591"/>
      <c r="BT66" s="591"/>
      <c r="BU66" s="591"/>
      <c r="BV66" s="591"/>
      <c r="BW66" s="591"/>
      <c r="BX66" s="591"/>
      <c r="BY66" s="591"/>
      <c r="BZ66" s="591"/>
      <c r="CA66" s="591"/>
      <c r="CB66" s="591"/>
      <c r="CC66" s="591"/>
      <c r="CD66" s="591"/>
      <c r="CE66" s="591"/>
      <c r="CF66" s="591"/>
    </row>
    <row r="67" spans="1:84">
      <c r="A67" s="590"/>
      <c r="B67" s="590"/>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1"/>
      <c r="BL67" s="591"/>
      <c r="BM67" s="591"/>
      <c r="BN67" s="591"/>
      <c r="BO67" s="591"/>
      <c r="BP67" s="591"/>
      <c r="BQ67" s="591"/>
      <c r="BR67" s="591"/>
      <c r="BS67" s="591"/>
      <c r="BT67" s="591"/>
      <c r="BU67" s="591"/>
      <c r="BV67" s="591"/>
      <c r="BW67" s="591"/>
      <c r="BX67" s="591"/>
      <c r="BY67" s="591"/>
      <c r="BZ67" s="591"/>
      <c r="CA67" s="591"/>
      <c r="CB67" s="591"/>
      <c r="CC67" s="591"/>
      <c r="CD67" s="591"/>
      <c r="CE67" s="591"/>
      <c r="CF67" s="591"/>
    </row>
    <row r="68" spans="1:84">
      <c r="A68" s="590"/>
      <c r="B68" s="590"/>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1"/>
      <c r="BL68" s="591"/>
      <c r="BM68" s="591"/>
      <c r="BN68" s="591"/>
      <c r="BO68" s="591"/>
      <c r="BP68" s="591"/>
      <c r="BQ68" s="591"/>
      <c r="BR68" s="591"/>
      <c r="BS68" s="591"/>
      <c r="BT68" s="591"/>
      <c r="BU68" s="591"/>
      <c r="BV68" s="591"/>
      <c r="BW68" s="591"/>
      <c r="BX68" s="591"/>
      <c r="BY68" s="591"/>
      <c r="BZ68" s="591"/>
      <c r="CA68" s="591"/>
      <c r="CB68" s="591"/>
      <c r="CC68" s="591"/>
      <c r="CD68" s="591"/>
      <c r="CE68" s="591"/>
      <c r="CF68" s="591"/>
    </row>
    <row r="69" spans="1:84">
      <c r="A69" s="590"/>
      <c r="B69" s="590"/>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1"/>
      <c r="BL69" s="591"/>
      <c r="BM69" s="591"/>
      <c r="BN69" s="591"/>
      <c r="BO69" s="591"/>
      <c r="BP69" s="591"/>
      <c r="BQ69" s="591"/>
      <c r="BR69" s="591"/>
      <c r="BS69" s="591"/>
      <c r="BT69" s="591"/>
      <c r="BU69" s="591"/>
      <c r="BV69" s="591"/>
      <c r="BW69" s="591"/>
      <c r="BX69" s="591"/>
      <c r="BY69" s="591"/>
      <c r="BZ69" s="591"/>
      <c r="CA69" s="591"/>
      <c r="CB69" s="591"/>
      <c r="CC69" s="591"/>
      <c r="CD69" s="591"/>
      <c r="CE69" s="591"/>
      <c r="CF69" s="591"/>
    </row>
    <row r="70" spans="1:84">
      <c r="A70" s="590"/>
      <c r="B70" s="590"/>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590"/>
      <c r="BH70" s="590"/>
      <c r="BI70" s="590"/>
      <c r="BJ70" s="590"/>
      <c r="BK70" s="591"/>
      <c r="BL70" s="591"/>
      <c r="BM70" s="591"/>
      <c r="BN70" s="591"/>
      <c r="BO70" s="591"/>
      <c r="BP70" s="591"/>
      <c r="BQ70" s="591"/>
      <c r="BR70" s="591"/>
      <c r="BS70" s="591"/>
      <c r="BT70" s="591"/>
      <c r="BU70" s="591"/>
      <c r="BV70" s="591"/>
      <c r="BW70" s="591"/>
      <c r="BX70" s="591"/>
      <c r="BY70" s="591"/>
      <c r="BZ70" s="591"/>
      <c r="CA70" s="591"/>
      <c r="CB70" s="591"/>
      <c r="CC70" s="591"/>
      <c r="CD70" s="591"/>
      <c r="CE70" s="591"/>
      <c r="CF70" s="591"/>
    </row>
    <row r="71" spans="1:84">
      <c r="A71" s="590"/>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1"/>
      <c r="BL71" s="591"/>
      <c r="BM71" s="591"/>
      <c r="BN71" s="591"/>
      <c r="BO71" s="591"/>
      <c r="BP71" s="591"/>
      <c r="BQ71" s="591"/>
      <c r="BR71" s="591"/>
      <c r="BS71" s="591"/>
      <c r="BT71" s="591"/>
      <c r="BU71" s="591"/>
      <c r="BV71" s="591"/>
      <c r="BW71" s="591"/>
      <c r="BX71" s="591"/>
      <c r="BY71" s="591"/>
      <c r="BZ71" s="591"/>
      <c r="CA71" s="591"/>
      <c r="CB71" s="591"/>
      <c r="CC71" s="591"/>
      <c r="CD71" s="591"/>
      <c r="CE71" s="591"/>
      <c r="CF71" s="591"/>
    </row>
    <row r="72" spans="1:84">
      <c r="A72" s="590"/>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1"/>
      <c r="BL72" s="591"/>
      <c r="BM72" s="591"/>
      <c r="BN72" s="591"/>
      <c r="BO72" s="591"/>
      <c r="BP72" s="591"/>
      <c r="BQ72" s="591"/>
      <c r="BR72" s="591"/>
      <c r="BS72" s="591"/>
      <c r="BT72" s="591"/>
      <c r="BU72" s="591"/>
      <c r="BV72" s="591"/>
      <c r="BW72" s="591"/>
      <c r="BX72" s="591"/>
      <c r="BY72" s="591"/>
      <c r="BZ72" s="591"/>
      <c r="CA72" s="591"/>
      <c r="CB72" s="591"/>
      <c r="CC72" s="591"/>
      <c r="CD72" s="591"/>
      <c r="CE72" s="591"/>
      <c r="CF72" s="591"/>
    </row>
    <row r="73" spans="1:84">
      <c r="A73" s="590"/>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590"/>
      <c r="BH73" s="590"/>
      <c r="BI73" s="590"/>
      <c r="BJ73" s="590"/>
      <c r="BK73" s="591"/>
      <c r="BL73" s="591"/>
      <c r="BM73" s="591"/>
      <c r="BN73" s="591"/>
      <c r="BO73" s="591"/>
      <c r="BP73" s="591"/>
      <c r="BQ73" s="591"/>
      <c r="BR73" s="591"/>
      <c r="BS73" s="591"/>
      <c r="BT73" s="591"/>
      <c r="BU73" s="591"/>
      <c r="BV73" s="591"/>
      <c r="BW73" s="591"/>
      <c r="BX73" s="591"/>
      <c r="BY73" s="591"/>
      <c r="BZ73" s="591"/>
      <c r="CA73" s="591"/>
      <c r="CB73" s="591"/>
      <c r="CC73" s="591"/>
      <c r="CD73" s="591"/>
      <c r="CE73" s="591"/>
      <c r="CF73" s="591"/>
    </row>
    <row r="74" spans="1:84">
      <c r="A74" s="590"/>
      <c r="B74" s="590"/>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1"/>
      <c r="BL74" s="591"/>
      <c r="BM74" s="591"/>
      <c r="BN74" s="591"/>
      <c r="BO74" s="591"/>
      <c r="BP74" s="591"/>
      <c r="BQ74" s="591"/>
      <c r="BR74" s="591"/>
      <c r="BS74" s="591"/>
      <c r="BT74" s="591"/>
      <c r="BU74" s="591"/>
      <c r="BV74" s="591"/>
      <c r="BW74" s="591"/>
      <c r="BX74" s="591"/>
      <c r="BY74" s="591"/>
      <c r="BZ74" s="591"/>
      <c r="CA74" s="591"/>
      <c r="CB74" s="591"/>
      <c r="CC74" s="591"/>
      <c r="CD74" s="591"/>
      <c r="CE74" s="591"/>
      <c r="CF74" s="591"/>
    </row>
    <row r="75" spans="1:84">
      <c r="A75" s="590"/>
      <c r="B75" s="590"/>
      <c r="C75" s="590"/>
      <c r="D75" s="590"/>
      <c r="E75" s="590"/>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0"/>
      <c r="AP75" s="590"/>
      <c r="AQ75" s="590"/>
      <c r="AR75" s="590"/>
      <c r="AS75" s="590"/>
      <c r="AT75" s="590"/>
      <c r="AU75" s="590"/>
      <c r="AV75" s="590"/>
      <c r="AW75" s="590"/>
      <c r="AX75" s="590"/>
      <c r="AY75" s="590"/>
      <c r="AZ75" s="590"/>
      <c r="BA75" s="590"/>
      <c r="BB75" s="590"/>
      <c r="BC75" s="590"/>
      <c r="BD75" s="590"/>
      <c r="BE75" s="590"/>
      <c r="BF75" s="590"/>
      <c r="BG75" s="590"/>
      <c r="BH75" s="590"/>
      <c r="BI75" s="590"/>
      <c r="BJ75" s="590"/>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row>
    <row r="76" spans="1:84">
      <c r="A76" s="590"/>
      <c r="B76" s="590"/>
      <c r="C76" s="590"/>
      <c r="D76" s="590"/>
      <c r="E76" s="590"/>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590"/>
      <c r="BH76" s="590"/>
      <c r="BI76" s="590"/>
      <c r="BJ76" s="590"/>
      <c r="BK76" s="591"/>
      <c r="BL76" s="591"/>
      <c r="BM76" s="591"/>
      <c r="BN76" s="591"/>
      <c r="BO76" s="591"/>
      <c r="BP76" s="591"/>
      <c r="BQ76" s="591"/>
      <c r="BR76" s="591"/>
      <c r="BS76" s="591"/>
      <c r="BT76" s="591"/>
      <c r="BU76" s="591"/>
      <c r="BV76" s="591"/>
      <c r="BW76" s="591"/>
      <c r="BX76" s="591"/>
      <c r="BY76" s="591"/>
      <c r="BZ76" s="591"/>
      <c r="CA76" s="591"/>
      <c r="CB76" s="591"/>
      <c r="CC76" s="591"/>
      <c r="CD76" s="591"/>
      <c r="CE76" s="591"/>
      <c r="CF76" s="591"/>
    </row>
    <row r="77" spans="1:84">
      <c r="A77" s="590"/>
      <c r="B77" s="590"/>
      <c r="C77" s="590"/>
      <c r="D77" s="590"/>
      <c r="E77" s="590"/>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0"/>
      <c r="AP77" s="590"/>
      <c r="AQ77" s="590"/>
      <c r="AR77" s="590"/>
      <c r="AS77" s="590"/>
      <c r="AT77" s="590"/>
      <c r="AU77" s="590"/>
      <c r="AV77" s="590"/>
      <c r="AW77" s="590"/>
      <c r="AX77" s="590"/>
      <c r="AY77" s="590"/>
      <c r="AZ77" s="590"/>
      <c r="BA77" s="590"/>
      <c r="BB77" s="590"/>
      <c r="BC77" s="590"/>
      <c r="BD77" s="590"/>
      <c r="BE77" s="590"/>
      <c r="BF77" s="590"/>
      <c r="BG77" s="590"/>
      <c r="BH77" s="590"/>
      <c r="BI77" s="590"/>
      <c r="BJ77" s="590"/>
      <c r="BK77" s="591"/>
      <c r="BL77" s="591"/>
      <c r="BM77" s="591"/>
      <c r="BN77" s="591"/>
      <c r="BO77" s="591"/>
      <c r="BP77" s="591"/>
      <c r="BQ77" s="591"/>
      <c r="BR77" s="591"/>
      <c r="BS77" s="591"/>
      <c r="BT77" s="591"/>
      <c r="BU77" s="591"/>
      <c r="BV77" s="591"/>
      <c r="BW77" s="591"/>
      <c r="BX77" s="591"/>
      <c r="BY77" s="591"/>
      <c r="BZ77" s="591"/>
      <c r="CA77" s="591"/>
      <c r="CB77" s="591"/>
      <c r="CC77" s="591"/>
      <c r="CD77" s="591"/>
      <c r="CE77" s="591"/>
      <c r="CF77" s="591"/>
    </row>
    <row r="78" spans="1:84">
      <c r="A78" s="590"/>
      <c r="B78" s="590"/>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0"/>
      <c r="AP78" s="590"/>
      <c r="AQ78" s="590"/>
      <c r="AR78" s="590"/>
      <c r="AS78" s="590"/>
      <c r="AT78" s="590"/>
      <c r="AU78" s="590"/>
      <c r="AV78" s="590"/>
      <c r="AW78" s="590"/>
      <c r="AX78" s="590"/>
      <c r="AY78" s="590"/>
      <c r="AZ78" s="590"/>
      <c r="BA78" s="590"/>
      <c r="BB78" s="590"/>
      <c r="BC78" s="590"/>
      <c r="BD78" s="590"/>
      <c r="BE78" s="590"/>
      <c r="BF78" s="590"/>
      <c r="BG78" s="590"/>
      <c r="BH78" s="590"/>
      <c r="BI78" s="590"/>
      <c r="BJ78" s="590"/>
      <c r="BK78" s="591"/>
      <c r="BL78" s="591"/>
      <c r="BM78" s="591"/>
      <c r="BN78" s="591"/>
      <c r="BO78" s="591"/>
      <c r="BP78" s="591"/>
      <c r="BQ78" s="591"/>
      <c r="BR78" s="591"/>
      <c r="BS78" s="591"/>
      <c r="BT78" s="591"/>
      <c r="BU78" s="591"/>
      <c r="BV78" s="591"/>
      <c r="BW78" s="591"/>
      <c r="BX78" s="591"/>
      <c r="BY78" s="591"/>
      <c r="BZ78" s="591"/>
      <c r="CA78" s="591"/>
      <c r="CB78" s="591"/>
      <c r="CC78" s="591"/>
      <c r="CD78" s="591"/>
      <c r="CE78" s="591"/>
      <c r="CF78" s="591"/>
    </row>
    <row r="79" spans="1:84">
      <c r="A79" s="590"/>
      <c r="B79" s="590"/>
      <c r="C79" s="590"/>
      <c r="D79" s="590"/>
      <c r="E79" s="590"/>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0"/>
      <c r="AP79" s="590"/>
      <c r="AQ79" s="590"/>
      <c r="AR79" s="590"/>
      <c r="AS79" s="590"/>
      <c r="AT79" s="590"/>
      <c r="AU79" s="590"/>
      <c r="AV79" s="590"/>
      <c r="AW79" s="590"/>
      <c r="AX79" s="590"/>
      <c r="AY79" s="590"/>
      <c r="AZ79" s="590"/>
      <c r="BA79" s="590"/>
      <c r="BB79" s="590"/>
      <c r="BC79" s="590"/>
      <c r="BD79" s="590"/>
      <c r="BE79" s="590"/>
      <c r="BF79" s="590"/>
      <c r="BG79" s="590"/>
      <c r="BH79" s="590"/>
      <c r="BI79" s="590"/>
      <c r="BJ79" s="590"/>
      <c r="BK79" s="591"/>
      <c r="BL79" s="591"/>
      <c r="BM79" s="591"/>
      <c r="BN79" s="591"/>
      <c r="BO79" s="591"/>
      <c r="BP79" s="591"/>
      <c r="BQ79" s="591"/>
      <c r="BR79" s="591"/>
      <c r="BS79" s="591"/>
      <c r="BT79" s="591"/>
      <c r="BU79" s="591"/>
      <c r="BV79" s="591"/>
      <c r="BW79" s="591"/>
      <c r="BX79" s="591"/>
      <c r="BY79" s="591"/>
      <c r="BZ79" s="591"/>
      <c r="CA79" s="591"/>
      <c r="CB79" s="591"/>
      <c r="CC79" s="591"/>
      <c r="CD79" s="591"/>
      <c r="CE79" s="591"/>
      <c r="CF79" s="591"/>
    </row>
    <row r="80" spans="1:84">
      <c r="A80" s="590"/>
      <c r="B80" s="590"/>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0"/>
      <c r="AP80" s="590"/>
      <c r="AQ80" s="590"/>
      <c r="AR80" s="590"/>
      <c r="AS80" s="590"/>
      <c r="AT80" s="590"/>
      <c r="AU80" s="590"/>
      <c r="AV80" s="590"/>
      <c r="AW80" s="590"/>
      <c r="AX80" s="590"/>
      <c r="AY80" s="590"/>
      <c r="AZ80" s="590"/>
      <c r="BA80" s="590"/>
      <c r="BB80" s="590"/>
      <c r="BC80" s="590"/>
      <c r="BD80" s="590"/>
      <c r="BE80" s="590"/>
      <c r="BF80" s="590"/>
      <c r="BG80" s="590"/>
      <c r="BH80" s="590"/>
      <c r="BI80" s="590"/>
      <c r="BJ80" s="590"/>
      <c r="BK80" s="591"/>
      <c r="BL80" s="591"/>
      <c r="BM80" s="591"/>
      <c r="BN80" s="591"/>
      <c r="BO80" s="591"/>
      <c r="BP80" s="591"/>
      <c r="BQ80" s="591"/>
      <c r="BR80" s="591"/>
      <c r="BS80" s="591"/>
      <c r="BT80" s="591"/>
      <c r="BU80" s="591"/>
      <c r="BV80" s="591"/>
      <c r="BW80" s="591"/>
      <c r="BX80" s="591"/>
      <c r="BY80" s="591"/>
      <c r="BZ80" s="591"/>
      <c r="CA80" s="591"/>
      <c r="CB80" s="591"/>
      <c r="CC80" s="591"/>
      <c r="CD80" s="591"/>
      <c r="CE80" s="591"/>
      <c r="CF80" s="591"/>
    </row>
    <row r="81" spans="1:84">
      <c r="A81" s="590"/>
      <c r="B81" s="590"/>
      <c r="C81" s="590"/>
      <c r="D81" s="590"/>
      <c r="E81" s="590"/>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0"/>
      <c r="AP81" s="590"/>
      <c r="AQ81" s="590"/>
      <c r="AR81" s="590"/>
      <c r="AS81" s="590"/>
      <c r="AT81" s="590"/>
      <c r="AU81" s="590"/>
      <c r="AV81" s="590"/>
      <c r="AW81" s="590"/>
      <c r="AX81" s="590"/>
      <c r="AY81" s="590"/>
      <c r="AZ81" s="590"/>
      <c r="BA81" s="590"/>
      <c r="BB81" s="590"/>
      <c r="BC81" s="590"/>
      <c r="BD81" s="590"/>
      <c r="BE81" s="590"/>
      <c r="BF81" s="590"/>
      <c r="BG81" s="590"/>
      <c r="BH81" s="590"/>
      <c r="BI81" s="590"/>
      <c r="BJ81" s="590"/>
      <c r="BK81" s="591"/>
      <c r="BL81" s="591"/>
      <c r="BM81" s="591"/>
      <c r="BN81" s="591"/>
      <c r="BO81" s="591"/>
      <c r="BP81" s="591"/>
      <c r="BQ81" s="591"/>
      <c r="BR81" s="591"/>
      <c r="BS81" s="591"/>
      <c r="BT81" s="591"/>
      <c r="BU81" s="591"/>
      <c r="BV81" s="591"/>
      <c r="BW81" s="591"/>
      <c r="BX81" s="591"/>
      <c r="BY81" s="591"/>
      <c r="BZ81" s="591"/>
      <c r="CA81" s="591"/>
      <c r="CB81" s="591"/>
      <c r="CC81" s="591"/>
      <c r="CD81" s="591"/>
      <c r="CE81" s="591"/>
      <c r="CF81" s="591"/>
    </row>
    <row r="82" spans="1:84">
      <c r="A82" s="590"/>
      <c r="B82" s="590"/>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0"/>
      <c r="AP82" s="590"/>
      <c r="AQ82" s="590"/>
      <c r="AR82" s="590"/>
      <c r="AS82" s="590"/>
      <c r="AT82" s="590"/>
      <c r="AU82" s="590"/>
      <c r="AV82" s="590"/>
      <c r="AW82" s="590"/>
      <c r="AX82" s="590"/>
      <c r="AY82" s="590"/>
      <c r="AZ82" s="590"/>
      <c r="BA82" s="590"/>
      <c r="BB82" s="590"/>
      <c r="BC82" s="590"/>
      <c r="BD82" s="590"/>
      <c r="BE82" s="590"/>
      <c r="BF82" s="590"/>
      <c r="BG82" s="590"/>
      <c r="BH82" s="590"/>
      <c r="BI82" s="590"/>
      <c r="BJ82" s="590"/>
      <c r="BK82" s="591"/>
      <c r="BL82" s="591"/>
      <c r="BM82" s="591"/>
      <c r="BN82" s="591"/>
      <c r="BO82" s="591"/>
      <c r="BP82" s="591"/>
      <c r="BQ82" s="591"/>
      <c r="BR82" s="591"/>
      <c r="BS82" s="591"/>
      <c r="BT82" s="591"/>
      <c r="BU82" s="591"/>
      <c r="BV82" s="591"/>
      <c r="BW82" s="591"/>
      <c r="BX82" s="591"/>
      <c r="BY82" s="591"/>
      <c r="BZ82" s="591"/>
      <c r="CA82" s="591"/>
      <c r="CB82" s="591"/>
      <c r="CC82" s="591"/>
      <c r="CD82" s="591"/>
      <c r="CE82" s="591"/>
      <c r="CF82" s="591"/>
    </row>
    <row r="83" spans="1:84">
      <c r="A83" s="590"/>
      <c r="B83" s="590"/>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0"/>
      <c r="AP83" s="590"/>
      <c r="AQ83" s="590"/>
      <c r="AR83" s="590"/>
      <c r="AS83" s="590"/>
      <c r="AT83" s="590"/>
      <c r="AU83" s="590"/>
      <c r="AV83" s="590"/>
      <c r="AW83" s="590"/>
      <c r="AX83" s="590"/>
      <c r="AY83" s="590"/>
      <c r="AZ83" s="590"/>
      <c r="BA83" s="590"/>
      <c r="BB83" s="590"/>
      <c r="BC83" s="590"/>
      <c r="BD83" s="590"/>
      <c r="BE83" s="590"/>
      <c r="BF83" s="590"/>
      <c r="BG83" s="590"/>
      <c r="BH83" s="590"/>
      <c r="BI83" s="590"/>
      <c r="BJ83" s="590"/>
      <c r="BK83" s="591"/>
      <c r="BL83" s="591"/>
      <c r="BM83" s="591"/>
      <c r="BN83" s="591"/>
      <c r="BO83" s="591"/>
      <c r="BP83" s="591"/>
      <c r="BQ83" s="591"/>
      <c r="BR83" s="591"/>
      <c r="BS83" s="591"/>
      <c r="BT83" s="591"/>
      <c r="BU83" s="591"/>
      <c r="BV83" s="591"/>
      <c r="BW83" s="591"/>
      <c r="BX83" s="591"/>
      <c r="BY83" s="591"/>
      <c r="BZ83" s="591"/>
      <c r="CA83" s="591"/>
      <c r="CB83" s="591"/>
      <c r="CC83" s="591"/>
      <c r="CD83" s="591"/>
      <c r="CE83" s="591"/>
      <c r="CF83" s="591"/>
    </row>
    <row r="84" spans="1:84">
      <c r="A84" s="590"/>
      <c r="B84" s="590"/>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0"/>
      <c r="AP84" s="590"/>
      <c r="AQ84" s="590"/>
      <c r="AR84" s="590"/>
      <c r="AS84" s="590"/>
      <c r="AT84" s="590"/>
      <c r="AU84" s="590"/>
      <c r="AV84" s="590"/>
      <c r="AW84" s="590"/>
      <c r="AX84" s="590"/>
      <c r="AY84" s="590"/>
      <c r="AZ84" s="590"/>
      <c r="BA84" s="590"/>
      <c r="BB84" s="590"/>
      <c r="BC84" s="590"/>
      <c r="BD84" s="590"/>
      <c r="BE84" s="590"/>
      <c r="BF84" s="590"/>
      <c r="BG84" s="590"/>
      <c r="BH84" s="590"/>
      <c r="BI84" s="590"/>
      <c r="BJ84" s="590"/>
      <c r="BK84" s="591"/>
      <c r="BL84" s="591"/>
      <c r="BM84" s="591"/>
      <c r="BN84" s="591"/>
      <c r="BO84" s="591"/>
      <c r="BP84" s="591"/>
      <c r="BQ84" s="591"/>
      <c r="BR84" s="591"/>
      <c r="BS84" s="591"/>
      <c r="BT84" s="591"/>
      <c r="BU84" s="591"/>
      <c r="BV84" s="591"/>
      <c r="BW84" s="591"/>
      <c r="BX84" s="591"/>
      <c r="BY84" s="591"/>
      <c r="BZ84" s="591"/>
      <c r="CA84" s="591"/>
      <c r="CB84" s="591"/>
      <c r="CC84" s="591"/>
      <c r="CD84" s="591"/>
      <c r="CE84" s="591"/>
      <c r="CF84" s="591"/>
    </row>
    <row r="85" spans="1:84">
      <c r="A85" s="590"/>
      <c r="B85" s="590"/>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0"/>
      <c r="AP85" s="590"/>
      <c r="AQ85" s="590"/>
      <c r="AR85" s="590"/>
      <c r="AS85" s="590"/>
      <c r="AT85" s="590"/>
      <c r="AU85" s="590"/>
      <c r="AV85" s="590"/>
      <c r="AW85" s="590"/>
      <c r="AX85" s="590"/>
      <c r="AY85" s="590"/>
      <c r="AZ85" s="590"/>
      <c r="BA85" s="590"/>
      <c r="BB85" s="590"/>
      <c r="BC85" s="590"/>
      <c r="BD85" s="590"/>
      <c r="BE85" s="590"/>
      <c r="BF85" s="590"/>
      <c r="BG85" s="590"/>
      <c r="BH85" s="590"/>
      <c r="BI85" s="590"/>
      <c r="BJ85" s="590"/>
      <c r="BK85" s="591"/>
      <c r="BL85" s="591"/>
      <c r="BM85" s="591"/>
      <c r="BN85" s="591"/>
      <c r="BO85" s="591"/>
      <c r="BP85" s="591"/>
      <c r="BQ85" s="591"/>
      <c r="BR85" s="591"/>
      <c r="BS85" s="591"/>
      <c r="BT85" s="591"/>
      <c r="BU85" s="591"/>
      <c r="BV85" s="591"/>
      <c r="BW85" s="591"/>
      <c r="BX85" s="591"/>
      <c r="BY85" s="591"/>
      <c r="BZ85" s="591"/>
      <c r="CA85" s="591"/>
      <c r="CB85" s="591"/>
      <c r="CC85" s="591"/>
      <c r="CD85" s="591"/>
      <c r="CE85" s="591"/>
      <c r="CF85" s="591"/>
    </row>
    <row r="86" spans="1:84">
      <c r="A86" s="590"/>
      <c r="B86" s="590"/>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0"/>
      <c r="AP86" s="590"/>
      <c r="AQ86" s="590"/>
      <c r="AR86" s="590"/>
      <c r="AS86" s="590"/>
      <c r="AT86" s="590"/>
      <c r="AU86" s="590"/>
      <c r="AV86" s="590"/>
      <c r="AW86" s="590"/>
      <c r="AX86" s="590"/>
      <c r="AY86" s="590"/>
      <c r="AZ86" s="590"/>
      <c r="BA86" s="590"/>
      <c r="BB86" s="590"/>
      <c r="BC86" s="590"/>
      <c r="BD86" s="590"/>
      <c r="BE86" s="590"/>
      <c r="BF86" s="590"/>
      <c r="BG86" s="590"/>
      <c r="BH86" s="590"/>
      <c r="BI86" s="590"/>
      <c r="BJ86" s="590"/>
      <c r="BK86" s="591"/>
      <c r="BL86" s="591"/>
      <c r="BM86" s="591"/>
      <c r="BN86" s="591"/>
      <c r="BO86" s="591"/>
      <c r="BP86" s="591"/>
      <c r="BQ86" s="591"/>
      <c r="BR86" s="591"/>
      <c r="BS86" s="591"/>
      <c r="BT86" s="591"/>
      <c r="BU86" s="591"/>
      <c r="BV86" s="591"/>
      <c r="BW86" s="591"/>
      <c r="BX86" s="591"/>
      <c r="BY86" s="591"/>
      <c r="BZ86" s="591"/>
      <c r="CA86" s="591"/>
      <c r="CB86" s="591"/>
      <c r="CC86" s="591"/>
      <c r="CD86" s="591"/>
      <c r="CE86" s="591"/>
      <c r="CF86" s="591"/>
    </row>
    <row r="87" spans="1:84">
      <c r="A87" s="590"/>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0"/>
      <c r="AP87" s="590"/>
      <c r="AQ87" s="590"/>
      <c r="AR87" s="590"/>
      <c r="AS87" s="590"/>
      <c r="AT87" s="590"/>
      <c r="AU87" s="590"/>
      <c r="AV87" s="590"/>
      <c r="AW87" s="590"/>
      <c r="AX87" s="590"/>
      <c r="AY87" s="590"/>
      <c r="AZ87" s="590"/>
      <c r="BA87" s="590"/>
      <c r="BB87" s="590"/>
      <c r="BC87" s="590"/>
      <c r="BD87" s="590"/>
      <c r="BE87" s="590"/>
      <c r="BF87" s="590"/>
      <c r="BG87" s="590"/>
      <c r="BH87" s="590"/>
      <c r="BI87" s="590"/>
      <c r="BJ87" s="590"/>
      <c r="BK87" s="591"/>
      <c r="BL87" s="591"/>
      <c r="BM87" s="591"/>
      <c r="BN87" s="591"/>
      <c r="BO87" s="591"/>
      <c r="BP87" s="591"/>
      <c r="BQ87" s="591"/>
      <c r="BR87" s="591"/>
      <c r="BS87" s="591"/>
      <c r="BT87" s="591"/>
      <c r="BU87" s="591"/>
      <c r="BV87" s="591"/>
      <c r="BW87" s="591"/>
      <c r="BX87" s="591"/>
      <c r="BY87" s="591"/>
      <c r="BZ87" s="591"/>
      <c r="CA87" s="591"/>
      <c r="CB87" s="591"/>
      <c r="CC87" s="591"/>
      <c r="CD87" s="591"/>
      <c r="CE87" s="591"/>
      <c r="CF87" s="591"/>
    </row>
    <row r="88" spans="1:84">
      <c r="A88" s="590"/>
      <c r="B88" s="590"/>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1"/>
      <c r="BL88" s="591"/>
      <c r="BM88" s="591"/>
      <c r="BN88" s="591"/>
      <c r="BO88" s="591"/>
      <c r="BP88" s="591"/>
      <c r="BQ88" s="591"/>
      <c r="BR88" s="591"/>
      <c r="BS88" s="591"/>
      <c r="BT88" s="591"/>
      <c r="BU88" s="591"/>
      <c r="BV88" s="591"/>
      <c r="BW88" s="591"/>
      <c r="BX88" s="591"/>
      <c r="BY88" s="591"/>
      <c r="BZ88" s="591"/>
      <c r="CA88" s="591"/>
      <c r="CB88" s="591"/>
      <c r="CC88" s="591"/>
      <c r="CD88" s="591"/>
      <c r="CE88" s="591"/>
      <c r="CF88" s="591"/>
    </row>
    <row r="89" spans="1:84">
      <c r="A89" s="590"/>
      <c r="B89" s="590"/>
      <c r="C89" s="590"/>
      <c r="D89" s="590"/>
      <c r="E89" s="590"/>
      <c r="F89" s="590"/>
      <c r="G89" s="590"/>
      <c r="H89" s="590"/>
      <c r="I89" s="590"/>
      <c r="J89" s="590"/>
      <c r="K89" s="590"/>
      <c r="L89" s="590"/>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0"/>
      <c r="AP89" s="590"/>
      <c r="AQ89" s="590"/>
      <c r="AR89" s="590"/>
      <c r="AS89" s="590"/>
      <c r="AT89" s="590"/>
      <c r="AU89" s="590"/>
      <c r="AV89" s="590"/>
      <c r="AW89" s="590"/>
      <c r="AX89" s="590"/>
      <c r="AY89" s="590"/>
      <c r="AZ89" s="590"/>
      <c r="BA89" s="590"/>
      <c r="BB89" s="590"/>
      <c r="BC89" s="590"/>
      <c r="BD89" s="590"/>
      <c r="BE89" s="590"/>
      <c r="BF89" s="590"/>
      <c r="BG89" s="590"/>
      <c r="BH89" s="590"/>
      <c r="BI89" s="590"/>
      <c r="BJ89" s="590"/>
      <c r="BK89" s="591"/>
      <c r="BL89" s="591"/>
      <c r="BM89" s="591"/>
      <c r="BN89" s="591"/>
      <c r="BO89" s="591"/>
      <c r="BP89" s="591"/>
      <c r="BQ89" s="591"/>
      <c r="BR89" s="591"/>
      <c r="BS89" s="591"/>
      <c r="BT89" s="591"/>
      <c r="BU89" s="591"/>
      <c r="BV89" s="591"/>
      <c r="BW89" s="591"/>
      <c r="BX89" s="591"/>
      <c r="BY89" s="591"/>
      <c r="BZ89" s="591"/>
      <c r="CA89" s="591"/>
      <c r="CB89" s="591"/>
      <c r="CC89" s="591"/>
      <c r="CD89" s="591"/>
      <c r="CE89" s="591"/>
      <c r="CF89" s="591"/>
    </row>
    <row r="90" spans="1:84">
      <c r="A90" s="590"/>
      <c r="B90" s="590"/>
      <c r="C90" s="590"/>
      <c r="D90" s="590"/>
      <c r="E90" s="590"/>
      <c r="F90" s="590"/>
      <c r="G90" s="590"/>
      <c r="H90" s="590"/>
      <c r="I90" s="590"/>
      <c r="J90" s="590"/>
      <c r="K90" s="590"/>
      <c r="L90" s="590"/>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0"/>
      <c r="AP90" s="590"/>
      <c r="AQ90" s="590"/>
      <c r="AR90" s="590"/>
      <c r="AS90" s="590"/>
      <c r="AT90" s="590"/>
      <c r="AU90" s="590"/>
      <c r="AV90" s="590"/>
      <c r="AW90" s="590"/>
      <c r="AX90" s="590"/>
      <c r="AY90" s="590"/>
      <c r="AZ90" s="590"/>
      <c r="BA90" s="590"/>
      <c r="BB90" s="590"/>
      <c r="BC90" s="590"/>
      <c r="BD90" s="590"/>
      <c r="BE90" s="590"/>
      <c r="BF90" s="590"/>
      <c r="BG90" s="590"/>
      <c r="BH90" s="590"/>
      <c r="BI90" s="590"/>
      <c r="BJ90" s="590"/>
      <c r="BK90" s="591"/>
      <c r="BL90" s="591"/>
      <c r="BM90" s="591"/>
      <c r="BN90" s="591"/>
      <c r="BO90" s="591"/>
      <c r="BP90" s="591"/>
      <c r="BQ90" s="591"/>
      <c r="BR90" s="591"/>
      <c r="BS90" s="591"/>
      <c r="BT90" s="591"/>
      <c r="BU90" s="591"/>
      <c r="BV90" s="591"/>
      <c r="BW90" s="591"/>
      <c r="BX90" s="591"/>
      <c r="BY90" s="591"/>
      <c r="BZ90" s="591"/>
      <c r="CA90" s="591"/>
      <c r="CB90" s="591"/>
      <c r="CC90" s="591"/>
      <c r="CD90" s="591"/>
      <c r="CE90" s="591"/>
      <c r="CF90" s="591"/>
    </row>
    <row r="91" spans="1:84">
      <c r="A91" s="590"/>
      <c r="B91" s="590"/>
      <c r="C91" s="590"/>
      <c r="D91" s="590"/>
      <c r="E91" s="590"/>
      <c r="F91" s="590"/>
      <c r="G91" s="590"/>
      <c r="H91" s="590"/>
      <c r="I91" s="590"/>
      <c r="J91" s="590"/>
      <c r="K91" s="590"/>
      <c r="L91" s="590"/>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0"/>
      <c r="AP91" s="590"/>
      <c r="AQ91" s="590"/>
      <c r="AR91" s="590"/>
      <c r="AS91" s="590"/>
      <c r="AT91" s="590"/>
      <c r="AU91" s="590"/>
      <c r="AV91" s="590"/>
      <c r="AW91" s="590"/>
      <c r="AX91" s="590"/>
      <c r="AY91" s="590"/>
      <c r="AZ91" s="590"/>
      <c r="BA91" s="590"/>
      <c r="BB91" s="590"/>
      <c r="BC91" s="590"/>
      <c r="BD91" s="590"/>
      <c r="BE91" s="590"/>
      <c r="BF91" s="590"/>
      <c r="BG91" s="590"/>
      <c r="BH91" s="590"/>
      <c r="BI91" s="590"/>
      <c r="BJ91" s="590"/>
      <c r="BK91" s="591"/>
      <c r="BL91" s="591"/>
      <c r="BM91" s="591"/>
      <c r="BN91" s="591"/>
      <c r="BO91" s="591"/>
      <c r="BP91" s="591"/>
      <c r="BQ91" s="591"/>
      <c r="BR91" s="591"/>
      <c r="BS91" s="591"/>
      <c r="BT91" s="591"/>
      <c r="BU91" s="591"/>
      <c r="BV91" s="591"/>
      <c r="BW91" s="591"/>
      <c r="BX91" s="591"/>
      <c r="BY91" s="591"/>
      <c r="BZ91" s="591"/>
      <c r="CA91" s="591"/>
      <c r="CB91" s="591"/>
      <c r="CC91" s="591"/>
      <c r="CD91" s="591"/>
      <c r="CE91" s="591"/>
      <c r="CF91" s="591"/>
    </row>
    <row r="92" spans="1:84">
      <c r="A92" s="590"/>
      <c r="B92" s="590"/>
      <c r="C92" s="590"/>
      <c r="D92" s="590"/>
      <c r="E92" s="590"/>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0"/>
      <c r="AP92" s="590"/>
      <c r="AQ92" s="590"/>
      <c r="AR92" s="590"/>
      <c r="AS92" s="590"/>
      <c r="AT92" s="590"/>
      <c r="AU92" s="590"/>
      <c r="AV92" s="590"/>
      <c r="AW92" s="590"/>
      <c r="AX92" s="590"/>
      <c r="AY92" s="590"/>
      <c r="AZ92" s="590"/>
      <c r="BA92" s="590"/>
      <c r="BB92" s="590"/>
      <c r="BC92" s="590"/>
      <c r="BD92" s="590"/>
      <c r="BE92" s="590"/>
      <c r="BF92" s="590"/>
      <c r="BG92" s="590"/>
      <c r="BH92" s="590"/>
      <c r="BI92" s="590"/>
      <c r="BJ92" s="590"/>
      <c r="BK92" s="591"/>
      <c r="BL92" s="591"/>
      <c r="BM92" s="591"/>
      <c r="BN92" s="591"/>
      <c r="BO92" s="591"/>
      <c r="BP92" s="591"/>
      <c r="BQ92" s="591"/>
      <c r="BR92" s="591"/>
      <c r="BS92" s="591"/>
      <c r="BT92" s="591"/>
      <c r="BU92" s="591"/>
      <c r="BV92" s="591"/>
      <c r="BW92" s="591"/>
      <c r="BX92" s="591"/>
      <c r="BY92" s="591"/>
      <c r="BZ92" s="591"/>
      <c r="CA92" s="591"/>
      <c r="CB92" s="591"/>
      <c r="CC92" s="591"/>
      <c r="CD92" s="591"/>
      <c r="CE92" s="591"/>
      <c r="CF92" s="591"/>
    </row>
    <row r="93" spans="1:84">
      <c r="A93" s="590"/>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0"/>
      <c r="AP93" s="590"/>
      <c r="AQ93" s="590"/>
      <c r="AR93" s="590"/>
      <c r="AS93" s="590"/>
      <c r="AT93" s="590"/>
      <c r="AU93" s="590"/>
      <c r="AV93" s="590"/>
      <c r="AW93" s="590"/>
      <c r="AX93" s="590"/>
      <c r="AY93" s="590"/>
      <c r="AZ93" s="590"/>
      <c r="BA93" s="590"/>
      <c r="BB93" s="590"/>
      <c r="BC93" s="590"/>
      <c r="BD93" s="590"/>
      <c r="BE93" s="590"/>
      <c r="BF93" s="590"/>
      <c r="BG93" s="590"/>
      <c r="BH93" s="590"/>
      <c r="BI93" s="590"/>
      <c r="BJ93" s="590"/>
      <c r="BK93" s="591"/>
      <c r="BL93" s="591"/>
      <c r="BM93" s="591"/>
      <c r="BN93" s="591"/>
      <c r="BO93" s="591"/>
      <c r="BP93" s="591"/>
      <c r="BQ93" s="591"/>
      <c r="BR93" s="591"/>
      <c r="BS93" s="591"/>
      <c r="BT93" s="591"/>
      <c r="BU93" s="591"/>
      <c r="BV93" s="591"/>
      <c r="BW93" s="591"/>
      <c r="BX93" s="591"/>
      <c r="BY93" s="591"/>
      <c r="BZ93" s="591"/>
      <c r="CA93" s="591"/>
      <c r="CB93" s="591"/>
      <c r="CC93" s="591"/>
      <c r="CD93" s="591"/>
      <c r="CE93" s="591"/>
      <c r="CF93" s="591"/>
    </row>
    <row r="94" spans="1:84">
      <c r="A94" s="590"/>
      <c r="B94" s="590"/>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0"/>
      <c r="AP94" s="590"/>
      <c r="AQ94" s="590"/>
      <c r="AR94" s="590"/>
      <c r="AS94" s="590"/>
      <c r="AT94" s="590"/>
      <c r="AU94" s="590"/>
      <c r="AV94" s="590"/>
      <c r="AW94" s="590"/>
      <c r="AX94" s="590"/>
      <c r="AY94" s="590"/>
      <c r="AZ94" s="590"/>
      <c r="BA94" s="590"/>
      <c r="BB94" s="590"/>
      <c r="BC94" s="590"/>
      <c r="BD94" s="590"/>
      <c r="BE94" s="590"/>
      <c r="BF94" s="590"/>
      <c r="BG94" s="590"/>
      <c r="BH94" s="590"/>
      <c r="BI94" s="590"/>
      <c r="BJ94" s="590"/>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row>
    <row r="95" spans="1:84">
      <c r="A95" s="590"/>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0"/>
      <c r="AP95" s="590"/>
      <c r="AQ95" s="590"/>
      <c r="AR95" s="590"/>
      <c r="AS95" s="590"/>
      <c r="AT95" s="590"/>
      <c r="AU95" s="590"/>
      <c r="AV95" s="590"/>
      <c r="AW95" s="590"/>
      <c r="AX95" s="590"/>
      <c r="AY95" s="590"/>
      <c r="AZ95" s="590"/>
      <c r="BA95" s="590"/>
      <c r="BB95" s="590"/>
      <c r="BC95" s="590"/>
      <c r="BD95" s="590"/>
      <c r="BE95" s="590"/>
      <c r="BF95" s="590"/>
      <c r="BG95" s="590"/>
      <c r="BH95" s="590"/>
      <c r="BI95" s="590"/>
      <c r="BJ95" s="590"/>
      <c r="BK95" s="591"/>
      <c r="BL95" s="591"/>
      <c r="BM95" s="591"/>
      <c r="BN95" s="591"/>
      <c r="BO95" s="591"/>
      <c r="BP95" s="591"/>
      <c r="BQ95" s="591"/>
      <c r="BR95" s="591"/>
      <c r="BS95" s="591"/>
      <c r="BT95" s="591"/>
      <c r="BU95" s="591"/>
      <c r="BV95" s="591"/>
      <c r="BW95" s="591"/>
      <c r="BX95" s="591"/>
      <c r="BY95" s="591"/>
      <c r="BZ95" s="591"/>
      <c r="CA95" s="591"/>
      <c r="CB95" s="591"/>
      <c r="CC95" s="591"/>
      <c r="CD95" s="591"/>
      <c r="CE95" s="591"/>
      <c r="CF95" s="591"/>
    </row>
    <row r="96" spans="1:84">
      <c r="A96" s="590"/>
      <c r="B96" s="590"/>
      <c r="C96" s="590"/>
      <c r="D96" s="590"/>
      <c r="E96" s="590"/>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0"/>
      <c r="AP96" s="590"/>
      <c r="AQ96" s="590"/>
      <c r="AR96" s="590"/>
      <c r="AS96" s="590"/>
      <c r="AT96" s="590"/>
      <c r="AU96" s="590"/>
      <c r="AV96" s="590"/>
      <c r="AW96" s="590"/>
      <c r="AX96" s="590"/>
      <c r="AY96" s="590"/>
      <c r="AZ96" s="590"/>
      <c r="BA96" s="590"/>
      <c r="BB96" s="590"/>
      <c r="BC96" s="590"/>
      <c r="BD96" s="590"/>
      <c r="BE96" s="590"/>
      <c r="BF96" s="590"/>
      <c r="BG96" s="590"/>
      <c r="BH96" s="590"/>
      <c r="BI96" s="590"/>
      <c r="BJ96" s="590"/>
      <c r="BK96" s="591"/>
      <c r="BL96" s="591"/>
      <c r="BM96" s="591"/>
      <c r="BN96" s="591"/>
      <c r="BO96" s="591"/>
      <c r="BP96" s="591"/>
      <c r="BQ96" s="591"/>
      <c r="BR96" s="591"/>
      <c r="BS96" s="591"/>
      <c r="BT96" s="591"/>
      <c r="BU96" s="591"/>
      <c r="BV96" s="591"/>
      <c r="BW96" s="591"/>
      <c r="BX96" s="591"/>
      <c r="BY96" s="591"/>
      <c r="BZ96" s="591"/>
      <c r="CA96" s="591"/>
      <c r="CB96" s="591"/>
      <c r="CC96" s="591"/>
      <c r="CD96" s="591"/>
      <c r="CE96" s="591"/>
      <c r="CF96" s="591"/>
    </row>
    <row r="97" spans="1:84">
      <c r="A97" s="590"/>
      <c r="B97" s="590"/>
      <c r="C97" s="590"/>
      <c r="D97" s="590"/>
      <c r="E97" s="590"/>
      <c r="F97" s="590"/>
      <c r="G97" s="590"/>
      <c r="H97" s="590"/>
      <c r="I97" s="590"/>
      <c r="J97" s="590"/>
      <c r="K97" s="590"/>
      <c r="L97" s="590"/>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0"/>
      <c r="AP97" s="590"/>
      <c r="AQ97" s="590"/>
      <c r="AR97" s="590"/>
      <c r="AS97" s="590"/>
      <c r="AT97" s="590"/>
      <c r="AU97" s="590"/>
      <c r="AV97" s="590"/>
      <c r="AW97" s="590"/>
      <c r="AX97" s="590"/>
      <c r="AY97" s="590"/>
      <c r="AZ97" s="590"/>
      <c r="BA97" s="590"/>
      <c r="BB97" s="590"/>
      <c r="BC97" s="590"/>
      <c r="BD97" s="590"/>
      <c r="BE97" s="590"/>
      <c r="BF97" s="590"/>
      <c r="BG97" s="590"/>
      <c r="BH97" s="590"/>
      <c r="BI97" s="590"/>
      <c r="BJ97" s="590"/>
      <c r="BK97" s="591"/>
      <c r="BL97" s="591"/>
      <c r="BM97" s="591"/>
      <c r="BN97" s="591"/>
      <c r="BO97" s="591"/>
      <c r="BP97" s="591"/>
      <c r="BQ97" s="591"/>
      <c r="BR97" s="591"/>
      <c r="BS97" s="591"/>
      <c r="BT97" s="591"/>
      <c r="BU97" s="591"/>
      <c r="BV97" s="591"/>
      <c r="BW97" s="591"/>
      <c r="BX97" s="591"/>
      <c r="BY97" s="591"/>
      <c r="BZ97" s="591"/>
      <c r="CA97" s="591"/>
      <c r="CB97" s="591"/>
      <c r="CC97" s="591"/>
      <c r="CD97" s="591"/>
      <c r="CE97" s="591"/>
      <c r="CF97" s="591"/>
    </row>
    <row r="98" spans="1:84">
      <c r="A98" s="590"/>
      <c r="B98" s="590"/>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0"/>
      <c r="AP98" s="590"/>
      <c r="AQ98" s="590"/>
      <c r="AR98" s="590"/>
      <c r="AS98" s="590"/>
      <c r="AT98" s="590"/>
      <c r="AU98" s="590"/>
      <c r="AV98" s="590"/>
      <c r="AW98" s="590"/>
      <c r="AX98" s="590"/>
      <c r="AY98" s="590"/>
      <c r="AZ98" s="590"/>
      <c r="BA98" s="590"/>
      <c r="BB98" s="590"/>
      <c r="BC98" s="590"/>
      <c r="BD98" s="590"/>
      <c r="BE98" s="590"/>
      <c r="BF98" s="590"/>
      <c r="BG98" s="590"/>
      <c r="BH98" s="590"/>
      <c r="BI98" s="590"/>
      <c r="BJ98" s="590"/>
      <c r="BK98" s="591"/>
      <c r="BL98" s="591"/>
      <c r="BM98" s="591"/>
      <c r="BN98" s="591"/>
      <c r="BO98" s="591"/>
      <c r="BP98" s="591"/>
      <c r="BQ98" s="591"/>
      <c r="BR98" s="591"/>
      <c r="BS98" s="591"/>
      <c r="BT98" s="591"/>
      <c r="BU98" s="591"/>
      <c r="BV98" s="591"/>
      <c r="BW98" s="591"/>
      <c r="BX98" s="591"/>
      <c r="BY98" s="591"/>
      <c r="BZ98" s="591"/>
      <c r="CA98" s="591"/>
      <c r="CB98" s="591"/>
      <c r="CC98" s="591"/>
      <c r="CD98" s="591"/>
      <c r="CE98" s="591"/>
      <c r="CF98" s="591"/>
    </row>
    <row r="99" spans="1:84">
      <c r="A99" s="590"/>
      <c r="B99" s="590"/>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1"/>
      <c r="BL99" s="591"/>
      <c r="BM99" s="591"/>
      <c r="BN99" s="591"/>
      <c r="BO99" s="591"/>
      <c r="BP99" s="591"/>
      <c r="BQ99" s="591"/>
      <c r="BR99" s="591"/>
      <c r="BS99" s="591"/>
      <c r="BT99" s="591"/>
      <c r="BU99" s="591"/>
      <c r="BV99" s="591"/>
      <c r="BW99" s="591"/>
      <c r="BX99" s="591"/>
      <c r="BY99" s="591"/>
      <c r="BZ99" s="591"/>
      <c r="CA99" s="591"/>
      <c r="CB99" s="591"/>
      <c r="CC99" s="591"/>
      <c r="CD99" s="591"/>
      <c r="CE99" s="591"/>
      <c r="CF99" s="591"/>
    </row>
    <row r="100" spans="1:84">
      <c r="A100" s="590"/>
      <c r="B100" s="590"/>
      <c r="C100" s="590"/>
      <c r="D100" s="590"/>
      <c r="E100" s="590"/>
      <c r="F100" s="590"/>
      <c r="G100" s="590"/>
      <c r="H100" s="590"/>
      <c r="I100" s="590"/>
      <c r="J100" s="590"/>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0"/>
      <c r="AP100" s="590"/>
      <c r="AQ100" s="590"/>
      <c r="AR100" s="590"/>
      <c r="AS100" s="590"/>
      <c r="AT100" s="590"/>
      <c r="AU100" s="590"/>
      <c r="AV100" s="590"/>
      <c r="AW100" s="590"/>
      <c r="AX100" s="590"/>
      <c r="AY100" s="590"/>
      <c r="AZ100" s="590"/>
      <c r="BA100" s="590"/>
      <c r="BB100" s="590"/>
      <c r="BC100" s="590"/>
      <c r="BD100" s="590"/>
      <c r="BE100" s="590"/>
      <c r="BF100" s="590"/>
      <c r="BG100" s="590"/>
      <c r="BH100" s="590"/>
      <c r="BI100" s="590"/>
      <c r="BJ100" s="590"/>
      <c r="BK100" s="591"/>
      <c r="BL100" s="591"/>
      <c r="BM100" s="591"/>
      <c r="BN100" s="591"/>
      <c r="BO100" s="591"/>
      <c r="BP100" s="591"/>
      <c r="BQ100" s="591"/>
      <c r="BR100" s="591"/>
      <c r="BS100" s="591"/>
      <c r="BT100" s="591"/>
      <c r="BU100" s="591"/>
      <c r="BV100" s="591"/>
      <c r="BW100" s="591"/>
      <c r="BX100" s="591"/>
      <c r="BY100" s="591"/>
      <c r="BZ100" s="591"/>
      <c r="CA100" s="591"/>
      <c r="CB100" s="591"/>
      <c r="CC100" s="591"/>
      <c r="CD100" s="591"/>
      <c r="CE100" s="591"/>
      <c r="CF100" s="591"/>
    </row>
    <row r="101" spans="1:84">
      <c r="A101" s="590"/>
      <c r="B101" s="590"/>
      <c r="C101" s="590"/>
      <c r="D101" s="590"/>
      <c r="E101" s="590"/>
      <c r="F101" s="590"/>
      <c r="G101" s="590"/>
      <c r="H101" s="590"/>
      <c r="I101" s="590"/>
      <c r="J101" s="590"/>
      <c r="K101" s="590"/>
      <c r="L101" s="590"/>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0"/>
      <c r="AP101" s="590"/>
      <c r="AQ101" s="590"/>
      <c r="AR101" s="590"/>
      <c r="AS101" s="590"/>
      <c r="AT101" s="590"/>
      <c r="AU101" s="590"/>
      <c r="AV101" s="590"/>
      <c r="AW101" s="590"/>
      <c r="AX101" s="590"/>
      <c r="AY101" s="590"/>
      <c r="AZ101" s="590"/>
      <c r="BA101" s="590"/>
      <c r="BB101" s="590"/>
      <c r="BC101" s="590"/>
      <c r="BD101" s="590"/>
      <c r="BE101" s="590"/>
      <c r="BF101" s="590"/>
      <c r="BG101" s="590"/>
      <c r="BH101" s="590"/>
      <c r="BI101" s="590"/>
      <c r="BJ101" s="590"/>
      <c r="BK101" s="591"/>
      <c r="BL101" s="591"/>
      <c r="BM101" s="591"/>
      <c r="BN101" s="591"/>
      <c r="BO101" s="591"/>
      <c r="BP101" s="591"/>
      <c r="BQ101" s="591"/>
      <c r="BR101" s="591"/>
      <c r="BS101" s="591"/>
      <c r="BT101" s="591"/>
      <c r="BU101" s="591"/>
      <c r="BV101" s="591"/>
      <c r="BW101" s="591"/>
      <c r="BX101" s="591"/>
      <c r="BY101" s="591"/>
      <c r="BZ101" s="591"/>
      <c r="CA101" s="591"/>
      <c r="CB101" s="591"/>
      <c r="CC101" s="591"/>
      <c r="CD101" s="591"/>
      <c r="CE101" s="591"/>
      <c r="CF101" s="591"/>
    </row>
    <row r="102" spans="1:84">
      <c r="A102" s="590"/>
      <c r="B102" s="590"/>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0"/>
      <c r="AP102" s="590"/>
      <c r="AQ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1"/>
      <c r="BL102" s="591"/>
      <c r="BM102" s="591"/>
      <c r="BN102" s="591"/>
      <c r="BO102" s="591"/>
      <c r="BP102" s="591"/>
      <c r="BQ102" s="591"/>
      <c r="BR102" s="591"/>
      <c r="BS102" s="591"/>
      <c r="BT102" s="591"/>
      <c r="BU102" s="591"/>
      <c r="BV102" s="591"/>
      <c r="BW102" s="591"/>
      <c r="BX102" s="591"/>
      <c r="BY102" s="591"/>
      <c r="BZ102" s="591"/>
      <c r="CA102" s="591"/>
      <c r="CB102" s="591"/>
      <c r="CC102" s="591"/>
      <c r="CD102" s="591"/>
      <c r="CE102" s="591"/>
      <c r="CF102" s="591"/>
    </row>
    <row r="103" spans="1:84">
      <c r="A103" s="590"/>
      <c r="B103" s="590"/>
      <c r="C103" s="590"/>
      <c r="D103" s="590"/>
      <c r="E103" s="590"/>
      <c r="F103" s="590"/>
      <c r="G103" s="590"/>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1"/>
      <c r="BL103" s="591"/>
      <c r="BM103" s="591"/>
      <c r="BN103" s="591"/>
      <c r="BO103" s="591"/>
      <c r="BP103" s="591"/>
      <c r="BQ103" s="591"/>
      <c r="BR103" s="591"/>
      <c r="BS103" s="591"/>
      <c r="BT103" s="591"/>
      <c r="BU103" s="591"/>
      <c r="BV103" s="591"/>
      <c r="BW103" s="591"/>
      <c r="BX103" s="591"/>
      <c r="BY103" s="591"/>
      <c r="BZ103" s="591"/>
      <c r="CA103" s="591"/>
      <c r="CB103" s="591"/>
      <c r="CC103" s="591"/>
      <c r="CD103" s="591"/>
      <c r="CE103" s="591"/>
      <c r="CF103" s="591"/>
    </row>
    <row r="104" spans="1:84">
      <c r="A104" s="590"/>
      <c r="B104" s="590"/>
      <c r="C104" s="590"/>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0"/>
      <c r="AP104" s="590"/>
      <c r="AQ104" s="590"/>
      <c r="AR104" s="590"/>
      <c r="AS104" s="590"/>
      <c r="AT104" s="590"/>
      <c r="AU104" s="590"/>
      <c r="AV104" s="590"/>
      <c r="AW104" s="590"/>
      <c r="AX104" s="590"/>
      <c r="AY104" s="590"/>
      <c r="AZ104" s="590"/>
      <c r="BA104" s="590"/>
      <c r="BB104" s="590"/>
      <c r="BC104" s="590"/>
      <c r="BD104" s="590"/>
      <c r="BE104" s="590"/>
      <c r="BF104" s="590"/>
      <c r="BG104" s="590"/>
      <c r="BH104" s="590"/>
      <c r="BI104" s="590"/>
      <c r="BJ104" s="590"/>
      <c r="BK104" s="591"/>
      <c r="BL104" s="591"/>
      <c r="BM104" s="591"/>
      <c r="BN104" s="591"/>
      <c r="BO104" s="591"/>
      <c r="BP104" s="591"/>
      <c r="BQ104" s="591"/>
      <c r="BR104" s="591"/>
      <c r="BS104" s="591"/>
      <c r="BT104" s="591"/>
      <c r="BU104" s="591"/>
      <c r="BV104" s="591"/>
      <c r="BW104" s="591"/>
      <c r="BX104" s="591"/>
      <c r="BY104" s="591"/>
      <c r="BZ104" s="591"/>
      <c r="CA104" s="591"/>
      <c r="CB104" s="591"/>
      <c r="CC104" s="591"/>
      <c r="CD104" s="591"/>
      <c r="CE104" s="591"/>
      <c r="CF104" s="591"/>
    </row>
    <row r="105" spans="1:84">
      <c r="A105" s="590"/>
      <c r="B105" s="590"/>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0"/>
      <c r="AP105" s="590"/>
      <c r="AQ105" s="590"/>
      <c r="AR105" s="590"/>
      <c r="AS105" s="590"/>
      <c r="AT105" s="590"/>
      <c r="AU105" s="590"/>
      <c r="AV105" s="590"/>
      <c r="AW105" s="590"/>
      <c r="AX105" s="590"/>
      <c r="AY105" s="590"/>
      <c r="AZ105" s="590"/>
      <c r="BA105" s="590"/>
      <c r="BB105" s="590"/>
      <c r="BC105" s="590"/>
      <c r="BD105" s="590"/>
      <c r="BE105" s="590"/>
      <c r="BF105" s="590"/>
      <c r="BG105" s="590"/>
      <c r="BH105" s="590"/>
      <c r="BI105" s="590"/>
      <c r="BJ105" s="590"/>
      <c r="BK105" s="591"/>
      <c r="BL105" s="591"/>
      <c r="BM105" s="591"/>
      <c r="BN105" s="591"/>
      <c r="BO105" s="591"/>
      <c r="BP105" s="591"/>
      <c r="BQ105" s="591"/>
      <c r="BR105" s="591"/>
      <c r="BS105" s="591"/>
      <c r="BT105" s="591"/>
      <c r="BU105" s="591"/>
      <c r="BV105" s="591"/>
      <c r="BW105" s="591"/>
      <c r="BX105" s="591"/>
      <c r="BY105" s="591"/>
      <c r="BZ105" s="591"/>
      <c r="CA105" s="591"/>
      <c r="CB105" s="591"/>
      <c r="CC105" s="591"/>
      <c r="CD105" s="591"/>
      <c r="CE105" s="591"/>
      <c r="CF105" s="591"/>
    </row>
    <row r="106" spans="1:84">
      <c r="A106" s="590"/>
      <c r="B106" s="590"/>
      <c r="C106" s="590"/>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0"/>
      <c r="AP106" s="590"/>
      <c r="AQ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1"/>
      <c r="BL106" s="591"/>
      <c r="BM106" s="591"/>
      <c r="BN106" s="591"/>
      <c r="BO106" s="591"/>
      <c r="BP106" s="591"/>
      <c r="BQ106" s="591"/>
      <c r="BR106" s="591"/>
      <c r="BS106" s="591"/>
      <c r="BT106" s="591"/>
      <c r="BU106" s="591"/>
      <c r="BV106" s="591"/>
      <c r="BW106" s="591"/>
      <c r="BX106" s="591"/>
      <c r="BY106" s="591"/>
      <c r="BZ106" s="591"/>
      <c r="CA106" s="591"/>
      <c r="CB106" s="591"/>
      <c r="CC106" s="591"/>
      <c r="CD106" s="591"/>
      <c r="CE106" s="591"/>
      <c r="CF106" s="591"/>
    </row>
    <row r="107" spans="1:84">
      <c r="A107" s="590"/>
      <c r="B107" s="590"/>
      <c r="C107" s="590"/>
      <c r="D107" s="590"/>
      <c r="E107" s="590"/>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0"/>
      <c r="AP107" s="590"/>
      <c r="AQ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1"/>
      <c r="BL107" s="591"/>
      <c r="BM107" s="591"/>
      <c r="BN107" s="591"/>
      <c r="BO107" s="591"/>
      <c r="BP107" s="591"/>
      <c r="BQ107" s="591"/>
      <c r="BR107" s="591"/>
      <c r="BS107" s="591"/>
      <c r="BT107" s="591"/>
      <c r="BU107" s="591"/>
      <c r="BV107" s="591"/>
      <c r="BW107" s="591"/>
      <c r="BX107" s="591"/>
      <c r="BY107" s="591"/>
      <c r="BZ107" s="591"/>
      <c r="CA107" s="591"/>
      <c r="CB107" s="591"/>
      <c r="CC107" s="591"/>
      <c r="CD107" s="591"/>
      <c r="CE107" s="591"/>
      <c r="CF107" s="591"/>
    </row>
    <row r="108" spans="1:84">
      <c r="A108" s="590"/>
      <c r="B108" s="590"/>
      <c r="C108" s="590"/>
      <c r="D108" s="590"/>
      <c r="E108" s="590"/>
      <c r="F108" s="590"/>
      <c r="G108" s="590"/>
      <c r="H108" s="590"/>
      <c r="I108" s="590"/>
      <c r="J108" s="590"/>
      <c r="K108" s="590"/>
      <c r="L108" s="590"/>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0"/>
      <c r="AP108" s="590"/>
      <c r="AQ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1"/>
      <c r="BL108" s="591"/>
      <c r="BM108" s="591"/>
      <c r="BN108" s="591"/>
      <c r="BO108" s="591"/>
      <c r="BP108" s="591"/>
      <c r="BQ108" s="591"/>
      <c r="BR108" s="591"/>
      <c r="BS108" s="591"/>
      <c r="BT108" s="591"/>
      <c r="BU108" s="591"/>
      <c r="BV108" s="591"/>
      <c r="BW108" s="591"/>
      <c r="BX108" s="591"/>
      <c r="BY108" s="591"/>
      <c r="BZ108" s="591"/>
      <c r="CA108" s="591"/>
      <c r="CB108" s="591"/>
      <c r="CC108" s="591"/>
      <c r="CD108" s="591"/>
      <c r="CE108" s="591"/>
      <c r="CF108" s="591"/>
    </row>
    <row r="109" spans="1:84">
      <c r="A109" s="590"/>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0"/>
      <c r="AP109" s="590"/>
      <c r="AQ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1"/>
      <c r="BL109" s="591"/>
      <c r="BM109" s="591"/>
      <c r="BN109" s="591"/>
      <c r="BO109" s="591"/>
      <c r="BP109" s="591"/>
      <c r="BQ109" s="591"/>
      <c r="BR109" s="591"/>
      <c r="BS109" s="591"/>
      <c r="BT109" s="591"/>
      <c r="BU109" s="591"/>
      <c r="BV109" s="591"/>
      <c r="BW109" s="591"/>
      <c r="BX109" s="591"/>
      <c r="BY109" s="591"/>
      <c r="BZ109" s="591"/>
      <c r="CA109" s="591"/>
      <c r="CB109" s="591"/>
      <c r="CC109" s="591"/>
      <c r="CD109" s="591"/>
      <c r="CE109" s="591"/>
      <c r="CF109" s="591"/>
    </row>
    <row r="110" spans="1:84">
      <c r="A110" s="590"/>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0"/>
      <c r="AP110" s="590"/>
      <c r="AQ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1"/>
      <c r="BL110" s="591"/>
      <c r="BM110" s="591"/>
      <c r="BN110" s="591"/>
      <c r="BO110" s="591"/>
      <c r="BP110" s="591"/>
      <c r="BQ110" s="591"/>
      <c r="BR110" s="591"/>
      <c r="BS110" s="591"/>
      <c r="BT110" s="591"/>
      <c r="BU110" s="591"/>
      <c r="BV110" s="591"/>
      <c r="BW110" s="591"/>
      <c r="BX110" s="591"/>
      <c r="BY110" s="591"/>
      <c r="BZ110" s="591"/>
      <c r="CA110" s="591"/>
      <c r="CB110" s="591"/>
      <c r="CC110" s="591"/>
      <c r="CD110" s="591"/>
      <c r="CE110" s="591"/>
      <c r="CF110" s="591"/>
    </row>
    <row r="111" spans="1:84">
      <c r="A111" s="590"/>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0"/>
      <c r="AP111" s="590"/>
      <c r="AQ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1"/>
      <c r="BL111" s="591"/>
      <c r="BM111" s="591"/>
      <c r="BN111" s="591"/>
      <c r="BO111" s="591"/>
      <c r="BP111" s="591"/>
      <c r="BQ111" s="591"/>
      <c r="BR111" s="591"/>
      <c r="BS111" s="591"/>
      <c r="BT111" s="591"/>
      <c r="BU111" s="591"/>
      <c r="BV111" s="591"/>
      <c r="BW111" s="591"/>
      <c r="BX111" s="591"/>
      <c r="BY111" s="591"/>
      <c r="BZ111" s="591"/>
      <c r="CA111" s="591"/>
      <c r="CB111" s="591"/>
      <c r="CC111" s="591"/>
      <c r="CD111" s="591"/>
      <c r="CE111" s="591"/>
      <c r="CF111" s="591"/>
    </row>
    <row r="112" spans="1:84">
      <c r="A112" s="590"/>
      <c r="B112" s="590"/>
      <c r="C112" s="590"/>
      <c r="D112" s="590"/>
      <c r="E112" s="590"/>
      <c r="F112" s="590"/>
      <c r="G112" s="590"/>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1"/>
      <c r="BL112" s="591"/>
      <c r="BM112" s="591"/>
      <c r="BN112" s="591"/>
      <c r="BO112" s="591"/>
      <c r="BP112" s="591"/>
      <c r="BQ112" s="591"/>
      <c r="BR112" s="591"/>
      <c r="BS112" s="591"/>
      <c r="BT112" s="591"/>
      <c r="BU112" s="591"/>
      <c r="BV112" s="591"/>
      <c r="BW112" s="591"/>
      <c r="BX112" s="591"/>
      <c r="BY112" s="591"/>
      <c r="BZ112" s="591"/>
      <c r="CA112" s="591"/>
      <c r="CB112" s="591"/>
      <c r="CC112" s="591"/>
      <c r="CD112" s="591"/>
      <c r="CE112" s="591"/>
      <c r="CF112" s="591"/>
    </row>
    <row r="113" spans="1:84">
      <c r="A113" s="590"/>
      <c r="B113" s="590"/>
      <c r="C113" s="590"/>
      <c r="D113" s="590"/>
      <c r="E113" s="590"/>
      <c r="F113" s="590"/>
      <c r="G113" s="590"/>
      <c r="H113" s="590"/>
      <c r="I113" s="590"/>
      <c r="J113" s="590"/>
      <c r="K113" s="590"/>
      <c r="L113" s="590"/>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0"/>
      <c r="AP113" s="590"/>
      <c r="AQ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1"/>
      <c r="BL113" s="591"/>
      <c r="BM113" s="591"/>
      <c r="BN113" s="591"/>
      <c r="BO113" s="591"/>
      <c r="BP113" s="591"/>
      <c r="BQ113" s="591"/>
      <c r="BR113" s="591"/>
      <c r="BS113" s="591"/>
      <c r="BT113" s="591"/>
      <c r="BU113" s="591"/>
      <c r="BV113" s="591"/>
      <c r="BW113" s="591"/>
      <c r="BX113" s="591"/>
      <c r="BY113" s="591"/>
      <c r="BZ113" s="591"/>
      <c r="CA113" s="591"/>
      <c r="CB113" s="591"/>
      <c r="CC113" s="591"/>
      <c r="CD113" s="591"/>
      <c r="CE113" s="591"/>
      <c r="CF113" s="591"/>
    </row>
    <row r="114" spans="1:84">
      <c r="A114" s="590"/>
      <c r="B114" s="590"/>
      <c r="C114" s="590"/>
      <c r="D114" s="590"/>
      <c r="E114" s="590"/>
      <c r="F114" s="590"/>
      <c r="G114" s="590"/>
      <c r="H114" s="590"/>
      <c r="I114" s="590"/>
      <c r="J114" s="590"/>
      <c r="K114" s="590"/>
      <c r="L114" s="590"/>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0"/>
      <c r="AP114" s="590"/>
      <c r="AQ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1"/>
      <c r="BL114" s="591"/>
      <c r="BM114" s="591"/>
      <c r="BN114" s="591"/>
      <c r="BO114" s="591"/>
      <c r="BP114" s="591"/>
      <c r="BQ114" s="591"/>
      <c r="BR114" s="591"/>
      <c r="BS114" s="591"/>
      <c r="BT114" s="591"/>
      <c r="BU114" s="591"/>
      <c r="BV114" s="591"/>
      <c r="BW114" s="591"/>
      <c r="BX114" s="591"/>
      <c r="BY114" s="591"/>
      <c r="BZ114" s="591"/>
      <c r="CA114" s="591"/>
      <c r="CB114" s="591"/>
      <c r="CC114" s="591"/>
      <c r="CD114" s="591"/>
      <c r="CE114" s="591"/>
      <c r="CF114" s="591"/>
    </row>
    <row r="115" spans="1:84">
      <c r="A115" s="590"/>
      <c r="B115" s="590"/>
      <c r="C115" s="590"/>
      <c r="D115" s="590"/>
      <c r="E115" s="590"/>
      <c r="F115" s="590"/>
      <c r="G115" s="590"/>
      <c r="H115" s="590"/>
      <c r="I115" s="590"/>
      <c r="J115" s="590"/>
      <c r="K115" s="590"/>
      <c r="L115" s="590"/>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0"/>
      <c r="AP115" s="590"/>
      <c r="AQ115" s="590"/>
      <c r="AR115" s="590"/>
      <c r="AS115" s="590"/>
      <c r="AT115" s="590"/>
      <c r="AU115" s="590"/>
      <c r="AV115" s="590"/>
      <c r="AW115" s="590"/>
      <c r="AX115" s="590"/>
      <c r="AY115" s="590"/>
      <c r="AZ115" s="590"/>
      <c r="BA115" s="590"/>
      <c r="BB115" s="590"/>
      <c r="BC115" s="590"/>
      <c r="BD115" s="590"/>
      <c r="BE115" s="590"/>
      <c r="BF115" s="590"/>
      <c r="BG115" s="590"/>
      <c r="BH115" s="590"/>
      <c r="BI115" s="590"/>
      <c r="BJ115" s="590"/>
      <c r="BK115" s="591"/>
      <c r="BL115" s="591"/>
      <c r="BM115" s="591"/>
      <c r="BN115" s="591"/>
      <c r="BO115" s="591"/>
      <c r="BP115" s="591"/>
      <c r="BQ115" s="591"/>
      <c r="BR115" s="591"/>
      <c r="BS115" s="591"/>
      <c r="BT115" s="591"/>
      <c r="BU115" s="591"/>
      <c r="BV115" s="591"/>
      <c r="BW115" s="591"/>
      <c r="BX115" s="591"/>
      <c r="BY115" s="591"/>
      <c r="BZ115" s="591"/>
      <c r="CA115" s="591"/>
      <c r="CB115" s="591"/>
      <c r="CC115" s="591"/>
      <c r="CD115" s="591"/>
      <c r="CE115" s="591"/>
      <c r="CF115" s="591"/>
    </row>
    <row r="116" spans="1:84">
      <c r="A116" s="590"/>
      <c r="B116" s="590"/>
      <c r="C116" s="590"/>
      <c r="D116" s="590"/>
      <c r="E116" s="590"/>
      <c r="F116" s="590"/>
      <c r="G116" s="590"/>
      <c r="H116" s="590"/>
      <c r="I116" s="590"/>
      <c r="J116" s="590"/>
      <c r="K116" s="590"/>
      <c r="L116" s="590"/>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0"/>
      <c r="AP116" s="590"/>
      <c r="AQ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1"/>
      <c r="BL116" s="591"/>
      <c r="BM116" s="591"/>
      <c r="BN116" s="591"/>
      <c r="BO116" s="591"/>
      <c r="BP116" s="591"/>
      <c r="BQ116" s="591"/>
      <c r="BR116" s="591"/>
      <c r="BS116" s="591"/>
      <c r="BT116" s="591"/>
      <c r="BU116" s="591"/>
      <c r="BV116" s="591"/>
      <c r="BW116" s="591"/>
      <c r="BX116" s="591"/>
      <c r="BY116" s="591"/>
      <c r="BZ116" s="591"/>
      <c r="CA116" s="591"/>
      <c r="CB116" s="591"/>
      <c r="CC116" s="591"/>
      <c r="CD116" s="591"/>
      <c r="CE116" s="591"/>
      <c r="CF116" s="591"/>
    </row>
    <row r="117" spans="1:84">
      <c r="A117" s="590"/>
      <c r="B117" s="590"/>
      <c r="C117" s="590"/>
      <c r="D117" s="590"/>
      <c r="E117" s="590"/>
      <c r="F117" s="590"/>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0"/>
      <c r="AP117" s="590"/>
      <c r="AQ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1"/>
      <c r="BL117" s="591"/>
      <c r="BM117" s="591"/>
      <c r="BN117" s="591"/>
      <c r="BO117" s="591"/>
      <c r="BP117" s="591"/>
      <c r="BQ117" s="591"/>
      <c r="BR117" s="591"/>
      <c r="BS117" s="591"/>
      <c r="BT117" s="591"/>
      <c r="BU117" s="591"/>
      <c r="BV117" s="591"/>
      <c r="BW117" s="591"/>
      <c r="BX117" s="591"/>
      <c r="BY117" s="591"/>
      <c r="BZ117" s="591"/>
      <c r="CA117" s="591"/>
      <c r="CB117" s="591"/>
      <c r="CC117" s="591"/>
      <c r="CD117" s="591"/>
      <c r="CE117" s="591"/>
      <c r="CF117" s="591"/>
    </row>
    <row r="118" spans="1:84">
      <c r="A118" s="590"/>
      <c r="B118" s="590"/>
      <c r="C118" s="590"/>
      <c r="D118" s="590"/>
      <c r="E118" s="590"/>
      <c r="F118" s="590"/>
      <c r="G118" s="590"/>
      <c r="H118" s="590"/>
      <c r="I118" s="590"/>
      <c r="J118" s="590"/>
      <c r="K118" s="590"/>
      <c r="L118" s="590"/>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0"/>
      <c r="AP118" s="590"/>
      <c r="AQ118" s="590"/>
      <c r="AR118" s="590"/>
      <c r="AS118" s="590"/>
      <c r="AT118" s="590"/>
      <c r="AU118" s="590"/>
      <c r="AV118" s="590"/>
      <c r="AW118" s="590"/>
      <c r="AX118" s="590"/>
      <c r="AY118" s="590"/>
      <c r="AZ118" s="590"/>
      <c r="BA118" s="590"/>
      <c r="BB118" s="590"/>
      <c r="BC118" s="590"/>
      <c r="BD118" s="590"/>
      <c r="BE118" s="590"/>
      <c r="BF118" s="590"/>
      <c r="BG118" s="590"/>
      <c r="BH118" s="590"/>
      <c r="BI118" s="590"/>
      <c r="BJ118" s="590"/>
      <c r="BK118" s="591"/>
      <c r="BL118" s="591"/>
      <c r="BM118" s="591"/>
      <c r="BN118" s="591"/>
      <c r="BO118" s="591"/>
      <c r="BP118" s="591"/>
      <c r="BQ118" s="591"/>
      <c r="BR118" s="591"/>
      <c r="BS118" s="591"/>
      <c r="BT118" s="591"/>
      <c r="BU118" s="591"/>
      <c r="BV118" s="591"/>
      <c r="BW118" s="591"/>
      <c r="BX118" s="591"/>
      <c r="BY118" s="591"/>
      <c r="BZ118" s="591"/>
      <c r="CA118" s="591"/>
      <c r="CB118" s="591"/>
      <c r="CC118" s="591"/>
      <c r="CD118" s="591"/>
      <c r="CE118" s="591"/>
      <c r="CF118" s="591"/>
    </row>
    <row r="119" spans="1:84">
      <c r="A119" s="590"/>
      <c r="B119" s="590"/>
      <c r="C119" s="590"/>
      <c r="D119" s="590"/>
      <c r="E119" s="590"/>
      <c r="F119" s="590"/>
      <c r="G119" s="590"/>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1"/>
      <c r="BL119" s="591"/>
      <c r="BM119" s="591"/>
      <c r="BN119" s="591"/>
      <c r="BO119" s="591"/>
      <c r="BP119" s="591"/>
      <c r="BQ119" s="591"/>
      <c r="BR119" s="591"/>
      <c r="BS119" s="591"/>
      <c r="BT119" s="591"/>
      <c r="BU119" s="591"/>
      <c r="BV119" s="591"/>
      <c r="BW119" s="591"/>
      <c r="BX119" s="591"/>
      <c r="BY119" s="591"/>
      <c r="BZ119" s="591"/>
      <c r="CA119" s="591"/>
      <c r="CB119" s="591"/>
      <c r="CC119" s="591"/>
      <c r="CD119" s="591"/>
      <c r="CE119" s="591"/>
      <c r="CF119" s="591"/>
    </row>
    <row r="120" spans="1:84">
      <c r="A120" s="590"/>
      <c r="B120" s="590"/>
      <c r="C120" s="590"/>
      <c r="D120" s="590"/>
      <c r="E120" s="590"/>
      <c r="F120" s="590"/>
      <c r="G120" s="590"/>
      <c r="H120" s="590"/>
      <c r="I120" s="590"/>
      <c r="J120" s="590"/>
      <c r="K120" s="590"/>
      <c r="L120" s="590"/>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1"/>
      <c r="BL120" s="591"/>
      <c r="BM120" s="591"/>
      <c r="BN120" s="591"/>
      <c r="BO120" s="591"/>
      <c r="BP120" s="591"/>
      <c r="BQ120" s="591"/>
      <c r="BR120" s="591"/>
      <c r="BS120" s="591"/>
      <c r="BT120" s="591"/>
      <c r="BU120" s="591"/>
      <c r="BV120" s="591"/>
      <c r="BW120" s="591"/>
      <c r="BX120" s="591"/>
      <c r="BY120" s="591"/>
      <c r="BZ120" s="591"/>
      <c r="CA120" s="591"/>
      <c r="CB120" s="591"/>
      <c r="CC120" s="591"/>
      <c r="CD120" s="591"/>
      <c r="CE120" s="591"/>
      <c r="CF120" s="591"/>
    </row>
    <row r="121" spans="1:84">
      <c r="A121" s="590"/>
      <c r="B121" s="590"/>
      <c r="C121" s="590"/>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1"/>
      <c r="BL121" s="591"/>
      <c r="BM121" s="591"/>
      <c r="BN121" s="591"/>
      <c r="BO121" s="591"/>
      <c r="BP121" s="591"/>
      <c r="BQ121" s="591"/>
      <c r="BR121" s="591"/>
      <c r="BS121" s="591"/>
      <c r="BT121" s="591"/>
      <c r="BU121" s="591"/>
      <c r="BV121" s="591"/>
      <c r="BW121" s="591"/>
      <c r="BX121" s="591"/>
      <c r="BY121" s="591"/>
      <c r="BZ121" s="591"/>
      <c r="CA121" s="591"/>
      <c r="CB121" s="591"/>
      <c r="CC121" s="591"/>
      <c r="CD121" s="591"/>
      <c r="CE121" s="591"/>
      <c r="CF121" s="591"/>
    </row>
    <row r="122" spans="1:84">
      <c r="A122" s="590"/>
      <c r="B122" s="590"/>
      <c r="C122" s="590"/>
      <c r="D122" s="590"/>
      <c r="E122" s="590"/>
      <c r="F122" s="590"/>
      <c r="G122" s="590"/>
      <c r="H122" s="590"/>
      <c r="I122" s="590"/>
      <c r="J122" s="590"/>
      <c r="K122" s="590"/>
      <c r="L122" s="590"/>
      <c r="M122" s="590"/>
      <c r="N122" s="590"/>
      <c r="O122" s="590"/>
      <c r="P122" s="590"/>
      <c r="Q122" s="590"/>
      <c r="R122" s="590"/>
      <c r="S122" s="590"/>
      <c r="T122" s="590"/>
      <c r="U122" s="590"/>
      <c r="V122" s="590"/>
      <c r="W122" s="590"/>
      <c r="X122" s="590"/>
      <c r="Y122" s="590"/>
      <c r="Z122" s="590"/>
      <c r="AA122" s="590"/>
      <c r="AB122" s="590"/>
      <c r="AC122" s="590"/>
      <c r="AD122" s="590"/>
      <c r="AE122" s="590"/>
      <c r="AF122" s="590"/>
      <c r="AG122" s="590"/>
      <c r="AH122" s="590"/>
      <c r="AI122" s="590"/>
      <c r="AJ122" s="590"/>
      <c r="AK122" s="590"/>
      <c r="AL122" s="590"/>
      <c r="AM122" s="590"/>
      <c r="AN122" s="590"/>
      <c r="AO122" s="590"/>
      <c r="AP122" s="590"/>
      <c r="AQ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1"/>
      <c r="BL122" s="591"/>
      <c r="BM122" s="591"/>
      <c r="BN122" s="591"/>
      <c r="BO122" s="591"/>
      <c r="BP122" s="591"/>
      <c r="BQ122" s="591"/>
      <c r="BR122" s="591"/>
      <c r="BS122" s="591"/>
      <c r="BT122" s="591"/>
      <c r="BU122" s="591"/>
      <c r="BV122" s="591"/>
      <c r="BW122" s="591"/>
      <c r="BX122" s="591"/>
      <c r="BY122" s="591"/>
      <c r="BZ122" s="591"/>
      <c r="CA122" s="591"/>
      <c r="CB122" s="591"/>
      <c r="CC122" s="591"/>
      <c r="CD122" s="591"/>
      <c r="CE122" s="591"/>
      <c r="CF122" s="591"/>
    </row>
    <row r="123" spans="1:84">
      <c r="A123" s="590"/>
      <c r="B123" s="590"/>
      <c r="C123" s="590"/>
      <c r="D123" s="590"/>
      <c r="E123" s="590"/>
      <c r="F123" s="590"/>
      <c r="G123" s="590"/>
      <c r="H123" s="590"/>
      <c r="I123" s="590"/>
      <c r="J123" s="590"/>
      <c r="K123" s="590"/>
      <c r="L123" s="590"/>
      <c r="M123" s="590"/>
      <c r="N123" s="590"/>
      <c r="O123" s="590"/>
      <c r="P123" s="590"/>
      <c r="Q123" s="590"/>
      <c r="R123" s="590"/>
      <c r="S123" s="590"/>
      <c r="T123" s="590"/>
      <c r="U123" s="590"/>
      <c r="V123" s="590"/>
      <c r="W123" s="590"/>
      <c r="X123" s="590"/>
      <c r="Y123" s="590"/>
      <c r="Z123" s="590"/>
      <c r="AA123" s="590"/>
      <c r="AB123" s="590"/>
      <c r="AC123" s="590"/>
      <c r="AD123" s="590"/>
      <c r="AE123" s="590"/>
      <c r="AF123" s="590"/>
      <c r="AG123" s="590"/>
      <c r="AH123" s="590"/>
      <c r="AI123" s="590"/>
      <c r="AJ123" s="590"/>
      <c r="AK123" s="590"/>
      <c r="AL123" s="590"/>
      <c r="AM123" s="590"/>
      <c r="AN123" s="590"/>
      <c r="AO123" s="590"/>
      <c r="AP123" s="590"/>
      <c r="AQ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1"/>
      <c r="BL123" s="591"/>
      <c r="BM123" s="591"/>
      <c r="BN123" s="591"/>
      <c r="BO123" s="591"/>
      <c r="BP123" s="591"/>
      <c r="BQ123" s="591"/>
      <c r="BR123" s="591"/>
      <c r="BS123" s="591"/>
      <c r="BT123" s="591"/>
      <c r="BU123" s="591"/>
      <c r="BV123" s="591"/>
      <c r="BW123" s="591"/>
      <c r="BX123" s="591"/>
      <c r="BY123" s="591"/>
      <c r="BZ123" s="591"/>
      <c r="CA123" s="591"/>
      <c r="CB123" s="591"/>
      <c r="CC123" s="591"/>
      <c r="CD123" s="591"/>
      <c r="CE123" s="591"/>
      <c r="CF123" s="591"/>
    </row>
    <row r="124" spans="1:84">
      <c r="A124" s="590"/>
      <c r="B124" s="590"/>
      <c r="C124" s="590"/>
      <c r="D124" s="590"/>
      <c r="E124" s="590"/>
      <c r="F124" s="590"/>
      <c r="G124" s="590"/>
      <c r="H124" s="590"/>
      <c r="I124" s="590"/>
      <c r="J124" s="590"/>
      <c r="K124" s="590"/>
      <c r="L124" s="590"/>
      <c r="M124" s="590"/>
      <c r="N124" s="590"/>
      <c r="O124" s="590"/>
      <c r="P124" s="590"/>
      <c r="Q124" s="590"/>
      <c r="R124" s="590"/>
      <c r="S124" s="590"/>
      <c r="T124" s="590"/>
      <c r="U124" s="590"/>
      <c r="V124" s="590"/>
      <c r="W124" s="590"/>
      <c r="X124" s="590"/>
      <c r="Y124" s="590"/>
      <c r="Z124" s="590"/>
      <c r="AA124" s="590"/>
      <c r="AB124" s="590"/>
      <c r="AC124" s="590"/>
      <c r="AD124" s="590"/>
      <c r="AE124" s="590"/>
      <c r="AF124" s="590"/>
      <c r="AG124" s="590"/>
      <c r="AH124" s="590"/>
      <c r="AI124" s="590"/>
      <c r="AJ124" s="590"/>
      <c r="AK124" s="590"/>
      <c r="AL124" s="590"/>
      <c r="AM124" s="590"/>
      <c r="AN124" s="590"/>
      <c r="AO124" s="590"/>
      <c r="AP124" s="590"/>
      <c r="AQ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1"/>
      <c r="BL124" s="591"/>
      <c r="BM124" s="591"/>
      <c r="BN124" s="591"/>
      <c r="BO124" s="591"/>
      <c r="BP124" s="591"/>
      <c r="BQ124" s="591"/>
      <c r="BR124" s="591"/>
      <c r="BS124" s="591"/>
      <c r="BT124" s="591"/>
      <c r="BU124" s="591"/>
      <c r="BV124" s="591"/>
      <c r="BW124" s="591"/>
      <c r="BX124" s="591"/>
      <c r="BY124" s="591"/>
      <c r="BZ124" s="591"/>
      <c r="CA124" s="591"/>
      <c r="CB124" s="591"/>
      <c r="CC124" s="591"/>
      <c r="CD124" s="591"/>
      <c r="CE124" s="591"/>
      <c r="CF124" s="591"/>
    </row>
    <row r="125" spans="1:84">
      <c r="A125" s="590"/>
      <c r="B125" s="590"/>
      <c r="C125" s="590"/>
      <c r="D125" s="590"/>
      <c r="E125" s="590"/>
      <c r="F125" s="590"/>
      <c r="G125" s="590"/>
      <c r="H125" s="590"/>
      <c r="I125" s="590"/>
      <c r="J125" s="590"/>
      <c r="K125" s="590"/>
      <c r="L125" s="590"/>
      <c r="M125" s="590"/>
      <c r="N125" s="590"/>
      <c r="O125" s="590"/>
      <c r="P125" s="590"/>
      <c r="Q125" s="590"/>
      <c r="R125" s="590"/>
      <c r="S125" s="590"/>
      <c r="T125" s="590"/>
      <c r="U125" s="590"/>
      <c r="V125" s="590"/>
      <c r="W125" s="590"/>
      <c r="X125" s="590"/>
      <c r="Y125" s="590"/>
      <c r="Z125" s="590"/>
      <c r="AA125" s="590"/>
      <c r="AB125" s="590"/>
      <c r="AC125" s="590"/>
      <c r="AD125" s="590"/>
      <c r="AE125" s="590"/>
      <c r="AF125" s="590"/>
      <c r="AG125" s="590"/>
      <c r="AH125" s="590"/>
      <c r="AI125" s="590"/>
      <c r="AJ125" s="590"/>
      <c r="AK125" s="590"/>
      <c r="AL125" s="590"/>
      <c r="AM125" s="590"/>
      <c r="AN125" s="590"/>
      <c r="AO125" s="590"/>
      <c r="AP125" s="590"/>
      <c r="AQ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1"/>
      <c r="BL125" s="591"/>
      <c r="BM125" s="591"/>
      <c r="BN125" s="591"/>
      <c r="BO125" s="591"/>
      <c r="BP125" s="591"/>
      <c r="BQ125" s="591"/>
      <c r="BR125" s="591"/>
      <c r="BS125" s="591"/>
      <c r="BT125" s="591"/>
      <c r="BU125" s="591"/>
      <c r="BV125" s="591"/>
      <c r="BW125" s="591"/>
      <c r="BX125" s="591"/>
      <c r="BY125" s="591"/>
      <c r="BZ125" s="591"/>
      <c r="CA125" s="591"/>
      <c r="CB125" s="591"/>
      <c r="CC125" s="591"/>
      <c r="CD125" s="591"/>
      <c r="CE125" s="591"/>
      <c r="CF125" s="591"/>
    </row>
    <row r="126" spans="1:84">
      <c r="A126" s="590"/>
      <c r="B126" s="590"/>
      <c r="C126" s="590"/>
      <c r="D126" s="590"/>
      <c r="E126" s="590"/>
      <c r="F126" s="590"/>
      <c r="G126" s="590"/>
      <c r="H126" s="590"/>
      <c r="I126" s="590"/>
      <c r="J126" s="590"/>
      <c r="K126" s="590"/>
      <c r="L126" s="590"/>
      <c r="M126" s="590"/>
      <c r="N126" s="590"/>
      <c r="O126" s="590"/>
      <c r="P126" s="590"/>
      <c r="Q126" s="590"/>
      <c r="R126" s="590"/>
      <c r="S126" s="590"/>
      <c r="T126" s="590"/>
      <c r="U126" s="590"/>
      <c r="V126" s="590"/>
      <c r="W126" s="590"/>
      <c r="X126" s="590"/>
      <c r="Y126" s="590"/>
      <c r="Z126" s="590"/>
      <c r="AA126" s="590"/>
      <c r="AB126" s="590"/>
      <c r="AC126" s="590"/>
      <c r="AD126" s="590"/>
      <c r="AE126" s="590"/>
      <c r="AF126" s="590"/>
      <c r="AG126" s="590"/>
      <c r="AH126" s="590"/>
      <c r="AI126" s="590"/>
      <c r="AJ126" s="590"/>
      <c r="AK126" s="590"/>
      <c r="AL126" s="590"/>
      <c r="AM126" s="590"/>
      <c r="AN126" s="590"/>
      <c r="AO126" s="590"/>
      <c r="AP126" s="590"/>
      <c r="AQ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1"/>
      <c r="BL126" s="591"/>
      <c r="BM126" s="591"/>
      <c r="BN126" s="591"/>
      <c r="BO126" s="591"/>
      <c r="BP126" s="591"/>
      <c r="BQ126" s="591"/>
      <c r="BR126" s="591"/>
      <c r="BS126" s="591"/>
      <c r="BT126" s="591"/>
      <c r="BU126" s="591"/>
      <c r="BV126" s="591"/>
      <c r="BW126" s="591"/>
      <c r="BX126" s="591"/>
      <c r="BY126" s="591"/>
      <c r="BZ126" s="591"/>
      <c r="CA126" s="591"/>
      <c r="CB126" s="591"/>
      <c r="CC126" s="591"/>
      <c r="CD126" s="591"/>
      <c r="CE126" s="591"/>
      <c r="CF126" s="591"/>
    </row>
    <row r="127" spans="1:84">
      <c r="A127" s="590"/>
      <c r="B127" s="590"/>
      <c r="C127" s="590"/>
      <c r="D127" s="590"/>
      <c r="E127" s="590"/>
      <c r="F127" s="590"/>
      <c r="G127" s="590"/>
      <c r="H127" s="590"/>
      <c r="I127" s="590"/>
      <c r="J127" s="590"/>
      <c r="K127" s="590"/>
      <c r="L127" s="590"/>
      <c r="M127" s="590"/>
      <c r="N127" s="590"/>
      <c r="O127" s="590"/>
      <c r="P127" s="590"/>
      <c r="Q127" s="590"/>
      <c r="R127" s="590"/>
      <c r="S127" s="590"/>
      <c r="T127" s="590"/>
      <c r="U127" s="590"/>
      <c r="V127" s="590"/>
      <c r="W127" s="590"/>
      <c r="X127" s="590"/>
      <c r="Y127" s="590"/>
      <c r="Z127" s="590"/>
      <c r="AA127" s="590"/>
      <c r="AB127" s="590"/>
      <c r="AC127" s="590"/>
      <c r="AD127" s="590"/>
      <c r="AE127" s="590"/>
      <c r="AF127" s="590"/>
      <c r="AG127" s="590"/>
      <c r="AH127" s="590"/>
      <c r="AI127" s="590"/>
      <c r="AJ127" s="590"/>
      <c r="AK127" s="590"/>
      <c r="AL127" s="590"/>
      <c r="AM127" s="590"/>
      <c r="AN127" s="590"/>
      <c r="AO127" s="590"/>
      <c r="AP127" s="590"/>
      <c r="AQ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1"/>
      <c r="BL127" s="591"/>
      <c r="BM127" s="591"/>
      <c r="BN127" s="591"/>
      <c r="BO127" s="591"/>
      <c r="BP127" s="591"/>
      <c r="BQ127" s="591"/>
      <c r="BR127" s="591"/>
      <c r="BS127" s="591"/>
      <c r="BT127" s="591"/>
      <c r="BU127" s="591"/>
      <c r="BV127" s="591"/>
      <c r="BW127" s="591"/>
      <c r="BX127" s="591"/>
      <c r="BY127" s="591"/>
      <c r="BZ127" s="591"/>
      <c r="CA127" s="591"/>
      <c r="CB127" s="591"/>
      <c r="CC127" s="591"/>
      <c r="CD127" s="591"/>
      <c r="CE127" s="591"/>
      <c r="CF127" s="591"/>
    </row>
    <row r="128" spans="1:84">
      <c r="A128" s="590"/>
      <c r="B128" s="590"/>
      <c r="C128" s="590"/>
      <c r="D128" s="590"/>
      <c r="E128" s="590"/>
      <c r="F128" s="590"/>
      <c r="G128" s="590"/>
      <c r="H128" s="590"/>
      <c r="I128" s="590"/>
      <c r="J128" s="590"/>
      <c r="K128" s="590"/>
      <c r="L128" s="590"/>
      <c r="M128" s="590"/>
      <c r="N128" s="590"/>
      <c r="O128" s="590"/>
      <c r="P128" s="590"/>
      <c r="Q128" s="590"/>
      <c r="R128" s="590"/>
      <c r="S128" s="590"/>
      <c r="T128" s="590"/>
      <c r="U128" s="590"/>
      <c r="V128" s="590"/>
      <c r="W128" s="590"/>
      <c r="X128" s="590"/>
      <c r="Y128" s="590"/>
      <c r="Z128" s="590"/>
      <c r="AA128" s="590"/>
      <c r="AB128" s="590"/>
      <c r="AC128" s="590"/>
      <c r="AD128" s="590"/>
      <c r="AE128" s="590"/>
      <c r="AF128" s="590"/>
      <c r="AG128" s="590"/>
      <c r="AH128" s="590"/>
      <c r="AI128" s="590"/>
      <c r="AJ128" s="590"/>
      <c r="AK128" s="590"/>
      <c r="AL128" s="590"/>
      <c r="AM128" s="590"/>
      <c r="AN128" s="590"/>
      <c r="AO128" s="590"/>
      <c r="AP128" s="590"/>
      <c r="AQ128" s="590"/>
      <c r="AR128" s="590"/>
      <c r="AS128" s="590"/>
      <c r="AT128" s="590"/>
      <c r="AU128" s="590"/>
      <c r="AV128" s="590"/>
      <c r="AW128" s="590"/>
      <c r="AX128" s="590"/>
      <c r="AY128" s="590"/>
      <c r="AZ128" s="590"/>
      <c r="BA128" s="590"/>
      <c r="BB128" s="590"/>
      <c r="BC128" s="590"/>
      <c r="BD128" s="590"/>
      <c r="BE128" s="590"/>
      <c r="BF128" s="590"/>
      <c r="BG128" s="590"/>
      <c r="BH128" s="590"/>
      <c r="BI128" s="590"/>
      <c r="BJ128" s="590"/>
      <c r="BK128" s="591"/>
      <c r="BL128" s="591"/>
      <c r="BM128" s="591"/>
      <c r="BN128" s="591"/>
      <c r="BO128" s="591"/>
      <c r="BP128" s="591"/>
      <c r="BQ128" s="591"/>
      <c r="BR128" s="591"/>
      <c r="BS128" s="591"/>
      <c r="BT128" s="591"/>
      <c r="BU128" s="591"/>
      <c r="BV128" s="591"/>
      <c r="BW128" s="591"/>
      <c r="BX128" s="591"/>
      <c r="BY128" s="591"/>
      <c r="BZ128" s="591"/>
      <c r="CA128" s="591"/>
      <c r="CB128" s="591"/>
      <c r="CC128" s="591"/>
      <c r="CD128" s="591"/>
      <c r="CE128" s="591"/>
      <c r="CF128" s="591"/>
    </row>
    <row r="129" spans="1:84">
      <c r="A129" s="590"/>
      <c r="B129" s="590"/>
      <c r="C129" s="590"/>
      <c r="D129" s="590"/>
      <c r="E129" s="590"/>
      <c r="F129" s="590"/>
      <c r="G129" s="590"/>
      <c r="H129" s="590"/>
      <c r="I129" s="590"/>
      <c r="J129" s="590"/>
      <c r="K129" s="590"/>
      <c r="L129" s="590"/>
      <c r="M129" s="590"/>
      <c r="N129" s="590"/>
      <c r="O129" s="590"/>
      <c r="P129" s="590"/>
      <c r="Q129" s="590"/>
      <c r="R129" s="590"/>
      <c r="S129" s="590"/>
      <c r="T129" s="590"/>
      <c r="U129" s="590"/>
      <c r="V129" s="590"/>
      <c r="W129" s="590"/>
      <c r="X129" s="590"/>
      <c r="Y129" s="590"/>
      <c r="Z129" s="590"/>
      <c r="AA129" s="590"/>
      <c r="AB129" s="590"/>
      <c r="AC129" s="590"/>
      <c r="AD129" s="590"/>
      <c r="AE129" s="590"/>
      <c r="AF129" s="590"/>
      <c r="AG129" s="590"/>
      <c r="AH129" s="590"/>
      <c r="AI129" s="590"/>
      <c r="AJ129" s="590"/>
      <c r="AK129" s="590"/>
      <c r="AL129" s="590"/>
      <c r="AM129" s="590"/>
      <c r="AN129" s="590"/>
      <c r="AO129" s="590"/>
      <c r="AP129" s="590"/>
      <c r="AQ129" s="590"/>
      <c r="AR129" s="590"/>
      <c r="AS129" s="590"/>
      <c r="AT129" s="590"/>
      <c r="AU129" s="590"/>
      <c r="AV129" s="590"/>
      <c r="AW129" s="590"/>
      <c r="AX129" s="590"/>
      <c r="AY129" s="590"/>
      <c r="AZ129" s="590"/>
      <c r="BA129" s="590"/>
      <c r="BB129" s="590"/>
      <c r="BC129" s="590"/>
      <c r="BD129" s="590"/>
      <c r="BE129" s="590"/>
      <c r="BF129" s="590"/>
      <c r="BG129" s="590"/>
      <c r="BH129" s="590"/>
      <c r="BI129" s="590"/>
      <c r="BJ129" s="590"/>
      <c r="BK129" s="591"/>
      <c r="BL129" s="591"/>
      <c r="BM129" s="591"/>
      <c r="BN129" s="591"/>
      <c r="BO129" s="591"/>
      <c r="BP129" s="591"/>
      <c r="BQ129" s="591"/>
      <c r="BR129" s="591"/>
      <c r="BS129" s="591"/>
      <c r="BT129" s="591"/>
      <c r="BU129" s="591"/>
      <c r="BV129" s="591"/>
      <c r="BW129" s="591"/>
      <c r="BX129" s="591"/>
      <c r="BY129" s="591"/>
      <c r="BZ129" s="591"/>
      <c r="CA129" s="591"/>
      <c r="CB129" s="591"/>
      <c r="CC129" s="591"/>
      <c r="CD129" s="591"/>
      <c r="CE129" s="591"/>
      <c r="CF129" s="591"/>
    </row>
    <row r="130" spans="1:84">
      <c r="A130" s="590"/>
      <c r="B130" s="590"/>
      <c r="C130" s="590"/>
      <c r="D130" s="590"/>
      <c r="E130" s="590"/>
      <c r="F130" s="590"/>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0"/>
      <c r="AQ130" s="590"/>
      <c r="AR130" s="590"/>
      <c r="AS130" s="590"/>
      <c r="AT130" s="590"/>
      <c r="AU130" s="590"/>
      <c r="AV130" s="590"/>
      <c r="AW130" s="590"/>
      <c r="AX130" s="590"/>
      <c r="AY130" s="590"/>
      <c r="AZ130" s="590"/>
      <c r="BA130" s="590"/>
      <c r="BB130" s="590"/>
      <c r="BC130" s="590"/>
      <c r="BD130" s="590"/>
      <c r="BE130" s="590"/>
      <c r="BF130" s="590"/>
      <c r="BG130" s="590"/>
      <c r="BH130" s="590"/>
      <c r="BI130" s="590"/>
      <c r="BJ130" s="590"/>
      <c r="BK130" s="591"/>
      <c r="BL130" s="591"/>
      <c r="BM130" s="591"/>
      <c r="BN130" s="591"/>
      <c r="BO130" s="591"/>
      <c r="BP130" s="591"/>
      <c r="BQ130" s="591"/>
      <c r="BR130" s="591"/>
      <c r="BS130" s="591"/>
      <c r="BT130" s="591"/>
      <c r="BU130" s="591"/>
      <c r="BV130" s="591"/>
      <c r="BW130" s="591"/>
      <c r="BX130" s="591"/>
      <c r="BY130" s="591"/>
      <c r="BZ130" s="591"/>
      <c r="CA130" s="591"/>
      <c r="CB130" s="591"/>
      <c r="CC130" s="591"/>
      <c r="CD130" s="591"/>
      <c r="CE130" s="591"/>
      <c r="CF130" s="591"/>
    </row>
    <row r="131" spans="1:84">
      <c r="A131" s="590"/>
      <c r="B131" s="590"/>
      <c r="C131" s="590"/>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1"/>
      <c r="BL131" s="591"/>
      <c r="BM131" s="591"/>
      <c r="BN131" s="591"/>
      <c r="BO131" s="591"/>
      <c r="BP131" s="591"/>
      <c r="BQ131" s="591"/>
      <c r="BR131" s="591"/>
      <c r="BS131" s="591"/>
      <c r="BT131" s="591"/>
      <c r="BU131" s="591"/>
      <c r="BV131" s="591"/>
      <c r="BW131" s="591"/>
      <c r="BX131" s="591"/>
      <c r="BY131" s="591"/>
      <c r="BZ131" s="591"/>
      <c r="CA131" s="591"/>
      <c r="CB131" s="591"/>
      <c r="CC131" s="591"/>
      <c r="CD131" s="591"/>
      <c r="CE131" s="591"/>
      <c r="CF131" s="591"/>
    </row>
    <row r="132" spans="1:84">
      <c r="A132" s="590"/>
      <c r="B132" s="590"/>
      <c r="C132" s="590"/>
      <c r="D132" s="590"/>
      <c r="E132" s="590"/>
      <c r="F132" s="590"/>
      <c r="G132" s="590"/>
      <c r="H132" s="590"/>
      <c r="I132" s="590"/>
      <c r="J132" s="590"/>
      <c r="K132" s="590"/>
      <c r="L132" s="590"/>
      <c r="M132" s="590"/>
      <c r="N132" s="590"/>
      <c r="O132" s="590"/>
      <c r="P132" s="590"/>
      <c r="Q132" s="590"/>
      <c r="R132" s="590"/>
      <c r="S132" s="590"/>
      <c r="T132" s="590"/>
      <c r="U132" s="590"/>
      <c r="V132" s="590"/>
      <c r="W132" s="590"/>
      <c r="X132" s="590"/>
      <c r="Y132" s="590"/>
      <c r="Z132" s="590"/>
      <c r="AA132" s="590"/>
      <c r="AB132" s="590"/>
      <c r="AC132" s="590"/>
      <c r="AD132" s="590"/>
      <c r="AE132" s="590"/>
      <c r="AF132" s="590"/>
      <c r="AG132" s="590"/>
      <c r="AH132" s="590"/>
      <c r="AI132" s="590"/>
      <c r="AJ132" s="590"/>
      <c r="AK132" s="590"/>
      <c r="AL132" s="590"/>
      <c r="AM132" s="590"/>
      <c r="AN132" s="590"/>
      <c r="AO132" s="590"/>
      <c r="AP132" s="590"/>
      <c r="AQ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1"/>
      <c r="BL132" s="591"/>
      <c r="BM132" s="591"/>
      <c r="BN132" s="591"/>
      <c r="BO132" s="591"/>
      <c r="BP132" s="591"/>
      <c r="BQ132" s="591"/>
      <c r="BR132" s="591"/>
      <c r="BS132" s="591"/>
      <c r="BT132" s="591"/>
      <c r="BU132" s="591"/>
      <c r="BV132" s="591"/>
      <c r="BW132" s="591"/>
      <c r="BX132" s="591"/>
      <c r="BY132" s="591"/>
      <c r="BZ132" s="591"/>
      <c r="CA132" s="591"/>
      <c r="CB132" s="591"/>
      <c r="CC132" s="591"/>
      <c r="CD132" s="591"/>
      <c r="CE132" s="591"/>
      <c r="CF132" s="591"/>
    </row>
    <row r="133" spans="1:84">
      <c r="A133" s="590"/>
      <c r="B133" s="590"/>
      <c r="C133" s="590"/>
      <c r="D133" s="590"/>
      <c r="E133" s="590"/>
      <c r="F133" s="590"/>
      <c r="G133" s="590"/>
      <c r="H133" s="590"/>
      <c r="I133" s="590"/>
      <c r="J133" s="590"/>
      <c r="K133" s="590"/>
      <c r="L133" s="590"/>
      <c r="M133" s="590"/>
      <c r="N133" s="590"/>
      <c r="O133" s="590"/>
      <c r="P133" s="590"/>
      <c r="Q133" s="590"/>
      <c r="R133" s="590"/>
      <c r="S133" s="590"/>
      <c r="T133" s="590"/>
      <c r="U133" s="590"/>
      <c r="V133" s="590"/>
      <c r="W133" s="590"/>
      <c r="X133" s="590"/>
      <c r="Y133" s="590"/>
      <c r="Z133" s="590"/>
      <c r="AA133" s="590"/>
      <c r="AB133" s="590"/>
      <c r="AC133" s="590"/>
      <c r="AD133" s="590"/>
      <c r="AE133" s="590"/>
      <c r="AF133" s="590"/>
      <c r="AG133" s="590"/>
      <c r="AH133" s="590"/>
      <c r="AI133" s="590"/>
      <c r="AJ133" s="590"/>
      <c r="AK133" s="590"/>
      <c r="AL133" s="590"/>
      <c r="AM133" s="590"/>
      <c r="AN133" s="590"/>
      <c r="AO133" s="590"/>
      <c r="AP133" s="590"/>
      <c r="AQ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1"/>
      <c r="BL133" s="591"/>
      <c r="BM133" s="591"/>
      <c r="BN133" s="591"/>
      <c r="BO133" s="591"/>
      <c r="BP133" s="591"/>
      <c r="BQ133" s="591"/>
      <c r="BR133" s="591"/>
      <c r="BS133" s="591"/>
      <c r="BT133" s="591"/>
      <c r="BU133" s="591"/>
      <c r="BV133" s="591"/>
      <c r="BW133" s="591"/>
      <c r="BX133" s="591"/>
      <c r="BY133" s="591"/>
      <c r="BZ133" s="591"/>
      <c r="CA133" s="591"/>
      <c r="CB133" s="591"/>
      <c r="CC133" s="591"/>
      <c r="CD133" s="591"/>
      <c r="CE133" s="591"/>
      <c r="CF133" s="591"/>
    </row>
    <row r="134" spans="1:84">
      <c r="A134" s="590"/>
      <c r="B134" s="590"/>
      <c r="C134" s="590"/>
      <c r="D134" s="590"/>
      <c r="E134" s="590"/>
      <c r="F134" s="590"/>
      <c r="G134" s="590"/>
      <c r="H134" s="590"/>
      <c r="I134" s="590"/>
      <c r="J134" s="590"/>
      <c r="K134" s="590"/>
      <c r="L134" s="590"/>
      <c r="M134" s="590"/>
      <c r="N134" s="590"/>
      <c r="O134" s="590"/>
      <c r="P134" s="590"/>
      <c r="Q134" s="590"/>
      <c r="R134" s="590"/>
      <c r="S134" s="590"/>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0"/>
      <c r="AQ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1"/>
      <c r="BL134" s="591"/>
      <c r="BM134" s="591"/>
      <c r="BN134" s="591"/>
      <c r="BO134" s="591"/>
      <c r="BP134" s="591"/>
      <c r="BQ134" s="591"/>
      <c r="BR134" s="591"/>
      <c r="BS134" s="591"/>
      <c r="BT134" s="591"/>
      <c r="BU134" s="591"/>
      <c r="BV134" s="591"/>
      <c r="BW134" s="591"/>
      <c r="BX134" s="591"/>
      <c r="BY134" s="591"/>
      <c r="BZ134" s="591"/>
      <c r="CA134" s="591"/>
      <c r="CB134" s="591"/>
      <c r="CC134" s="591"/>
      <c r="CD134" s="591"/>
      <c r="CE134" s="591"/>
      <c r="CF134" s="591"/>
    </row>
    <row r="135" spans="1:84">
      <c r="A135" s="590"/>
      <c r="B135" s="590"/>
      <c r="C135" s="590"/>
      <c r="D135" s="590"/>
      <c r="E135" s="590"/>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1"/>
      <c r="BL135" s="591"/>
      <c r="BM135" s="591"/>
      <c r="BN135" s="591"/>
      <c r="BO135" s="591"/>
      <c r="BP135" s="591"/>
      <c r="BQ135" s="591"/>
      <c r="BR135" s="591"/>
      <c r="BS135" s="591"/>
      <c r="BT135" s="591"/>
      <c r="BU135" s="591"/>
      <c r="BV135" s="591"/>
      <c r="BW135" s="591"/>
      <c r="BX135" s="591"/>
      <c r="BY135" s="591"/>
      <c r="BZ135" s="591"/>
      <c r="CA135" s="591"/>
      <c r="CB135" s="591"/>
      <c r="CC135" s="591"/>
      <c r="CD135" s="591"/>
      <c r="CE135" s="591"/>
      <c r="CF135" s="591"/>
    </row>
    <row r="136" spans="1:84">
      <c r="A136" s="590"/>
      <c r="B136" s="590"/>
      <c r="C136" s="590"/>
      <c r="D136" s="590"/>
      <c r="E136" s="590"/>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0"/>
      <c r="AQ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1"/>
      <c r="BL136" s="591"/>
      <c r="BM136" s="591"/>
      <c r="BN136" s="591"/>
      <c r="BO136" s="591"/>
      <c r="BP136" s="591"/>
      <c r="BQ136" s="591"/>
      <c r="BR136" s="591"/>
      <c r="BS136" s="591"/>
      <c r="BT136" s="591"/>
      <c r="BU136" s="591"/>
      <c r="BV136" s="591"/>
      <c r="BW136" s="591"/>
      <c r="BX136" s="591"/>
      <c r="BY136" s="591"/>
      <c r="BZ136" s="591"/>
      <c r="CA136" s="591"/>
      <c r="CB136" s="591"/>
      <c r="CC136" s="591"/>
      <c r="CD136" s="591"/>
      <c r="CE136" s="591"/>
      <c r="CF136" s="591"/>
    </row>
    <row r="137" spans="1:84">
      <c r="A137" s="590"/>
      <c r="B137" s="590"/>
      <c r="C137" s="590"/>
      <c r="D137" s="590"/>
      <c r="E137" s="590"/>
      <c r="F137" s="590"/>
      <c r="G137" s="590"/>
      <c r="H137" s="590"/>
      <c r="I137" s="590"/>
      <c r="J137" s="590"/>
      <c r="K137" s="590"/>
      <c r="L137" s="590"/>
      <c r="M137" s="590"/>
      <c r="N137" s="590"/>
      <c r="O137" s="590"/>
      <c r="P137" s="590"/>
      <c r="Q137" s="590"/>
      <c r="R137" s="590"/>
      <c r="S137" s="590"/>
      <c r="T137" s="590"/>
      <c r="U137" s="590"/>
      <c r="V137" s="590"/>
      <c r="W137" s="590"/>
      <c r="X137" s="590"/>
      <c r="Y137" s="590"/>
      <c r="Z137" s="590"/>
      <c r="AA137" s="590"/>
      <c r="AB137" s="590"/>
      <c r="AC137" s="590"/>
      <c r="AD137" s="590"/>
      <c r="AE137" s="590"/>
      <c r="AF137" s="590"/>
      <c r="AG137" s="590"/>
      <c r="AH137" s="590"/>
      <c r="AI137" s="590"/>
      <c r="AJ137" s="590"/>
      <c r="AK137" s="590"/>
      <c r="AL137" s="590"/>
      <c r="AM137" s="590"/>
      <c r="AN137" s="590"/>
      <c r="AO137" s="590"/>
      <c r="AP137" s="590"/>
      <c r="AQ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1"/>
      <c r="BL137" s="591"/>
      <c r="BM137" s="591"/>
      <c r="BN137" s="591"/>
      <c r="BO137" s="591"/>
      <c r="BP137" s="591"/>
      <c r="BQ137" s="591"/>
      <c r="BR137" s="591"/>
      <c r="BS137" s="591"/>
      <c r="BT137" s="591"/>
      <c r="BU137" s="591"/>
      <c r="BV137" s="591"/>
      <c r="BW137" s="591"/>
      <c r="BX137" s="591"/>
      <c r="BY137" s="591"/>
      <c r="BZ137" s="591"/>
      <c r="CA137" s="591"/>
      <c r="CB137" s="591"/>
      <c r="CC137" s="591"/>
      <c r="CD137" s="591"/>
      <c r="CE137" s="591"/>
      <c r="CF137" s="591"/>
    </row>
    <row r="138" spans="1:84">
      <c r="A138" s="590"/>
      <c r="B138" s="590"/>
      <c r="C138" s="590"/>
      <c r="D138" s="590"/>
      <c r="E138" s="590"/>
      <c r="F138" s="590"/>
      <c r="G138" s="590"/>
      <c r="H138" s="590"/>
      <c r="I138" s="590"/>
      <c r="J138" s="590"/>
      <c r="K138" s="590"/>
      <c r="L138" s="590"/>
      <c r="M138" s="590"/>
      <c r="N138" s="590"/>
      <c r="O138" s="590"/>
      <c r="P138" s="590"/>
      <c r="Q138" s="590"/>
      <c r="R138" s="590"/>
      <c r="S138" s="590"/>
      <c r="T138" s="590"/>
      <c r="U138" s="590"/>
      <c r="V138" s="590"/>
      <c r="W138" s="590"/>
      <c r="X138" s="590"/>
      <c r="Y138" s="590"/>
      <c r="Z138" s="590"/>
      <c r="AA138" s="590"/>
      <c r="AB138" s="590"/>
      <c r="AC138" s="590"/>
      <c r="AD138" s="590"/>
      <c r="AE138" s="590"/>
      <c r="AF138" s="590"/>
      <c r="AG138" s="590"/>
      <c r="AH138" s="590"/>
      <c r="AI138" s="590"/>
      <c r="AJ138" s="590"/>
      <c r="AK138" s="590"/>
      <c r="AL138" s="590"/>
      <c r="AM138" s="590"/>
      <c r="AN138" s="590"/>
      <c r="AO138" s="590"/>
      <c r="AP138" s="590"/>
      <c r="AQ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1"/>
      <c r="BL138" s="591"/>
      <c r="BM138" s="591"/>
      <c r="BN138" s="591"/>
      <c r="BO138" s="591"/>
      <c r="BP138" s="591"/>
      <c r="BQ138" s="591"/>
      <c r="BR138" s="591"/>
      <c r="BS138" s="591"/>
      <c r="BT138" s="591"/>
      <c r="BU138" s="591"/>
      <c r="BV138" s="591"/>
      <c r="BW138" s="591"/>
      <c r="BX138" s="591"/>
      <c r="BY138" s="591"/>
      <c r="BZ138" s="591"/>
      <c r="CA138" s="591"/>
      <c r="CB138" s="591"/>
      <c r="CC138" s="591"/>
      <c r="CD138" s="591"/>
      <c r="CE138" s="591"/>
      <c r="CF138" s="591"/>
    </row>
    <row r="139" spans="1:84">
      <c r="A139" s="590"/>
      <c r="B139" s="590"/>
      <c r="C139" s="590"/>
      <c r="D139" s="590"/>
      <c r="E139" s="590"/>
      <c r="F139" s="590"/>
      <c r="G139" s="590"/>
      <c r="H139" s="590"/>
      <c r="I139" s="590"/>
      <c r="J139" s="590"/>
      <c r="K139" s="590"/>
      <c r="L139" s="590"/>
      <c r="M139" s="590"/>
      <c r="N139" s="590"/>
      <c r="O139" s="590"/>
      <c r="P139" s="590"/>
      <c r="Q139" s="590"/>
      <c r="R139" s="590"/>
      <c r="S139" s="590"/>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0"/>
      <c r="AQ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1"/>
      <c r="BL139" s="591"/>
      <c r="BM139" s="591"/>
      <c r="BN139" s="591"/>
      <c r="BO139" s="591"/>
      <c r="BP139" s="591"/>
      <c r="BQ139" s="591"/>
      <c r="BR139" s="591"/>
      <c r="BS139" s="591"/>
      <c r="BT139" s="591"/>
      <c r="BU139" s="591"/>
      <c r="BV139" s="591"/>
      <c r="BW139" s="591"/>
      <c r="BX139" s="591"/>
      <c r="BY139" s="591"/>
      <c r="BZ139" s="591"/>
      <c r="CA139" s="591"/>
      <c r="CB139" s="591"/>
      <c r="CC139" s="591"/>
      <c r="CD139" s="591"/>
      <c r="CE139" s="591"/>
      <c r="CF139" s="591"/>
    </row>
    <row r="140" spans="1:84">
      <c r="A140" s="590"/>
      <c r="B140" s="590"/>
      <c r="C140" s="590"/>
      <c r="D140" s="590"/>
      <c r="E140" s="590"/>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0"/>
      <c r="AK140" s="590"/>
      <c r="AL140" s="590"/>
      <c r="AM140" s="590"/>
      <c r="AN140" s="590"/>
      <c r="AO140" s="590"/>
      <c r="AP140" s="590"/>
      <c r="AQ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1"/>
      <c r="BL140" s="591"/>
      <c r="BM140" s="591"/>
      <c r="BN140" s="591"/>
      <c r="BO140" s="591"/>
      <c r="BP140" s="591"/>
      <c r="BQ140" s="591"/>
      <c r="BR140" s="591"/>
      <c r="BS140" s="591"/>
      <c r="BT140" s="591"/>
      <c r="BU140" s="591"/>
      <c r="BV140" s="591"/>
      <c r="BW140" s="591"/>
      <c r="BX140" s="591"/>
      <c r="BY140" s="591"/>
      <c r="BZ140" s="591"/>
      <c r="CA140" s="591"/>
      <c r="CB140" s="591"/>
      <c r="CC140" s="591"/>
      <c r="CD140" s="591"/>
      <c r="CE140" s="591"/>
      <c r="CF140" s="591"/>
    </row>
    <row r="141" spans="1:84">
      <c r="A141" s="590"/>
      <c r="B141" s="590"/>
      <c r="C141" s="590"/>
      <c r="D141" s="590"/>
      <c r="E141" s="590"/>
      <c r="F141" s="590"/>
      <c r="G141" s="590"/>
      <c r="H141" s="590"/>
      <c r="I141" s="590"/>
      <c r="J141" s="590"/>
      <c r="K141" s="590"/>
      <c r="L141" s="590"/>
      <c r="M141" s="590"/>
      <c r="N141" s="590"/>
      <c r="O141" s="590"/>
      <c r="P141" s="590"/>
      <c r="Q141" s="590"/>
      <c r="R141" s="590"/>
      <c r="S141" s="590"/>
      <c r="T141" s="590"/>
      <c r="U141" s="590"/>
      <c r="V141" s="590"/>
      <c r="W141" s="590"/>
      <c r="X141" s="590"/>
      <c r="Y141" s="590"/>
      <c r="Z141" s="590"/>
      <c r="AA141" s="590"/>
      <c r="AB141" s="590"/>
      <c r="AC141" s="590"/>
      <c r="AD141" s="590"/>
      <c r="AE141" s="590"/>
      <c r="AF141" s="590"/>
      <c r="AG141" s="590"/>
      <c r="AH141" s="590"/>
      <c r="AI141" s="590"/>
      <c r="AJ141" s="590"/>
      <c r="AK141" s="590"/>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1"/>
      <c r="BL141" s="591"/>
      <c r="BM141" s="591"/>
      <c r="BN141" s="591"/>
      <c r="BO141" s="591"/>
      <c r="BP141" s="591"/>
      <c r="BQ141" s="591"/>
      <c r="BR141" s="591"/>
      <c r="BS141" s="591"/>
      <c r="BT141" s="591"/>
      <c r="BU141" s="591"/>
      <c r="BV141" s="591"/>
      <c r="BW141" s="591"/>
      <c r="BX141" s="591"/>
      <c r="BY141" s="591"/>
      <c r="BZ141" s="591"/>
      <c r="CA141" s="591"/>
      <c r="CB141" s="591"/>
      <c r="CC141" s="591"/>
      <c r="CD141" s="591"/>
      <c r="CE141" s="591"/>
      <c r="CF141" s="591"/>
    </row>
    <row r="142" spans="1:84">
      <c r="A142" s="590"/>
      <c r="B142" s="590"/>
      <c r="C142" s="590"/>
      <c r="D142" s="590"/>
      <c r="E142" s="590"/>
      <c r="F142" s="590"/>
      <c r="G142" s="590"/>
      <c r="H142" s="590"/>
      <c r="I142" s="590"/>
      <c r="J142" s="590"/>
      <c r="K142" s="590"/>
      <c r="L142" s="590"/>
      <c r="M142" s="590"/>
      <c r="N142" s="590"/>
      <c r="O142" s="590"/>
      <c r="P142" s="590"/>
      <c r="Q142" s="590"/>
      <c r="R142" s="590"/>
      <c r="S142" s="590"/>
      <c r="T142" s="590"/>
      <c r="U142" s="590"/>
      <c r="V142" s="590"/>
      <c r="W142" s="590"/>
      <c r="X142" s="590"/>
      <c r="Y142" s="590"/>
      <c r="Z142" s="590"/>
      <c r="AA142" s="590"/>
      <c r="AB142" s="590"/>
      <c r="AC142" s="590"/>
      <c r="AD142" s="590"/>
      <c r="AE142" s="590"/>
      <c r="AF142" s="590"/>
      <c r="AG142" s="590"/>
      <c r="AH142" s="590"/>
      <c r="AI142" s="590"/>
      <c r="AJ142" s="590"/>
      <c r="AK142" s="590"/>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1"/>
      <c r="BL142" s="591"/>
      <c r="BM142" s="591"/>
      <c r="BN142" s="591"/>
      <c r="BO142" s="591"/>
      <c r="BP142" s="591"/>
      <c r="BQ142" s="591"/>
      <c r="BR142" s="591"/>
      <c r="BS142" s="591"/>
      <c r="BT142" s="591"/>
      <c r="BU142" s="591"/>
      <c r="BV142" s="591"/>
      <c r="BW142" s="591"/>
      <c r="BX142" s="591"/>
      <c r="BY142" s="591"/>
      <c r="BZ142" s="591"/>
      <c r="CA142" s="591"/>
      <c r="CB142" s="591"/>
      <c r="CC142" s="591"/>
      <c r="CD142" s="591"/>
      <c r="CE142" s="591"/>
      <c r="CF142" s="591"/>
    </row>
    <row r="143" spans="1:84">
      <c r="A143" s="590"/>
      <c r="B143" s="590"/>
      <c r="C143" s="590"/>
      <c r="D143" s="590"/>
      <c r="E143" s="590"/>
      <c r="F143" s="590"/>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c r="AJ143" s="590"/>
      <c r="AK143" s="590"/>
      <c r="AL143" s="590"/>
      <c r="AM143" s="590"/>
      <c r="AN143" s="590"/>
      <c r="AO143" s="590"/>
      <c r="AP143" s="590"/>
      <c r="AQ143" s="590"/>
      <c r="AR143" s="590"/>
      <c r="AS143" s="590"/>
      <c r="AT143" s="590"/>
      <c r="AU143" s="590"/>
      <c r="AV143" s="590"/>
      <c r="AW143" s="590"/>
      <c r="AX143" s="590"/>
      <c r="AY143" s="590"/>
      <c r="AZ143" s="590"/>
      <c r="BA143" s="590"/>
      <c r="BB143" s="590"/>
      <c r="BC143" s="590"/>
      <c r="BD143" s="590"/>
      <c r="BE143" s="590"/>
      <c r="BF143" s="590"/>
      <c r="BG143" s="590"/>
      <c r="BH143" s="590"/>
      <c r="BI143" s="590"/>
      <c r="BJ143" s="590"/>
      <c r="BK143" s="591"/>
      <c r="BL143" s="591"/>
      <c r="BM143" s="591"/>
      <c r="BN143" s="591"/>
      <c r="BO143" s="591"/>
      <c r="BP143" s="591"/>
      <c r="BQ143" s="591"/>
      <c r="BR143" s="591"/>
      <c r="BS143" s="591"/>
      <c r="BT143" s="591"/>
      <c r="BU143" s="591"/>
      <c r="BV143" s="591"/>
      <c r="BW143" s="591"/>
      <c r="BX143" s="591"/>
      <c r="BY143" s="591"/>
      <c r="BZ143" s="591"/>
      <c r="CA143" s="591"/>
      <c r="CB143" s="591"/>
      <c r="CC143" s="591"/>
      <c r="CD143" s="591"/>
      <c r="CE143" s="591"/>
      <c r="CF143" s="591"/>
    </row>
    <row r="144" spans="1:84">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c r="AJ144" s="590"/>
      <c r="AK144" s="590"/>
      <c r="AL144" s="590"/>
      <c r="AM144" s="590"/>
      <c r="AN144" s="590"/>
      <c r="AO144" s="590"/>
      <c r="AP144" s="590"/>
      <c r="AQ144" s="590"/>
      <c r="AR144" s="590"/>
      <c r="AS144" s="590"/>
      <c r="AT144" s="590"/>
      <c r="AU144" s="590"/>
      <c r="AV144" s="590"/>
      <c r="AW144" s="590"/>
      <c r="AX144" s="590"/>
      <c r="AY144" s="590"/>
      <c r="AZ144" s="590"/>
      <c r="BA144" s="590"/>
      <c r="BB144" s="590"/>
      <c r="BC144" s="590"/>
      <c r="BD144" s="590"/>
      <c r="BE144" s="590"/>
      <c r="BF144" s="590"/>
      <c r="BG144" s="590"/>
      <c r="BH144" s="590"/>
      <c r="BI144" s="590"/>
      <c r="BJ144" s="590"/>
      <c r="BK144" s="591"/>
      <c r="BL144" s="591"/>
      <c r="BM144" s="591"/>
      <c r="BN144" s="591"/>
      <c r="BO144" s="591"/>
      <c r="BP144" s="591"/>
      <c r="BQ144" s="591"/>
      <c r="BR144" s="591"/>
      <c r="BS144" s="591"/>
      <c r="BT144" s="591"/>
      <c r="BU144" s="591"/>
      <c r="BV144" s="591"/>
      <c r="BW144" s="591"/>
      <c r="BX144" s="591"/>
      <c r="BY144" s="591"/>
      <c r="BZ144" s="591"/>
      <c r="CA144" s="591"/>
      <c r="CB144" s="591"/>
      <c r="CC144" s="591"/>
      <c r="CD144" s="591"/>
      <c r="CE144" s="591"/>
      <c r="CF144" s="591"/>
    </row>
    <row r="145" spans="1:84">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c r="AJ145" s="590"/>
      <c r="AK145" s="590"/>
      <c r="AL145" s="590"/>
      <c r="AM145" s="590"/>
      <c r="AN145" s="590"/>
      <c r="AO145" s="590"/>
      <c r="AP145" s="590"/>
      <c r="AQ145" s="590"/>
      <c r="AR145" s="590"/>
      <c r="AS145" s="590"/>
      <c r="AT145" s="590"/>
      <c r="AU145" s="590"/>
      <c r="AV145" s="590"/>
      <c r="AW145" s="590"/>
      <c r="AX145" s="590"/>
      <c r="AY145" s="590"/>
      <c r="AZ145" s="590"/>
      <c r="BA145" s="590"/>
      <c r="BB145" s="590"/>
      <c r="BC145" s="590"/>
      <c r="BD145" s="590"/>
      <c r="BE145" s="590"/>
      <c r="BF145" s="590"/>
      <c r="BG145" s="590"/>
      <c r="BH145" s="590"/>
      <c r="BI145" s="590"/>
      <c r="BJ145" s="590"/>
      <c r="BK145" s="591"/>
      <c r="BL145" s="591"/>
      <c r="BM145" s="591"/>
      <c r="BN145" s="591"/>
      <c r="BO145" s="591"/>
      <c r="BP145" s="591"/>
      <c r="BQ145" s="591"/>
      <c r="BR145" s="591"/>
      <c r="BS145" s="591"/>
      <c r="BT145" s="591"/>
      <c r="BU145" s="591"/>
      <c r="BV145" s="591"/>
      <c r="BW145" s="591"/>
      <c r="BX145" s="591"/>
      <c r="BY145" s="591"/>
      <c r="BZ145" s="591"/>
      <c r="CA145" s="591"/>
      <c r="CB145" s="591"/>
      <c r="CC145" s="591"/>
      <c r="CD145" s="591"/>
      <c r="CE145" s="591"/>
      <c r="CF145" s="591"/>
    </row>
    <row r="146" spans="1:84">
      <c r="A146" s="590"/>
      <c r="B146" s="590"/>
      <c r="C146" s="590"/>
      <c r="D146" s="590"/>
      <c r="E146" s="590"/>
      <c r="F146" s="590"/>
      <c r="G146" s="590"/>
      <c r="H146" s="590"/>
      <c r="I146" s="590"/>
      <c r="J146" s="590"/>
      <c r="K146" s="590"/>
      <c r="L146" s="590"/>
      <c r="M146" s="590"/>
      <c r="N146" s="590"/>
      <c r="O146" s="590"/>
      <c r="P146" s="590"/>
      <c r="Q146" s="590"/>
      <c r="R146" s="590"/>
      <c r="S146" s="590"/>
      <c r="T146" s="590"/>
      <c r="U146" s="590"/>
      <c r="V146" s="590"/>
      <c r="W146" s="590"/>
      <c r="X146" s="590"/>
      <c r="Y146" s="590"/>
      <c r="Z146" s="590"/>
      <c r="AA146" s="590"/>
      <c r="AB146" s="590"/>
      <c r="AC146" s="590"/>
      <c r="AD146" s="590"/>
      <c r="AE146" s="590"/>
      <c r="AF146" s="590"/>
      <c r="AG146" s="590"/>
      <c r="AH146" s="590"/>
      <c r="AI146" s="590"/>
      <c r="AJ146" s="590"/>
      <c r="AK146" s="590"/>
      <c r="AL146" s="590"/>
      <c r="AM146" s="590"/>
      <c r="AN146" s="590"/>
      <c r="AO146" s="590"/>
      <c r="AP146" s="590"/>
      <c r="AQ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1"/>
      <c r="BL146" s="591"/>
      <c r="BM146" s="591"/>
      <c r="BN146" s="591"/>
      <c r="BO146" s="591"/>
      <c r="BP146" s="591"/>
      <c r="BQ146" s="591"/>
      <c r="BR146" s="591"/>
      <c r="BS146" s="591"/>
      <c r="BT146" s="591"/>
      <c r="BU146" s="591"/>
      <c r="BV146" s="591"/>
      <c r="BW146" s="591"/>
      <c r="BX146" s="591"/>
      <c r="BY146" s="591"/>
      <c r="BZ146" s="591"/>
      <c r="CA146" s="591"/>
      <c r="CB146" s="591"/>
      <c r="CC146" s="591"/>
      <c r="CD146" s="591"/>
      <c r="CE146" s="591"/>
      <c r="CF146" s="591"/>
    </row>
    <row r="147" spans="1:84">
      <c r="A147" s="590"/>
      <c r="B147" s="590"/>
      <c r="C147" s="590"/>
      <c r="D147" s="590"/>
      <c r="E147" s="590"/>
      <c r="F147" s="590"/>
      <c r="G147" s="590"/>
      <c r="H147" s="590"/>
      <c r="I147" s="590"/>
      <c r="J147" s="590"/>
      <c r="K147" s="590"/>
      <c r="L147" s="590"/>
      <c r="M147" s="590"/>
      <c r="N147" s="590"/>
      <c r="O147" s="590"/>
      <c r="P147" s="590"/>
      <c r="Q147" s="590"/>
      <c r="R147" s="590"/>
      <c r="S147" s="590"/>
      <c r="T147" s="590"/>
      <c r="U147" s="590"/>
      <c r="V147" s="590"/>
      <c r="W147" s="590"/>
      <c r="X147" s="590"/>
      <c r="Y147" s="590"/>
      <c r="Z147" s="590"/>
      <c r="AA147" s="590"/>
      <c r="AB147" s="590"/>
      <c r="AC147" s="590"/>
      <c r="AD147" s="590"/>
      <c r="AE147" s="590"/>
      <c r="AF147" s="590"/>
      <c r="AG147" s="590"/>
      <c r="AH147" s="590"/>
      <c r="AI147" s="590"/>
      <c r="AJ147" s="590"/>
      <c r="AK147" s="590"/>
      <c r="AL147" s="590"/>
      <c r="AM147" s="590"/>
      <c r="AN147" s="590"/>
      <c r="AO147" s="590"/>
      <c r="AP147" s="590"/>
      <c r="AQ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1"/>
      <c r="BL147" s="591"/>
      <c r="BM147" s="591"/>
      <c r="BN147" s="591"/>
      <c r="BO147" s="591"/>
      <c r="BP147" s="591"/>
      <c r="BQ147" s="591"/>
      <c r="BR147" s="591"/>
      <c r="BS147" s="591"/>
      <c r="BT147" s="591"/>
      <c r="BU147" s="591"/>
      <c r="BV147" s="591"/>
      <c r="BW147" s="591"/>
      <c r="BX147" s="591"/>
      <c r="BY147" s="591"/>
      <c r="BZ147" s="591"/>
      <c r="CA147" s="591"/>
      <c r="CB147" s="591"/>
      <c r="CC147" s="591"/>
      <c r="CD147" s="591"/>
      <c r="CE147" s="591"/>
      <c r="CF147" s="591"/>
    </row>
    <row r="148" spans="1:84">
      <c r="A148" s="590"/>
      <c r="B148" s="590"/>
      <c r="C148" s="590"/>
      <c r="D148" s="590"/>
      <c r="E148" s="590"/>
      <c r="F148" s="590"/>
      <c r="G148" s="590"/>
      <c r="H148" s="590"/>
      <c r="I148" s="590"/>
      <c r="J148" s="590"/>
      <c r="K148" s="590"/>
      <c r="L148" s="590"/>
      <c r="M148" s="590"/>
      <c r="N148" s="590"/>
      <c r="O148" s="590"/>
      <c r="P148" s="590"/>
      <c r="Q148" s="590"/>
      <c r="R148" s="590"/>
      <c r="S148" s="590"/>
      <c r="T148" s="590"/>
      <c r="U148" s="590"/>
      <c r="V148" s="590"/>
      <c r="W148" s="590"/>
      <c r="X148" s="590"/>
      <c r="Y148" s="590"/>
      <c r="Z148" s="590"/>
      <c r="AA148" s="590"/>
      <c r="AB148" s="590"/>
      <c r="AC148" s="590"/>
      <c r="AD148" s="590"/>
      <c r="AE148" s="590"/>
      <c r="AF148" s="590"/>
      <c r="AG148" s="590"/>
      <c r="AH148" s="590"/>
      <c r="AI148" s="590"/>
      <c r="AJ148" s="590"/>
      <c r="AK148" s="590"/>
      <c r="AL148" s="590"/>
      <c r="AM148" s="590"/>
      <c r="AN148" s="590"/>
      <c r="AO148" s="590"/>
      <c r="AP148" s="590"/>
      <c r="AQ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1"/>
      <c r="BL148" s="591"/>
      <c r="BM148" s="591"/>
      <c r="BN148" s="591"/>
      <c r="BO148" s="591"/>
      <c r="BP148" s="591"/>
      <c r="BQ148" s="591"/>
      <c r="BR148" s="591"/>
      <c r="BS148" s="591"/>
      <c r="BT148" s="591"/>
      <c r="BU148" s="591"/>
      <c r="BV148" s="591"/>
      <c r="BW148" s="591"/>
      <c r="BX148" s="591"/>
      <c r="BY148" s="591"/>
      <c r="BZ148" s="591"/>
      <c r="CA148" s="591"/>
      <c r="CB148" s="591"/>
      <c r="CC148" s="591"/>
      <c r="CD148" s="591"/>
      <c r="CE148" s="591"/>
      <c r="CF148" s="591"/>
    </row>
    <row r="149" spans="1:84">
      <c r="A149" s="590"/>
      <c r="B149" s="590"/>
      <c r="C149" s="590"/>
      <c r="D149" s="590"/>
      <c r="E149" s="590"/>
      <c r="F149" s="590"/>
      <c r="G149" s="590"/>
      <c r="H149" s="590"/>
      <c r="I149" s="590"/>
      <c r="J149" s="590"/>
      <c r="K149" s="590"/>
      <c r="L149" s="590"/>
      <c r="M149" s="590"/>
      <c r="N149" s="590"/>
      <c r="O149" s="590"/>
      <c r="P149" s="590"/>
      <c r="Q149" s="590"/>
      <c r="R149" s="590"/>
      <c r="S149" s="590"/>
      <c r="T149" s="590"/>
      <c r="U149" s="590"/>
      <c r="V149" s="590"/>
      <c r="W149" s="590"/>
      <c r="X149" s="590"/>
      <c r="Y149" s="590"/>
      <c r="Z149" s="590"/>
      <c r="AA149" s="590"/>
      <c r="AB149" s="590"/>
      <c r="AC149" s="590"/>
      <c r="AD149" s="590"/>
      <c r="AE149" s="590"/>
      <c r="AF149" s="590"/>
      <c r="AG149" s="590"/>
      <c r="AH149" s="590"/>
      <c r="AI149" s="590"/>
      <c r="AJ149" s="590"/>
      <c r="AK149" s="590"/>
      <c r="AL149" s="590"/>
      <c r="AM149" s="590"/>
      <c r="AN149" s="590"/>
      <c r="AO149" s="590"/>
      <c r="AP149" s="590"/>
      <c r="AQ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1"/>
      <c r="BL149" s="591"/>
      <c r="BM149" s="591"/>
      <c r="BN149" s="591"/>
      <c r="BO149" s="591"/>
      <c r="BP149" s="591"/>
      <c r="BQ149" s="591"/>
      <c r="BR149" s="591"/>
      <c r="BS149" s="591"/>
      <c r="BT149" s="591"/>
      <c r="BU149" s="591"/>
      <c r="BV149" s="591"/>
      <c r="BW149" s="591"/>
      <c r="BX149" s="591"/>
      <c r="BY149" s="591"/>
      <c r="BZ149" s="591"/>
      <c r="CA149" s="591"/>
      <c r="CB149" s="591"/>
      <c r="CC149" s="591"/>
      <c r="CD149" s="591"/>
      <c r="CE149" s="591"/>
      <c r="CF149" s="591"/>
    </row>
    <row r="150" spans="1:84">
      <c r="A150" s="590"/>
      <c r="B150" s="590"/>
      <c r="C150" s="590"/>
      <c r="D150" s="590"/>
      <c r="E150" s="590"/>
      <c r="F150" s="590"/>
      <c r="G150" s="590"/>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1"/>
      <c r="BL150" s="591"/>
      <c r="BM150" s="591"/>
      <c r="BN150" s="591"/>
      <c r="BO150" s="591"/>
      <c r="BP150" s="591"/>
      <c r="BQ150" s="591"/>
      <c r="BR150" s="591"/>
      <c r="BS150" s="591"/>
      <c r="BT150" s="591"/>
      <c r="BU150" s="591"/>
      <c r="BV150" s="591"/>
      <c r="BW150" s="591"/>
      <c r="BX150" s="591"/>
      <c r="BY150" s="591"/>
      <c r="BZ150" s="591"/>
      <c r="CA150" s="591"/>
      <c r="CB150" s="591"/>
      <c r="CC150" s="591"/>
      <c r="CD150" s="591"/>
      <c r="CE150" s="591"/>
      <c r="CF150" s="591"/>
    </row>
    <row r="151" spans="1:84">
      <c r="A151" s="590"/>
      <c r="B151" s="590"/>
      <c r="C151" s="590"/>
      <c r="D151" s="590"/>
      <c r="E151" s="590"/>
      <c r="F151" s="590"/>
      <c r="G151" s="590"/>
      <c r="H151" s="590"/>
      <c r="I151" s="590"/>
      <c r="J151" s="590"/>
      <c r="K151" s="590"/>
      <c r="L151" s="590"/>
      <c r="M151" s="590"/>
      <c r="N151" s="590"/>
      <c r="O151" s="590"/>
      <c r="P151" s="590"/>
      <c r="Q151" s="590"/>
      <c r="R151" s="590"/>
      <c r="S151" s="590"/>
      <c r="T151" s="590"/>
      <c r="U151" s="590"/>
      <c r="V151" s="590"/>
      <c r="W151" s="590"/>
      <c r="X151" s="590"/>
      <c r="Y151" s="590"/>
      <c r="Z151" s="590"/>
      <c r="AA151" s="590"/>
      <c r="AB151" s="590"/>
      <c r="AC151" s="590"/>
      <c r="AD151" s="590"/>
      <c r="AE151" s="590"/>
      <c r="AF151" s="590"/>
      <c r="AG151" s="590"/>
      <c r="AH151" s="590"/>
      <c r="AI151" s="590"/>
      <c r="AJ151" s="590"/>
      <c r="AK151" s="590"/>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1"/>
      <c r="BL151" s="591"/>
      <c r="BM151" s="591"/>
      <c r="BN151" s="591"/>
      <c r="BO151" s="591"/>
      <c r="BP151" s="591"/>
      <c r="BQ151" s="591"/>
      <c r="BR151" s="591"/>
      <c r="BS151" s="591"/>
      <c r="BT151" s="591"/>
      <c r="BU151" s="591"/>
      <c r="BV151" s="591"/>
      <c r="BW151" s="591"/>
      <c r="BX151" s="591"/>
      <c r="BY151" s="591"/>
      <c r="BZ151" s="591"/>
      <c r="CA151" s="591"/>
      <c r="CB151" s="591"/>
      <c r="CC151" s="591"/>
      <c r="CD151" s="591"/>
      <c r="CE151" s="591"/>
      <c r="CF151" s="591"/>
    </row>
    <row r="152" spans="1:84">
      <c r="A152" s="590"/>
      <c r="B152" s="590"/>
      <c r="C152" s="590"/>
      <c r="D152" s="590"/>
      <c r="E152" s="590"/>
      <c r="F152" s="590"/>
      <c r="G152" s="590"/>
      <c r="H152" s="590"/>
      <c r="I152" s="590"/>
      <c r="J152" s="590"/>
      <c r="K152" s="590"/>
      <c r="L152" s="590"/>
      <c r="M152" s="590"/>
      <c r="N152" s="590"/>
      <c r="O152" s="590"/>
      <c r="P152" s="590"/>
      <c r="Q152" s="590"/>
      <c r="R152" s="590"/>
      <c r="S152" s="590"/>
      <c r="T152" s="590"/>
      <c r="U152" s="590"/>
      <c r="V152" s="590"/>
      <c r="W152" s="590"/>
      <c r="X152" s="590"/>
      <c r="Y152" s="590"/>
      <c r="Z152" s="590"/>
      <c r="AA152" s="590"/>
      <c r="AB152" s="590"/>
      <c r="AC152" s="590"/>
      <c r="AD152" s="590"/>
      <c r="AE152" s="590"/>
      <c r="AF152" s="590"/>
      <c r="AG152" s="590"/>
      <c r="AH152" s="590"/>
      <c r="AI152" s="590"/>
      <c r="AJ152" s="590"/>
      <c r="AK152" s="590"/>
      <c r="AL152" s="590"/>
      <c r="AM152" s="590"/>
      <c r="AN152" s="590"/>
      <c r="AO152" s="590"/>
      <c r="AP152" s="590"/>
      <c r="AQ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1"/>
      <c r="BL152" s="591"/>
      <c r="BM152" s="591"/>
      <c r="BN152" s="591"/>
      <c r="BO152" s="591"/>
      <c r="BP152" s="591"/>
      <c r="BQ152" s="591"/>
      <c r="BR152" s="591"/>
      <c r="BS152" s="591"/>
      <c r="BT152" s="591"/>
      <c r="BU152" s="591"/>
      <c r="BV152" s="591"/>
      <c r="BW152" s="591"/>
      <c r="BX152" s="591"/>
      <c r="BY152" s="591"/>
      <c r="BZ152" s="591"/>
      <c r="CA152" s="591"/>
      <c r="CB152" s="591"/>
      <c r="CC152" s="591"/>
      <c r="CD152" s="591"/>
      <c r="CE152" s="591"/>
      <c r="CF152" s="591"/>
    </row>
    <row r="153" spans="1:84">
      <c r="A153" s="590"/>
      <c r="B153" s="590"/>
      <c r="C153" s="590"/>
      <c r="D153" s="590"/>
      <c r="E153" s="590"/>
      <c r="F153" s="590"/>
      <c r="G153" s="590"/>
      <c r="H153" s="590"/>
      <c r="I153" s="590"/>
      <c r="J153" s="590"/>
      <c r="K153" s="590"/>
      <c r="L153" s="590"/>
      <c r="M153" s="590"/>
      <c r="N153" s="590"/>
      <c r="O153" s="590"/>
      <c r="P153" s="590"/>
      <c r="Q153" s="590"/>
      <c r="R153" s="590"/>
      <c r="S153" s="590"/>
      <c r="T153" s="590"/>
      <c r="U153" s="590"/>
      <c r="V153" s="590"/>
      <c r="W153" s="590"/>
      <c r="X153" s="590"/>
      <c r="Y153" s="590"/>
      <c r="Z153" s="590"/>
      <c r="AA153" s="590"/>
      <c r="AB153" s="590"/>
      <c r="AC153" s="590"/>
      <c r="AD153" s="590"/>
      <c r="AE153" s="590"/>
      <c r="AF153" s="590"/>
      <c r="AG153" s="590"/>
      <c r="AH153" s="590"/>
      <c r="AI153" s="590"/>
      <c r="AJ153" s="590"/>
      <c r="AK153" s="590"/>
      <c r="AL153" s="590"/>
      <c r="AM153" s="590"/>
      <c r="AN153" s="590"/>
      <c r="AO153" s="590"/>
      <c r="AP153" s="590"/>
      <c r="AQ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1"/>
      <c r="BL153" s="591"/>
      <c r="BM153" s="591"/>
      <c r="BN153" s="591"/>
      <c r="BO153" s="591"/>
      <c r="BP153" s="591"/>
      <c r="BQ153" s="591"/>
      <c r="BR153" s="591"/>
      <c r="BS153" s="591"/>
      <c r="BT153" s="591"/>
      <c r="BU153" s="591"/>
      <c r="BV153" s="591"/>
      <c r="BW153" s="591"/>
      <c r="BX153" s="591"/>
      <c r="BY153" s="591"/>
      <c r="BZ153" s="591"/>
      <c r="CA153" s="591"/>
      <c r="CB153" s="591"/>
      <c r="CC153" s="591"/>
      <c r="CD153" s="591"/>
      <c r="CE153" s="591"/>
      <c r="CF153" s="591"/>
    </row>
    <row r="154" spans="1:84">
      <c r="A154" s="590"/>
      <c r="B154" s="590"/>
      <c r="C154" s="590"/>
      <c r="D154" s="590"/>
      <c r="E154" s="590"/>
      <c r="F154" s="590"/>
      <c r="G154" s="590"/>
      <c r="H154" s="590"/>
      <c r="I154" s="590"/>
      <c r="J154" s="590"/>
      <c r="K154" s="590"/>
      <c r="L154" s="590"/>
      <c r="M154" s="590"/>
      <c r="N154" s="590"/>
      <c r="O154" s="590"/>
      <c r="P154" s="590"/>
      <c r="Q154" s="590"/>
      <c r="R154" s="590"/>
      <c r="S154" s="590"/>
      <c r="T154" s="590"/>
      <c r="U154" s="590"/>
      <c r="V154" s="590"/>
      <c r="W154" s="590"/>
      <c r="X154" s="590"/>
      <c r="Y154" s="590"/>
      <c r="Z154" s="590"/>
      <c r="AA154" s="590"/>
      <c r="AB154" s="590"/>
      <c r="AC154" s="590"/>
      <c r="AD154" s="590"/>
      <c r="AE154" s="590"/>
      <c r="AF154" s="590"/>
      <c r="AG154" s="590"/>
      <c r="AH154" s="590"/>
      <c r="AI154" s="590"/>
      <c r="AJ154" s="590"/>
      <c r="AK154" s="590"/>
      <c r="AL154" s="590"/>
      <c r="AM154" s="590"/>
      <c r="AN154" s="590"/>
      <c r="AO154" s="590"/>
      <c r="AP154" s="590"/>
      <c r="AQ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1"/>
      <c r="BL154" s="591"/>
      <c r="BM154" s="591"/>
      <c r="BN154" s="591"/>
      <c r="BO154" s="591"/>
      <c r="BP154" s="591"/>
      <c r="BQ154" s="591"/>
      <c r="BR154" s="591"/>
      <c r="BS154" s="591"/>
      <c r="BT154" s="591"/>
      <c r="BU154" s="591"/>
      <c r="BV154" s="591"/>
      <c r="BW154" s="591"/>
      <c r="BX154" s="591"/>
      <c r="BY154" s="591"/>
      <c r="BZ154" s="591"/>
      <c r="CA154" s="591"/>
      <c r="CB154" s="591"/>
      <c r="CC154" s="591"/>
      <c r="CD154" s="591"/>
      <c r="CE154" s="591"/>
      <c r="CF154" s="591"/>
    </row>
    <row r="155" spans="1:84">
      <c r="A155" s="590"/>
      <c r="B155" s="590"/>
      <c r="C155" s="590"/>
      <c r="D155" s="590"/>
      <c r="E155" s="590"/>
      <c r="F155" s="590"/>
      <c r="G155" s="590"/>
      <c r="H155" s="590"/>
      <c r="I155" s="590"/>
      <c r="J155" s="590"/>
      <c r="K155" s="590"/>
      <c r="L155" s="590"/>
      <c r="M155" s="590"/>
      <c r="N155" s="590"/>
      <c r="O155" s="590"/>
      <c r="P155" s="590"/>
      <c r="Q155" s="590"/>
      <c r="R155" s="590"/>
      <c r="S155" s="590"/>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1"/>
      <c r="BL155" s="591"/>
      <c r="BM155" s="591"/>
      <c r="BN155" s="591"/>
      <c r="BO155" s="591"/>
      <c r="BP155" s="591"/>
      <c r="BQ155" s="591"/>
      <c r="BR155" s="591"/>
      <c r="BS155" s="591"/>
      <c r="BT155" s="591"/>
      <c r="BU155" s="591"/>
      <c r="BV155" s="591"/>
      <c r="BW155" s="591"/>
      <c r="BX155" s="591"/>
      <c r="BY155" s="591"/>
      <c r="BZ155" s="591"/>
      <c r="CA155" s="591"/>
      <c r="CB155" s="591"/>
      <c r="CC155" s="591"/>
      <c r="CD155" s="591"/>
      <c r="CE155" s="591"/>
      <c r="CF155" s="591"/>
    </row>
    <row r="156" spans="1:84">
      <c r="A156" s="590"/>
      <c r="B156" s="590"/>
      <c r="C156" s="590"/>
      <c r="D156" s="590"/>
      <c r="E156" s="590"/>
      <c r="F156" s="590"/>
      <c r="G156" s="590"/>
      <c r="H156" s="590"/>
      <c r="I156" s="590"/>
      <c r="J156" s="590"/>
      <c r="K156" s="590"/>
      <c r="L156" s="590"/>
      <c r="M156" s="590"/>
      <c r="N156" s="590"/>
      <c r="O156" s="590"/>
      <c r="P156" s="590"/>
      <c r="Q156" s="590"/>
      <c r="R156" s="590"/>
      <c r="S156" s="590"/>
      <c r="T156" s="590"/>
      <c r="U156" s="590"/>
      <c r="V156" s="590"/>
      <c r="W156" s="590"/>
      <c r="X156" s="590"/>
      <c r="Y156" s="590"/>
      <c r="Z156" s="590"/>
      <c r="AA156" s="590"/>
      <c r="AB156" s="590"/>
      <c r="AC156" s="590"/>
      <c r="AD156" s="590"/>
      <c r="AE156" s="590"/>
      <c r="AF156" s="590"/>
      <c r="AG156" s="590"/>
      <c r="AH156" s="590"/>
      <c r="AI156" s="590"/>
      <c r="AJ156" s="590"/>
      <c r="AK156" s="590"/>
      <c r="AL156" s="590"/>
      <c r="AM156" s="590"/>
      <c r="AN156" s="590"/>
      <c r="AO156" s="590"/>
      <c r="AP156" s="590"/>
      <c r="AQ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1"/>
      <c r="BL156" s="591"/>
      <c r="BM156" s="591"/>
      <c r="BN156" s="591"/>
      <c r="BO156" s="591"/>
      <c r="BP156" s="591"/>
      <c r="BQ156" s="591"/>
      <c r="BR156" s="591"/>
      <c r="BS156" s="591"/>
      <c r="BT156" s="591"/>
      <c r="BU156" s="591"/>
      <c r="BV156" s="591"/>
      <c r="BW156" s="591"/>
      <c r="BX156" s="591"/>
      <c r="BY156" s="591"/>
      <c r="BZ156" s="591"/>
      <c r="CA156" s="591"/>
      <c r="CB156" s="591"/>
      <c r="CC156" s="591"/>
      <c r="CD156" s="591"/>
      <c r="CE156" s="591"/>
      <c r="CF156" s="591"/>
    </row>
    <row r="157" spans="1:84">
      <c r="A157" s="590"/>
      <c r="B157" s="590"/>
      <c r="C157" s="590"/>
      <c r="D157" s="590"/>
      <c r="E157" s="590"/>
      <c r="F157" s="590"/>
      <c r="G157" s="590"/>
      <c r="H157" s="590"/>
      <c r="I157" s="590"/>
      <c r="J157" s="590"/>
      <c r="K157" s="590"/>
      <c r="L157" s="590"/>
      <c r="M157" s="590"/>
      <c r="N157" s="590"/>
      <c r="O157" s="590"/>
      <c r="P157" s="590"/>
      <c r="Q157" s="590"/>
      <c r="R157" s="590"/>
      <c r="S157" s="590"/>
      <c r="T157" s="590"/>
      <c r="U157" s="590"/>
      <c r="V157" s="590"/>
      <c r="W157" s="590"/>
      <c r="X157" s="590"/>
      <c r="Y157" s="590"/>
      <c r="Z157" s="590"/>
      <c r="AA157" s="590"/>
      <c r="AB157" s="590"/>
      <c r="AC157" s="590"/>
      <c r="AD157" s="590"/>
      <c r="AE157" s="590"/>
      <c r="AF157" s="590"/>
      <c r="AG157" s="590"/>
      <c r="AH157" s="590"/>
      <c r="AI157" s="590"/>
      <c r="AJ157" s="590"/>
      <c r="AK157" s="590"/>
      <c r="AL157" s="590"/>
      <c r="AM157" s="590"/>
      <c r="AN157" s="590"/>
      <c r="AO157" s="590"/>
      <c r="AP157" s="590"/>
      <c r="AQ157" s="590"/>
      <c r="AR157" s="590"/>
      <c r="AS157" s="590"/>
      <c r="AT157" s="590"/>
      <c r="AU157" s="590"/>
      <c r="AV157" s="590"/>
      <c r="AW157" s="590"/>
      <c r="AX157" s="590"/>
      <c r="AY157" s="590"/>
      <c r="AZ157" s="590"/>
      <c r="BA157" s="590"/>
      <c r="BB157" s="590"/>
      <c r="BC157" s="590"/>
      <c r="BD157" s="590"/>
      <c r="BE157" s="590"/>
      <c r="BF157" s="590"/>
      <c r="BG157" s="590"/>
      <c r="BH157" s="590"/>
      <c r="BI157" s="590"/>
      <c r="BJ157" s="590"/>
      <c r="BK157" s="591"/>
      <c r="BL157" s="591"/>
      <c r="BM157" s="591"/>
      <c r="BN157" s="591"/>
      <c r="BO157" s="591"/>
      <c r="BP157" s="591"/>
      <c r="BQ157" s="591"/>
      <c r="BR157" s="591"/>
      <c r="BS157" s="591"/>
      <c r="BT157" s="591"/>
      <c r="BU157" s="591"/>
      <c r="BV157" s="591"/>
      <c r="BW157" s="591"/>
      <c r="BX157" s="591"/>
      <c r="BY157" s="591"/>
      <c r="BZ157" s="591"/>
      <c r="CA157" s="591"/>
      <c r="CB157" s="591"/>
      <c r="CC157" s="591"/>
      <c r="CD157" s="591"/>
      <c r="CE157" s="591"/>
      <c r="CF157" s="591"/>
    </row>
    <row r="158" spans="1:84">
      <c r="A158" s="590"/>
      <c r="B158" s="590"/>
      <c r="C158" s="590"/>
      <c r="D158" s="590"/>
      <c r="E158" s="590"/>
      <c r="F158" s="590"/>
      <c r="G158" s="590"/>
      <c r="H158" s="590"/>
      <c r="I158" s="590"/>
      <c r="J158" s="590"/>
      <c r="K158" s="590"/>
      <c r="L158" s="590"/>
      <c r="M158" s="590"/>
      <c r="N158" s="590"/>
      <c r="O158" s="590"/>
      <c r="P158" s="590"/>
      <c r="Q158" s="590"/>
      <c r="R158" s="590"/>
      <c r="S158" s="590"/>
      <c r="T158" s="590"/>
      <c r="U158" s="590"/>
      <c r="V158" s="590"/>
      <c r="W158" s="590"/>
      <c r="X158" s="590"/>
      <c r="Y158" s="590"/>
      <c r="Z158" s="590"/>
      <c r="AA158" s="590"/>
      <c r="AB158" s="590"/>
      <c r="AC158" s="590"/>
      <c r="AD158" s="590"/>
      <c r="AE158" s="590"/>
      <c r="AF158" s="590"/>
      <c r="AG158" s="590"/>
      <c r="AH158" s="590"/>
      <c r="AI158" s="590"/>
      <c r="AJ158" s="590"/>
      <c r="AK158" s="590"/>
      <c r="AL158" s="590"/>
      <c r="AM158" s="590"/>
      <c r="AN158" s="590"/>
      <c r="AO158" s="590"/>
      <c r="AP158" s="590"/>
      <c r="AQ158" s="590"/>
      <c r="AR158" s="590"/>
      <c r="AS158" s="590"/>
      <c r="AT158" s="590"/>
      <c r="AU158" s="590"/>
      <c r="AV158" s="590"/>
      <c r="AW158" s="590"/>
      <c r="AX158" s="590"/>
      <c r="AY158" s="590"/>
      <c r="AZ158" s="590"/>
      <c r="BA158" s="590"/>
      <c r="BB158" s="590"/>
      <c r="BC158" s="590"/>
      <c r="BD158" s="590"/>
      <c r="BE158" s="590"/>
      <c r="BF158" s="590"/>
      <c r="BG158" s="590"/>
      <c r="BH158" s="590"/>
      <c r="BI158" s="590"/>
      <c r="BJ158" s="590"/>
      <c r="BK158" s="591"/>
      <c r="BL158" s="591"/>
      <c r="BM158" s="591"/>
      <c r="BN158" s="591"/>
      <c r="BO158" s="591"/>
      <c r="BP158" s="591"/>
      <c r="BQ158" s="591"/>
      <c r="BR158" s="591"/>
      <c r="BS158" s="591"/>
      <c r="BT158" s="591"/>
      <c r="BU158" s="591"/>
      <c r="BV158" s="591"/>
      <c r="BW158" s="591"/>
      <c r="BX158" s="591"/>
      <c r="BY158" s="591"/>
      <c r="BZ158" s="591"/>
      <c r="CA158" s="591"/>
      <c r="CB158" s="591"/>
      <c r="CC158" s="591"/>
      <c r="CD158" s="591"/>
      <c r="CE158" s="591"/>
      <c r="CF158" s="591"/>
    </row>
    <row r="159" spans="1:84">
      <c r="A159" s="590"/>
      <c r="B159" s="590"/>
      <c r="C159" s="590"/>
      <c r="D159" s="590"/>
      <c r="E159" s="590"/>
      <c r="F159" s="590"/>
      <c r="G159" s="590"/>
      <c r="H159" s="590"/>
      <c r="I159" s="590"/>
      <c r="J159" s="590"/>
      <c r="K159" s="590"/>
      <c r="L159" s="590"/>
      <c r="M159" s="590"/>
      <c r="N159" s="590"/>
      <c r="O159" s="590"/>
      <c r="P159" s="590"/>
      <c r="Q159" s="590"/>
      <c r="R159" s="590"/>
      <c r="S159" s="590"/>
      <c r="T159" s="590"/>
      <c r="U159" s="590"/>
      <c r="V159" s="590"/>
      <c r="W159" s="590"/>
      <c r="X159" s="590"/>
      <c r="Y159" s="590"/>
      <c r="Z159" s="590"/>
      <c r="AA159" s="590"/>
      <c r="AB159" s="590"/>
      <c r="AC159" s="590"/>
      <c r="AD159" s="590"/>
      <c r="AE159" s="590"/>
      <c r="AF159" s="590"/>
      <c r="AG159" s="590"/>
      <c r="AH159" s="590"/>
      <c r="AI159" s="590"/>
      <c r="AJ159" s="590"/>
      <c r="AK159" s="590"/>
      <c r="AL159" s="590"/>
      <c r="AM159" s="590"/>
      <c r="AN159" s="590"/>
      <c r="AO159" s="590"/>
      <c r="AP159" s="590"/>
      <c r="AQ159" s="590"/>
      <c r="AR159" s="590"/>
      <c r="AS159" s="590"/>
      <c r="AT159" s="590"/>
      <c r="AU159" s="590"/>
      <c r="AV159" s="590"/>
      <c r="AW159" s="590"/>
      <c r="AX159" s="590"/>
      <c r="AY159" s="590"/>
      <c r="AZ159" s="590"/>
      <c r="BA159" s="590"/>
      <c r="BB159" s="590"/>
      <c r="BC159" s="590"/>
      <c r="BD159" s="590"/>
      <c r="BE159" s="590"/>
      <c r="BF159" s="590"/>
      <c r="BG159" s="590"/>
      <c r="BH159" s="590"/>
      <c r="BI159" s="590"/>
      <c r="BJ159" s="590"/>
      <c r="BK159" s="591"/>
      <c r="BL159" s="591"/>
      <c r="BM159" s="591"/>
      <c r="BN159" s="591"/>
      <c r="BO159" s="591"/>
      <c r="BP159" s="591"/>
      <c r="BQ159" s="591"/>
      <c r="BR159" s="591"/>
      <c r="BS159" s="591"/>
      <c r="BT159" s="591"/>
      <c r="BU159" s="591"/>
      <c r="BV159" s="591"/>
      <c r="BW159" s="591"/>
      <c r="BX159" s="591"/>
      <c r="BY159" s="591"/>
      <c r="BZ159" s="591"/>
      <c r="CA159" s="591"/>
      <c r="CB159" s="591"/>
      <c r="CC159" s="591"/>
      <c r="CD159" s="591"/>
      <c r="CE159" s="591"/>
      <c r="CF159" s="591"/>
    </row>
    <row r="160" spans="1:84">
      <c r="A160" s="590"/>
      <c r="B160" s="590"/>
      <c r="C160" s="590"/>
      <c r="D160" s="590"/>
      <c r="E160" s="590"/>
      <c r="F160" s="590"/>
      <c r="G160" s="590"/>
      <c r="H160" s="590"/>
      <c r="I160" s="590"/>
      <c r="J160" s="590"/>
      <c r="K160" s="590"/>
      <c r="L160" s="590"/>
      <c r="M160" s="590"/>
      <c r="N160" s="590"/>
      <c r="O160" s="590"/>
      <c r="P160" s="590"/>
      <c r="Q160" s="590"/>
      <c r="R160" s="590"/>
      <c r="S160" s="590"/>
      <c r="T160" s="590"/>
      <c r="U160" s="590"/>
      <c r="V160" s="590"/>
      <c r="W160" s="590"/>
      <c r="X160" s="590"/>
      <c r="Y160" s="590"/>
      <c r="Z160" s="590"/>
      <c r="AA160" s="590"/>
      <c r="AB160" s="590"/>
      <c r="AC160" s="590"/>
      <c r="AD160" s="590"/>
      <c r="AE160" s="590"/>
      <c r="AF160" s="590"/>
      <c r="AG160" s="590"/>
      <c r="AH160" s="590"/>
      <c r="AI160" s="590"/>
      <c r="AJ160" s="590"/>
      <c r="AK160" s="590"/>
      <c r="AL160" s="590"/>
      <c r="AM160" s="590"/>
      <c r="AN160" s="590"/>
      <c r="AO160" s="590"/>
      <c r="AP160" s="590"/>
      <c r="AQ160" s="590"/>
      <c r="AR160" s="590"/>
      <c r="AS160" s="590"/>
      <c r="AT160" s="590"/>
      <c r="AU160" s="590"/>
      <c r="AV160" s="590"/>
      <c r="AW160" s="590"/>
      <c r="AX160" s="590"/>
      <c r="AY160" s="590"/>
      <c r="AZ160" s="590"/>
      <c r="BA160" s="590"/>
      <c r="BB160" s="590"/>
      <c r="BC160" s="590"/>
      <c r="BD160" s="590"/>
      <c r="BE160" s="590"/>
      <c r="BF160" s="590"/>
      <c r="BG160" s="590"/>
      <c r="BH160" s="590"/>
      <c r="BI160" s="590"/>
      <c r="BJ160" s="590"/>
      <c r="BK160" s="591"/>
      <c r="BL160" s="591"/>
      <c r="BM160" s="591"/>
      <c r="BN160" s="591"/>
      <c r="BO160" s="591"/>
      <c r="BP160" s="591"/>
      <c r="BQ160" s="591"/>
      <c r="BR160" s="591"/>
      <c r="BS160" s="591"/>
      <c r="BT160" s="591"/>
      <c r="BU160" s="591"/>
      <c r="BV160" s="591"/>
      <c r="BW160" s="591"/>
      <c r="BX160" s="591"/>
      <c r="BY160" s="591"/>
      <c r="BZ160" s="591"/>
      <c r="CA160" s="591"/>
      <c r="CB160" s="591"/>
      <c r="CC160" s="591"/>
      <c r="CD160" s="591"/>
      <c r="CE160" s="591"/>
      <c r="CF160" s="591"/>
    </row>
    <row r="161" spans="1:84">
      <c r="A161" s="590"/>
      <c r="B161" s="590"/>
      <c r="C161" s="590"/>
      <c r="D161" s="590"/>
      <c r="E161" s="590"/>
      <c r="F161" s="590"/>
      <c r="G161" s="590"/>
      <c r="H161" s="590"/>
      <c r="I161" s="590"/>
      <c r="J161" s="590"/>
      <c r="K161" s="590"/>
      <c r="L161" s="590"/>
      <c r="M161" s="590"/>
      <c r="N161" s="590"/>
      <c r="O161" s="590"/>
      <c r="P161" s="590"/>
      <c r="Q161" s="590"/>
      <c r="R161" s="590"/>
      <c r="S161" s="590"/>
      <c r="T161" s="590"/>
      <c r="U161" s="590"/>
      <c r="V161" s="590"/>
      <c r="W161" s="590"/>
      <c r="X161" s="590"/>
      <c r="Y161" s="590"/>
      <c r="Z161" s="590"/>
      <c r="AA161" s="590"/>
      <c r="AB161" s="590"/>
      <c r="AC161" s="590"/>
      <c r="AD161" s="590"/>
      <c r="AE161" s="590"/>
      <c r="AF161" s="590"/>
      <c r="AG161" s="590"/>
      <c r="AH161" s="590"/>
      <c r="AI161" s="590"/>
      <c r="AJ161" s="590"/>
      <c r="AK161" s="590"/>
      <c r="AL161" s="590"/>
      <c r="AM161" s="590"/>
      <c r="AN161" s="590"/>
      <c r="AO161" s="590"/>
      <c r="AP161" s="590"/>
      <c r="AQ161" s="590"/>
      <c r="AR161" s="590"/>
      <c r="AS161" s="590"/>
      <c r="AT161" s="590"/>
      <c r="AU161" s="590"/>
      <c r="AV161" s="590"/>
      <c r="AW161" s="590"/>
      <c r="AX161" s="590"/>
      <c r="AY161" s="590"/>
      <c r="AZ161" s="590"/>
      <c r="BA161" s="590"/>
      <c r="BB161" s="590"/>
      <c r="BC161" s="590"/>
      <c r="BD161" s="590"/>
      <c r="BE161" s="590"/>
      <c r="BF161" s="590"/>
      <c r="BG161" s="590"/>
      <c r="BH161" s="590"/>
      <c r="BI161" s="590"/>
      <c r="BJ161" s="590"/>
      <c r="BK161" s="591"/>
      <c r="BL161" s="591"/>
      <c r="BM161" s="591"/>
      <c r="BN161" s="591"/>
      <c r="BO161" s="591"/>
      <c r="BP161" s="591"/>
      <c r="BQ161" s="591"/>
      <c r="BR161" s="591"/>
      <c r="BS161" s="591"/>
      <c r="BT161" s="591"/>
      <c r="BU161" s="591"/>
      <c r="BV161" s="591"/>
      <c r="BW161" s="591"/>
      <c r="BX161" s="591"/>
      <c r="BY161" s="591"/>
      <c r="BZ161" s="591"/>
      <c r="CA161" s="591"/>
      <c r="CB161" s="591"/>
      <c r="CC161" s="591"/>
      <c r="CD161" s="591"/>
      <c r="CE161" s="591"/>
      <c r="CF161" s="591"/>
    </row>
    <row r="162" spans="1:84">
      <c r="A162" s="590"/>
      <c r="B162" s="590"/>
      <c r="C162" s="590"/>
      <c r="D162" s="590"/>
      <c r="E162" s="590"/>
      <c r="F162" s="590"/>
      <c r="G162" s="590"/>
      <c r="H162" s="590"/>
      <c r="I162" s="590"/>
      <c r="J162" s="590"/>
      <c r="K162" s="590"/>
      <c r="L162" s="590"/>
      <c r="M162" s="590"/>
      <c r="N162" s="590"/>
      <c r="O162" s="590"/>
      <c r="P162" s="590"/>
      <c r="Q162" s="590"/>
      <c r="R162" s="590"/>
      <c r="S162" s="590"/>
      <c r="T162" s="590"/>
      <c r="U162" s="590"/>
      <c r="V162" s="590"/>
      <c r="W162" s="590"/>
      <c r="X162" s="590"/>
      <c r="Y162" s="590"/>
      <c r="Z162" s="590"/>
      <c r="AA162" s="590"/>
      <c r="AB162" s="590"/>
      <c r="AC162" s="590"/>
      <c r="AD162" s="590"/>
      <c r="AE162" s="590"/>
      <c r="AF162" s="590"/>
      <c r="AG162" s="590"/>
      <c r="AH162" s="590"/>
      <c r="AI162" s="590"/>
      <c r="AJ162" s="590"/>
      <c r="AK162" s="590"/>
      <c r="AL162" s="590"/>
      <c r="AM162" s="590"/>
      <c r="AN162" s="590"/>
      <c r="AO162" s="590"/>
      <c r="AP162" s="590"/>
      <c r="AQ162" s="590"/>
      <c r="AR162" s="590"/>
      <c r="AS162" s="590"/>
      <c r="AT162" s="590"/>
      <c r="AU162" s="590"/>
      <c r="AV162" s="590"/>
      <c r="AW162" s="590"/>
      <c r="AX162" s="590"/>
      <c r="AY162" s="590"/>
      <c r="AZ162" s="590"/>
      <c r="BA162" s="590"/>
      <c r="BB162" s="590"/>
      <c r="BC162" s="590"/>
      <c r="BD162" s="590"/>
      <c r="BE162" s="590"/>
      <c r="BF162" s="590"/>
      <c r="BG162" s="590"/>
      <c r="BH162" s="590"/>
      <c r="BI162" s="590"/>
      <c r="BJ162" s="590"/>
      <c r="BK162" s="591"/>
      <c r="BL162" s="591"/>
      <c r="BM162" s="591"/>
      <c r="BN162" s="591"/>
      <c r="BO162" s="591"/>
      <c r="BP162" s="591"/>
      <c r="BQ162" s="591"/>
      <c r="BR162" s="591"/>
      <c r="BS162" s="591"/>
      <c r="BT162" s="591"/>
      <c r="BU162" s="591"/>
      <c r="BV162" s="591"/>
      <c r="BW162" s="591"/>
      <c r="BX162" s="591"/>
      <c r="BY162" s="591"/>
      <c r="BZ162" s="591"/>
      <c r="CA162" s="591"/>
      <c r="CB162" s="591"/>
      <c r="CC162" s="591"/>
      <c r="CD162" s="591"/>
      <c r="CE162" s="591"/>
      <c r="CF162" s="591"/>
    </row>
    <row r="163" spans="1:84">
      <c r="A163" s="590"/>
      <c r="B163" s="590"/>
      <c r="C163" s="590"/>
      <c r="D163" s="590"/>
      <c r="E163" s="590"/>
      <c r="F163" s="590"/>
      <c r="G163" s="590"/>
      <c r="H163" s="590"/>
      <c r="I163" s="590"/>
      <c r="J163" s="590"/>
      <c r="K163" s="590"/>
      <c r="L163" s="590"/>
      <c r="M163" s="590"/>
      <c r="N163" s="590"/>
      <c r="O163" s="590"/>
      <c r="P163" s="590"/>
      <c r="Q163" s="590"/>
      <c r="R163" s="590"/>
      <c r="S163" s="590"/>
      <c r="T163" s="590"/>
      <c r="U163" s="590"/>
      <c r="V163" s="590"/>
      <c r="W163" s="590"/>
      <c r="X163" s="590"/>
      <c r="Y163" s="590"/>
      <c r="Z163" s="590"/>
      <c r="AA163" s="590"/>
      <c r="AB163" s="590"/>
      <c r="AC163" s="590"/>
      <c r="AD163" s="590"/>
      <c r="AE163" s="590"/>
      <c r="AF163" s="590"/>
      <c r="AG163" s="590"/>
      <c r="AH163" s="590"/>
      <c r="AI163" s="590"/>
      <c r="AJ163" s="590"/>
      <c r="AK163" s="590"/>
      <c r="AL163" s="590"/>
      <c r="AM163" s="590"/>
      <c r="AN163" s="590"/>
      <c r="AO163" s="590"/>
      <c r="AP163" s="590"/>
      <c r="AQ163" s="590"/>
      <c r="AR163" s="590"/>
      <c r="AS163" s="590"/>
      <c r="AT163" s="590"/>
      <c r="AU163" s="590"/>
      <c r="AV163" s="590"/>
      <c r="AW163" s="590"/>
      <c r="AX163" s="590"/>
      <c r="AY163" s="590"/>
      <c r="AZ163" s="590"/>
      <c r="BA163" s="590"/>
      <c r="BB163" s="590"/>
      <c r="BC163" s="590"/>
      <c r="BD163" s="590"/>
      <c r="BE163" s="590"/>
      <c r="BF163" s="590"/>
      <c r="BG163" s="590"/>
      <c r="BH163" s="590"/>
      <c r="BI163" s="590"/>
      <c r="BJ163" s="590"/>
      <c r="BK163" s="591"/>
      <c r="BL163" s="591"/>
      <c r="BM163" s="591"/>
      <c r="BN163" s="591"/>
      <c r="BO163" s="591"/>
      <c r="BP163" s="591"/>
      <c r="BQ163" s="591"/>
      <c r="BR163" s="591"/>
      <c r="BS163" s="591"/>
      <c r="BT163" s="591"/>
      <c r="BU163" s="591"/>
      <c r="BV163" s="591"/>
      <c r="BW163" s="591"/>
      <c r="BX163" s="591"/>
      <c r="BY163" s="591"/>
      <c r="BZ163" s="591"/>
      <c r="CA163" s="591"/>
      <c r="CB163" s="591"/>
      <c r="CC163" s="591"/>
      <c r="CD163" s="591"/>
      <c r="CE163" s="591"/>
      <c r="CF163" s="591"/>
    </row>
    <row r="164" spans="1:84">
      <c r="A164" s="590"/>
      <c r="B164" s="590"/>
      <c r="C164" s="590"/>
      <c r="D164" s="590"/>
      <c r="E164" s="590"/>
      <c r="F164" s="590"/>
      <c r="G164" s="590"/>
      <c r="H164" s="590"/>
      <c r="I164" s="590"/>
      <c r="J164" s="590"/>
      <c r="K164" s="590"/>
      <c r="L164" s="590"/>
      <c r="M164" s="590"/>
      <c r="N164" s="590"/>
      <c r="O164" s="590"/>
      <c r="P164" s="590"/>
      <c r="Q164" s="590"/>
      <c r="R164" s="590"/>
      <c r="S164" s="590"/>
      <c r="T164" s="590"/>
      <c r="U164" s="590"/>
      <c r="V164" s="590"/>
      <c r="W164" s="590"/>
      <c r="X164" s="590"/>
      <c r="Y164" s="590"/>
      <c r="Z164" s="590"/>
      <c r="AA164" s="590"/>
      <c r="AB164" s="590"/>
      <c r="AC164" s="590"/>
      <c r="AD164" s="590"/>
      <c r="AE164" s="590"/>
      <c r="AF164" s="590"/>
      <c r="AG164" s="590"/>
      <c r="AH164" s="590"/>
      <c r="AI164" s="590"/>
      <c r="AJ164" s="590"/>
      <c r="AK164" s="590"/>
      <c r="AL164" s="590"/>
      <c r="AM164" s="590"/>
      <c r="AN164" s="590"/>
      <c r="AO164" s="590"/>
      <c r="AP164" s="590"/>
      <c r="AQ164" s="590"/>
      <c r="AR164" s="590"/>
      <c r="AS164" s="590"/>
      <c r="AT164" s="590"/>
      <c r="AU164" s="590"/>
      <c r="AV164" s="590"/>
      <c r="AW164" s="590"/>
      <c r="AX164" s="590"/>
      <c r="AY164" s="590"/>
      <c r="AZ164" s="590"/>
      <c r="BA164" s="590"/>
      <c r="BB164" s="590"/>
      <c r="BC164" s="590"/>
      <c r="BD164" s="590"/>
      <c r="BE164" s="590"/>
      <c r="BF164" s="590"/>
      <c r="BG164" s="590"/>
      <c r="BH164" s="590"/>
      <c r="BI164" s="590"/>
      <c r="BJ164" s="590"/>
      <c r="BK164" s="591"/>
      <c r="BL164" s="591"/>
      <c r="BM164" s="591"/>
      <c r="BN164" s="591"/>
      <c r="BO164" s="591"/>
      <c r="BP164" s="591"/>
      <c r="BQ164" s="591"/>
      <c r="BR164" s="591"/>
      <c r="BS164" s="591"/>
      <c r="BT164" s="591"/>
      <c r="BU164" s="591"/>
      <c r="BV164" s="591"/>
      <c r="BW164" s="591"/>
      <c r="BX164" s="591"/>
      <c r="BY164" s="591"/>
      <c r="BZ164" s="591"/>
      <c r="CA164" s="591"/>
      <c r="CB164" s="591"/>
      <c r="CC164" s="591"/>
      <c r="CD164" s="591"/>
      <c r="CE164" s="591"/>
      <c r="CF164" s="591"/>
    </row>
    <row r="165" spans="1:84">
      <c r="A165" s="590"/>
      <c r="B165" s="590"/>
      <c r="C165" s="590"/>
      <c r="D165" s="590"/>
      <c r="E165" s="590"/>
      <c r="F165" s="590"/>
      <c r="G165" s="590"/>
      <c r="H165" s="590"/>
      <c r="I165" s="590"/>
      <c r="J165" s="590"/>
      <c r="K165" s="590"/>
      <c r="L165" s="590"/>
      <c r="M165" s="590"/>
      <c r="N165" s="590"/>
      <c r="O165" s="590"/>
      <c r="P165" s="590"/>
      <c r="Q165" s="590"/>
      <c r="R165" s="590"/>
      <c r="S165" s="590"/>
      <c r="T165" s="590"/>
      <c r="U165" s="590"/>
      <c r="V165" s="590"/>
      <c r="W165" s="590"/>
      <c r="X165" s="590"/>
      <c r="Y165" s="590"/>
      <c r="Z165" s="590"/>
      <c r="AA165" s="590"/>
      <c r="AB165" s="590"/>
      <c r="AC165" s="590"/>
      <c r="AD165" s="590"/>
      <c r="AE165" s="590"/>
      <c r="AF165" s="590"/>
      <c r="AG165" s="590"/>
      <c r="AH165" s="590"/>
      <c r="AI165" s="590"/>
      <c r="AJ165" s="590"/>
      <c r="AK165" s="590"/>
      <c r="AL165" s="590"/>
      <c r="AM165" s="590"/>
      <c r="AN165" s="590"/>
      <c r="AO165" s="590"/>
      <c r="AP165" s="590"/>
      <c r="AQ165" s="590"/>
      <c r="AR165" s="590"/>
      <c r="AS165" s="590"/>
      <c r="AT165" s="590"/>
      <c r="AU165" s="590"/>
      <c r="AV165" s="590"/>
      <c r="AW165" s="590"/>
      <c r="AX165" s="590"/>
      <c r="AY165" s="590"/>
      <c r="AZ165" s="590"/>
      <c r="BA165" s="590"/>
      <c r="BB165" s="590"/>
      <c r="BC165" s="590"/>
      <c r="BD165" s="590"/>
      <c r="BE165" s="590"/>
      <c r="BF165" s="590"/>
      <c r="BG165" s="590"/>
      <c r="BH165" s="590"/>
      <c r="BI165" s="590"/>
      <c r="BJ165" s="590"/>
      <c r="BK165" s="591"/>
      <c r="BL165" s="591"/>
      <c r="BM165" s="591"/>
      <c r="BN165" s="591"/>
      <c r="BO165" s="591"/>
      <c r="BP165" s="591"/>
      <c r="BQ165" s="591"/>
      <c r="BR165" s="591"/>
      <c r="BS165" s="591"/>
      <c r="BT165" s="591"/>
      <c r="BU165" s="591"/>
      <c r="BV165" s="591"/>
      <c r="BW165" s="591"/>
      <c r="BX165" s="591"/>
      <c r="BY165" s="591"/>
      <c r="BZ165" s="591"/>
      <c r="CA165" s="591"/>
      <c r="CB165" s="591"/>
      <c r="CC165" s="591"/>
      <c r="CD165" s="591"/>
      <c r="CE165" s="591"/>
      <c r="CF165" s="591"/>
    </row>
    <row r="166" spans="1:84">
      <c r="A166" s="590"/>
      <c r="B166" s="590"/>
      <c r="C166" s="590"/>
      <c r="D166" s="590"/>
      <c r="E166" s="590"/>
      <c r="F166" s="590"/>
      <c r="G166" s="590"/>
      <c r="H166" s="590"/>
      <c r="I166" s="590"/>
      <c r="J166" s="590"/>
      <c r="K166" s="590"/>
      <c r="L166" s="590"/>
      <c r="M166" s="590"/>
      <c r="N166" s="590"/>
      <c r="O166" s="590"/>
      <c r="P166" s="590"/>
      <c r="Q166" s="590"/>
      <c r="R166" s="590"/>
      <c r="S166" s="590"/>
      <c r="T166" s="590"/>
      <c r="U166" s="590"/>
      <c r="V166" s="590"/>
      <c r="W166" s="590"/>
      <c r="X166" s="590"/>
      <c r="Y166" s="590"/>
      <c r="Z166" s="590"/>
      <c r="AA166" s="590"/>
      <c r="AB166" s="590"/>
      <c r="AC166" s="590"/>
      <c r="AD166" s="590"/>
      <c r="AE166" s="590"/>
      <c r="AF166" s="590"/>
      <c r="AG166" s="590"/>
      <c r="AH166" s="590"/>
      <c r="AI166" s="590"/>
      <c r="AJ166" s="590"/>
      <c r="AK166" s="590"/>
      <c r="AL166" s="590"/>
      <c r="AM166" s="590"/>
      <c r="AN166" s="590"/>
      <c r="AO166" s="590"/>
      <c r="AP166" s="590"/>
      <c r="AQ166" s="590"/>
      <c r="AR166" s="590"/>
      <c r="AS166" s="590"/>
      <c r="AT166" s="590"/>
      <c r="AU166" s="590"/>
      <c r="AV166" s="590"/>
      <c r="AW166" s="590"/>
      <c r="AX166" s="590"/>
      <c r="AY166" s="590"/>
      <c r="AZ166" s="590"/>
      <c r="BA166" s="590"/>
      <c r="BB166" s="590"/>
      <c r="BC166" s="590"/>
      <c r="BD166" s="590"/>
      <c r="BE166" s="590"/>
      <c r="BF166" s="590"/>
      <c r="BG166" s="590"/>
      <c r="BH166" s="590"/>
      <c r="BI166" s="590"/>
      <c r="BJ166" s="590"/>
      <c r="BK166" s="591"/>
      <c r="BL166" s="591"/>
      <c r="BM166" s="591"/>
      <c r="BN166" s="591"/>
      <c r="BO166" s="591"/>
      <c r="BP166" s="591"/>
      <c r="BQ166" s="591"/>
      <c r="BR166" s="591"/>
      <c r="BS166" s="591"/>
      <c r="BT166" s="591"/>
      <c r="BU166" s="591"/>
      <c r="BV166" s="591"/>
      <c r="BW166" s="591"/>
      <c r="BX166" s="591"/>
      <c r="BY166" s="591"/>
      <c r="BZ166" s="591"/>
      <c r="CA166" s="591"/>
      <c r="CB166" s="591"/>
      <c r="CC166" s="591"/>
      <c r="CD166" s="591"/>
      <c r="CE166" s="591"/>
      <c r="CF166" s="591"/>
    </row>
    <row r="167" spans="1:84">
      <c r="A167" s="590"/>
      <c r="B167" s="590"/>
      <c r="C167" s="590"/>
      <c r="D167" s="590"/>
      <c r="E167" s="590"/>
      <c r="F167" s="590"/>
      <c r="G167" s="590"/>
      <c r="H167" s="590"/>
      <c r="I167" s="590"/>
      <c r="J167" s="590"/>
      <c r="K167" s="590"/>
      <c r="L167" s="590"/>
      <c r="M167" s="590"/>
      <c r="N167" s="590"/>
      <c r="O167" s="590"/>
      <c r="P167" s="590"/>
      <c r="Q167" s="590"/>
      <c r="R167" s="590"/>
      <c r="S167" s="590"/>
      <c r="T167" s="590"/>
      <c r="U167" s="590"/>
      <c r="V167" s="590"/>
      <c r="W167" s="590"/>
      <c r="X167" s="590"/>
      <c r="Y167" s="590"/>
      <c r="Z167" s="590"/>
      <c r="AA167" s="590"/>
      <c r="AB167" s="590"/>
      <c r="AC167" s="590"/>
      <c r="AD167" s="590"/>
      <c r="AE167" s="590"/>
      <c r="AF167" s="590"/>
      <c r="AG167" s="590"/>
      <c r="AH167" s="590"/>
      <c r="AI167" s="590"/>
      <c r="AJ167" s="590"/>
      <c r="AK167" s="590"/>
      <c r="AL167" s="590"/>
      <c r="AM167" s="590"/>
      <c r="AN167" s="590"/>
      <c r="AO167" s="590"/>
      <c r="AP167" s="590"/>
      <c r="AQ167" s="590"/>
      <c r="AR167" s="590"/>
      <c r="AS167" s="590"/>
      <c r="AT167" s="590"/>
      <c r="AU167" s="590"/>
      <c r="AV167" s="590"/>
      <c r="AW167" s="590"/>
      <c r="AX167" s="590"/>
      <c r="AY167" s="590"/>
      <c r="AZ167" s="590"/>
      <c r="BA167" s="590"/>
      <c r="BB167" s="590"/>
      <c r="BC167" s="590"/>
      <c r="BD167" s="590"/>
      <c r="BE167" s="590"/>
      <c r="BF167" s="590"/>
      <c r="BG167" s="590"/>
      <c r="BH167" s="590"/>
      <c r="BI167" s="590"/>
      <c r="BJ167" s="590"/>
      <c r="BK167" s="591"/>
      <c r="BL167" s="591"/>
      <c r="BM167" s="591"/>
      <c r="BN167" s="591"/>
      <c r="BO167" s="591"/>
      <c r="BP167" s="591"/>
      <c r="BQ167" s="591"/>
      <c r="BR167" s="591"/>
      <c r="BS167" s="591"/>
      <c r="BT167" s="591"/>
      <c r="BU167" s="591"/>
      <c r="BV167" s="591"/>
      <c r="BW167" s="591"/>
      <c r="BX167" s="591"/>
      <c r="BY167" s="591"/>
      <c r="BZ167" s="591"/>
      <c r="CA167" s="591"/>
      <c r="CB167" s="591"/>
      <c r="CC167" s="591"/>
      <c r="CD167" s="591"/>
      <c r="CE167" s="591"/>
      <c r="CF167" s="591"/>
    </row>
    <row r="168" spans="1:84">
      <c r="A168" s="590"/>
      <c r="B168" s="590"/>
      <c r="C168" s="590"/>
      <c r="D168" s="590"/>
      <c r="E168" s="590"/>
      <c r="F168" s="590"/>
      <c r="G168" s="590"/>
      <c r="H168" s="590"/>
      <c r="I168" s="590"/>
      <c r="J168" s="590"/>
      <c r="K168" s="590"/>
      <c r="L168" s="590"/>
      <c r="M168" s="590"/>
      <c r="N168" s="590"/>
      <c r="O168" s="590"/>
      <c r="P168" s="590"/>
      <c r="Q168" s="590"/>
      <c r="R168" s="590"/>
      <c r="S168" s="590"/>
      <c r="T168" s="590"/>
      <c r="U168" s="590"/>
      <c r="V168" s="590"/>
      <c r="W168" s="590"/>
      <c r="X168" s="590"/>
      <c r="Y168" s="590"/>
      <c r="Z168" s="590"/>
      <c r="AA168" s="590"/>
      <c r="AB168" s="590"/>
      <c r="AC168" s="590"/>
      <c r="AD168" s="590"/>
      <c r="AE168" s="590"/>
      <c r="AF168" s="590"/>
      <c r="AG168" s="590"/>
      <c r="AH168" s="590"/>
      <c r="AI168" s="590"/>
      <c r="AJ168" s="590"/>
      <c r="AK168" s="590"/>
      <c r="AL168" s="590"/>
      <c r="AM168" s="590"/>
      <c r="AN168" s="590"/>
      <c r="AO168" s="590"/>
      <c r="AP168" s="590"/>
      <c r="AQ168" s="590"/>
      <c r="AR168" s="590"/>
      <c r="AS168" s="590"/>
      <c r="AT168" s="590"/>
      <c r="AU168" s="590"/>
      <c r="AV168" s="590"/>
      <c r="AW168" s="590"/>
      <c r="AX168" s="590"/>
      <c r="AY168" s="590"/>
      <c r="AZ168" s="590"/>
      <c r="BA168" s="590"/>
      <c r="BB168" s="590"/>
      <c r="BC168" s="590"/>
      <c r="BD168" s="590"/>
      <c r="BE168" s="590"/>
      <c r="BF168" s="590"/>
      <c r="BG168" s="590"/>
      <c r="BH168" s="590"/>
      <c r="BI168" s="590"/>
      <c r="BJ168" s="590"/>
      <c r="BK168" s="591"/>
      <c r="BL168" s="591"/>
      <c r="BM168" s="591"/>
      <c r="BN168" s="591"/>
      <c r="BO168" s="591"/>
      <c r="BP168" s="591"/>
      <c r="BQ168" s="591"/>
      <c r="BR168" s="591"/>
      <c r="BS168" s="591"/>
      <c r="BT168" s="591"/>
      <c r="BU168" s="591"/>
      <c r="BV168" s="591"/>
      <c r="BW168" s="591"/>
      <c r="BX168" s="591"/>
      <c r="BY168" s="591"/>
      <c r="BZ168" s="591"/>
      <c r="CA168" s="591"/>
      <c r="CB168" s="591"/>
      <c r="CC168" s="591"/>
      <c r="CD168" s="591"/>
      <c r="CE168" s="591"/>
      <c r="CF168" s="591"/>
    </row>
    <row r="169" spans="1:84">
      <c r="A169" s="590"/>
      <c r="B169" s="590"/>
      <c r="C169" s="590"/>
      <c r="D169" s="590"/>
      <c r="E169" s="590"/>
      <c r="F169" s="590"/>
      <c r="G169" s="590"/>
      <c r="H169" s="590"/>
      <c r="I169" s="590"/>
      <c r="J169" s="590"/>
      <c r="K169" s="590"/>
      <c r="L169" s="590"/>
      <c r="M169" s="590"/>
      <c r="N169" s="590"/>
      <c r="O169" s="590"/>
      <c r="P169" s="590"/>
      <c r="Q169" s="590"/>
      <c r="R169" s="590"/>
      <c r="S169" s="590"/>
      <c r="T169" s="590"/>
      <c r="U169" s="590"/>
      <c r="V169" s="590"/>
      <c r="W169" s="590"/>
      <c r="X169" s="590"/>
      <c r="Y169" s="590"/>
      <c r="Z169" s="590"/>
      <c r="AA169" s="590"/>
      <c r="AB169" s="590"/>
      <c r="AC169" s="590"/>
      <c r="AD169" s="590"/>
      <c r="AE169" s="590"/>
      <c r="AF169" s="590"/>
      <c r="AG169" s="590"/>
      <c r="AH169" s="590"/>
      <c r="AI169" s="590"/>
      <c r="AJ169" s="590"/>
      <c r="AK169" s="590"/>
      <c r="AL169" s="590"/>
      <c r="AM169" s="590"/>
      <c r="AN169" s="590"/>
      <c r="AO169" s="590"/>
      <c r="AP169" s="590"/>
      <c r="AQ169" s="590"/>
      <c r="AR169" s="590"/>
      <c r="AS169" s="590"/>
      <c r="AT169" s="590"/>
      <c r="AU169" s="590"/>
      <c r="AV169" s="590"/>
      <c r="AW169" s="590"/>
      <c r="AX169" s="590"/>
      <c r="AY169" s="590"/>
      <c r="AZ169" s="590"/>
      <c r="BA169" s="590"/>
      <c r="BB169" s="590"/>
      <c r="BC169" s="590"/>
      <c r="BD169" s="590"/>
      <c r="BE169" s="590"/>
      <c r="BF169" s="590"/>
      <c r="BG169" s="590"/>
      <c r="BH169" s="590"/>
      <c r="BI169" s="590"/>
      <c r="BJ169" s="590"/>
      <c r="BK169" s="591"/>
      <c r="BL169" s="591"/>
      <c r="BM169" s="591"/>
      <c r="BN169" s="591"/>
      <c r="BO169" s="591"/>
      <c r="BP169" s="591"/>
      <c r="BQ169" s="591"/>
      <c r="BR169" s="591"/>
      <c r="BS169" s="591"/>
      <c r="BT169" s="591"/>
      <c r="BU169" s="591"/>
      <c r="BV169" s="591"/>
      <c r="BW169" s="591"/>
      <c r="BX169" s="591"/>
      <c r="BY169" s="591"/>
      <c r="BZ169" s="591"/>
      <c r="CA169" s="591"/>
      <c r="CB169" s="591"/>
      <c r="CC169" s="591"/>
      <c r="CD169" s="591"/>
      <c r="CE169" s="591"/>
      <c r="CF169" s="591"/>
    </row>
    <row r="170" spans="1:84">
      <c r="A170" s="590"/>
      <c r="B170" s="590"/>
      <c r="C170" s="590"/>
      <c r="D170" s="590"/>
      <c r="E170" s="590"/>
      <c r="F170" s="590"/>
      <c r="G170" s="590"/>
      <c r="H170" s="590"/>
      <c r="I170" s="590"/>
      <c r="J170" s="590"/>
      <c r="K170" s="590"/>
      <c r="L170" s="590"/>
      <c r="M170" s="590"/>
      <c r="N170" s="590"/>
      <c r="O170" s="590"/>
      <c r="P170" s="590"/>
      <c r="Q170" s="590"/>
      <c r="R170" s="590"/>
      <c r="S170" s="590"/>
      <c r="T170" s="590"/>
      <c r="U170" s="590"/>
      <c r="V170" s="590"/>
      <c r="W170" s="590"/>
      <c r="X170" s="590"/>
      <c r="Y170" s="590"/>
      <c r="Z170" s="590"/>
      <c r="AA170" s="590"/>
      <c r="AB170" s="590"/>
      <c r="AC170" s="590"/>
      <c r="AD170" s="590"/>
      <c r="AE170" s="590"/>
      <c r="AF170" s="590"/>
      <c r="AG170" s="590"/>
      <c r="AH170" s="590"/>
      <c r="AI170" s="590"/>
      <c r="AJ170" s="590"/>
      <c r="AK170" s="590"/>
      <c r="AL170" s="590"/>
      <c r="AM170" s="590"/>
      <c r="AN170" s="590"/>
      <c r="AO170" s="590"/>
      <c r="AP170" s="590"/>
      <c r="AQ170" s="590"/>
      <c r="AR170" s="590"/>
      <c r="AS170" s="590"/>
      <c r="AT170" s="590"/>
      <c r="AU170" s="590"/>
      <c r="AV170" s="590"/>
      <c r="AW170" s="590"/>
      <c r="AX170" s="590"/>
      <c r="AY170" s="590"/>
      <c r="AZ170" s="590"/>
      <c r="BA170" s="590"/>
      <c r="BB170" s="590"/>
      <c r="BC170" s="590"/>
      <c r="BD170" s="590"/>
      <c r="BE170" s="590"/>
      <c r="BF170" s="590"/>
      <c r="BG170" s="590"/>
      <c r="BH170" s="590"/>
      <c r="BI170" s="590"/>
      <c r="BJ170" s="590"/>
      <c r="BK170" s="591"/>
      <c r="BL170" s="591"/>
      <c r="BM170" s="591"/>
      <c r="BN170" s="591"/>
      <c r="BO170" s="591"/>
      <c r="BP170" s="591"/>
      <c r="BQ170" s="591"/>
      <c r="BR170" s="591"/>
      <c r="BS170" s="591"/>
      <c r="BT170" s="591"/>
      <c r="BU170" s="591"/>
      <c r="BV170" s="591"/>
      <c r="BW170" s="591"/>
      <c r="BX170" s="591"/>
      <c r="BY170" s="591"/>
      <c r="BZ170" s="591"/>
      <c r="CA170" s="591"/>
      <c r="CB170" s="591"/>
      <c r="CC170" s="591"/>
      <c r="CD170" s="591"/>
      <c r="CE170" s="591"/>
      <c r="CF170" s="591"/>
    </row>
    <row r="171" spans="1:84">
      <c r="A171" s="590"/>
      <c r="B171" s="590"/>
      <c r="C171" s="590"/>
      <c r="D171" s="590"/>
      <c r="E171" s="590"/>
      <c r="F171" s="590"/>
      <c r="G171" s="590"/>
      <c r="H171" s="590"/>
      <c r="I171" s="590"/>
      <c r="J171" s="590"/>
      <c r="K171" s="590"/>
      <c r="L171" s="590"/>
      <c r="M171" s="590"/>
      <c r="N171" s="590"/>
      <c r="O171" s="590"/>
      <c r="P171" s="590"/>
      <c r="Q171" s="590"/>
      <c r="R171" s="590"/>
      <c r="S171" s="590"/>
      <c r="T171" s="590"/>
      <c r="U171" s="590"/>
      <c r="V171" s="590"/>
      <c r="W171" s="590"/>
      <c r="X171" s="590"/>
      <c r="Y171" s="590"/>
      <c r="Z171" s="590"/>
      <c r="AA171" s="590"/>
      <c r="AB171" s="590"/>
      <c r="AC171" s="590"/>
      <c r="AD171" s="590"/>
      <c r="AE171" s="590"/>
      <c r="AF171" s="590"/>
      <c r="AG171" s="590"/>
      <c r="AH171" s="590"/>
      <c r="AI171" s="590"/>
      <c r="AJ171" s="590"/>
      <c r="AK171" s="590"/>
      <c r="AL171" s="590"/>
      <c r="AM171" s="590"/>
      <c r="AN171" s="590"/>
      <c r="AO171" s="590"/>
      <c r="AP171" s="590"/>
      <c r="AQ171" s="590"/>
      <c r="AR171" s="590"/>
      <c r="AS171" s="590"/>
      <c r="AT171" s="590"/>
      <c r="AU171" s="590"/>
      <c r="AV171" s="590"/>
      <c r="AW171" s="590"/>
      <c r="AX171" s="590"/>
      <c r="AY171" s="590"/>
      <c r="AZ171" s="590"/>
      <c r="BA171" s="590"/>
      <c r="BB171" s="590"/>
      <c r="BC171" s="590"/>
      <c r="BD171" s="590"/>
      <c r="BE171" s="590"/>
      <c r="BF171" s="590"/>
      <c r="BG171" s="590"/>
      <c r="BH171" s="590"/>
      <c r="BI171" s="590"/>
      <c r="BJ171" s="590"/>
      <c r="BK171" s="591"/>
      <c r="BL171" s="591"/>
      <c r="BM171" s="591"/>
      <c r="BN171" s="591"/>
      <c r="BO171" s="591"/>
      <c r="BP171" s="591"/>
      <c r="BQ171" s="591"/>
      <c r="BR171" s="591"/>
      <c r="BS171" s="591"/>
      <c r="BT171" s="591"/>
      <c r="BU171" s="591"/>
      <c r="BV171" s="591"/>
      <c r="BW171" s="591"/>
      <c r="BX171" s="591"/>
      <c r="BY171" s="591"/>
      <c r="BZ171" s="591"/>
      <c r="CA171" s="591"/>
      <c r="CB171" s="591"/>
      <c r="CC171" s="591"/>
      <c r="CD171" s="591"/>
      <c r="CE171" s="591"/>
      <c r="CF171" s="591"/>
    </row>
    <row r="172" spans="1:84">
      <c r="A172" s="590"/>
      <c r="B172" s="590"/>
      <c r="C172" s="590"/>
      <c r="D172" s="590"/>
      <c r="E172" s="590"/>
      <c r="F172" s="590"/>
      <c r="G172" s="590"/>
      <c r="H172" s="590"/>
      <c r="I172" s="590"/>
      <c r="J172" s="590"/>
      <c r="K172" s="590"/>
      <c r="L172" s="590"/>
      <c r="M172" s="590"/>
      <c r="N172" s="590"/>
      <c r="O172" s="590"/>
      <c r="P172" s="590"/>
      <c r="Q172" s="590"/>
      <c r="R172" s="590"/>
      <c r="S172" s="590"/>
      <c r="T172" s="590"/>
      <c r="U172" s="590"/>
      <c r="V172" s="590"/>
      <c r="W172" s="590"/>
      <c r="X172" s="590"/>
      <c r="Y172" s="590"/>
      <c r="Z172" s="590"/>
      <c r="AA172" s="590"/>
      <c r="AB172" s="590"/>
      <c r="AC172" s="590"/>
      <c r="AD172" s="590"/>
      <c r="AE172" s="590"/>
      <c r="AF172" s="590"/>
      <c r="AG172" s="590"/>
      <c r="AH172" s="590"/>
      <c r="AI172" s="590"/>
      <c r="AJ172" s="590"/>
      <c r="AK172" s="590"/>
      <c r="AL172" s="590"/>
      <c r="AM172" s="590"/>
      <c r="AN172" s="590"/>
      <c r="AO172" s="590"/>
      <c r="AP172" s="590"/>
      <c r="AQ172" s="590"/>
      <c r="AR172" s="590"/>
      <c r="AS172" s="590"/>
      <c r="AT172" s="590"/>
      <c r="AU172" s="590"/>
      <c r="AV172" s="590"/>
      <c r="AW172" s="590"/>
      <c r="AX172" s="590"/>
      <c r="AY172" s="590"/>
      <c r="AZ172" s="590"/>
      <c r="BA172" s="590"/>
      <c r="BB172" s="590"/>
      <c r="BC172" s="590"/>
      <c r="BD172" s="590"/>
      <c r="BE172" s="590"/>
      <c r="BF172" s="590"/>
      <c r="BG172" s="590"/>
      <c r="BH172" s="590"/>
      <c r="BI172" s="590"/>
      <c r="BJ172" s="590"/>
      <c r="BK172" s="591"/>
      <c r="BL172" s="591"/>
      <c r="BM172" s="591"/>
      <c r="BN172" s="591"/>
      <c r="BO172" s="591"/>
      <c r="BP172" s="591"/>
      <c r="BQ172" s="591"/>
      <c r="BR172" s="591"/>
      <c r="BS172" s="591"/>
      <c r="BT172" s="591"/>
      <c r="BU172" s="591"/>
      <c r="BV172" s="591"/>
      <c r="BW172" s="591"/>
      <c r="BX172" s="591"/>
      <c r="BY172" s="591"/>
      <c r="BZ172" s="591"/>
      <c r="CA172" s="591"/>
      <c r="CB172" s="591"/>
      <c r="CC172" s="591"/>
      <c r="CD172" s="591"/>
      <c r="CE172" s="591"/>
      <c r="CF172" s="591"/>
    </row>
    <row r="173" spans="1:84">
      <c r="A173" s="590"/>
      <c r="B173" s="590"/>
      <c r="C173" s="590"/>
      <c r="D173" s="590"/>
      <c r="E173" s="590"/>
      <c r="F173" s="590"/>
      <c r="G173" s="590"/>
      <c r="H173" s="590"/>
      <c r="I173" s="590"/>
      <c r="J173" s="590"/>
      <c r="K173" s="590"/>
      <c r="L173" s="590"/>
      <c r="M173" s="590"/>
      <c r="N173" s="590"/>
      <c r="O173" s="590"/>
      <c r="P173" s="590"/>
      <c r="Q173" s="590"/>
      <c r="R173" s="590"/>
      <c r="S173" s="590"/>
      <c r="T173" s="590"/>
      <c r="U173" s="590"/>
      <c r="V173" s="590"/>
      <c r="W173" s="590"/>
      <c r="X173" s="590"/>
      <c r="Y173" s="590"/>
      <c r="Z173" s="590"/>
      <c r="AA173" s="590"/>
      <c r="AB173" s="590"/>
      <c r="AC173" s="590"/>
      <c r="AD173" s="590"/>
      <c r="AE173" s="590"/>
      <c r="AF173" s="590"/>
      <c r="AG173" s="590"/>
      <c r="AH173" s="590"/>
      <c r="AI173" s="590"/>
      <c r="AJ173" s="590"/>
      <c r="AK173" s="590"/>
      <c r="AL173" s="590"/>
      <c r="AM173" s="590"/>
      <c r="AN173" s="590"/>
      <c r="AO173" s="590"/>
      <c r="AP173" s="590"/>
      <c r="AQ173" s="590"/>
      <c r="AR173" s="590"/>
      <c r="AS173" s="590"/>
      <c r="AT173" s="590"/>
      <c r="AU173" s="590"/>
      <c r="AV173" s="590"/>
      <c r="AW173" s="590"/>
      <c r="AX173" s="590"/>
      <c r="AY173" s="590"/>
      <c r="AZ173" s="590"/>
      <c r="BA173" s="590"/>
      <c r="BB173" s="590"/>
      <c r="BC173" s="590"/>
      <c r="BD173" s="590"/>
      <c r="BE173" s="590"/>
      <c r="BF173" s="590"/>
      <c r="BG173" s="590"/>
      <c r="BH173" s="590"/>
      <c r="BI173" s="590"/>
      <c r="BJ173" s="590"/>
      <c r="BK173" s="591"/>
      <c r="BL173" s="591"/>
      <c r="BM173" s="591"/>
      <c r="BN173" s="591"/>
      <c r="BO173" s="591"/>
      <c r="BP173" s="591"/>
      <c r="BQ173" s="591"/>
      <c r="BR173" s="591"/>
      <c r="BS173" s="591"/>
      <c r="BT173" s="591"/>
      <c r="BU173" s="591"/>
      <c r="BV173" s="591"/>
      <c r="BW173" s="591"/>
      <c r="BX173" s="591"/>
      <c r="BY173" s="591"/>
      <c r="BZ173" s="591"/>
      <c r="CA173" s="591"/>
      <c r="CB173" s="591"/>
      <c r="CC173" s="591"/>
      <c r="CD173" s="591"/>
      <c r="CE173" s="591"/>
      <c r="CF173" s="591"/>
    </row>
    <row r="174" spans="1:84">
      <c r="A174" s="590"/>
      <c r="B174" s="590"/>
      <c r="C174" s="590"/>
      <c r="D174" s="590"/>
      <c r="E174" s="590"/>
      <c r="F174" s="590"/>
      <c r="G174" s="590"/>
      <c r="H174" s="590"/>
      <c r="I174" s="590"/>
      <c r="J174" s="590"/>
      <c r="K174" s="590"/>
      <c r="L174" s="590"/>
      <c r="M174" s="590"/>
      <c r="N174" s="590"/>
      <c r="O174" s="590"/>
      <c r="P174" s="590"/>
      <c r="Q174" s="590"/>
      <c r="R174" s="590"/>
      <c r="S174" s="590"/>
      <c r="T174" s="590"/>
      <c r="U174" s="590"/>
      <c r="V174" s="590"/>
      <c r="W174" s="590"/>
      <c r="X174" s="590"/>
      <c r="Y174" s="590"/>
      <c r="Z174" s="590"/>
      <c r="AA174" s="590"/>
      <c r="AB174" s="590"/>
      <c r="AC174" s="590"/>
      <c r="AD174" s="590"/>
      <c r="AE174" s="590"/>
      <c r="AF174" s="590"/>
      <c r="AG174" s="590"/>
      <c r="AH174" s="590"/>
      <c r="AI174" s="590"/>
      <c r="AJ174" s="590"/>
      <c r="AK174" s="590"/>
      <c r="AL174" s="590"/>
      <c r="AM174" s="590"/>
      <c r="AN174" s="590"/>
      <c r="AO174" s="590"/>
      <c r="AP174" s="590"/>
      <c r="AQ174" s="590"/>
      <c r="AR174" s="590"/>
      <c r="AS174" s="590"/>
      <c r="AT174" s="590"/>
      <c r="AU174" s="590"/>
      <c r="AV174" s="590"/>
      <c r="AW174" s="590"/>
      <c r="AX174" s="590"/>
      <c r="AY174" s="590"/>
      <c r="AZ174" s="590"/>
      <c r="BA174" s="590"/>
      <c r="BB174" s="590"/>
      <c r="BC174" s="590"/>
      <c r="BD174" s="590"/>
      <c r="BE174" s="590"/>
      <c r="BF174" s="590"/>
      <c r="BG174" s="590"/>
      <c r="BH174" s="590"/>
      <c r="BI174" s="590"/>
      <c r="BJ174" s="590"/>
      <c r="BK174" s="591"/>
      <c r="BL174" s="591"/>
      <c r="BM174" s="591"/>
      <c r="BN174" s="591"/>
      <c r="BO174" s="591"/>
      <c r="BP174" s="591"/>
      <c r="BQ174" s="591"/>
      <c r="BR174" s="591"/>
      <c r="BS174" s="591"/>
      <c r="BT174" s="591"/>
      <c r="BU174" s="591"/>
      <c r="BV174" s="591"/>
      <c r="BW174" s="591"/>
      <c r="BX174" s="591"/>
      <c r="BY174" s="591"/>
      <c r="BZ174" s="591"/>
      <c r="CA174" s="591"/>
      <c r="CB174" s="591"/>
      <c r="CC174" s="591"/>
      <c r="CD174" s="591"/>
      <c r="CE174" s="591"/>
      <c r="CF174" s="591"/>
    </row>
    <row r="175" spans="1:84">
      <c r="A175" s="590"/>
      <c r="B175" s="590"/>
      <c r="C175" s="590"/>
      <c r="D175" s="590"/>
      <c r="E175" s="590"/>
      <c r="F175" s="590"/>
      <c r="G175" s="590"/>
      <c r="H175" s="590"/>
      <c r="I175" s="590"/>
      <c r="J175" s="590"/>
      <c r="K175" s="590"/>
      <c r="L175" s="590"/>
      <c r="M175" s="590"/>
      <c r="N175" s="590"/>
      <c r="O175" s="590"/>
      <c r="P175" s="590"/>
      <c r="Q175" s="590"/>
      <c r="R175" s="590"/>
      <c r="S175" s="590"/>
      <c r="T175" s="590"/>
      <c r="U175" s="590"/>
      <c r="V175" s="590"/>
      <c r="W175" s="590"/>
      <c r="X175" s="590"/>
      <c r="Y175" s="590"/>
      <c r="Z175" s="590"/>
      <c r="AA175" s="590"/>
      <c r="AB175" s="590"/>
      <c r="AC175" s="590"/>
      <c r="AD175" s="590"/>
      <c r="AE175" s="590"/>
      <c r="AF175" s="590"/>
      <c r="AG175" s="590"/>
      <c r="AH175" s="590"/>
      <c r="AI175" s="590"/>
      <c r="AJ175" s="590"/>
      <c r="AK175" s="590"/>
      <c r="AL175" s="590"/>
      <c r="AM175" s="590"/>
      <c r="AN175" s="590"/>
      <c r="AO175" s="590"/>
      <c r="AP175" s="590"/>
      <c r="AQ175" s="590"/>
      <c r="AR175" s="590"/>
      <c r="AS175" s="590"/>
      <c r="AT175" s="590"/>
      <c r="AU175" s="590"/>
      <c r="AV175" s="590"/>
      <c r="AW175" s="590"/>
      <c r="AX175" s="590"/>
      <c r="AY175" s="590"/>
      <c r="AZ175" s="590"/>
      <c r="BA175" s="590"/>
      <c r="BB175" s="590"/>
      <c r="BC175" s="590"/>
      <c r="BD175" s="590"/>
      <c r="BE175" s="590"/>
      <c r="BF175" s="590"/>
      <c r="BG175" s="590"/>
      <c r="BH175" s="590"/>
      <c r="BI175" s="590"/>
      <c r="BJ175" s="590"/>
      <c r="BK175" s="591"/>
      <c r="BL175" s="591"/>
      <c r="BM175" s="591"/>
      <c r="BN175" s="591"/>
      <c r="BO175" s="591"/>
      <c r="BP175" s="591"/>
      <c r="BQ175" s="591"/>
      <c r="BR175" s="591"/>
      <c r="BS175" s="591"/>
      <c r="BT175" s="591"/>
      <c r="BU175" s="591"/>
      <c r="BV175" s="591"/>
      <c r="BW175" s="591"/>
      <c r="BX175" s="591"/>
      <c r="BY175" s="591"/>
      <c r="BZ175" s="591"/>
      <c r="CA175" s="591"/>
      <c r="CB175" s="591"/>
      <c r="CC175" s="591"/>
      <c r="CD175" s="591"/>
      <c r="CE175" s="591"/>
      <c r="CF175" s="591"/>
    </row>
    <row r="176" spans="1:84">
      <c r="A176" s="590"/>
      <c r="B176" s="590"/>
      <c r="C176" s="590"/>
      <c r="D176" s="590"/>
      <c r="E176" s="590"/>
      <c r="F176" s="590"/>
      <c r="G176" s="590"/>
      <c r="H176" s="590"/>
      <c r="I176" s="590"/>
      <c r="J176" s="590"/>
      <c r="K176" s="590"/>
      <c r="L176" s="590"/>
      <c r="M176" s="590"/>
      <c r="N176" s="590"/>
      <c r="O176" s="590"/>
      <c r="P176" s="590"/>
      <c r="Q176" s="590"/>
      <c r="R176" s="590"/>
      <c r="S176" s="590"/>
      <c r="T176" s="590"/>
      <c r="U176" s="590"/>
      <c r="V176" s="590"/>
      <c r="W176" s="590"/>
      <c r="X176" s="590"/>
      <c r="Y176" s="590"/>
      <c r="Z176" s="590"/>
      <c r="AA176" s="590"/>
      <c r="AB176" s="590"/>
      <c r="AC176" s="590"/>
      <c r="AD176" s="590"/>
      <c r="AE176" s="590"/>
      <c r="AF176" s="590"/>
      <c r="AG176" s="590"/>
      <c r="AH176" s="590"/>
      <c r="AI176" s="590"/>
      <c r="AJ176" s="590"/>
      <c r="AK176" s="590"/>
      <c r="AL176" s="590"/>
      <c r="AM176" s="590"/>
      <c r="AN176" s="590"/>
      <c r="AO176" s="590"/>
      <c r="AP176" s="590"/>
      <c r="AQ176" s="590"/>
      <c r="AR176" s="590"/>
      <c r="AS176" s="590"/>
      <c r="AT176" s="590"/>
      <c r="AU176" s="590"/>
      <c r="AV176" s="590"/>
      <c r="AW176" s="590"/>
      <c r="AX176" s="590"/>
      <c r="AY176" s="590"/>
      <c r="AZ176" s="590"/>
      <c r="BA176" s="590"/>
      <c r="BB176" s="590"/>
      <c r="BC176" s="590"/>
      <c r="BD176" s="590"/>
      <c r="BE176" s="590"/>
      <c r="BF176" s="590"/>
      <c r="BG176" s="590"/>
      <c r="BH176" s="590"/>
      <c r="BI176" s="590"/>
      <c r="BJ176" s="590"/>
      <c r="BK176" s="591"/>
      <c r="BL176" s="591"/>
      <c r="BM176" s="591"/>
      <c r="BN176" s="591"/>
      <c r="BO176" s="591"/>
      <c r="BP176" s="591"/>
      <c r="BQ176" s="591"/>
      <c r="BR176" s="591"/>
      <c r="BS176" s="591"/>
      <c r="BT176" s="591"/>
      <c r="BU176" s="591"/>
      <c r="BV176" s="591"/>
      <c r="BW176" s="591"/>
      <c r="BX176" s="591"/>
      <c r="BY176" s="591"/>
      <c r="BZ176" s="591"/>
      <c r="CA176" s="591"/>
      <c r="CB176" s="591"/>
      <c r="CC176" s="591"/>
      <c r="CD176" s="591"/>
      <c r="CE176" s="591"/>
      <c r="CF176" s="591"/>
    </row>
    <row r="177" spans="1:84">
      <c r="A177" s="590"/>
      <c r="B177" s="590"/>
      <c r="C177" s="590"/>
      <c r="D177" s="590"/>
      <c r="E177" s="590"/>
      <c r="F177" s="590"/>
      <c r="G177" s="590"/>
      <c r="H177" s="590"/>
      <c r="I177" s="590"/>
      <c r="J177" s="590"/>
      <c r="K177" s="590"/>
      <c r="L177" s="590"/>
      <c r="M177" s="590"/>
      <c r="N177" s="590"/>
      <c r="O177" s="590"/>
      <c r="P177" s="590"/>
      <c r="Q177" s="590"/>
      <c r="R177" s="590"/>
      <c r="S177" s="590"/>
      <c r="T177" s="590"/>
      <c r="U177" s="590"/>
      <c r="V177" s="590"/>
      <c r="W177" s="590"/>
      <c r="X177" s="590"/>
      <c r="Y177" s="590"/>
      <c r="Z177" s="590"/>
      <c r="AA177" s="590"/>
      <c r="AB177" s="590"/>
      <c r="AC177" s="590"/>
      <c r="AD177" s="590"/>
      <c r="AE177" s="590"/>
      <c r="AF177" s="590"/>
      <c r="AG177" s="590"/>
      <c r="AH177" s="590"/>
      <c r="AI177" s="590"/>
      <c r="AJ177" s="590"/>
      <c r="AK177" s="590"/>
      <c r="AL177" s="590"/>
      <c r="AM177" s="590"/>
      <c r="AN177" s="590"/>
      <c r="AO177" s="590"/>
      <c r="AP177" s="590"/>
      <c r="AQ177" s="590"/>
      <c r="AR177" s="590"/>
      <c r="AS177" s="590"/>
      <c r="AT177" s="590"/>
      <c r="AU177" s="590"/>
      <c r="AV177" s="590"/>
      <c r="AW177" s="590"/>
      <c r="AX177" s="590"/>
      <c r="AY177" s="590"/>
      <c r="AZ177" s="590"/>
      <c r="BA177" s="590"/>
      <c r="BB177" s="590"/>
      <c r="BC177" s="590"/>
      <c r="BD177" s="590"/>
      <c r="BE177" s="590"/>
      <c r="BF177" s="590"/>
      <c r="BG177" s="590"/>
      <c r="BH177" s="590"/>
      <c r="BI177" s="590"/>
      <c r="BJ177" s="590"/>
      <c r="BK177" s="591"/>
      <c r="BL177" s="591"/>
      <c r="BM177" s="591"/>
      <c r="BN177" s="591"/>
      <c r="BO177" s="591"/>
      <c r="BP177" s="591"/>
      <c r="BQ177" s="591"/>
      <c r="BR177" s="591"/>
      <c r="BS177" s="591"/>
      <c r="BT177" s="591"/>
      <c r="BU177" s="591"/>
      <c r="BV177" s="591"/>
      <c r="BW177" s="591"/>
      <c r="BX177" s="591"/>
      <c r="BY177" s="591"/>
      <c r="BZ177" s="591"/>
      <c r="CA177" s="591"/>
      <c r="CB177" s="591"/>
      <c r="CC177" s="591"/>
      <c r="CD177" s="591"/>
      <c r="CE177" s="591"/>
      <c r="CF177" s="591"/>
    </row>
    <row r="178" spans="1:84">
      <c r="A178" s="590"/>
      <c r="B178" s="590"/>
      <c r="C178" s="590"/>
      <c r="D178" s="590"/>
      <c r="E178" s="590"/>
      <c r="F178" s="590"/>
      <c r="G178" s="590"/>
      <c r="H178" s="590"/>
      <c r="I178" s="590"/>
      <c r="J178" s="590"/>
      <c r="K178" s="590"/>
      <c r="L178" s="590"/>
      <c r="M178" s="590"/>
      <c r="N178" s="590"/>
      <c r="O178" s="590"/>
      <c r="P178" s="590"/>
      <c r="Q178" s="590"/>
      <c r="R178" s="590"/>
      <c r="S178" s="590"/>
      <c r="T178" s="590"/>
      <c r="U178" s="590"/>
      <c r="V178" s="590"/>
      <c r="W178" s="590"/>
      <c r="X178" s="590"/>
      <c r="Y178" s="590"/>
      <c r="Z178" s="590"/>
      <c r="AA178" s="590"/>
      <c r="AB178" s="590"/>
      <c r="AC178" s="590"/>
      <c r="AD178" s="590"/>
      <c r="AE178" s="590"/>
      <c r="AF178" s="590"/>
      <c r="AG178" s="590"/>
      <c r="AH178" s="590"/>
      <c r="AI178" s="590"/>
      <c r="AJ178" s="590"/>
      <c r="AK178" s="590"/>
      <c r="AL178" s="590"/>
      <c r="AM178" s="590"/>
      <c r="AN178" s="590"/>
      <c r="AO178" s="590"/>
      <c r="AP178" s="590"/>
      <c r="AQ178" s="590"/>
      <c r="AR178" s="590"/>
      <c r="AS178" s="590"/>
      <c r="AT178" s="590"/>
      <c r="AU178" s="590"/>
      <c r="AV178" s="590"/>
      <c r="AW178" s="590"/>
      <c r="AX178" s="590"/>
      <c r="AY178" s="590"/>
      <c r="AZ178" s="590"/>
      <c r="BA178" s="590"/>
      <c r="BB178" s="590"/>
      <c r="BC178" s="590"/>
      <c r="BD178" s="590"/>
      <c r="BE178" s="590"/>
      <c r="BF178" s="590"/>
      <c r="BG178" s="590"/>
      <c r="BH178" s="590"/>
      <c r="BI178" s="590"/>
      <c r="BJ178" s="590"/>
      <c r="BK178" s="591"/>
      <c r="BL178" s="591"/>
      <c r="BM178" s="591"/>
      <c r="BN178" s="591"/>
      <c r="BO178" s="591"/>
      <c r="BP178" s="591"/>
      <c r="BQ178" s="591"/>
      <c r="BR178" s="591"/>
      <c r="BS178" s="591"/>
      <c r="BT178" s="591"/>
      <c r="BU178" s="591"/>
      <c r="BV178" s="591"/>
      <c r="BW178" s="591"/>
      <c r="BX178" s="591"/>
      <c r="BY178" s="591"/>
      <c r="BZ178" s="591"/>
      <c r="CA178" s="591"/>
      <c r="CB178" s="591"/>
      <c r="CC178" s="591"/>
      <c r="CD178" s="591"/>
      <c r="CE178" s="591"/>
      <c r="CF178" s="591"/>
    </row>
    <row r="179" spans="1:84">
      <c r="A179" s="590"/>
      <c r="B179" s="590"/>
      <c r="C179" s="590"/>
      <c r="D179" s="590"/>
      <c r="E179" s="590"/>
      <c r="F179" s="590"/>
      <c r="G179" s="590"/>
      <c r="H179" s="590"/>
      <c r="I179" s="590"/>
      <c r="J179" s="590"/>
      <c r="K179" s="590"/>
      <c r="L179" s="590"/>
      <c r="M179" s="590"/>
      <c r="N179" s="590"/>
      <c r="O179" s="590"/>
      <c r="P179" s="590"/>
      <c r="Q179" s="590"/>
      <c r="R179" s="590"/>
      <c r="S179" s="590"/>
      <c r="T179" s="590"/>
      <c r="U179" s="590"/>
      <c r="V179" s="590"/>
      <c r="W179" s="590"/>
      <c r="X179" s="590"/>
      <c r="Y179" s="590"/>
      <c r="Z179" s="590"/>
      <c r="AA179" s="590"/>
      <c r="AB179" s="590"/>
      <c r="AC179" s="590"/>
      <c r="AD179" s="590"/>
      <c r="AE179" s="590"/>
      <c r="AF179" s="590"/>
      <c r="AG179" s="590"/>
      <c r="AH179" s="590"/>
      <c r="AI179" s="590"/>
      <c r="AJ179" s="590"/>
      <c r="AK179" s="590"/>
      <c r="AL179" s="590"/>
      <c r="AM179" s="590"/>
      <c r="AN179" s="590"/>
      <c r="AO179" s="590"/>
      <c r="AP179" s="590"/>
      <c r="AQ179" s="590"/>
      <c r="AR179" s="590"/>
      <c r="AS179" s="590"/>
      <c r="AT179" s="590"/>
      <c r="AU179" s="590"/>
      <c r="AV179" s="590"/>
      <c r="AW179" s="590"/>
      <c r="AX179" s="590"/>
      <c r="AY179" s="590"/>
      <c r="AZ179" s="590"/>
      <c r="BA179" s="590"/>
      <c r="BB179" s="590"/>
      <c r="BC179" s="590"/>
      <c r="BD179" s="590"/>
      <c r="BE179" s="590"/>
      <c r="BF179" s="590"/>
      <c r="BG179" s="590"/>
      <c r="BH179" s="590"/>
      <c r="BI179" s="590"/>
      <c r="BJ179" s="590"/>
      <c r="BK179" s="591"/>
      <c r="BL179" s="591"/>
      <c r="BM179" s="591"/>
      <c r="BN179" s="591"/>
      <c r="BO179" s="591"/>
      <c r="BP179" s="591"/>
      <c r="BQ179" s="591"/>
      <c r="BR179" s="591"/>
      <c r="BS179" s="591"/>
      <c r="BT179" s="591"/>
      <c r="BU179" s="591"/>
      <c r="BV179" s="591"/>
      <c r="BW179" s="591"/>
      <c r="BX179" s="591"/>
      <c r="BY179" s="591"/>
      <c r="BZ179" s="591"/>
      <c r="CA179" s="591"/>
      <c r="CB179" s="591"/>
      <c r="CC179" s="591"/>
      <c r="CD179" s="591"/>
      <c r="CE179" s="591"/>
      <c r="CF179" s="591"/>
    </row>
    <row r="180" spans="1:84">
      <c r="A180" s="590"/>
      <c r="B180" s="590"/>
      <c r="C180" s="590"/>
      <c r="D180" s="590"/>
      <c r="E180" s="590"/>
      <c r="F180" s="590"/>
      <c r="G180" s="590"/>
      <c r="H180" s="590"/>
      <c r="I180" s="590"/>
      <c r="J180" s="590"/>
      <c r="K180" s="590"/>
      <c r="L180" s="590"/>
      <c r="M180" s="590"/>
      <c r="N180" s="590"/>
      <c r="O180" s="590"/>
      <c r="P180" s="590"/>
      <c r="Q180" s="590"/>
      <c r="R180" s="590"/>
      <c r="S180" s="590"/>
      <c r="T180" s="590"/>
      <c r="U180" s="590"/>
      <c r="V180" s="590"/>
      <c r="W180" s="590"/>
      <c r="X180" s="590"/>
      <c r="Y180" s="590"/>
      <c r="Z180" s="590"/>
      <c r="AA180" s="590"/>
      <c r="AB180" s="590"/>
      <c r="AC180" s="590"/>
      <c r="AD180" s="590"/>
      <c r="AE180" s="590"/>
      <c r="AF180" s="590"/>
      <c r="AG180" s="590"/>
      <c r="AH180" s="590"/>
      <c r="AI180" s="590"/>
      <c r="AJ180" s="590"/>
      <c r="AK180" s="590"/>
      <c r="AL180" s="590"/>
      <c r="AM180" s="590"/>
      <c r="AN180" s="590"/>
      <c r="AO180" s="590"/>
      <c r="AP180" s="590"/>
      <c r="AQ180" s="590"/>
      <c r="AR180" s="590"/>
      <c r="AS180" s="590"/>
      <c r="AT180" s="590"/>
      <c r="AU180" s="590"/>
      <c r="AV180" s="590"/>
      <c r="AW180" s="590"/>
      <c r="AX180" s="590"/>
      <c r="AY180" s="590"/>
      <c r="AZ180" s="590"/>
      <c r="BA180" s="590"/>
      <c r="BB180" s="590"/>
      <c r="BC180" s="590"/>
      <c r="BD180" s="590"/>
      <c r="BE180" s="590"/>
      <c r="BF180" s="590"/>
      <c r="BG180" s="590"/>
      <c r="BH180" s="590"/>
      <c r="BI180" s="590"/>
      <c r="BJ180" s="590"/>
      <c r="BK180" s="591"/>
      <c r="BL180" s="591"/>
      <c r="BM180" s="591"/>
      <c r="BN180" s="591"/>
      <c r="BO180" s="591"/>
      <c r="BP180" s="591"/>
      <c r="BQ180" s="591"/>
      <c r="BR180" s="591"/>
      <c r="BS180" s="591"/>
      <c r="BT180" s="591"/>
      <c r="BU180" s="591"/>
      <c r="BV180" s="591"/>
      <c r="BW180" s="591"/>
      <c r="BX180" s="591"/>
      <c r="BY180" s="591"/>
      <c r="BZ180" s="591"/>
      <c r="CA180" s="591"/>
      <c r="CB180" s="591"/>
      <c r="CC180" s="591"/>
      <c r="CD180" s="591"/>
      <c r="CE180" s="591"/>
      <c r="CF180" s="591"/>
    </row>
    <row r="181" spans="1:84">
      <c r="A181" s="590"/>
      <c r="B181" s="590"/>
      <c r="C181" s="590"/>
      <c r="D181" s="590"/>
      <c r="E181" s="590"/>
      <c r="F181" s="590"/>
      <c r="G181" s="590"/>
      <c r="H181" s="590"/>
      <c r="I181" s="590"/>
      <c r="J181" s="590"/>
      <c r="K181" s="590"/>
      <c r="L181" s="590"/>
      <c r="M181" s="590"/>
      <c r="N181" s="590"/>
      <c r="O181" s="590"/>
      <c r="P181" s="590"/>
      <c r="Q181" s="590"/>
      <c r="R181" s="590"/>
      <c r="S181" s="590"/>
      <c r="T181" s="590"/>
      <c r="U181" s="590"/>
      <c r="V181" s="590"/>
      <c r="W181" s="590"/>
      <c r="X181" s="590"/>
      <c r="Y181" s="590"/>
      <c r="Z181" s="590"/>
      <c r="AA181" s="590"/>
      <c r="AB181" s="590"/>
      <c r="AC181" s="590"/>
      <c r="AD181" s="590"/>
      <c r="AE181" s="590"/>
      <c r="AF181" s="590"/>
      <c r="AG181" s="590"/>
      <c r="AH181" s="590"/>
      <c r="AI181" s="590"/>
      <c r="AJ181" s="590"/>
      <c r="AK181" s="590"/>
      <c r="AL181" s="590"/>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1"/>
      <c r="BL181" s="591"/>
      <c r="BM181" s="591"/>
      <c r="BN181" s="591"/>
      <c r="BO181" s="591"/>
      <c r="BP181" s="591"/>
      <c r="BQ181" s="591"/>
      <c r="BR181" s="591"/>
      <c r="BS181" s="591"/>
      <c r="BT181" s="591"/>
      <c r="BU181" s="591"/>
      <c r="BV181" s="591"/>
      <c r="BW181" s="591"/>
      <c r="BX181" s="591"/>
      <c r="BY181" s="591"/>
      <c r="BZ181" s="591"/>
      <c r="CA181" s="591"/>
      <c r="CB181" s="591"/>
      <c r="CC181" s="591"/>
      <c r="CD181" s="591"/>
      <c r="CE181" s="591"/>
      <c r="CF181" s="591"/>
    </row>
    <row r="182" spans="1:84">
      <c r="A182" s="590"/>
      <c r="B182" s="590"/>
      <c r="C182" s="590"/>
      <c r="D182" s="590"/>
      <c r="E182" s="590"/>
      <c r="F182" s="590"/>
      <c r="G182" s="590"/>
      <c r="H182" s="590"/>
      <c r="I182" s="590"/>
      <c r="J182" s="590"/>
      <c r="K182" s="590"/>
      <c r="L182" s="590"/>
      <c r="M182" s="590"/>
      <c r="N182" s="590"/>
      <c r="O182" s="590"/>
      <c r="P182" s="590"/>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0"/>
      <c r="AQ182" s="590"/>
      <c r="AR182" s="590"/>
      <c r="AS182" s="590"/>
      <c r="AT182" s="590"/>
      <c r="AU182" s="590"/>
      <c r="AV182" s="590"/>
      <c r="AW182" s="590"/>
      <c r="AX182" s="590"/>
      <c r="AY182" s="590"/>
      <c r="AZ182" s="590"/>
      <c r="BA182" s="590"/>
      <c r="BB182" s="590"/>
      <c r="BC182" s="590"/>
      <c r="BD182" s="590"/>
      <c r="BE182" s="590"/>
      <c r="BF182" s="590"/>
      <c r="BG182" s="590"/>
      <c r="BH182" s="590"/>
      <c r="BI182" s="590"/>
      <c r="BJ182" s="590"/>
      <c r="BK182" s="591"/>
      <c r="BL182" s="591"/>
      <c r="BM182" s="591"/>
      <c r="BN182" s="591"/>
      <c r="BO182" s="591"/>
      <c r="BP182" s="591"/>
      <c r="BQ182" s="591"/>
      <c r="BR182" s="591"/>
      <c r="BS182" s="591"/>
      <c r="BT182" s="591"/>
      <c r="BU182" s="591"/>
      <c r="BV182" s="591"/>
      <c r="BW182" s="591"/>
      <c r="BX182" s="591"/>
      <c r="BY182" s="591"/>
      <c r="BZ182" s="591"/>
      <c r="CA182" s="591"/>
      <c r="CB182" s="591"/>
      <c r="CC182" s="591"/>
      <c r="CD182" s="591"/>
      <c r="CE182" s="591"/>
      <c r="CF182" s="591"/>
    </row>
    <row r="183" spans="1:84">
      <c r="A183" s="590"/>
      <c r="B183" s="590"/>
      <c r="C183" s="590"/>
      <c r="D183" s="590"/>
      <c r="E183" s="590"/>
      <c r="F183" s="590"/>
      <c r="G183" s="590"/>
      <c r="H183" s="590"/>
      <c r="I183" s="590"/>
      <c r="J183" s="590"/>
      <c r="K183" s="590"/>
      <c r="L183" s="590"/>
      <c r="M183" s="590"/>
      <c r="N183" s="590"/>
      <c r="O183" s="590"/>
      <c r="P183" s="590"/>
      <c r="Q183" s="590"/>
      <c r="R183" s="590"/>
      <c r="S183" s="590"/>
      <c r="T183" s="590"/>
      <c r="U183" s="590"/>
      <c r="V183" s="590"/>
      <c r="W183" s="590"/>
      <c r="X183" s="590"/>
      <c r="Y183" s="590"/>
      <c r="Z183" s="590"/>
      <c r="AA183" s="590"/>
      <c r="AB183" s="590"/>
      <c r="AC183" s="590"/>
      <c r="AD183" s="590"/>
      <c r="AE183" s="590"/>
      <c r="AF183" s="590"/>
      <c r="AG183" s="590"/>
      <c r="AH183" s="590"/>
      <c r="AI183" s="590"/>
      <c r="AJ183" s="590"/>
      <c r="AK183" s="590"/>
      <c r="AL183" s="590"/>
      <c r="AM183" s="590"/>
      <c r="AN183" s="590"/>
      <c r="AO183" s="590"/>
      <c r="AP183" s="590"/>
      <c r="AQ183" s="590"/>
      <c r="AR183" s="590"/>
      <c r="AS183" s="590"/>
      <c r="AT183" s="590"/>
      <c r="AU183" s="590"/>
      <c r="AV183" s="590"/>
      <c r="AW183" s="590"/>
      <c r="AX183" s="590"/>
      <c r="AY183" s="590"/>
      <c r="AZ183" s="590"/>
      <c r="BA183" s="590"/>
      <c r="BB183" s="590"/>
      <c r="BC183" s="590"/>
      <c r="BD183" s="590"/>
      <c r="BE183" s="590"/>
      <c r="BF183" s="590"/>
      <c r="BG183" s="590"/>
      <c r="BH183" s="590"/>
      <c r="BI183" s="590"/>
      <c r="BJ183" s="590"/>
      <c r="BK183" s="591"/>
      <c r="BL183" s="591"/>
      <c r="BM183" s="591"/>
      <c r="BN183" s="591"/>
      <c r="BO183" s="591"/>
      <c r="BP183" s="591"/>
      <c r="BQ183" s="591"/>
      <c r="BR183" s="591"/>
      <c r="BS183" s="591"/>
      <c r="BT183" s="591"/>
      <c r="BU183" s="591"/>
      <c r="BV183" s="591"/>
      <c r="BW183" s="591"/>
      <c r="BX183" s="591"/>
      <c r="BY183" s="591"/>
      <c r="BZ183" s="591"/>
      <c r="CA183" s="591"/>
      <c r="CB183" s="591"/>
      <c r="CC183" s="591"/>
      <c r="CD183" s="591"/>
      <c r="CE183" s="591"/>
      <c r="CF183" s="591"/>
    </row>
    <row r="184" spans="1:84">
      <c r="A184" s="590"/>
      <c r="B184" s="590"/>
      <c r="C184" s="590"/>
      <c r="D184" s="590"/>
      <c r="E184" s="590"/>
      <c r="F184" s="590"/>
      <c r="G184" s="590"/>
      <c r="H184" s="590"/>
      <c r="I184" s="590"/>
      <c r="J184" s="590"/>
      <c r="K184" s="590"/>
      <c r="L184" s="590"/>
      <c r="M184" s="590"/>
      <c r="N184" s="590"/>
      <c r="O184" s="590"/>
      <c r="P184" s="590"/>
      <c r="Q184" s="590"/>
      <c r="R184" s="590"/>
      <c r="S184" s="590"/>
      <c r="T184" s="590"/>
      <c r="U184" s="590"/>
      <c r="V184" s="590"/>
      <c r="W184" s="590"/>
      <c r="X184" s="590"/>
      <c r="Y184" s="590"/>
      <c r="Z184" s="590"/>
      <c r="AA184" s="590"/>
      <c r="AB184" s="590"/>
      <c r="AC184" s="590"/>
      <c r="AD184" s="590"/>
      <c r="AE184" s="590"/>
      <c r="AF184" s="590"/>
      <c r="AG184" s="590"/>
      <c r="AH184" s="590"/>
      <c r="AI184" s="590"/>
      <c r="AJ184" s="590"/>
      <c r="AK184" s="590"/>
      <c r="AL184" s="590"/>
      <c r="AM184" s="590"/>
      <c r="AN184" s="590"/>
      <c r="AO184" s="590"/>
      <c r="AP184" s="590"/>
      <c r="AQ184" s="590"/>
      <c r="AR184" s="590"/>
      <c r="AS184" s="590"/>
      <c r="AT184" s="590"/>
      <c r="AU184" s="590"/>
      <c r="AV184" s="590"/>
      <c r="AW184" s="590"/>
      <c r="AX184" s="590"/>
      <c r="AY184" s="590"/>
      <c r="AZ184" s="590"/>
      <c r="BA184" s="590"/>
      <c r="BB184" s="590"/>
      <c r="BC184" s="590"/>
      <c r="BD184" s="590"/>
      <c r="BE184" s="590"/>
      <c r="BF184" s="590"/>
      <c r="BG184" s="590"/>
      <c r="BH184" s="590"/>
      <c r="BI184" s="590"/>
      <c r="BJ184" s="590"/>
      <c r="BK184" s="591"/>
      <c r="BL184" s="591"/>
      <c r="BM184" s="591"/>
      <c r="BN184" s="591"/>
      <c r="BO184" s="591"/>
      <c r="BP184" s="591"/>
      <c r="BQ184" s="591"/>
      <c r="BR184" s="591"/>
      <c r="BS184" s="591"/>
      <c r="BT184" s="591"/>
      <c r="BU184" s="591"/>
      <c r="BV184" s="591"/>
      <c r="BW184" s="591"/>
      <c r="BX184" s="591"/>
      <c r="BY184" s="591"/>
      <c r="BZ184" s="591"/>
      <c r="CA184" s="591"/>
      <c r="CB184" s="591"/>
      <c r="CC184" s="591"/>
      <c r="CD184" s="591"/>
      <c r="CE184" s="591"/>
      <c r="CF184" s="591"/>
    </row>
    <row r="185" spans="1:84">
      <c r="A185" s="590"/>
      <c r="B185" s="590"/>
      <c r="C185" s="590"/>
      <c r="D185" s="590"/>
      <c r="E185" s="590"/>
      <c r="F185" s="590"/>
      <c r="G185" s="590"/>
      <c r="H185" s="590"/>
      <c r="I185" s="590"/>
      <c r="J185" s="590"/>
      <c r="K185" s="590"/>
      <c r="L185" s="590"/>
      <c r="M185" s="590"/>
      <c r="N185" s="590"/>
      <c r="O185" s="590"/>
      <c r="P185" s="590"/>
      <c r="Q185" s="590"/>
      <c r="R185" s="590"/>
      <c r="S185" s="590"/>
      <c r="T185" s="590"/>
      <c r="U185" s="590"/>
      <c r="V185" s="590"/>
      <c r="W185" s="590"/>
      <c r="X185" s="590"/>
      <c r="Y185" s="590"/>
      <c r="Z185" s="590"/>
      <c r="AA185" s="590"/>
      <c r="AB185" s="590"/>
      <c r="AC185" s="590"/>
      <c r="AD185" s="590"/>
      <c r="AE185" s="590"/>
      <c r="AF185" s="590"/>
      <c r="AG185" s="590"/>
      <c r="AH185" s="590"/>
      <c r="AI185" s="590"/>
      <c r="AJ185" s="590"/>
      <c r="AK185" s="590"/>
      <c r="AL185" s="590"/>
      <c r="AM185" s="590"/>
      <c r="AN185" s="590"/>
      <c r="AO185" s="590"/>
      <c r="AP185" s="590"/>
      <c r="AQ185" s="590"/>
      <c r="AR185" s="590"/>
      <c r="AS185" s="590"/>
      <c r="AT185" s="590"/>
      <c r="AU185" s="590"/>
      <c r="AV185" s="590"/>
      <c r="AW185" s="590"/>
      <c r="AX185" s="590"/>
      <c r="AY185" s="590"/>
      <c r="AZ185" s="590"/>
      <c r="BA185" s="590"/>
      <c r="BB185" s="590"/>
      <c r="BC185" s="590"/>
      <c r="BD185" s="590"/>
      <c r="BE185" s="590"/>
      <c r="BF185" s="590"/>
      <c r="BG185" s="590"/>
      <c r="BH185" s="590"/>
      <c r="BI185" s="590"/>
      <c r="BJ185" s="590"/>
      <c r="BK185" s="591"/>
      <c r="BL185" s="591"/>
      <c r="BM185" s="591"/>
      <c r="BN185" s="591"/>
      <c r="BO185" s="591"/>
      <c r="BP185" s="591"/>
      <c r="BQ185" s="591"/>
      <c r="BR185" s="591"/>
      <c r="BS185" s="591"/>
      <c r="BT185" s="591"/>
      <c r="BU185" s="591"/>
      <c r="BV185" s="591"/>
      <c r="BW185" s="591"/>
      <c r="BX185" s="591"/>
      <c r="BY185" s="591"/>
      <c r="BZ185" s="591"/>
      <c r="CA185" s="591"/>
      <c r="CB185" s="591"/>
      <c r="CC185" s="591"/>
      <c r="CD185" s="591"/>
      <c r="CE185" s="591"/>
      <c r="CF185" s="591"/>
    </row>
    <row r="186" spans="1:84">
      <c r="A186" s="590"/>
      <c r="B186" s="590"/>
      <c r="C186" s="590"/>
      <c r="D186" s="590"/>
      <c r="E186" s="590"/>
      <c r="F186" s="590"/>
      <c r="G186" s="590"/>
      <c r="H186" s="590"/>
      <c r="I186" s="590"/>
      <c r="J186" s="590"/>
      <c r="K186" s="590"/>
      <c r="L186" s="590"/>
      <c r="M186" s="590"/>
      <c r="N186" s="590"/>
      <c r="O186" s="590"/>
      <c r="P186" s="590"/>
      <c r="Q186" s="590"/>
      <c r="R186" s="590"/>
      <c r="S186" s="590"/>
      <c r="T186" s="590"/>
      <c r="U186" s="590"/>
      <c r="V186" s="590"/>
      <c r="W186" s="590"/>
      <c r="X186" s="590"/>
      <c r="Y186" s="590"/>
      <c r="Z186" s="590"/>
      <c r="AA186" s="590"/>
      <c r="AB186" s="590"/>
      <c r="AC186" s="590"/>
      <c r="AD186" s="590"/>
      <c r="AE186" s="590"/>
      <c r="AF186" s="590"/>
      <c r="AG186" s="590"/>
      <c r="AH186" s="590"/>
      <c r="AI186" s="590"/>
      <c r="AJ186" s="590"/>
      <c r="AK186" s="590"/>
      <c r="AL186" s="590"/>
      <c r="AM186" s="590"/>
      <c r="AN186" s="590"/>
      <c r="AO186" s="590"/>
      <c r="AP186" s="590"/>
      <c r="AQ186" s="590"/>
      <c r="AR186" s="590"/>
      <c r="AS186" s="590"/>
      <c r="AT186" s="590"/>
      <c r="AU186" s="590"/>
      <c r="AV186" s="590"/>
      <c r="AW186" s="590"/>
      <c r="AX186" s="590"/>
      <c r="AY186" s="590"/>
      <c r="AZ186" s="590"/>
      <c r="BA186" s="590"/>
      <c r="BB186" s="590"/>
      <c r="BC186" s="590"/>
      <c r="BD186" s="590"/>
      <c r="BE186" s="590"/>
      <c r="BF186" s="590"/>
      <c r="BG186" s="590"/>
      <c r="BH186" s="590"/>
      <c r="BI186" s="590"/>
      <c r="BJ186" s="590"/>
      <c r="BK186" s="591"/>
      <c r="BL186" s="591"/>
      <c r="BM186" s="591"/>
      <c r="BN186" s="591"/>
      <c r="BO186" s="591"/>
      <c r="BP186" s="591"/>
      <c r="BQ186" s="591"/>
      <c r="BR186" s="591"/>
      <c r="BS186" s="591"/>
      <c r="BT186" s="591"/>
      <c r="BU186" s="591"/>
      <c r="BV186" s="591"/>
      <c r="BW186" s="591"/>
      <c r="BX186" s="591"/>
      <c r="BY186" s="591"/>
      <c r="BZ186" s="591"/>
      <c r="CA186" s="591"/>
      <c r="CB186" s="591"/>
      <c r="CC186" s="591"/>
      <c r="CD186" s="591"/>
      <c r="CE186" s="591"/>
      <c r="CF186" s="591"/>
    </row>
    <row r="187" spans="1:84">
      <c r="A187" s="590"/>
      <c r="B187" s="590"/>
      <c r="C187" s="590"/>
      <c r="D187" s="590"/>
      <c r="E187" s="590"/>
      <c r="F187" s="590"/>
      <c r="G187" s="590"/>
      <c r="H187" s="590"/>
      <c r="I187" s="590"/>
      <c r="J187" s="590"/>
      <c r="K187" s="590"/>
      <c r="L187" s="590"/>
      <c r="M187" s="590"/>
      <c r="N187" s="590"/>
      <c r="O187" s="590"/>
      <c r="P187" s="590"/>
      <c r="Q187" s="590"/>
      <c r="R187" s="590"/>
      <c r="S187" s="590"/>
      <c r="T187" s="590"/>
      <c r="U187" s="590"/>
      <c r="V187" s="590"/>
      <c r="W187" s="590"/>
      <c r="X187" s="590"/>
      <c r="Y187" s="590"/>
      <c r="Z187" s="590"/>
      <c r="AA187" s="590"/>
      <c r="AB187" s="590"/>
      <c r="AC187" s="590"/>
      <c r="AD187" s="590"/>
      <c r="AE187" s="590"/>
      <c r="AF187" s="590"/>
      <c r="AG187" s="590"/>
      <c r="AH187" s="590"/>
      <c r="AI187" s="590"/>
      <c r="AJ187" s="590"/>
      <c r="AK187" s="590"/>
      <c r="AL187" s="590"/>
      <c r="AM187" s="590"/>
      <c r="AN187" s="590"/>
      <c r="AO187" s="590"/>
      <c r="AP187" s="590"/>
      <c r="AQ187" s="590"/>
      <c r="AR187" s="590"/>
      <c r="AS187" s="590"/>
      <c r="AT187" s="590"/>
      <c r="AU187" s="590"/>
      <c r="AV187" s="590"/>
      <c r="AW187" s="590"/>
      <c r="AX187" s="590"/>
      <c r="AY187" s="590"/>
      <c r="AZ187" s="590"/>
      <c r="BA187" s="590"/>
      <c r="BB187" s="590"/>
      <c r="BC187" s="590"/>
      <c r="BD187" s="590"/>
      <c r="BE187" s="590"/>
      <c r="BF187" s="590"/>
      <c r="BG187" s="590"/>
      <c r="BH187" s="590"/>
      <c r="BI187" s="590"/>
      <c r="BJ187" s="590"/>
      <c r="BK187" s="591"/>
      <c r="BL187" s="591"/>
      <c r="BM187" s="591"/>
      <c r="BN187" s="591"/>
      <c r="BO187" s="591"/>
      <c r="BP187" s="591"/>
      <c r="BQ187" s="591"/>
      <c r="BR187" s="591"/>
      <c r="BS187" s="591"/>
      <c r="BT187" s="591"/>
      <c r="BU187" s="591"/>
      <c r="BV187" s="591"/>
      <c r="BW187" s="591"/>
      <c r="BX187" s="591"/>
      <c r="BY187" s="591"/>
      <c r="BZ187" s="591"/>
      <c r="CA187" s="591"/>
      <c r="CB187" s="591"/>
      <c r="CC187" s="591"/>
      <c r="CD187" s="591"/>
      <c r="CE187" s="591"/>
      <c r="CF187" s="591"/>
    </row>
    <row r="188" spans="1:84">
      <c r="A188" s="590"/>
      <c r="B188" s="590"/>
      <c r="C188" s="590"/>
      <c r="D188" s="590"/>
      <c r="E188" s="590"/>
      <c r="F188" s="590"/>
      <c r="G188" s="590"/>
      <c r="H188" s="590"/>
      <c r="I188" s="590"/>
      <c r="J188" s="590"/>
      <c r="K188" s="590"/>
      <c r="L188" s="590"/>
      <c r="M188" s="590"/>
      <c r="N188" s="590"/>
      <c r="O188" s="590"/>
      <c r="P188" s="590"/>
      <c r="Q188" s="590"/>
      <c r="R188" s="590"/>
      <c r="S188" s="590"/>
      <c r="T188" s="590"/>
      <c r="U188" s="590"/>
      <c r="V188" s="590"/>
      <c r="W188" s="590"/>
      <c r="X188" s="590"/>
      <c r="Y188" s="590"/>
      <c r="Z188" s="590"/>
      <c r="AA188" s="590"/>
      <c r="AB188" s="590"/>
      <c r="AC188" s="590"/>
      <c r="AD188" s="590"/>
      <c r="AE188" s="590"/>
      <c r="AF188" s="590"/>
      <c r="AG188" s="590"/>
      <c r="AH188" s="590"/>
      <c r="AI188" s="590"/>
      <c r="AJ188" s="590"/>
      <c r="AK188" s="590"/>
      <c r="AL188" s="590"/>
      <c r="AM188" s="590"/>
      <c r="AN188" s="590"/>
      <c r="AO188" s="590"/>
      <c r="AP188" s="590"/>
      <c r="AQ188" s="590"/>
      <c r="AR188" s="590"/>
      <c r="AS188" s="590"/>
      <c r="AT188" s="590"/>
      <c r="AU188" s="590"/>
      <c r="AV188" s="590"/>
      <c r="AW188" s="590"/>
      <c r="AX188" s="590"/>
      <c r="AY188" s="590"/>
      <c r="AZ188" s="590"/>
      <c r="BA188" s="590"/>
      <c r="BB188" s="590"/>
      <c r="BC188" s="590"/>
      <c r="BD188" s="590"/>
      <c r="BE188" s="590"/>
      <c r="BF188" s="590"/>
      <c r="BG188" s="590"/>
      <c r="BH188" s="590"/>
      <c r="BI188" s="590"/>
      <c r="BJ188" s="590"/>
      <c r="BK188" s="591"/>
      <c r="BL188" s="591"/>
      <c r="BM188" s="591"/>
      <c r="BN188" s="591"/>
      <c r="BO188" s="591"/>
      <c r="BP188" s="591"/>
      <c r="BQ188" s="591"/>
      <c r="BR188" s="591"/>
      <c r="BS188" s="591"/>
      <c r="BT188" s="591"/>
      <c r="BU188" s="591"/>
      <c r="BV188" s="591"/>
      <c r="BW188" s="591"/>
      <c r="BX188" s="591"/>
      <c r="BY188" s="591"/>
      <c r="BZ188" s="591"/>
      <c r="CA188" s="591"/>
      <c r="CB188" s="591"/>
      <c r="CC188" s="591"/>
      <c r="CD188" s="591"/>
      <c r="CE188" s="591"/>
      <c r="CF188" s="591"/>
    </row>
    <row r="189" spans="1:84">
      <c r="A189" s="590"/>
      <c r="B189" s="590"/>
      <c r="C189" s="590"/>
      <c r="D189" s="590"/>
      <c r="E189" s="590"/>
      <c r="F189" s="590"/>
      <c r="G189" s="590"/>
      <c r="H189" s="590"/>
      <c r="I189" s="590"/>
      <c r="J189" s="590"/>
      <c r="K189" s="590"/>
      <c r="L189" s="590"/>
      <c r="M189" s="590"/>
      <c r="N189" s="590"/>
      <c r="O189" s="590"/>
      <c r="P189" s="590"/>
      <c r="Q189" s="590"/>
      <c r="R189" s="590"/>
      <c r="S189" s="590"/>
      <c r="T189" s="590"/>
      <c r="U189" s="590"/>
      <c r="V189" s="590"/>
      <c r="W189" s="590"/>
      <c r="X189" s="590"/>
      <c r="Y189" s="590"/>
      <c r="Z189" s="590"/>
      <c r="AA189" s="590"/>
      <c r="AB189" s="590"/>
      <c r="AC189" s="590"/>
      <c r="AD189" s="590"/>
      <c r="AE189" s="590"/>
      <c r="AF189" s="590"/>
      <c r="AG189" s="590"/>
      <c r="AH189" s="590"/>
      <c r="AI189" s="590"/>
      <c r="AJ189" s="590"/>
      <c r="AK189" s="590"/>
      <c r="AL189" s="590"/>
      <c r="AM189" s="590"/>
      <c r="AN189" s="590"/>
      <c r="AO189" s="590"/>
      <c r="AP189" s="590"/>
      <c r="AQ189" s="590"/>
      <c r="AR189" s="590"/>
      <c r="AS189" s="590"/>
      <c r="AT189" s="590"/>
      <c r="AU189" s="590"/>
      <c r="AV189" s="590"/>
      <c r="AW189" s="590"/>
      <c r="AX189" s="590"/>
      <c r="AY189" s="590"/>
      <c r="AZ189" s="590"/>
      <c r="BA189" s="590"/>
      <c r="BB189" s="590"/>
      <c r="BC189" s="590"/>
      <c r="BD189" s="590"/>
      <c r="BE189" s="590"/>
      <c r="BF189" s="590"/>
      <c r="BG189" s="590"/>
      <c r="BH189" s="590"/>
      <c r="BI189" s="590"/>
      <c r="BJ189" s="590"/>
      <c r="BK189" s="591"/>
      <c r="BL189" s="591"/>
      <c r="BM189" s="591"/>
      <c r="BN189" s="591"/>
      <c r="BO189" s="591"/>
      <c r="BP189" s="591"/>
      <c r="BQ189" s="591"/>
      <c r="BR189" s="591"/>
      <c r="BS189" s="591"/>
      <c r="BT189" s="591"/>
      <c r="BU189" s="591"/>
      <c r="BV189" s="591"/>
      <c r="BW189" s="591"/>
      <c r="BX189" s="591"/>
      <c r="BY189" s="591"/>
      <c r="BZ189" s="591"/>
      <c r="CA189" s="591"/>
      <c r="CB189" s="591"/>
      <c r="CC189" s="591"/>
      <c r="CD189" s="591"/>
      <c r="CE189" s="591"/>
      <c r="CF189" s="591"/>
    </row>
    <row r="190" spans="1:84">
      <c r="A190" s="590"/>
      <c r="B190" s="590"/>
      <c r="C190" s="590"/>
      <c r="D190" s="590"/>
      <c r="E190" s="590"/>
      <c r="F190" s="590"/>
      <c r="G190" s="590"/>
      <c r="H190" s="590"/>
      <c r="I190" s="590"/>
      <c r="J190" s="590"/>
      <c r="K190" s="590"/>
      <c r="L190" s="590"/>
      <c r="M190" s="590"/>
      <c r="N190" s="590"/>
      <c r="O190" s="590"/>
      <c r="P190" s="590"/>
      <c r="Q190" s="590"/>
      <c r="R190" s="590"/>
      <c r="S190" s="590"/>
      <c r="T190" s="590"/>
      <c r="U190" s="590"/>
      <c r="V190" s="590"/>
      <c r="W190" s="590"/>
      <c r="X190" s="590"/>
      <c r="Y190" s="590"/>
      <c r="Z190" s="590"/>
      <c r="AA190" s="590"/>
      <c r="AB190" s="590"/>
      <c r="AC190" s="590"/>
      <c r="AD190" s="590"/>
      <c r="AE190" s="590"/>
      <c r="AF190" s="590"/>
      <c r="AG190" s="590"/>
      <c r="AH190" s="590"/>
      <c r="AI190" s="590"/>
      <c r="AJ190" s="590"/>
      <c r="AK190" s="590"/>
      <c r="AL190" s="590"/>
      <c r="AM190" s="590"/>
      <c r="AN190" s="590"/>
      <c r="AO190" s="590"/>
      <c r="AP190" s="590"/>
      <c r="AQ190" s="590"/>
      <c r="AR190" s="590"/>
      <c r="AS190" s="590"/>
      <c r="AT190" s="590"/>
      <c r="AU190" s="590"/>
      <c r="AV190" s="590"/>
      <c r="AW190" s="590"/>
      <c r="AX190" s="590"/>
      <c r="AY190" s="590"/>
      <c r="AZ190" s="590"/>
      <c r="BA190" s="590"/>
      <c r="BB190" s="590"/>
      <c r="BC190" s="590"/>
      <c r="BD190" s="590"/>
      <c r="BE190" s="590"/>
      <c r="BF190" s="590"/>
      <c r="BG190" s="590"/>
      <c r="BH190" s="590"/>
      <c r="BI190" s="590"/>
      <c r="BJ190" s="590"/>
      <c r="BK190" s="591"/>
      <c r="BL190" s="591"/>
      <c r="BM190" s="591"/>
      <c r="BN190" s="591"/>
      <c r="BO190" s="591"/>
      <c r="BP190" s="591"/>
      <c r="BQ190" s="591"/>
      <c r="BR190" s="591"/>
      <c r="BS190" s="591"/>
      <c r="BT190" s="591"/>
      <c r="BU190" s="591"/>
      <c r="BV190" s="591"/>
      <c r="BW190" s="591"/>
      <c r="BX190" s="591"/>
      <c r="BY190" s="591"/>
      <c r="BZ190" s="591"/>
      <c r="CA190" s="591"/>
      <c r="CB190" s="591"/>
      <c r="CC190" s="591"/>
      <c r="CD190" s="591"/>
      <c r="CE190" s="591"/>
      <c r="CF190" s="591"/>
    </row>
    <row r="191" spans="1:84">
      <c r="A191" s="590"/>
      <c r="B191" s="590"/>
      <c r="C191" s="590"/>
      <c r="D191" s="590"/>
      <c r="E191" s="590"/>
      <c r="F191" s="590"/>
      <c r="G191" s="590"/>
      <c r="H191" s="590"/>
      <c r="I191" s="590"/>
      <c r="J191" s="590"/>
      <c r="K191" s="590"/>
      <c r="L191" s="590"/>
      <c r="M191" s="590"/>
      <c r="N191" s="590"/>
      <c r="O191" s="590"/>
      <c r="P191" s="590"/>
      <c r="Q191" s="590"/>
      <c r="R191" s="590"/>
      <c r="S191" s="590"/>
      <c r="T191" s="590"/>
      <c r="U191" s="590"/>
      <c r="V191" s="590"/>
      <c r="W191" s="590"/>
      <c r="X191" s="590"/>
      <c r="Y191" s="590"/>
      <c r="Z191" s="590"/>
      <c r="AA191" s="590"/>
      <c r="AB191" s="590"/>
      <c r="AC191" s="590"/>
      <c r="AD191" s="590"/>
      <c r="AE191" s="590"/>
      <c r="AF191" s="590"/>
      <c r="AG191" s="590"/>
      <c r="AH191" s="590"/>
      <c r="AI191" s="590"/>
      <c r="AJ191" s="590"/>
      <c r="AK191" s="590"/>
      <c r="AL191" s="590"/>
      <c r="AM191" s="590"/>
      <c r="AN191" s="590"/>
      <c r="AO191" s="590"/>
      <c r="AP191" s="590"/>
      <c r="AQ191" s="590"/>
      <c r="AR191" s="590"/>
      <c r="AS191" s="590"/>
      <c r="AT191" s="590"/>
      <c r="AU191" s="590"/>
      <c r="AV191" s="590"/>
      <c r="AW191" s="590"/>
      <c r="AX191" s="590"/>
      <c r="AY191" s="590"/>
      <c r="AZ191" s="590"/>
      <c r="BA191" s="590"/>
      <c r="BB191" s="590"/>
      <c r="BC191" s="590"/>
      <c r="BD191" s="590"/>
      <c r="BE191" s="590"/>
      <c r="BF191" s="590"/>
      <c r="BG191" s="590"/>
      <c r="BH191" s="590"/>
      <c r="BI191" s="590"/>
      <c r="BJ191" s="590"/>
      <c r="BK191" s="591"/>
      <c r="BL191" s="591"/>
      <c r="BM191" s="591"/>
      <c r="BN191" s="591"/>
      <c r="BO191" s="591"/>
      <c r="BP191" s="591"/>
      <c r="BQ191" s="591"/>
      <c r="BR191" s="591"/>
      <c r="BS191" s="591"/>
      <c r="BT191" s="591"/>
      <c r="BU191" s="591"/>
      <c r="BV191" s="591"/>
      <c r="BW191" s="591"/>
      <c r="BX191" s="591"/>
      <c r="BY191" s="591"/>
      <c r="BZ191" s="591"/>
      <c r="CA191" s="591"/>
      <c r="CB191" s="591"/>
      <c r="CC191" s="591"/>
      <c r="CD191" s="591"/>
      <c r="CE191" s="591"/>
      <c r="CF191" s="591"/>
    </row>
    <row r="192" spans="1:84">
      <c r="A192" s="590"/>
      <c r="B192" s="590"/>
      <c r="C192" s="590"/>
      <c r="D192" s="590"/>
      <c r="E192" s="590"/>
      <c r="F192" s="590"/>
      <c r="G192" s="590"/>
      <c r="H192" s="590"/>
      <c r="I192" s="590"/>
      <c r="J192" s="590"/>
      <c r="K192" s="590"/>
      <c r="L192" s="590"/>
      <c r="M192" s="590"/>
      <c r="N192" s="590"/>
      <c r="O192" s="590"/>
      <c r="P192" s="590"/>
      <c r="Q192" s="590"/>
      <c r="R192" s="590"/>
      <c r="S192" s="590"/>
      <c r="T192" s="590"/>
      <c r="U192" s="590"/>
      <c r="V192" s="590"/>
      <c r="W192" s="590"/>
      <c r="X192" s="590"/>
      <c r="Y192" s="590"/>
      <c r="Z192" s="590"/>
      <c r="AA192" s="590"/>
      <c r="AB192" s="590"/>
      <c r="AC192" s="590"/>
      <c r="AD192" s="590"/>
      <c r="AE192" s="590"/>
      <c r="AF192" s="590"/>
      <c r="AG192" s="590"/>
      <c r="AH192" s="590"/>
      <c r="AI192" s="590"/>
      <c r="AJ192" s="590"/>
      <c r="AK192" s="590"/>
      <c r="AL192" s="590"/>
      <c r="AM192" s="590"/>
      <c r="AN192" s="590"/>
      <c r="AO192" s="590"/>
      <c r="AP192" s="590"/>
      <c r="AQ192" s="590"/>
      <c r="AR192" s="590"/>
      <c r="AS192" s="590"/>
      <c r="AT192" s="590"/>
      <c r="AU192" s="590"/>
      <c r="AV192" s="590"/>
      <c r="AW192" s="590"/>
      <c r="AX192" s="590"/>
      <c r="AY192" s="590"/>
      <c r="AZ192" s="590"/>
      <c r="BA192" s="590"/>
      <c r="BB192" s="590"/>
      <c r="BC192" s="590"/>
      <c r="BD192" s="590"/>
      <c r="BE192" s="590"/>
      <c r="BF192" s="590"/>
      <c r="BG192" s="590"/>
      <c r="BH192" s="590"/>
      <c r="BI192" s="590"/>
      <c r="BJ192" s="590"/>
      <c r="BK192" s="591"/>
      <c r="BL192" s="591"/>
      <c r="BM192" s="591"/>
      <c r="BN192" s="591"/>
      <c r="BO192" s="591"/>
      <c r="BP192" s="591"/>
      <c r="BQ192" s="591"/>
      <c r="BR192" s="591"/>
      <c r="BS192" s="591"/>
      <c r="BT192" s="591"/>
      <c r="BU192" s="591"/>
      <c r="BV192" s="591"/>
      <c r="BW192" s="591"/>
      <c r="BX192" s="591"/>
      <c r="BY192" s="591"/>
      <c r="BZ192" s="591"/>
      <c r="CA192" s="591"/>
      <c r="CB192" s="591"/>
      <c r="CC192" s="591"/>
      <c r="CD192" s="591"/>
      <c r="CE192" s="591"/>
      <c r="CF192" s="591"/>
    </row>
    <row r="193" spans="1:84">
      <c r="A193" s="590"/>
      <c r="B193" s="590"/>
      <c r="C193" s="590"/>
      <c r="D193" s="590"/>
      <c r="E193" s="590"/>
      <c r="F193" s="590"/>
      <c r="G193" s="590"/>
      <c r="H193" s="590"/>
      <c r="I193" s="590"/>
      <c r="J193" s="590"/>
      <c r="K193" s="590"/>
      <c r="L193" s="590"/>
      <c r="M193" s="590"/>
      <c r="N193" s="590"/>
      <c r="O193" s="590"/>
      <c r="P193" s="590"/>
      <c r="Q193" s="590"/>
      <c r="R193" s="590"/>
      <c r="S193" s="590"/>
      <c r="T193" s="590"/>
      <c r="U193" s="590"/>
      <c r="V193" s="590"/>
      <c r="W193" s="590"/>
      <c r="X193" s="590"/>
      <c r="Y193" s="590"/>
      <c r="Z193" s="590"/>
      <c r="AA193" s="590"/>
      <c r="AB193" s="590"/>
      <c r="AC193" s="590"/>
      <c r="AD193" s="590"/>
      <c r="AE193" s="590"/>
      <c r="AF193" s="590"/>
      <c r="AG193" s="590"/>
      <c r="AH193" s="590"/>
      <c r="AI193" s="590"/>
      <c r="AJ193" s="590"/>
      <c r="AK193" s="590"/>
      <c r="AL193" s="590"/>
      <c r="AM193" s="590"/>
      <c r="AN193" s="590"/>
      <c r="AO193" s="590"/>
      <c r="AP193" s="590"/>
      <c r="AQ193" s="590"/>
      <c r="AR193" s="590"/>
      <c r="AS193" s="590"/>
      <c r="AT193" s="590"/>
      <c r="AU193" s="590"/>
      <c r="AV193" s="590"/>
      <c r="AW193" s="590"/>
      <c r="AX193" s="590"/>
      <c r="AY193" s="590"/>
      <c r="AZ193" s="590"/>
      <c r="BA193" s="590"/>
      <c r="BB193" s="590"/>
      <c r="BC193" s="590"/>
      <c r="BD193" s="590"/>
      <c r="BE193" s="590"/>
      <c r="BF193" s="590"/>
      <c r="BG193" s="590"/>
      <c r="BH193" s="590"/>
      <c r="BI193" s="590"/>
      <c r="BJ193" s="590"/>
      <c r="BK193" s="591"/>
      <c r="BL193" s="591"/>
      <c r="BM193" s="591"/>
      <c r="BN193" s="591"/>
      <c r="BO193" s="591"/>
      <c r="BP193" s="591"/>
      <c r="BQ193" s="591"/>
      <c r="BR193" s="591"/>
      <c r="BS193" s="591"/>
      <c r="BT193" s="591"/>
      <c r="BU193" s="591"/>
      <c r="BV193" s="591"/>
      <c r="BW193" s="591"/>
      <c r="BX193" s="591"/>
      <c r="BY193" s="591"/>
      <c r="BZ193" s="591"/>
      <c r="CA193" s="591"/>
      <c r="CB193" s="591"/>
      <c r="CC193" s="591"/>
      <c r="CD193" s="591"/>
      <c r="CE193" s="591"/>
      <c r="CF193" s="591"/>
    </row>
    <row r="194" spans="1:84">
      <c r="A194" s="590"/>
      <c r="B194" s="590"/>
      <c r="C194" s="590"/>
      <c r="D194" s="590"/>
      <c r="E194" s="590"/>
      <c r="F194" s="590"/>
      <c r="G194" s="590"/>
      <c r="H194" s="590"/>
      <c r="I194" s="590"/>
      <c r="J194" s="590"/>
      <c r="K194" s="590"/>
      <c r="L194" s="590"/>
      <c r="M194" s="590"/>
      <c r="N194" s="590"/>
      <c r="O194" s="590"/>
      <c r="P194" s="590"/>
      <c r="Q194" s="590"/>
      <c r="R194" s="590"/>
      <c r="S194" s="590"/>
      <c r="T194" s="590"/>
      <c r="U194" s="590"/>
      <c r="V194" s="590"/>
      <c r="W194" s="590"/>
      <c r="X194" s="590"/>
      <c r="Y194" s="590"/>
      <c r="Z194" s="590"/>
      <c r="AA194" s="590"/>
      <c r="AB194" s="590"/>
      <c r="AC194" s="590"/>
      <c r="AD194" s="590"/>
      <c r="AE194" s="590"/>
      <c r="AF194" s="590"/>
      <c r="AG194" s="590"/>
      <c r="AH194" s="590"/>
      <c r="AI194" s="590"/>
      <c r="AJ194" s="590"/>
      <c r="AK194" s="590"/>
      <c r="AL194" s="590"/>
      <c r="AM194" s="590"/>
      <c r="AN194" s="590"/>
      <c r="AO194" s="590"/>
      <c r="AP194" s="590"/>
      <c r="AQ194" s="590"/>
      <c r="AR194" s="590"/>
      <c r="AS194" s="590"/>
      <c r="AT194" s="590"/>
      <c r="AU194" s="590"/>
      <c r="AV194" s="590"/>
      <c r="AW194" s="590"/>
      <c r="AX194" s="590"/>
      <c r="AY194" s="590"/>
      <c r="AZ194" s="590"/>
      <c r="BA194" s="590"/>
      <c r="BB194" s="590"/>
      <c r="BC194" s="590"/>
      <c r="BD194" s="590"/>
      <c r="BE194" s="590"/>
      <c r="BF194" s="590"/>
      <c r="BG194" s="590"/>
      <c r="BH194" s="590"/>
      <c r="BI194" s="590"/>
      <c r="BJ194" s="590"/>
      <c r="BK194" s="591"/>
      <c r="BL194" s="591"/>
      <c r="BM194" s="591"/>
      <c r="BN194" s="591"/>
      <c r="BO194" s="591"/>
      <c r="BP194" s="591"/>
      <c r="BQ194" s="591"/>
      <c r="BR194" s="591"/>
      <c r="BS194" s="591"/>
      <c r="BT194" s="591"/>
      <c r="BU194" s="591"/>
      <c r="BV194" s="591"/>
      <c r="BW194" s="591"/>
      <c r="BX194" s="591"/>
      <c r="BY194" s="591"/>
      <c r="BZ194" s="591"/>
      <c r="CA194" s="591"/>
      <c r="CB194" s="591"/>
      <c r="CC194" s="591"/>
      <c r="CD194" s="591"/>
      <c r="CE194" s="591"/>
      <c r="CF194" s="591"/>
    </row>
    <row r="195" spans="1:84">
      <c r="A195" s="590"/>
      <c r="B195" s="590"/>
      <c r="C195" s="590"/>
      <c r="D195" s="590"/>
      <c r="E195" s="590"/>
      <c r="F195" s="590"/>
      <c r="G195" s="590"/>
      <c r="H195" s="590"/>
      <c r="I195" s="590"/>
      <c r="J195" s="590"/>
      <c r="K195" s="590"/>
      <c r="L195" s="590"/>
      <c r="M195" s="590"/>
      <c r="N195" s="590"/>
      <c r="O195" s="590"/>
      <c r="P195" s="590"/>
      <c r="Q195" s="590"/>
      <c r="R195" s="590"/>
      <c r="S195" s="590"/>
      <c r="T195" s="590"/>
      <c r="U195" s="590"/>
      <c r="V195" s="590"/>
      <c r="W195" s="590"/>
      <c r="X195" s="590"/>
      <c r="Y195" s="590"/>
      <c r="Z195" s="590"/>
      <c r="AA195" s="590"/>
      <c r="AB195" s="590"/>
      <c r="AC195" s="590"/>
      <c r="AD195" s="590"/>
      <c r="AE195" s="590"/>
      <c r="AF195" s="590"/>
      <c r="AG195" s="590"/>
      <c r="AH195" s="590"/>
      <c r="AI195" s="590"/>
      <c r="AJ195" s="590"/>
      <c r="AK195" s="590"/>
      <c r="AL195" s="590"/>
      <c r="AM195" s="590"/>
      <c r="AN195" s="590"/>
      <c r="AO195" s="590"/>
      <c r="AP195" s="590"/>
      <c r="AQ195" s="590"/>
      <c r="AR195" s="590"/>
      <c r="AS195" s="590"/>
      <c r="AT195" s="590"/>
      <c r="AU195" s="590"/>
      <c r="AV195" s="590"/>
      <c r="AW195" s="590"/>
      <c r="AX195" s="590"/>
      <c r="AY195" s="590"/>
      <c r="AZ195" s="590"/>
      <c r="BA195" s="590"/>
      <c r="BB195" s="590"/>
      <c r="BC195" s="590"/>
      <c r="BD195" s="590"/>
      <c r="BE195" s="590"/>
      <c r="BF195" s="590"/>
      <c r="BG195" s="590"/>
      <c r="BH195" s="590"/>
      <c r="BI195" s="590"/>
      <c r="BJ195" s="590"/>
      <c r="BK195" s="591"/>
      <c r="BL195" s="591"/>
      <c r="BM195" s="591"/>
      <c r="BN195" s="591"/>
      <c r="BO195" s="591"/>
      <c r="BP195" s="591"/>
      <c r="BQ195" s="591"/>
      <c r="BR195" s="591"/>
      <c r="BS195" s="591"/>
      <c r="BT195" s="591"/>
      <c r="BU195" s="591"/>
      <c r="BV195" s="591"/>
      <c r="BW195" s="591"/>
      <c r="BX195" s="591"/>
      <c r="BY195" s="591"/>
      <c r="BZ195" s="591"/>
      <c r="CA195" s="591"/>
      <c r="CB195" s="591"/>
      <c r="CC195" s="591"/>
      <c r="CD195" s="591"/>
      <c r="CE195" s="591"/>
      <c r="CF195" s="591"/>
    </row>
    <row r="196" spans="1:84">
      <c r="A196" s="590"/>
      <c r="B196" s="590"/>
      <c r="C196" s="590"/>
      <c r="D196" s="590"/>
      <c r="E196" s="590"/>
      <c r="F196" s="590"/>
      <c r="G196" s="590"/>
      <c r="H196" s="590"/>
      <c r="I196" s="590"/>
      <c r="J196" s="590"/>
      <c r="K196" s="590"/>
      <c r="L196" s="590"/>
      <c r="M196" s="590"/>
      <c r="N196" s="590"/>
      <c r="O196" s="590"/>
      <c r="P196" s="590"/>
      <c r="Q196" s="590"/>
      <c r="R196" s="590"/>
      <c r="S196" s="590"/>
      <c r="T196" s="590"/>
      <c r="U196" s="590"/>
      <c r="V196" s="590"/>
      <c r="W196" s="590"/>
      <c r="X196" s="590"/>
      <c r="Y196" s="590"/>
      <c r="Z196" s="590"/>
      <c r="AA196" s="590"/>
      <c r="AB196" s="590"/>
      <c r="AC196" s="590"/>
      <c r="AD196" s="590"/>
      <c r="AE196" s="590"/>
      <c r="AF196" s="590"/>
      <c r="AG196" s="590"/>
      <c r="AH196" s="590"/>
      <c r="AI196" s="590"/>
      <c r="AJ196" s="590"/>
      <c r="AK196" s="590"/>
      <c r="AL196" s="590"/>
      <c r="AM196" s="590"/>
      <c r="AN196" s="590"/>
      <c r="AO196" s="590"/>
      <c r="AP196" s="590"/>
      <c r="AQ196" s="590"/>
      <c r="AR196" s="590"/>
      <c r="AS196" s="590"/>
      <c r="AT196" s="590"/>
      <c r="AU196" s="590"/>
      <c r="AV196" s="590"/>
      <c r="AW196" s="590"/>
      <c r="AX196" s="590"/>
      <c r="AY196" s="590"/>
      <c r="AZ196" s="590"/>
      <c r="BA196" s="590"/>
      <c r="BB196" s="590"/>
      <c r="BC196" s="590"/>
      <c r="BD196" s="590"/>
      <c r="BE196" s="590"/>
      <c r="BF196" s="590"/>
      <c r="BG196" s="590"/>
      <c r="BH196" s="590"/>
      <c r="BI196" s="590"/>
      <c r="BJ196" s="590"/>
      <c r="BK196" s="591"/>
      <c r="BL196" s="591"/>
      <c r="BM196" s="591"/>
      <c r="BN196" s="591"/>
      <c r="BO196" s="591"/>
      <c r="BP196" s="591"/>
      <c r="BQ196" s="591"/>
      <c r="BR196" s="591"/>
      <c r="BS196" s="591"/>
      <c r="BT196" s="591"/>
      <c r="BU196" s="591"/>
      <c r="BV196" s="591"/>
      <c r="BW196" s="591"/>
      <c r="BX196" s="591"/>
      <c r="BY196" s="591"/>
      <c r="BZ196" s="591"/>
      <c r="CA196" s="591"/>
      <c r="CB196" s="591"/>
      <c r="CC196" s="591"/>
      <c r="CD196" s="591"/>
      <c r="CE196" s="591"/>
      <c r="CF196" s="591"/>
    </row>
    <row r="197" spans="1:84">
      <c r="A197" s="590"/>
      <c r="B197" s="590"/>
      <c r="C197" s="590"/>
      <c r="D197" s="590"/>
      <c r="E197" s="590"/>
      <c r="F197" s="590"/>
      <c r="G197" s="590"/>
      <c r="H197" s="590"/>
      <c r="I197" s="590"/>
      <c r="J197" s="590"/>
      <c r="K197" s="590"/>
      <c r="L197" s="590"/>
      <c r="M197" s="590"/>
      <c r="N197" s="590"/>
      <c r="O197" s="590"/>
      <c r="P197" s="590"/>
      <c r="Q197" s="590"/>
      <c r="R197" s="590"/>
      <c r="S197" s="590"/>
      <c r="T197" s="590"/>
      <c r="U197" s="590"/>
      <c r="V197" s="590"/>
      <c r="W197" s="590"/>
      <c r="X197" s="590"/>
      <c r="Y197" s="590"/>
      <c r="Z197" s="590"/>
      <c r="AA197" s="590"/>
      <c r="AB197" s="590"/>
      <c r="AC197" s="590"/>
      <c r="AD197" s="590"/>
      <c r="AE197" s="590"/>
      <c r="AF197" s="590"/>
      <c r="AG197" s="590"/>
      <c r="AH197" s="590"/>
      <c r="AI197" s="590"/>
      <c r="AJ197" s="590"/>
      <c r="AK197" s="590"/>
      <c r="AL197" s="590"/>
      <c r="AM197" s="590"/>
      <c r="AN197" s="590"/>
      <c r="AO197" s="590"/>
      <c r="AP197" s="590"/>
      <c r="AQ197" s="590"/>
      <c r="AR197" s="590"/>
      <c r="AS197" s="590"/>
      <c r="AT197" s="590"/>
      <c r="AU197" s="590"/>
      <c r="AV197" s="590"/>
      <c r="AW197" s="590"/>
      <c r="AX197" s="590"/>
      <c r="AY197" s="590"/>
      <c r="AZ197" s="590"/>
      <c r="BA197" s="590"/>
      <c r="BB197" s="590"/>
      <c r="BC197" s="590"/>
      <c r="BD197" s="590"/>
      <c r="BE197" s="590"/>
      <c r="BF197" s="590"/>
      <c r="BG197" s="590"/>
      <c r="BH197" s="590"/>
      <c r="BI197" s="590"/>
      <c r="BJ197" s="590"/>
      <c r="BK197" s="591"/>
      <c r="BL197" s="591"/>
      <c r="BM197" s="591"/>
      <c r="BN197" s="591"/>
      <c r="BO197" s="591"/>
      <c r="BP197" s="591"/>
      <c r="BQ197" s="591"/>
      <c r="BR197" s="591"/>
      <c r="BS197" s="591"/>
      <c r="BT197" s="591"/>
      <c r="BU197" s="591"/>
      <c r="BV197" s="591"/>
      <c r="BW197" s="591"/>
      <c r="BX197" s="591"/>
      <c r="BY197" s="591"/>
      <c r="BZ197" s="591"/>
      <c r="CA197" s="591"/>
      <c r="CB197" s="591"/>
      <c r="CC197" s="591"/>
      <c r="CD197" s="591"/>
      <c r="CE197" s="591"/>
      <c r="CF197" s="591"/>
    </row>
    <row r="198" spans="1:84">
      <c r="A198" s="590"/>
      <c r="B198" s="590"/>
      <c r="C198" s="590"/>
      <c r="D198" s="590"/>
      <c r="E198" s="590"/>
      <c r="F198" s="590"/>
      <c r="G198" s="590"/>
      <c r="H198" s="590"/>
      <c r="I198" s="590"/>
      <c r="J198" s="590"/>
      <c r="K198" s="590"/>
      <c r="L198" s="590"/>
      <c r="M198" s="590"/>
      <c r="N198" s="590"/>
      <c r="O198" s="590"/>
      <c r="P198" s="590"/>
      <c r="Q198" s="590"/>
      <c r="R198" s="590"/>
      <c r="S198" s="590"/>
      <c r="T198" s="590"/>
      <c r="U198" s="590"/>
      <c r="V198" s="590"/>
      <c r="W198" s="590"/>
      <c r="X198" s="590"/>
      <c r="Y198" s="590"/>
      <c r="Z198" s="590"/>
      <c r="AA198" s="590"/>
      <c r="AB198" s="590"/>
      <c r="AC198" s="590"/>
      <c r="AD198" s="590"/>
      <c r="AE198" s="590"/>
      <c r="AF198" s="590"/>
      <c r="AG198" s="590"/>
      <c r="AH198" s="590"/>
      <c r="AI198" s="590"/>
      <c r="AJ198" s="590"/>
      <c r="AK198" s="590"/>
      <c r="AL198" s="590"/>
      <c r="AM198" s="590"/>
      <c r="AN198" s="590"/>
      <c r="AO198" s="590"/>
      <c r="AP198" s="590"/>
      <c r="AQ198" s="590"/>
      <c r="AR198" s="590"/>
      <c r="AS198" s="590"/>
      <c r="AT198" s="590"/>
      <c r="AU198" s="590"/>
      <c r="AV198" s="590"/>
      <c r="AW198" s="590"/>
      <c r="AX198" s="590"/>
      <c r="AY198" s="590"/>
      <c r="AZ198" s="590"/>
      <c r="BA198" s="590"/>
      <c r="BB198" s="590"/>
      <c r="BC198" s="590"/>
      <c r="BD198" s="590"/>
      <c r="BE198" s="590"/>
      <c r="BF198" s="590"/>
      <c r="BG198" s="590"/>
      <c r="BH198" s="590"/>
      <c r="BI198" s="590"/>
      <c r="BJ198" s="590"/>
      <c r="BK198" s="591"/>
      <c r="BL198" s="591"/>
      <c r="BM198" s="591"/>
      <c r="BN198" s="591"/>
      <c r="BO198" s="591"/>
      <c r="BP198" s="591"/>
      <c r="BQ198" s="591"/>
      <c r="BR198" s="591"/>
      <c r="BS198" s="591"/>
      <c r="BT198" s="591"/>
      <c r="BU198" s="591"/>
      <c r="BV198" s="591"/>
      <c r="BW198" s="591"/>
      <c r="BX198" s="591"/>
      <c r="BY198" s="591"/>
      <c r="BZ198" s="591"/>
      <c r="CA198" s="591"/>
      <c r="CB198" s="591"/>
      <c r="CC198" s="591"/>
      <c r="CD198" s="591"/>
      <c r="CE198" s="591"/>
      <c r="CF198" s="591"/>
    </row>
    <row r="199" spans="1:84">
      <c r="A199" s="590"/>
      <c r="B199" s="590"/>
      <c r="C199" s="590"/>
      <c r="D199" s="590"/>
      <c r="E199" s="590"/>
      <c r="F199" s="590"/>
      <c r="G199" s="590"/>
      <c r="H199" s="590"/>
      <c r="I199" s="590"/>
      <c r="J199" s="590"/>
      <c r="K199" s="590"/>
      <c r="L199" s="590"/>
      <c r="M199" s="590"/>
      <c r="N199" s="590"/>
      <c r="O199" s="590"/>
      <c r="P199" s="590"/>
      <c r="Q199" s="590"/>
      <c r="R199" s="590"/>
      <c r="S199" s="590"/>
      <c r="T199" s="590"/>
      <c r="U199" s="590"/>
      <c r="V199" s="590"/>
      <c r="W199" s="590"/>
      <c r="X199" s="590"/>
      <c r="Y199" s="590"/>
      <c r="Z199" s="590"/>
      <c r="AA199" s="590"/>
      <c r="AB199" s="590"/>
      <c r="AC199" s="590"/>
      <c r="AD199" s="590"/>
      <c r="AE199" s="590"/>
      <c r="AF199" s="590"/>
      <c r="AG199" s="590"/>
      <c r="AH199" s="590"/>
      <c r="AI199" s="590"/>
      <c r="AJ199" s="590"/>
      <c r="AK199" s="590"/>
      <c r="AL199" s="590"/>
      <c r="AM199" s="590"/>
      <c r="AN199" s="590"/>
      <c r="AO199" s="590"/>
      <c r="AP199" s="590"/>
      <c r="AQ199" s="590"/>
      <c r="AR199" s="590"/>
      <c r="AS199" s="590"/>
      <c r="AT199" s="590"/>
      <c r="AU199" s="590"/>
      <c r="AV199" s="590"/>
      <c r="AW199" s="590"/>
      <c r="AX199" s="590"/>
      <c r="AY199" s="590"/>
      <c r="AZ199" s="590"/>
      <c r="BA199" s="590"/>
      <c r="BB199" s="590"/>
      <c r="BC199" s="590"/>
      <c r="BD199" s="590"/>
      <c r="BE199" s="590"/>
      <c r="BF199" s="590"/>
      <c r="BG199" s="590"/>
      <c r="BH199" s="590"/>
      <c r="BI199" s="590"/>
      <c r="BJ199" s="590"/>
      <c r="BK199" s="591"/>
      <c r="BL199" s="591"/>
      <c r="BM199" s="591"/>
      <c r="BN199" s="591"/>
      <c r="BO199" s="591"/>
      <c r="BP199" s="591"/>
      <c r="BQ199" s="591"/>
      <c r="BR199" s="591"/>
      <c r="BS199" s="591"/>
      <c r="BT199" s="591"/>
      <c r="BU199" s="591"/>
      <c r="BV199" s="591"/>
      <c r="BW199" s="591"/>
      <c r="BX199" s="591"/>
      <c r="BY199" s="591"/>
      <c r="BZ199" s="591"/>
      <c r="CA199" s="591"/>
      <c r="CB199" s="591"/>
      <c r="CC199" s="591"/>
      <c r="CD199" s="591"/>
      <c r="CE199" s="591"/>
      <c r="CF199" s="591"/>
    </row>
    <row r="200" spans="1:84">
      <c r="A200" s="590"/>
      <c r="B200" s="590"/>
      <c r="C200" s="590"/>
      <c r="D200" s="590"/>
      <c r="E200" s="590"/>
      <c r="F200" s="590"/>
      <c r="G200" s="590"/>
      <c r="H200" s="590"/>
      <c r="I200" s="590"/>
      <c r="J200" s="590"/>
      <c r="K200" s="590"/>
      <c r="L200" s="590"/>
      <c r="M200" s="590"/>
      <c r="N200" s="590"/>
      <c r="O200" s="590"/>
      <c r="P200" s="590"/>
      <c r="Q200" s="590"/>
      <c r="R200" s="590"/>
      <c r="S200" s="590"/>
      <c r="T200" s="590"/>
      <c r="U200" s="590"/>
      <c r="V200" s="590"/>
      <c r="W200" s="590"/>
      <c r="X200" s="590"/>
      <c r="Y200" s="590"/>
      <c r="Z200" s="590"/>
      <c r="AA200" s="590"/>
      <c r="AB200" s="590"/>
      <c r="AC200" s="590"/>
      <c r="AD200" s="590"/>
      <c r="AE200" s="590"/>
      <c r="AF200" s="590"/>
      <c r="AG200" s="590"/>
      <c r="AH200" s="590"/>
      <c r="AI200" s="590"/>
      <c r="AJ200" s="590"/>
      <c r="AK200" s="590"/>
      <c r="AL200" s="590"/>
      <c r="AM200" s="590"/>
      <c r="AN200" s="590"/>
      <c r="AO200" s="590"/>
      <c r="AP200" s="590"/>
      <c r="AQ200" s="590"/>
      <c r="AR200" s="590"/>
      <c r="AS200" s="590"/>
      <c r="AT200" s="590"/>
      <c r="AU200" s="590"/>
      <c r="AV200" s="590"/>
      <c r="AW200" s="590"/>
      <c r="AX200" s="590"/>
      <c r="AY200" s="590"/>
      <c r="AZ200" s="590"/>
      <c r="BA200" s="590"/>
      <c r="BB200" s="590"/>
      <c r="BC200" s="590"/>
      <c r="BD200" s="590"/>
      <c r="BE200" s="590"/>
      <c r="BF200" s="590"/>
      <c r="BG200" s="590"/>
      <c r="BH200" s="590"/>
      <c r="BI200" s="590"/>
      <c r="BJ200" s="590"/>
      <c r="BK200" s="591"/>
      <c r="BL200" s="591"/>
      <c r="BM200" s="591"/>
      <c r="BN200" s="591"/>
      <c r="BO200" s="591"/>
      <c r="BP200" s="591"/>
      <c r="BQ200" s="591"/>
      <c r="BR200" s="591"/>
      <c r="BS200" s="591"/>
      <c r="BT200" s="591"/>
      <c r="BU200" s="591"/>
      <c r="BV200" s="591"/>
      <c r="BW200" s="591"/>
      <c r="BX200" s="591"/>
      <c r="BY200" s="591"/>
      <c r="BZ200" s="591"/>
      <c r="CA200" s="591"/>
      <c r="CB200" s="591"/>
      <c r="CC200" s="591"/>
      <c r="CD200" s="591"/>
      <c r="CE200" s="591"/>
      <c r="CF200" s="591"/>
    </row>
    <row r="201" spans="1:84">
      <c r="A201" s="590"/>
      <c r="B201" s="590"/>
      <c r="C201" s="590"/>
      <c r="D201" s="590"/>
      <c r="E201" s="590"/>
      <c r="F201" s="590"/>
      <c r="G201" s="590"/>
      <c r="H201" s="590"/>
      <c r="I201" s="590"/>
      <c r="J201" s="590"/>
      <c r="K201" s="590"/>
      <c r="L201" s="590"/>
      <c r="M201" s="590"/>
      <c r="N201" s="590"/>
      <c r="O201" s="590"/>
      <c r="P201" s="590"/>
      <c r="Q201" s="590"/>
      <c r="R201" s="590"/>
      <c r="S201" s="590"/>
      <c r="T201" s="590"/>
      <c r="U201" s="590"/>
      <c r="V201" s="590"/>
      <c r="W201" s="590"/>
      <c r="X201" s="590"/>
      <c r="Y201" s="590"/>
      <c r="Z201" s="590"/>
      <c r="AA201" s="590"/>
      <c r="AB201" s="590"/>
      <c r="AC201" s="590"/>
      <c r="AD201" s="590"/>
      <c r="AE201" s="590"/>
      <c r="AF201" s="590"/>
      <c r="AG201" s="590"/>
      <c r="AH201" s="590"/>
      <c r="AI201" s="590"/>
      <c r="AJ201" s="590"/>
      <c r="AK201" s="590"/>
      <c r="AL201" s="590"/>
      <c r="AM201" s="590"/>
      <c r="AN201" s="590"/>
      <c r="AO201" s="590"/>
      <c r="AP201" s="590"/>
      <c r="AQ201" s="590"/>
      <c r="AR201" s="590"/>
      <c r="AS201" s="590"/>
      <c r="AT201" s="590"/>
      <c r="AU201" s="590"/>
      <c r="AV201" s="590"/>
      <c r="AW201" s="590"/>
      <c r="AX201" s="590"/>
      <c r="AY201" s="590"/>
      <c r="AZ201" s="590"/>
      <c r="BA201" s="590"/>
      <c r="BB201" s="590"/>
      <c r="BC201" s="590"/>
      <c r="BD201" s="590"/>
      <c r="BE201" s="590"/>
      <c r="BF201" s="590"/>
      <c r="BG201" s="590"/>
      <c r="BH201" s="590"/>
      <c r="BI201" s="590"/>
      <c r="BJ201" s="590"/>
      <c r="BK201" s="591"/>
      <c r="BL201" s="591"/>
      <c r="BM201" s="591"/>
      <c r="BN201" s="591"/>
      <c r="BO201" s="591"/>
      <c r="BP201" s="591"/>
      <c r="BQ201" s="591"/>
      <c r="BR201" s="591"/>
      <c r="BS201" s="591"/>
      <c r="BT201" s="591"/>
      <c r="BU201" s="591"/>
      <c r="BV201" s="591"/>
      <c r="BW201" s="591"/>
      <c r="BX201" s="591"/>
      <c r="BY201" s="591"/>
      <c r="BZ201" s="591"/>
      <c r="CA201" s="591"/>
      <c r="CB201" s="591"/>
      <c r="CC201" s="591"/>
      <c r="CD201" s="591"/>
      <c r="CE201" s="591"/>
      <c r="CF201" s="591"/>
    </row>
    <row r="202" spans="1:84">
      <c r="A202" s="590"/>
      <c r="B202" s="590"/>
      <c r="C202" s="590"/>
      <c r="D202" s="590"/>
      <c r="E202" s="590"/>
      <c r="F202" s="590"/>
      <c r="G202" s="590"/>
      <c r="H202" s="590"/>
      <c r="I202" s="590"/>
      <c r="J202" s="590"/>
      <c r="K202" s="590"/>
      <c r="L202" s="590"/>
      <c r="M202" s="590"/>
      <c r="N202" s="590"/>
      <c r="O202" s="590"/>
      <c r="P202" s="590"/>
      <c r="Q202" s="590"/>
      <c r="R202" s="590"/>
      <c r="S202" s="590"/>
      <c r="T202" s="590"/>
      <c r="U202" s="590"/>
      <c r="V202" s="590"/>
      <c r="W202" s="590"/>
      <c r="X202" s="590"/>
      <c r="Y202" s="590"/>
      <c r="Z202" s="590"/>
      <c r="AA202" s="590"/>
      <c r="AB202" s="590"/>
      <c r="AC202" s="590"/>
      <c r="AD202" s="590"/>
      <c r="AE202" s="590"/>
      <c r="AF202" s="590"/>
      <c r="AG202" s="590"/>
      <c r="AH202" s="590"/>
      <c r="AI202" s="590"/>
      <c r="AJ202" s="590"/>
      <c r="AK202" s="590"/>
      <c r="AL202" s="590"/>
      <c r="AM202" s="590"/>
      <c r="AN202" s="590"/>
      <c r="AO202" s="590"/>
      <c r="AP202" s="590"/>
      <c r="AQ202" s="590"/>
      <c r="AR202" s="590"/>
      <c r="AS202" s="590"/>
      <c r="AT202" s="590"/>
      <c r="AU202" s="590"/>
      <c r="AV202" s="590"/>
      <c r="AW202" s="590"/>
      <c r="AX202" s="590"/>
      <c r="AY202" s="590"/>
      <c r="AZ202" s="590"/>
      <c r="BA202" s="590"/>
      <c r="BB202" s="590"/>
      <c r="BC202" s="590"/>
      <c r="BD202" s="590"/>
      <c r="BE202" s="590"/>
      <c r="BF202" s="590"/>
      <c r="BG202" s="590"/>
      <c r="BH202" s="590"/>
      <c r="BI202" s="590"/>
      <c r="BJ202" s="590"/>
      <c r="BK202" s="591"/>
      <c r="BL202" s="591"/>
      <c r="BM202" s="591"/>
      <c r="BN202" s="591"/>
      <c r="BO202" s="591"/>
      <c r="BP202" s="591"/>
      <c r="BQ202" s="591"/>
      <c r="BR202" s="591"/>
      <c r="BS202" s="591"/>
      <c r="BT202" s="591"/>
      <c r="BU202" s="591"/>
      <c r="BV202" s="591"/>
      <c r="BW202" s="591"/>
      <c r="BX202" s="591"/>
      <c r="BY202" s="591"/>
      <c r="BZ202" s="591"/>
      <c r="CA202" s="591"/>
      <c r="CB202" s="591"/>
      <c r="CC202" s="591"/>
      <c r="CD202" s="591"/>
      <c r="CE202" s="591"/>
      <c r="CF202" s="591"/>
    </row>
    <row r="203" spans="1:84">
      <c r="A203" s="590"/>
      <c r="B203" s="590"/>
      <c r="C203" s="590"/>
      <c r="D203" s="590"/>
      <c r="E203" s="590"/>
      <c r="F203" s="590"/>
      <c r="G203" s="590"/>
      <c r="H203" s="590"/>
      <c r="I203" s="590"/>
      <c r="J203" s="590"/>
      <c r="K203" s="590"/>
      <c r="L203" s="590"/>
      <c r="M203" s="590"/>
      <c r="N203" s="590"/>
      <c r="O203" s="590"/>
      <c r="P203" s="590"/>
      <c r="Q203" s="590"/>
      <c r="R203" s="590"/>
      <c r="S203" s="590"/>
      <c r="T203" s="590"/>
      <c r="U203" s="590"/>
      <c r="V203" s="590"/>
      <c r="W203" s="590"/>
      <c r="X203" s="590"/>
      <c r="Y203" s="590"/>
      <c r="Z203" s="590"/>
      <c r="AA203" s="590"/>
      <c r="AB203" s="590"/>
      <c r="AC203" s="590"/>
      <c r="AD203" s="590"/>
      <c r="AE203" s="590"/>
      <c r="AF203" s="590"/>
      <c r="AG203" s="590"/>
      <c r="AH203" s="590"/>
      <c r="AI203" s="590"/>
      <c r="AJ203" s="590"/>
      <c r="AK203" s="590"/>
      <c r="AL203" s="590"/>
      <c r="AM203" s="590"/>
      <c r="AN203" s="590"/>
      <c r="AO203" s="590"/>
      <c r="AP203" s="590"/>
      <c r="AQ203" s="590"/>
      <c r="AR203" s="590"/>
      <c r="AS203" s="590"/>
      <c r="AT203" s="590"/>
      <c r="AU203" s="590"/>
      <c r="AV203" s="590"/>
      <c r="AW203" s="590"/>
      <c r="AX203" s="590"/>
      <c r="AY203" s="590"/>
      <c r="AZ203" s="590"/>
      <c r="BA203" s="590"/>
      <c r="BB203" s="590"/>
      <c r="BC203" s="590"/>
      <c r="BD203" s="590"/>
      <c r="BE203" s="590"/>
      <c r="BF203" s="590"/>
      <c r="BG203" s="590"/>
      <c r="BH203" s="590"/>
      <c r="BI203" s="590"/>
      <c r="BJ203" s="590"/>
      <c r="BK203" s="591"/>
      <c r="BL203" s="591"/>
      <c r="BM203" s="591"/>
      <c r="BN203" s="591"/>
      <c r="BO203" s="591"/>
      <c r="BP203" s="591"/>
      <c r="BQ203" s="591"/>
      <c r="BR203" s="591"/>
      <c r="BS203" s="591"/>
      <c r="BT203" s="591"/>
      <c r="BU203" s="591"/>
      <c r="BV203" s="591"/>
      <c r="BW203" s="591"/>
      <c r="BX203" s="591"/>
      <c r="BY203" s="591"/>
      <c r="BZ203" s="591"/>
      <c r="CA203" s="591"/>
      <c r="CB203" s="591"/>
      <c r="CC203" s="591"/>
      <c r="CD203" s="591"/>
      <c r="CE203" s="591"/>
      <c r="CF203" s="591"/>
    </row>
    <row r="204" spans="1:84">
      <c r="A204" s="590"/>
      <c r="B204" s="590"/>
      <c r="C204" s="590"/>
      <c r="D204" s="590"/>
      <c r="E204" s="590"/>
      <c r="F204" s="590"/>
      <c r="G204" s="590"/>
      <c r="H204" s="590"/>
      <c r="I204" s="590"/>
      <c r="J204" s="590"/>
      <c r="K204" s="590"/>
      <c r="L204" s="590"/>
      <c r="M204" s="590"/>
      <c r="N204" s="590"/>
      <c r="O204" s="590"/>
      <c r="P204" s="590"/>
      <c r="Q204" s="590"/>
      <c r="R204" s="590"/>
      <c r="S204" s="590"/>
      <c r="T204" s="590"/>
      <c r="U204" s="590"/>
      <c r="V204" s="590"/>
      <c r="W204" s="590"/>
      <c r="X204" s="590"/>
      <c r="Y204" s="590"/>
      <c r="Z204" s="590"/>
      <c r="AA204" s="590"/>
      <c r="AB204" s="590"/>
      <c r="AC204" s="590"/>
      <c r="AD204" s="590"/>
      <c r="AE204" s="590"/>
      <c r="AF204" s="590"/>
      <c r="AG204" s="590"/>
      <c r="AH204" s="590"/>
      <c r="AI204" s="590"/>
      <c r="AJ204" s="590"/>
      <c r="AK204" s="590"/>
      <c r="AL204" s="590"/>
      <c r="AM204" s="590"/>
      <c r="AN204" s="590"/>
      <c r="AO204" s="590"/>
      <c r="AP204" s="590"/>
      <c r="AQ204" s="590"/>
      <c r="AR204" s="590"/>
      <c r="AS204" s="590"/>
      <c r="AT204" s="590"/>
      <c r="AU204" s="590"/>
      <c r="AV204" s="590"/>
      <c r="AW204" s="590"/>
      <c r="AX204" s="590"/>
      <c r="AY204" s="590"/>
      <c r="AZ204" s="590"/>
      <c r="BA204" s="590"/>
      <c r="BB204" s="590"/>
      <c r="BC204" s="590"/>
      <c r="BD204" s="590"/>
      <c r="BE204" s="590"/>
      <c r="BF204" s="590"/>
      <c r="BG204" s="590"/>
      <c r="BH204" s="590"/>
      <c r="BI204" s="590"/>
      <c r="BJ204" s="590"/>
      <c r="BK204" s="591"/>
      <c r="BL204" s="591"/>
      <c r="BM204" s="591"/>
      <c r="BN204" s="591"/>
      <c r="BO204" s="591"/>
      <c r="BP204" s="591"/>
      <c r="BQ204" s="591"/>
      <c r="BR204" s="591"/>
      <c r="BS204" s="591"/>
      <c r="BT204" s="591"/>
      <c r="BU204" s="591"/>
      <c r="BV204" s="591"/>
      <c r="BW204" s="591"/>
      <c r="BX204" s="591"/>
      <c r="BY204" s="591"/>
      <c r="BZ204" s="591"/>
      <c r="CA204" s="591"/>
      <c r="CB204" s="591"/>
      <c r="CC204" s="591"/>
      <c r="CD204" s="591"/>
      <c r="CE204" s="591"/>
      <c r="CF204" s="591"/>
    </row>
    <row r="205" spans="1:84">
      <c r="A205" s="590"/>
      <c r="B205" s="590"/>
      <c r="C205" s="590"/>
      <c r="D205" s="590"/>
      <c r="E205" s="590"/>
      <c r="F205" s="590"/>
      <c r="G205" s="590"/>
      <c r="H205" s="590"/>
      <c r="I205" s="590"/>
      <c r="J205" s="590"/>
      <c r="K205" s="590"/>
      <c r="L205" s="590"/>
      <c r="M205" s="590"/>
      <c r="N205" s="590"/>
      <c r="O205" s="590"/>
      <c r="P205" s="590"/>
      <c r="Q205" s="590"/>
      <c r="R205" s="590"/>
      <c r="S205" s="590"/>
      <c r="T205" s="590"/>
      <c r="U205" s="590"/>
      <c r="V205" s="590"/>
      <c r="W205" s="590"/>
      <c r="X205" s="590"/>
      <c r="Y205" s="590"/>
      <c r="Z205" s="590"/>
      <c r="AA205" s="590"/>
      <c r="AB205" s="590"/>
      <c r="AC205" s="590"/>
      <c r="AD205" s="590"/>
      <c r="AE205" s="590"/>
      <c r="AF205" s="590"/>
      <c r="AG205" s="590"/>
      <c r="AH205" s="590"/>
      <c r="AI205" s="590"/>
      <c r="AJ205" s="590"/>
      <c r="AK205" s="590"/>
      <c r="AL205" s="590"/>
      <c r="AM205" s="590"/>
      <c r="AN205" s="590"/>
      <c r="AO205" s="590"/>
      <c r="AP205" s="590"/>
      <c r="AQ205" s="590"/>
      <c r="AR205" s="590"/>
      <c r="AS205" s="590"/>
      <c r="AT205" s="590"/>
      <c r="AU205" s="590"/>
      <c r="AV205" s="590"/>
      <c r="AW205" s="590"/>
      <c r="AX205" s="590"/>
      <c r="AY205" s="590"/>
      <c r="AZ205" s="590"/>
      <c r="BA205" s="590"/>
      <c r="BB205" s="590"/>
      <c r="BC205" s="590"/>
      <c r="BD205" s="590"/>
      <c r="BE205" s="590"/>
      <c r="BF205" s="590"/>
      <c r="BG205" s="590"/>
      <c r="BH205" s="590"/>
      <c r="BI205" s="590"/>
      <c r="BJ205" s="590"/>
      <c r="BK205" s="591"/>
      <c r="BL205" s="591"/>
      <c r="BM205" s="591"/>
      <c r="BN205" s="591"/>
      <c r="BO205" s="591"/>
      <c r="BP205" s="591"/>
      <c r="BQ205" s="591"/>
      <c r="BR205" s="591"/>
      <c r="BS205" s="591"/>
      <c r="BT205" s="591"/>
      <c r="BU205" s="591"/>
      <c r="BV205" s="591"/>
      <c r="BW205" s="591"/>
      <c r="BX205" s="591"/>
      <c r="BY205" s="591"/>
      <c r="BZ205" s="591"/>
      <c r="CA205" s="591"/>
      <c r="CB205" s="591"/>
      <c r="CC205" s="591"/>
      <c r="CD205" s="591"/>
      <c r="CE205" s="591"/>
      <c r="CF205" s="591"/>
    </row>
    <row r="206" spans="1:84">
      <c r="A206" s="590"/>
      <c r="B206" s="590"/>
      <c r="C206" s="590"/>
      <c r="D206" s="590"/>
      <c r="E206" s="590"/>
      <c r="F206" s="590"/>
      <c r="G206" s="590"/>
      <c r="H206" s="590"/>
      <c r="I206" s="590"/>
      <c r="J206" s="590"/>
      <c r="K206" s="590"/>
      <c r="L206" s="590"/>
      <c r="M206" s="590"/>
      <c r="N206" s="590"/>
      <c r="O206" s="590"/>
      <c r="P206" s="590"/>
      <c r="Q206" s="590"/>
      <c r="R206" s="590"/>
      <c r="S206" s="590"/>
      <c r="T206" s="590"/>
      <c r="U206" s="590"/>
      <c r="V206" s="590"/>
      <c r="W206" s="590"/>
      <c r="X206" s="590"/>
      <c r="Y206" s="590"/>
      <c r="Z206" s="590"/>
      <c r="AA206" s="590"/>
      <c r="AB206" s="590"/>
      <c r="AC206" s="590"/>
      <c r="AD206" s="590"/>
      <c r="AE206" s="590"/>
      <c r="AF206" s="590"/>
      <c r="AG206" s="590"/>
      <c r="AH206" s="590"/>
      <c r="AI206" s="590"/>
      <c r="AJ206" s="590"/>
      <c r="AK206" s="590"/>
      <c r="AL206" s="590"/>
      <c r="AM206" s="590"/>
      <c r="AN206" s="590"/>
      <c r="AO206" s="590"/>
      <c r="AP206" s="590"/>
      <c r="AQ206" s="590"/>
      <c r="AR206" s="590"/>
      <c r="AS206" s="590"/>
      <c r="AT206" s="590"/>
      <c r="AU206" s="590"/>
      <c r="AV206" s="590"/>
      <c r="AW206" s="590"/>
      <c r="AX206" s="590"/>
      <c r="AY206" s="590"/>
      <c r="AZ206" s="590"/>
      <c r="BA206" s="590"/>
      <c r="BB206" s="590"/>
      <c r="BC206" s="590"/>
      <c r="BD206" s="590"/>
      <c r="BE206" s="590"/>
      <c r="BF206" s="590"/>
      <c r="BG206" s="590"/>
      <c r="BH206" s="590"/>
      <c r="BI206" s="590"/>
      <c r="BJ206" s="590"/>
      <c r="BK206" s="591"/>
      <c r="BL206" s="591"/>
      <c r="BM206" s="591"/>
      <c r="BN206" s="591"/>
      <c r="BO206" s="591"/>
      <c r="BP206" s="591"/>
      <c r="BQ206" s="591"/>
      <c r="BR206" s="591"/>
      <c r="BS206" s="591"/>
      <c r="BT206" s="591"/>
      <c r="BU206" s="591"/>
      <c r="BV206" s="591"/>
      <c r="BW206" s="591"/>
      <c r="BX206" s="591"/>
      <c r="BY206" s="591"/>
      <c r="BZ206" s="591"/>
      <c r="CA206" s="591"/>
      <c r="CB206" s="591"/>
      <c r="CC206" s="591"/>
      <c r="CD206" s="591"/>
      <c r="CE206" s="591"/>
      <c r="CF206" s="591"/>
    </row>
    <row r="207" spans="1:84">
      <c r="A207" s="590"/>
      <c r="B207" s="590"/>
      <c r="C207" s="590"/>
      <c r="D207" s="590"/>
      <c r="E207" s="590"/>
      <c r="F207" s="590"/>
      <c r="G207" s="590"/>
      <c r="H207" s="590"/>
      <c r="I207" s="590"/>
      <c r="J207" s="590"/>
      <c r="K207" s="590"/>
      <c r="L207" s="590"/>
      <c r="M207" s="590"/>
      <c r="N207" s="590"/>
      <c r="O207" s="590"/>
      <c r="P207" s="590"/>
      <c r="Q207" s="590"/>
      <c r="R207" s="590"/>
      <c r="S207" s="590"/>
      <c r="T207" s="590"/>
      <c r="U207" s="590"/>
      <c r="V207" s="590"/>
      <c r="W207" s="590"/>
      <c r="X207" s="590"/>
      <c r="Y207" s="590"/>
      <c r="Z207" s="590"/>
      <c r="AA207" s="590"/>
      <c r="AB207" s="590"/>
      <c r="AC207" s="590"/>
      <c r="AD207" s="590"/>
      <c r="AE207" s="590"/>
      <c r="AF207" s="590"/>
      <c r="AG207" s="590"/>
      <c r="AH207" s="590"/>
      <c r="AI207" s="590"/>
      <c r="AJ207" s="590"/>
      <c r="AK207" s="590"/>
      <c r="AL207" s="590"/>
      <c r="AM207" s="590"/>
      <c r="AN207" s="590"/>
      <c r="AO207" s="590"/>
      <c r="AP207" s="590"/>
      <c r="AQ207" s="590"/>
      <c r="AR207" s="590"/>
      <c r="AS207" s="590"/>
      <c r="AT207" s="590"/>
      <c r="AU207" s="590"/>
      <c r="AV207" s="590"/>
      <c r="AW207" s="590"/>
      <c r="AX207" s="590"/>
      <c r="AY207" s="590"/>
      <c r="AZ207" s="590"/>
      <c r="BA207" s="590"/>
      <c r="BB207" s="590"/>
      <c r="BC207" s="590"/>
      <c r="BD207" s="590"/>
      <c r="BE207" s="590"/>
      <c r="BF207" s="590"/>
      <c r="BG207" s="590"/>
      <c r="BH207" s="590"/>
      <c r="BI207" s="590"/>
      <c r="BJ207" s="590"/>
      <c r="BK207" s="591"/>
      <c r="BL207" s="591"/>
      <c r="BM207" s="591"/>
      <c r="BN207" s="591"/>
      <c r="BO207" s="591"/>
      <c r="BP207" s="591"/>
      <c r="BQ207" s="591"/>
      <c r="BR207" s="591"/>
      <c r="BS207" s="591"/>
      <c r="BT207" s="591"/>
      <c r="BU207" s="591"/>
      <c r="BV207" s="591"/>
      <c r="BW207" s="591"/>
      <c r="BX207" s="591"/>
      <c r="BY207" s="591"/>
      <c r="BZ207" s="591"/>
      <c r="CA207" s="591"/>
      <c r="CB207" s="591"/>
      <c r="CC207" s="591"/>
      <c r="CD207" s="591"/>
      <c r="CE207" s="591"/>
      <c r="CF207" s="591"/>
    </row>
    <row r="208" spans="1:84">
      <c r="A208" s="590"/>
      <c r="B208" s="590"/>
      <c r="C208" s="590"/>
      <c r="D208" s="590"/>
      <c r="E208" s="590"/>
      <c r="F208" s="590"/>
      <c r="G208" s="590"/>
      <c r="H208" s="590"/>
      <c r="I208" s="590"/>
      <c r="J208" s="590"/>
      <c r="K208" s="590"/>
      <c r="L208" s="590"/>
      <c r="M208" s="590"/>
      <c r="N208" s="590"/>
      <c r="O208" s="590"/>
      <c r="P208" s="590"/>
      <c r="Q208" s="590"/>
      <c r="R208" s="590"/>
      <c r="S208" s="590"/>
      <c r="T208" s="590"/>
      <c r="U208" s="590"/>
      <c r="V208" s="590"/>
      <c r="W208" s="590"/>
      <c r="X208" s="590"/>
      <c r="Y208" s="590"/>
      <c r="Z208" s="590"/>
      <c r="AA208" s="590"/>
      <c r="AB208" s="590"/>
      <c r="AC208" s="590"/>
      <c r="AD208" s="590"/>
      <c r="AE208" s="590"/>
      <c r="AF208" s="590"/>
      <c r="AG208" s="590"/>
      <c r="AH208" s="590"/>
      <c r="AI208" s="590"/>
      <c r="AJ208" s="590"/>
      <c r="AK208" s="590"/>
      <c r="AL208" s="590"/>
      <c r="AM208" s="590"/>
      <c r="AN208" s="590"/>
      <c r="AO208" s="590"/>
      <c r="AP208" s="590"/>
      <c r="AQ208" s="590"/>
      <c r="AR208" s="590"/>
      <c r="AS208" s="590"/>
      <c r="AT208" s="590"/>
      <c r="AU208" s="590"/>
      <c r="AV208" s="590"/>
      <c r="AW208" s="590"/>
      <c r="AX208" s="590"/>
      <c r="AY208" s="590"/>
      <c r="AZ208" s="590"/>
      <c r="BA208" s="590"/>
      <c r="BB208" s="590"/>
      <c r="BC208" s="590"/>
      <c r="BD208" s="590"/>
      <c r="BE208" s="590"/>
      <c r="BF208" s="590"/>
      <c r="BG208" s="590"/>
      <c r="BH208" s="590"/>
      <c r="BI208" s="590"/>
      <c r="BJ208" s="590"/>
      <c r="BK208" s="591"/>
      <c r="BL208" s="591"/>
      <c r="BM208" s="591"/>
      <c r="BN208" s="591"/>
      <c r="BO208" s="591"/>
      <c r="BP208" s="591"/>
      <c r="BQ208" s="591"/>
      <c r="BR208" s="591"/>
      <c r="BS208" s="591"/>
      <c r="BT208" s="591"/>
      <c r="BU208" s="591"/>
      <c r="BV208" s="591"/>
      <c r="BW208" s="591"/>
      <c r="BX208" s="591"/>
      <c r="BY208" s="591"/>
      <c r="BZ208" s="591"/>
      <c r="CA208" s="591"/>
      <c r="CB208" s="591"/>
      <c r="CC208" s="591"/>
      <c r="CD208" s="591"/>
      <c r="CE208" s="591"/>
      <c r="CF208" s="591"/>
    </row>
    <row r="209" spans="1:84">
      <c r="A209" s="590"/>
      <c r="B209" s="590"/>
      <c r="C209" s="590"/>
      <c r="D209" s="590"/>
      <c r="E209" s="590"/>
      <c r="F209" s="590"/>
      <c r="G209" s="590"/>
      <c r="H209" s="590"/>
      <c r="I209" s="590"/>
      <c r="J209" s="590"/>
      <c r="K209" s="590"/>
      <c r="L209" s="590"/>
      <c r="M209" s="590"/>
      <c r="N209" s="590"/>
      <c r="O209" s="590"/>
      <c r="P209" s="590"/>
      <c r="Q209" s="590"/>
      <c r="R209" s="590"/>
      <c r="S209" s="590"/>
      <c r="T209" s="590"/>
      <c r="U209" s="590"/>
      <c r="V209" s="590"/>
      <c r="W209" s="590"/>
      <c r="X209" s="590"/>
      <c r="Y209" s="590"/>
      <c r="Z209" s="590"/>
      <c r="AA209" s="590"/>
      <c r="AB209" s="590"/>
      <c r="AC209" s="590"/>
      <c r="AD209" s="590"/>
      <c r="AE209" s="590"/>
      <c r="AF209" s="590"/>
      <c r="AG209" s="590"/>
      <c r="AH209" s="590"/>
      <c r="AI209" s="590"/>
      <c r="AJ209" s="590"/>
      <c r="AK209" s="590"/>
      <c r="AL209" s="590"/>
      <c r="AM209" s="590"/>
      <c r="AN209" s="590"/>
      <c r="AO209" s="590"/>
      <c r="AP209" s="590"/>
      <c r="AQ209" s="590"/>
      <c r="AR209" s="590"/>
      <c r="AS209" s="590"/>
      <c r="AT209" s="590"/>
      <c r="AU209" s="590"/>
      <c r="AV209" s="590"/>
      <c r="AW209" s="590"/>
      <c r="AX209" s="590"/>
      <c r="AY209" s="590"/>
      <c r="AZ209" s="590"/>
      <c r="BA209" s="590"/>
      <c r="BB209" s="590"/>
      <c r="BC209" s="590"/>
      <c r="BD209" s="590"/>
      <c r="BE209" s="590"/>
      <c r="BF209" s="590"/>
      <c r="BG209" s="590"/>
      <c r="BH209" s="590"/>
      <c r="BI209" s="590"/>
      <c r="BJ209" s="590"/>
      <c r="BK209" s="591"/>
      <c r="BL209" s="591"/>
      <c r="BM209" s="591"/>
      <c r="BN209" s="591"/>
      <c r="BO209" s="591"/>
      <c r="BP209" s="591"/>
      <c r="BQ209" s="591"/>
      <c r="BR209" s="591"/>
      <c r="BS209" s="591"/>
      <c r="BT209" s="591"/>
      <c r="BU209" s="591"/>
      <c r="BV209" s="591"/>
      <c r="BW209" s="591"/>
      <c r="BX209" s="591"/>
      <c r="BY209" s="591"/>
      <c r="BZ209" s="591"/>
      <c r="CA209" s="591"/>
      <c r="CB209" s="591"/>
      <c r="CC209" s="591"/>
      <c r="CD209" s="591"/>
      <c r="CE209" s="591"/>
      <c r="CF209" s="591"/>
    </row>
    <row r="210" spans="1:84">
      <c r="A210" s="590"/>
      <c r="B210" s="590"/>
      <c r="C210" s="590"/>
      <c r="D210" s="590"/>
      <c r="E210" s="590"/>
      <c r="F210" s="590"/>
      <c r="G210" s="590"/>
      <c r="H210" s="590"/>
      <c r="I210" s="590"/>
      <c r="J210" s="590"/>
      <c r="K210" s="590"/>
      <c r="L210" s="590"/>
      <c r="M210" s="590"/>
      <c r="N210" s="590"/>
      <c r="O210" s="590"/>
      <c r="P210" s="590"/>
      <c r="Q210" s="590"/>
      <c r="R210" s="590"/>
      <c r="S210" s="590"/>
      <c r="T210" s="590"/>
      <c r="U210" s="590"/>
      <c r="V210" s="590"/>
      <c r="W210" s="590"/>
      <c r="X210" s="590"/>
      <c r="Y210" s="590"/>
      <c r="Z210" s="590"/>
      <c r="AA210" s="590"/>
      <c r="AB210" s="590"/>
      <c r="AC210" s="590"/>
      <c r="AD210" s="590"/>
      <c r="AE210" s="590"/>
      <c r="AF210" s="590"/>
      <c r="AG210" s="590"/>
      <c r="AH210" s="590"/>
      <c r="AI210" s="590"/>
      <c r="AJ210" s="590"/>
      <c r="AK210" s="590"/>
      <c r="AL210" s="590"/>
      <c r="AM210" s="590"/>
      <c r="AN210" s="590"/>
      <c r="AO210" s="590"/>
      <c r="AP210" s="590"/>
      <c r="AQ210" s="590"/>
      <c r="AR210" s="590"/>
      <c r="AS210" s="590"/>
      <c r="AT210" s="590"/>
      <c r="AU210" s="590"/>
      <c r="AV210" s="590"/>
      <c r="AW210" s="590"/>
      <c r="AX210" s="590"/>
      <c r="AY210" s="590"/>
      <c r="AZ210" s="590"/>
      <c r="BA210" s="590"/>
      <c r="BB210" s="590"/>
      <c r="BC210" s="590"/>
      <c r="BD210" s="590"/>
      <c r="BE210" s="590"/>
      <c r="BF210" s="590"/>
      <c r="BG210" s="590"/>
      <c r="BH210" s="590"/>
      <c r="BI210" s="590"/>
      <c r="BJ210" s="590"/>
      <c r="BK210" s="591"/>
      <c r="BL210" s="591"/>
      <c r="BM210" s="591"/>
      <c r="BN210" s="591"/>
      <c r="BO210" s="591"/>
      <c r="BP210" s="591"/>
      <c r="BQ210" s="591"/>
      <c r="BR210" s="591"/>
      <c r="BS210" s="591"/>
      <c r="BT210" s="591"/>
      <c r="BU210" s="591"/>
      <c r="BV210" s="591"/>
      <c r="BW210" s="591"/>
      <c r="BX210" s="591"/>
      <c r="BY210" s="591"/>
      <c r="BZ210" s="591"/>
      <c r="CA210" s="591"/>
      <c r="CB210" s="591"/>
      <c r="CC210" s="591"/>
      <c r="CD210" s="591"/>
      <c r="CE210" s="591"/>
      <c r="CF210" s="591"/>
    </row>
    <row r="211" spans="1:84">
      <c r="A211" s="590"/>
      <c r="B211" s="590"/>
      <c r="C211" s="590"/>
      <c r="D211" s="590"/>
      <c r="E211" s="590"/>
      <c r="F211" s="590"/>
      <c r="G211" s="590"/>
      <c r="H211" s="590"/>
      <c r="I211" s="590"/>
      <c r="J211" s="590"/>
      <c r="K211" s="590"/>
      <c r="L211" s="590"/>
      <c r="M211" s="590"/>
      <c r="N211" s="590"/>
      <c r="O211" s="590"/>
      <c r="P211" s="590"/>
      <c r="Q211" s="590"/>
      <c r="R211" s="590"/>
      <c r="S211" s="590"/>
      <c r="T211" s="590"/>
      <c r="U211" s="590"/>
      <c r="V211" s="590"/>
      <c r="W211" s="590"/>
      <c r="X211" s="590"/>
      <c r="Y211" s="590"/>
      <c r="Z211" s="590"/>
      <c r="AA211" s="590"/>
      <c r="AB211" s="590"/>
      <c r="AC211" s="590"/>
      <c r="AD211" s="590"/>
      <c r="AE211" s="590"/>
      <c r="AF211" s="590"/>
      <c r="AG211" s="590"/>
      <c r="AH211" s="590"/>
      <c r="AI211" s="590"/>
      <c r="AJ211" s="590"/>
      <c r="AK211" s="590"/>
      <c r="AL211" s="590"/>
      <c r="AM211" s="590"/>
      <c r="AN211" s="590"/>
      <c r="AO211" s="590"/>
      <c r="AP211" s="590"/>
      <c r="AQ211" s="590"/>
      <c r="AR211" s="590"/>
      <c r="AS211" s="590"/>
      <c r="AT211" s="590"/>
      <c r="AU211" s="590"/>
      <c r="AV211" s="590"/>
      <c r="AW211" s="590"/>
      <c r="AX211" s="590"/>
      <c r="AY211" s="590"/>
      <c r="AZ211" s="590"/>
      <c r="BA211" s="590"/>
      <c r="BB211" s="590"/>
      <c r="BC211" s="590"/>
      <c r="BD211" s="590"/>
      <c r="BE211" s="590"/>
      <c r="BF211" s="590"/>
      <c r="BG211" s="590"/>
      <c r="BH211" s="590"/>
      <c r="BI211" s="590"/>
      <c r="BJ211" s="590"/>
      <c r="BK211" s="591"/>
      <c r="BL211" s="591"/>
      <c r="BM211" s="591"/>
      <c r="BN211" s="591"/>
      <c r="BO211" s="591"/>
      <c r="BP211" s="591"/>
      <c r="BQ211" s="591"/>
      <c r="BR211" s="591"/>
      <c r="BS211" s="591"/>
      <c r="BT211" s="591"/>
      <c r="BU211" s="591"/>
      <c r="BV211" s="591"/>
      <c r="BW211" s="591"/>
      <c r="BX211" s="591"/>
      <c r="BY211" s="591"/>
      <c r="BZ211" s="591"/>
      <c r="CA211" s="591"/>
      <c r="CB211" s="591"/>
      <c r="CC211" s="591"/>
      <c r="CD211" s="591"/>
      <c r="CE211" s="591"/>
      <c r="CF211" s="591"/>
    </row>
    <row r="212" spans="1:84">
      <c r="A212" s="590"/>
      <c r="B212" s="590"/>
      <c r="C212" s="590"/>
      <c r="D212" s="590"/>
      <c r="E212" s="590"/>
      <c r="F212" s="590"/>
      <c r="G212" s="590"/>
      <c r="H212" s="590"/>
      <c r="I212" s="590"/>
      <c r="J212" s="590"/>
      <c r="K212" s="590"/>
      <c r="L212" s="590"/>
      <c r="M212" s="590"/>
      <c r="N212" s="590"/>
      <c r="O212" s="590"/>
      <c r="P212" s="590"/>
      <c r="Q212" s="590"/>
      <c r="R212" s="590"/>
      <c r="S212" s="590"/>
      <c r="T212" s="590"/>
      <c r="U212" s="590"/>
      <c r="V212" s="590"/>
      <c r="W212" s="590"/>
      <c r="X212" s="590"/>
      <c r="Y212" s="590"/>
      <c r="Z212" s="590"/>
      <c r="AA212" s="590"/>
      <c r="AB212" s="590"/>
      <c r="AC212" s="590"/>
      <c r="AD212" s="590"/>
      <c r="AE212" s="590"/>
      <c r="AF212" s="590"/>
      <c r="AG212" s="590"/>
      <c r="AH212" s="590"/>
      <c r="AI212" s="590"/>
      <c r="AJ212" s="590"/>
      <c r="AK212" s="590"/>
      <c r="AL212" s="590"/>
      <c r="AM212" s="590"/>
      <c r="AN212" s="590"/>
      <c r="AO212" s="590"/>
      <c r="AP212" s="590"/>
      <c r="AQ212" s="590"/>
      <c r="AR212" s="590"/>
      <c r="AS212" s="590"/>
      <c r="AT212" s="590"/>
      <c r="AU212" s="590"/>
      <c r="AV212" s="590"/>
      <c r="AW212" s="590"/>
      <c r="AX212" s="590"/>
      <c r="AY212" s="590"/>
      <c r="AZ212" s="590"/>
      <c r="BA212" s="590"/>
      <c r="BB212" s="590"/>
      <c r="BC212" s="590"/>
      <c r="BD212" s="590"/>
      <c r="BE212" s="590"/>
      <c r="BF212" s="590"/>
      <c r="BG212" s="590"/>
      <c r="BH212" s="590"/>
      <c r="BI212" s="590"/>
      <c r="BJ212" s="590"/>
      <c r="BK212" s="591"/>
      <c r="BL212" s="591"/>
      <c r="BM212" s="591"/>
      <c r="BN212" s="591"/>
      <c r="BO212" s="591"/>
      <c r="BP212" s="591"/>
      <c r="BQ212" s="591"/>
      <c r="BR212" s="591"/>
      <c r="BS212" s="591"/>
      <c r="BT212" s="591"/>
      <c r="BU212" s="591"/>
      <c r="BV212" s="591"/>
      <c r="BW212" s="591"/>
      <c r="BX212" s="591"/>
      <c r="BY212" s="591"/>
      <c r="BZ212" s="591"/>
      <c r="CA212" s="591"/>
      <c r="CB212" s="591"/>
      <c r="CC212" s="591"/>
      <c r="CD212" s="591"/>
      <c r="CE212" s="591"/>
      <c r="CF212" s="591"/>
    </row>
    <row r="213" spans="1:84">
      <c r="A213" s="590"/>
      <c r="B213" s="590"/>
      <c r="C213" s="590"/>
      <c r="D213" s="590"/>
      <c r="E213" s="590"/>
      <c r="F213" s="590"/>
      <c r="G213" s="590"/>
      <c r="H213" s="590"/>
      <c r="I213" s="590"/>
      <c r="J213" s="590"/>
      <c r="K213" s="590"/>
      <c r="L213" s="590"/>
      <c r="M213" s="590"/>
      <c r="N213" s="590"/>
      <c r="O213" s="590"/>
      <c r="P213" s="590"/>
      <c r="Q213" s="590"/>
      <c r="R213" s="590"/>
      <c r="S213" s="590"/>
      <c r="T213" s="590"/>
      <c r="U213" s="590"/>
      <c r="V213" s="590"/>
      <c r="W213" s="590"/>
      <c r="X213" s="590"/>
      <c r="Y213" s="590"/>
      <c r="Z213" s="590"/>
      <c r="AA213" s="590"/>
      <c r="AB213" s="590"/>
      <c r="AC213" s="590"/>
      <c r="AD213" s="590"/>
      <c r="AE213" s="590"/>
      <c r="AF213" s="590"/>
      <c r="AG213" s="590"/>
      <c r="AH213" s="590"/>
      <c r="AI213" s="590"/>
      <c r="AJ213" s="590"/>
      <c r="AK213" s="590"/>
      <c r="AL213" s="590"/>
      <c r="AM213" s="590"/>
      <c r="AN213" s="590"/>
      <c r="AO213" s="590"/>
      <c r="AP213" s="590"/>
      <c r="AQ213" s="590"/>
      <c r="AR213" s="590"/>
      <c r="AS213" s="590"/>
      <c r="AT213" s="590"/>
      <c r="AU213" s="590"/>
      <c r="AV213" s="590"/>
      <c r="AW213" s="590"/>
      <c r="AX213" s="590"/>
      <c r="AY213" s="590"/>
      <c r="AZ213" s="590"/>
      <c r="BA213" s="590"/>
      <c r="BB213" s="590"/>
      <c r="BC213" s="590"/>
      <c r="BD213" s="590"/>
      <c r="BE213" s="590"/>
      <c r="BF213" s="590"/>
      <c r="BG213" s="590"/>
      <c r="BH213" s="590"/>
      <c r="BI213" s="590"/>
      <c r="BJ213" s="590"/>
      <c r="BK213" s="591"/>
      <c r="BL213" s="591"/>
      <c r="BM213" s="591"/>
      <c r="BN213" s="591"/>
      <c r="BO213" s="591"/>
      <c r="BP213" s="591"/>
      <c r="BQ213" s="591"/>
      <c r="BR213" s="591"/>
      <c r="BS213" s="591"/>
      <c r="BT213" s="591"/>
      <c r="BU213" s="591"/>
      <c r="BV213" s="591"/>
      <c r="BW213" s="591"/>
      <c r="BX213" s="591"/>
      <c r="BY213" s="591"/>
      <c r="BZ213" s="591"/>
      <c r="CA213" s="591"/>
      <c r="CB213" s="591"/>
      <c r="CC213" s="591"/>
      <c r="CD213" s="591"/>
      <c r="CE213" s="591"/>
      <c r="CF213" s="591"/>
    </row>
    <row r="214" spans="1:84">
      <c r="A214" s="590"/>
      <c r="B214" s="590"/>
      <c r="C214" s="590"/>
      <c r="D214" s="590"/>
      <c r="E214" s="590"/>
      <c r="F214" s="590"/>
      <c r="G214" s="590"/>
      <c r="H214" s="590"/>
      <c r="I214" s="590"/>
      <c r="J214" s="590"/>
      <c r="K214" s="590"/>
      <c r="L214" s="590"/>
      <c r="M214" s="590"/>
      <c r="N214" s="590"/>
      <c r="O214" s="590"/>
      <c r="P214" s="590"/>
      <c r="Q214" s="590"/>
      <c r="R214" s="590"/>
      <c r="S214" s="590"/>
      <c r="T214" s="590"/>
      <c r="U214" s="590"/>
      <c r="V214" s="590"/>
      <c r="W214" s="590"/>
      <c r="X214" s="590"/>
      <c r="Y214" s="590"/>
      <c r="Z214" s="590"/>
      <c r="AA214" s="590"/>
      <c r="AB214" s="590"/>
      <c r="AC214" s="590"/>
      <c r="AD214" s="590"/>
      <c r="AE214" s="590"/>
      <c r="AF214" s="590"/>
      <c r="AG214" s="590"/>
      <c r="AH214" s="590"/>
      <c r="AI214" s="590"/>
      <c r="AJ214" s="590"/>
      <c r="AK214" s="590"/>
      <c r="AL214" s="590"/>
      <c r="AM214" s="590"/>
      <c r="AN214" s="590"/>
      <c r="AO214" s="590"/>
      <c r="AP214" s="590"/>
      <c r="AQ214" s="590"/>
      <c r="AR214" s="590"/>
      <c r="AS214" s="590"/>
      <c r="AT214" s="590"/>
      <c r="AU214" s="590"/>
      <c r="AV214" s="590"/>
      <c r="AW214" s="590"/>
      <c r="AX214" s="590"/>
      <c r="AY214" s="590"/>
      <c r="AZ214" s="590"/>
      <c r="BA214" s="590"/>
      <c r="BB214" s="590"/>
      <c r="BC214" s="590"/>
      <c r="BD214" s="590"/>
      <c r="BE214" s="590"/>
      <c r="BF214" s="590"/>
      <c r="BG214" s="590"/>
      <c r="BH214" s="590"/>
      <c r="BI214" s="590"/>
      <c r="BJ214" s="590"/>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row>
    <row r="215" spans="1:84">
      <c r="A215" s="590"/>
      <c r="B215" s="590"/>
      <c r="C215" s="590"/>
      <c r="D215" s="590"/>
      <c r="E215" s="590"/>
      <c r="F215" s="590"/>
      <c r="G215" s="590"/>
      <c r="H215" s="590"/>
      <c r="I215" s="590"/>
      <c r="J215" s="590"/>
      <c r="K215" s="590"/>
      <c r="L215" s="590"/>
      <c r="M215" s="590"/>
      <c r="N215" s="590"/>
      <c r="O215" s="590"/>
      <c r="P215" s="590"/>
      <c r="Q215" s="590"/>
      <c r="R215" s="590"/>
      <c r="S215" s="590"/>
      <c r="T215" s="590"/>
      <c r="U215" s="590"/>
      <c r="V215" s="590"/>
      <c r="W215" s="590"/>
      <c r="X215" s="590"/>
      <c r="Y215" s="590"/>
      <c r="Z215" s="590"/>
      <c r="AA215" s="590"/>
      <c r="AB215" s="590"/>
      <c r="AC215" s="590"/>
      <c r="AD215" s="590"/>
      <c r="AE215" s="590"/>
      <c r="AF215" s="590"/>
      <c r="AG215" s="590"/>
      <c r="AH215" s="590"/>
      <c r="AI215" s="590"/>
      <c r="AJ215" s="590"/>
      <c r="AK215" s="590"/>
      <c r="AL215" s="590"/>
      <c r="AM215" s="590"/>
      <c r="AN215" s="590"/>
      <c r="AO215" s="590"/>
      <c r="AP215" s="590"/>
      <c r="AQ215" s="590"/>
      <c r="AR215" s="590"/>
      <c r="AS215" s="590"/>
      <c r="AT215" s="590"/>
      <c r="AU215" s="590"/>
      <c r="AV215" s="590"/>
      <c r="AW215" s="590"/>
      <c r="AX215" s="590"/>
      <c r="AY215" s="590"/>
      <c r="AZ215" s="590"/>
      <c r="BA215" s="590"/>
      <c r="BB215" s="590"/>
      <c r="BC215" s="590"/>
      <c r="BD215" s="590"/>
      <c r="BE215" s="590"/>
      <c r="BF215" s="590"/>
      <c r="BG215" s="590"/>
      <c r="BH215" s="590"/>
      <c r="BI215" s="590"/>
      <c r="BJ215" s="590"/>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row>
    <row r="216" spans="1:84">
      <c r="A216" s="590"/>
      <c r="B216" s="590"/>
      <c r="C216" s="590"/>
      <c r="D216" s="590"/>
      <c r="E216" s="590"/>
      <c r="F216" s="590"/>
      <c r="G216" s="590"/>
      <c r="H216" s="590"/>
      <c r="I216" s="590"/>
      <c r="J216" s="590"/>
      <c r="K216" s="590"/>
      <c r="L216" s="590"/>
      <c r="M216" s="590"/>
      <c r="N216" s="590"/>
      <c r="O216" s="590"/>
      <c r="P216" s="590"/>
      <c r="Q216" s="590"/>
      <c r="R216" s="590"/>
      <c r="S216" s="590"/>
      <c r="T216" s="590"/>
      <c r="U216" s="590"/>
      <c r="V216" s="590"/>
      <c r="W216" s="590"/>
      <c r="X216" s="590"/>
      <c r="Y216" s="590"/>
      <c r="Z216" s="590"/>
      <c r="AA216" s="590"/>
      <c r="AB216" s="590"/>
      <c r="AC216" s="590"/>
      <c r="AD216" s="590"/>
      <c r="AE216" s="590"/>
      <c r="AF216" s="590"/>
      <c r="AG216" s="590"/>
      <c r="AH216" s="590"/>
      <c r="AI216" s="590"/>
      <c r="AJ216" s="590"/>
      <c r="AK216" s="590"/>
      <c r="AL216" s="590"/>
      <c r="AM216" s="590"/>
      <c r="AN216" s="590"/>
      <c r="AO216" s="590"/>
      <c r="AP216" s="590"/>
      <c r="AQ216" s="590"/>
      <c r="AR216" s="590"/>
      <c r="AS216" s="590"/>
      <c r="AT216" s="590"/>
      <c r="AU216" s="590"/>
      <c r="AV216" s="590"/>
      <c r="AW216" s="590"/>
      <c r="AX216" s="590"/>
      <c r="AY216" s="590"/>
      <c r="AZ216" s="590"/>
      <c r="BA216" s="590"/>
      <c r="BB216" s="590"/>
      <c r="BC216" s="590"/>
      <c r="BD216" s="590"/>
      <c r="BE216" s="590"/>
      <c r="BF216" s="590"/>
      <c r="BG216" s="590"/>
      <c r="BH216" s="590"/>
      <c r="BI216" s="590"/>
      <c r="BJ216" s="590"/>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row>
    <row r="217" spans="1:84">
      <c r="A217" s="590"/>
      <c r="B217" s="590"/>
      <c r="C217" s="590"/>
      <c r="D217" s="590"/>
      <c r="E217" s="590"/>
      <c r="F217" s="590"/>
      <c r="G217" s="590"/>
      <c r="H217" s="590"/>
      <c r="I217" s="590"/>
      <c r="J217" s="590"/>
      <c r="K217" s="590"/>
      <c r="L217" s="590"/>
      <c r="M217" s="590"/>
      <c r="N217" s="590"/>
      <c r="O217" s="590"/>
      <c r="P217" s="590"/>
      <c r="Q217" s="590"/>
      <c r="R217" s="590"/>
      <c r="S217" s="590"/>
      <c r="T217" s="590"/>
      <c r="U217" s="590"/>
      <c r="V217" s="590"/>
      <c r="W217" s="590"/>
      <c r="X217" s="590"/>
      <c r="Y217" s="590"/>
      <c r="Z217" s="590"/>
      <c r="AA217" s="590"/>
      <c r="AB217" s="590"/>
      <c r="AC217" s="590"/>
      <c r="AD217" s="590"/>
      <c r="AE217" s="590"/>
      <c r="AF217" s="590"/>
      <c r="AG217" s="590"/>
      <c r="AH217" s="590"/>
      <c r="AI217" s="590"/>
      <c r="AJ217" s="590"/>
      <c r="AK217" s="590"/>
      <c r="AL217" s="590"/>
      <c r="AM217" s="590"/>
      <c r="AN217" s="590"/>
      <c r="AO217" s="590"/>
      <c r="AP217" s="590"/>
      <c r="AQ217" s="590"/>
      <c r="AR217" s="590"/>
      <c r="AS217" s="590"/>
      <c r="AT217" s="590"/>
      <c r="AU217" s="590"/>
      <c r="AV217" s="590"/>
      <c r="AW217" s="590"/>
      <c r="AX217" s="590"/>
      <c r="AY217" s="590"/>
      <c r="AZ217" s="590"/>
      <c r="BA217" s="590"/>
      <c r="BB217" s="590"/>
      <c r="BC217" s="590"/>
      <c r="BD217" s="590"/>
      <c r="BE217" s="590"/>
      <c r="BF217" s="590"/>
      <c r="BG217" s="590"/>
      <c r="BH217" s="590"/>
      <c r="BI217" s="590"/>
      <c r="BJ217" s="590"/>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row>
    <row r="218" spans="1:84">
      <c r="A218" s="590"/>
      <c r="B218" s="590"/>
      <c r="C218" s="590"/>
      <c r="D218" s="590"/>
      <c r="E218" s="590"/>
      <c r="F218" s="590"/>
      <c r="G218" s="590"/>
      <c r="H218" s="590"/>
      <c r="I218" s="590"/>
      <c r="J218" s="590"/>
      <c r="K218" s="590"/>
      <c r="L218" s="590"/>
      <c r="M218" s="590"/>
      <c r="N218" s="590"/>
      <c r="O218" s="590"/>
      <c r="P218" s="590"/>
      <c r="Q218" s="590"/>
      <c r="R218" s="590"/>
      <c r="S218" s="590"/>
      <c r="T218" s="590"/>
      <c r="U218" s="590"/>
      <c r="V218" s="590"/>
      <c r="W218" s="590"/>
      <c r="X218" s="590"/>
      <c r="Y218" s="590"/>
      <c r="Z218" s="590"/>
      <c r="AA218" s="590"/>
      <c r="AB218" s="590"/>
      <c r="AC218" s="590"/>
      <c r="AD218" s="590"/>
      <c r="AE218" s="590"/>
      <c r="AF218" s="590"/>
      <c r="AG218" s="590"/>
      <c r="AH218" s="590"/>
      <c r="AI218" s="590"/>
      <c r="AJ218" s="590"/>
      <c r="AK218" s="590"/>
      <c r="AL218" s="590"/>
      <c r="AM218" s="590"/>
      <c r="AN218" s="590"/>
      <c r="AO218" s="590"/>
      <c r="AP218" s="590"/>
      <c r="AQ218" s="590"/>
      <c r="AR218" s="590"/>
      <c r="AS218" s="590"/>
      <c r="AT218" s="590"/>
      <c r="AU218" s="590"/>
      <c r="AV218" s="590"/>
      <c r="AW218" s="590"/>
      <c r="AX218" s="590"/>
      <c r="AY218" s="590"/>
      <c r="AZ218" s="590"/>
      <c r="BA218" s="590"/>
      <c r="BB218" s="590"/>
      <c r="BC218" s="590"/>
      <c r="BD218" s="590"/>
      <c r="BE218" s="590"/>
      <c r="BF218" s="590"/>
      <c r="BG218" s="590"/>
      <c r="BH218" s="590"/>
      <c r="BI218" s="590"/>
      <c r="BJ218" s="590"/>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row>
    <row r="219" spans="1:84">
      <c r="A219" s="590"/>
      <c r="B219" s="590"/>
      <c r="C219" s="590"/>
      <c r="D219" s="590"/>
      <c r="E219" s="590"/>
      <c r="F219" s="590"/>
      <c r="G219" s="590"/>
      <c r="H219" s="590"/>
      <c r="I219" s="590"/>
      <c r="J219" s="590"/>
      <c r="K219" s="590"/>
      <c r="L219" s="590"/>
      <c r="M219" s="590"/>
      <c r="N219" s="590"/>
      <c r="O219" s="590"/>
      <c r="P219" s="590"/>
      <c r="Q219" s="590"/>
      <c r="R219" s="590"/>
      <c r="S219" s="590"/>
      <c r="T219" s="590"/>
      <c r="U219" s="590"/>
      <c r="V219" s="590"/>
      <c r="W219" s="590"/>
      <c r="X219" s="590"/>
      <c r="Y219" s="590"/>
      <c r="Z219" s="590"/>
      <c r="AA219" s="590"/>
      <c r="AB219" s="590"/>
      <c r="AC219" s="590"/>
      <c r="AD219" s="590"/>
      <c r="AE219" s="590"/>
      <c r="AF219" s="590"/>
      <c r="AG219" s="590"/>
      <c r="AH219" s="590"/>
      <c r="AI219" s="590"/>
      <c r="AJ219" s="590"/>
      <c r="AK219" s="590"/>
      <c r="AL219" s="590"/>
      <c r="AM219" s="590"/>
      <c r="AN219" s="590"/>
      <c r="AO219" s="590"/>
      <c r="AP219" s="590"/>
      <c r="AQ219" s="590"/>
      <c r="AR219" s="590"/>
      <c r="AS219" s="590"/>
      <c r="AT219" s="590"/>
      <c r="AU219" s="590"/>
      <c r="AV219" s="590"/>
      <c r="AW219" s="590"/>
      <c r="AX219" s="590"/>
      <c r="AY219" s="590"/>
      <c r="AZ219" s="590"/>
      <c r="BA219" s="590"/>
      <c r="BB219" s="590"/>
      <c r="BC219" s="590"/>
      <c r="BD219" s="590"/>
      <c r="BE219" s="590"/>
      <c r="BF219" s="590"/>
      <c r="BG219" s="590"/>
      <c r="BH219" s="590"/>
      <c r="BI219" s="590"/>
      <c r="BJ219" s="590"/>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row>
    <row r="220" spans="1:84">
      <c r="A220" s="590"/>
      <c r="B220" s="590"/>
      <c r="C220" s="590"/>
      <c r="D220" s="590"/>
      <c r="E220" s="590"/>
      <c r="F220" s="590"/>
      <c r="G220" s="590"/>
      <c r="H220" s="590"/>
      <c r="I220" s="590"/>
      <c r="J220" s="590"/>
      <c r="K220" s="590"/>
      <c r="L220" s="590"/>
      <c r="M220" s="590"/>
      <c r="N220" s="590"/>
      <c r="O220" s="590"/>
      <c r="P220" s="590"/>
      <c r="Q220" s="590"/>
      <c r="R220" s="590"/>
      <c r="S220" s="590"/>
      <c r="T220" s="590"/>
      <c r="U220" s="590"/>
      <c r="V220" s="590"/>
      <c r="W220" s="590"/>
      <c r="X220" s="590"/>
      <c r="Y220" s="590"/>
      <c r="Z220" s="590"/>
      <c r="AA220" s="590"/>
      <c r="AB220" s="590"/>
      <c r="AC220" s="590"/>
      <c r="AD220" s="590"/>
      <c r="AE220" s="590"/>
      <c r="AF220" s="590"/>
      <c r="AG220" s="590"/>
      <c r="AH220" s="590"/>
      <c r="AI220" s="590"/>
      <c r="AJ220" s="590"/>
      <c r="AK220" s="590"/>
      <c r="AL220" s="590"/>
      <c r="AM220" s="590"/>
      <c r="AN220" s="590"/>
      <c r="AO220" s="590"/>
      <c r="AP220" s="590"/>
      <c r="AQ220" s="590"/>
      <c r="AR220" s="590"/>
      <c r="AS220" s="590"/>
      <c r="AT220" s="590"/>
      <c r="AU220" s="590"/>
      <c r="AV220" s="590"/>
      <c r="AW220" s="590"/>
      <c r="AX220" s="590"/>
      <c r="AY220" s="590"/>
      <c r="AZ220" s="590"/>
      <c r="BA220" s="590"/>
      <c r="BB220" s="590"/>
      <c r="BC220" s="590"/>
      <c r="BD220" s="590"/>
      <c r="BE220" s="590"/>
      <c r="BF220" s="590"/>
      <c r="BG220" s="590"/>
      <c r="BH220" s="590"/>
      <c r="BI220" s="590"/>
      <c r="BJ220" s="590"/>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row>
    <row r="221" spans="1:84">
      <c r="A221" s="590"/>
      <c r="B221" s="590"/>
      <c r="C221" s="590"/>
      <c r="D221" s="590"/>
      <c r="E221" s="590"/>
      <c r="F221" s="590"/>
      <c r="G221" s="590"/>
      <c r="H221" s="590"/>
      <c r="I221" s="590"/>
      <c r="J221" s="590"/>
      <c r="K221" s="590"/>
      <c r="L221" s="590"/>
      <c r="M221" s="590"/>
      <c r="N221" s="590"/>
      <c r="O221" s="590"/>
      <c r="P221" s="590"/>
      <c r="Q221" s="590"/>
      <c r="R221" s="590"/>
      <c r="S221" s="590"/>
      <c r="T221" s="590"/>
      <c r="U221" s="590"/>
      <c r="V221" s="590"/>
      <c r="W221" s="590"/>
      <c r="X221" s="590"/>
      <c r="Y221" s="590"/>
      <c r="Z221" s="590"/>
      <c r="AA221" s="590"/>
      <c r="AB221" s="590"/>
      <c r="AC221" s="590"/>
      <c r="AD221" s="590"/>
      <c r="AE221" s="590"/>
      <c r="AF221" s="590"/>
      <c r="AG221" s="590"/>
      <c r="AH221" s="590"/>
      <c r="AI221" s="590"/>
      <c r="AJ221" s="590"/>
      <c r="AK221" s="590"/>
      <c r="AL221" s="590"/>
      <c r="AM221" s="590"/>
      <c r="AN221" s="590"/>
      <c r="AO221" s="590"/>
      <c r="AP221" s="590"/>
      <c r="AQ221" s="590"/>
      <c r="AR221" s="590"/>
      <c r="AS221" s="590"/>
      <c r="AT221" s="590"/>
      <c r="AU221" s="590"/>
      <c r="AV221" s="590"/>
      <c r="AW221" s="590"/>
      <c r="AX221" s="590"/>
      <c r="AY221" s="590"/>
      <c r="AZ221" s="590"/>
      <c r="BA221" s="590"/>
      <c r="BB221" s="590"/>
      <c r="BC221" s="590"/>
      <c r="BD221" s="590"/>
      <c r="BE221" s="590"/>
      <c r="BF221" s="590"/>
      <c r="BG221" s="590"/>
      <c r="BH221" s="590"/>
      <c r="BI221" s="590"/>
      <c r="BJ221" s="590"/>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row>
    <row r="222" spans="1:84">
      <c r="A222" s="590"/>
      <c r="B222" s="590"/>
      <c r="C222" s="590"/>
      <c r="D222" s="590"/>
      <c r="E222" s="590"/>
      <c r="F222" s="590"/>
      <c r="G222" s="590"/>
      <c r="H222" s="590"/>
      <c r="I222" s="590"/>
      <c r="J222" s="590"/>
      <c r="K222" s="590"/>
      <c r="L222" s="590"/>
      <c r="M222" s="590"/>
      <c r="N222" s="590"/>
      <c r="O222" s="590"/>
      <c r="P222" s="590"/>
      <c r="Q222" s="590"/>
      <c r="R222" s="590"/>
      <c r="S222" s="590"/>
      <c r="T222" s="590"/>
      <c r="U222" s="590"/>
      <c r="V222" s="590"/>
      <c r="W222" s="590"/>
      <c r="X222" s="590"/>
      <c r="Y222" s="590"/>
      <c r="Z222" s="590"/>
      <c r="AA222" s="590"/>
      <c r="AB222" s="590"/>
      <c r="AC222" s="590"/>
      <c r="AD222" s="590"/>
      <c r="AE222" s="590"/>
      <c r="AF222" s="590"/>
      <c r="AG222" s="590"/>
      <c r="AH222" s="590"/>
      <c r="AI222" s="590"/>
      <c r="AJ222" s="590"/>
      <c r="AK222" s="590"/>
      <c r="AL222" s="590"/>
      <c r="AM222" s="590"/>
      <c r="AN222" s="590"/>
      <c r="AO222" s="590"/>
      <c r="AP222" s="590"/>
      <c r="AQ222" s="590"/>
      <c r="AR222" s="590"/>
      <c r="AS222" s="590"/>
      <c r="AT222" s="590"/>
      <c r="AU222" s="590"/>
      <c r="AV222" s="590"/>
      <c r="AW222" s="590"/>
      <c r="AX222" s="590"/>
      <c r="AY222" s="590"/>
      <c r="AZ222" s="590"/>
      <c r="BA222" s="590"/>
      <c r="BB222" s="590"/>
      <c r="BC222" s="590"/>
      <c r="BD222" s="590"/>
      <c r="BE222" s="590"/>
      <c r="BF222" s="590"/>
      <c r="BG222" s="590"/>
      <c r="BH222" s="590"/>
      <c r="BI222" s="590"/>
      <c r="BJ222" s="590"/>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row>
    <row r="223" spans="1:84">
      <c r="A223" s="590"/>
      <c r="B223" s="590"/>
      <c r="C223" s="590"/>
      <c r="D223" s="590"/>
      <c r="E223" s="590"/>
      <c r="F223" s="590"/>
      <c r="G223" s="590"/>
      <c r="H223" s="590"/>
      <c r="I223" s="590"/>
      <c r="J223" s="590"/>
      <c r="K223" s="590"/>
      <c r="L223" s="590"/>
      <c r="M223" s="590"/>
      <c r="N223" s="590"/>
      <c r="O223" s="590"/>
      <c r="P223" s="590"/>
      <c r="Q223" s="590"/>
      <c r="R223" s="590"/>
      <c r="S223" s="590"/>
      <c r="T223" s="590"/>
      <c r="U223" s="590"/>
      <c r="V223" s="590"/>
      <c r="W223" s="590"/>
      <c r="X223" s="590"/>
      <c r="Y223" s="590"/>
      <c r="Z223" s="590"/>
      <c r="AA223" s="590"/>
      <c r="AB223" s="590"/>
      <c r="AC223" s="590"/>
      <c r="AD223" s="590"/>
      <c r="AE223" s="590"/>
      <c r="AF223" s="590"/>
      <c r="AG223" s="590"/>
      <c r="AH223" s="590"/>
      <c r="AI223" s="590"/>
      <c r="AJ223" s="590"/>
      <c r="AK223" s="590"/>
      <c r="AL223" s="590"/>
      <c r="AM223" s="590"/>
      <c r="AN223" s="590"/>
      <c r="AO223" s="590"/>
      <c r="AP223" s="590"/>
      <c r="AQ223" s="590"/>
      <c r="AR223" s="590"/>
      <c r="AS223" s="590"/>
      <c r="AT223" s="590"/>
      <c r="AU223" s="590"/>
      <c r="AV223" s="590"/>
      <c r="AW223" s="590"/>
      <c r="AX223" s="590"/>
      <c r="AY223" s="590"/>
      <c r="AZ223" s="590"/>
      <c r="BA223" s="590"/>
      <c r="BB223" s="590"/>
      <c r="BC223" s="590"/>
      <c r="BD223" s="590"/>
      <c r="BE223" s="590"/>
      <c r="BF223" s="590"/>
      <c r="BG223" s="590"/>
      <c r="BH223" s="590"/>
      <c r="BI223" s="590"/>
      <c r="BJ223" s="590"/>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row>
    <row r="224" spans="1:84">
      <c r="A224" s="590"/>
      <c r="B224" s="590"/>
      <c r="C224" s="590"/>
      <c r="D224" s="590"/>
      <c r="E224" s="590"/>
      <c r="F224" s="590"/>
      <c r="G224" s="590"/>
      <c r="H224" s="590"/>
      <c r="I224" s="590"/>
      <c r="J224" s="590"/>
      <c r="K224" s="590"/>
      <c r="L224" s="590"/>
      <c r="M224" s="590"/>
      <c r="N224" s="590"/>
      <c r="O224" s="590"/>
      <c r="P224" s="590"/>
      <c r="Q224" s="590"/>
      <c r="R224" s="590"/>
      <c r="S224" s="590"/>
      <c r="T224" s="590"/>
      <c r="U224" s="590"/>
      <c r="V224" s="590"/>
      <c r="W224" s="590"/>
      <c r="X224" s="590"/>
      <c r="Y224" s="590"/>
      <c r="Z224" s="590"/>
      <c r="AA224" s="590"/>
      <c r="AB224" s="590"/>
      <c r="AC224" s="590"/>
      <c r="AD224" s="590"/>
      <c r="AE224" s="590"/>
      <c r="AF224" s="590"/>
      <c r="AG224" s="590"/>
      <c r="AH224" s="590"/>
      <c r="AI224" s="590"/>
      <c r="AJ224" s="590"/>
      <c r="AK224" s="590"/>
      <c r="AL224" s="590"/>
      <c r="AM224" s="590"/>
      <c r="AN224" s="590"/>
      <c r="AO224" s="590"/>
      <c r="AP224" s="590"/>
      <c r="AQ224" s="590"/>
      <c r="AR224" s="590"/>
      <c r="AS224" s="590"/>
      <c r="AT224" s="590"/>
      <c r="AU224" s="590"/>
      <c r="AV224" s="590"/>
      <c r="AW224" s="590"/>
      <c r="AX224" s="590"/>
      <c r="AY224" s="590"/>
      <c r="AZ224" s="590"/>
      <c r="BA224" s="590"/>
      <c r="BB224" s="590"/>
      <c r="BC224" s="590"/>
      <c r="BD224" s="590"/>
      <c r="BE224" s="590"/>
      <c r="BF224" s="590"/>
      <c r="BG224" s="590"/>
      <c r="BH224" s="590"/>
      <c r="BI224" s="590"/>
      <c r="BJ224" s="590"/>
      <c r="BK224" s="591"/>
      <c r="BL224" s="591"/>
      <c r="BM224" s="591"/>
      <c r="BN224" s="591"/>
      <c r="BO224" s="591"/>
      <c r="BP224" s="591"/>
      <c r="BQ224" s="591"/>
      <c r="BR224" s="591"/>
      <c r="BS224" s="591"/>
      <c r="BT224" s="591"/>
      <c r="BU224" s="591"/>
      <c r="BV224" s="591"/>
      <c r="BW224" s="591"/>
      <c r="BX224" s="591"/>
      <c r="BY224" s="591"/>
      <c r="BZ224" s="591"/>
      <c r="CA224" s="591"/>
      <c r="CB224" s="591"/>
      <c r="CC224" s="591"/>
      <c r="CD224" s="591"/>
      <c r="CE224" s="591"/>
      <c r="CF224" s="591"/>
    </row>
    <row r="225" spans="1:84">
      <c r="A225" s="590"/>
      <c r="B225" s="590"/>
      <c r="C225" s="590"/>
      <c r="D225" s="590"/>
      <c r="E225" s="590"/>
      <c r="F225" s="590"/>
      <c r="G225" s="590"/>
      <c r="H225" s="590"/>
      <c r="I225" s="590"/>
      <c r="J225" s="590"/>
      <c r="K225" s="590"/>
      <c r="L225" s="590"/>
      <c r="M225" s="590"/>
      <c r="N225" s="590"/>
      <c r="O225" s="590"/>
      <c r="P225" s="590"/>
      <c r="Q225" s="590"/>
      <c r="R225" s="590"/>
      <c r="S225" s="590"/>
      <c r="T225" s="590"/>
      <c r="U225" s="590"/>
      <c r="V225" s="590"/>
      <c r="W225" s="590"/>
      <c r="X225" s="590"/>
      <c r="Y225" s="590"/>
      <c r="Z225" s="590"/>
      <c r="AA225" s="590"/>
      <c r="AB225" s="590"/>
      <c r="AC225" s="590"/>
      <c r="AD225" s="590"/>
      <c r="AE225" s="590"/>
      <c r="AF225" s="590"/>
      <c r="AG225" s="590"/>
      <c r="AH225" s="590"/>
      <c r="AI225" s="590"/>
      <c r="AJ225" s="590"/>
      <c r="AK225" s="590"/>
      <c r="AL225" s="590"/>
      <c r="AM225" s="590"/>
      <c r="AN225" s="590"/>
      <c r="AO225" s="590"/>
      <c r="AP225" s="590"/>
      <c r="AQ225" s="590"/>
      <c r="AR225" s="590"/>
      <c r="AS225" s="590"/>
      <c r="AT225" s="590"/>
      <c r="AU225" s="590"/>
      <c r="AV225" s="590"/>
      <c r="AW225" s="590"/>
      <c r="AX225" s="590"/>
      <c r="AY225" s="590"/>
      <c r="AZ225" s="590"/>
      <c r="BA225" s="590"/>
      <c r="BB225" s="590"/>
      <c r="BC225" s="590"/>
      <c r="BD225" s="590"/>
      <c r="BE225" s="590"/>
      <c r="BF225" s="590"/>
      <c r="BG225" s="590"/>
      <c r="BH225" s="590"/>
      <c r="BI225" s="590"/>
      <c r="BJ225" s="590"/>
      <c r="BK225" s="591"/>
      <c r="BL225" s="591"/>
      <c r="BM225" s="591"/>
      <c r="BN225" s="591"/>
      <c r="BO225" s="591"/>
      <c r="BP225" s="591"/>
      <c r="BQ225" s="591"/>
      <c r="BR225" s="591"/>
      <c r="BS225" s="591"/>
      <c r="BT225" s="591"/>
      <c r="BU225" s="591"/>
      <c r="BV225" s="591"/>
      <c r="BW225" s="591"/>
      <c r="BX225" s="591"/>
      <c r="BY225" s="591"/>
      <c r="BZ225" s="591"/>
      <c r="CA225" s="591"/>
      <c r="CB225" s="591"/>
      <c r="CC225" s="591"/>
      <c r="CD225" s="591"/>
      <c r="CE225" s="591"/>
      <c r="CF225" s="591"/>
    </row>
    <row r="226" spans="1:84">
      <c r="A226" s="590"/>
      <c r="B226" s="590"/>
      <c r="C226" s="590"/>
      <c r="D226" s="590"/>
      <c r="E226" s="590"/>
      <c r="F226" s="590"/>
      <c r="G226" s="590"/>
      <c r="H226" s="590"/>
      <c r="I226" s="590"/>
      <c r="J226" s="590"/>
      <c r="K226" s="590"/>
      <c r="L226" s="590"/>
      <c r="M226" s="590"/>
      <c r="N226" s="590"/>
      <c r="O226" s="590"/>
      <c r="P226" s="590"/>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0"/>
      <c r="AQ226" s="590"/>
      <c r="AR226" s="590"/>
      <c r="AS226" s="590"/>
      <c r="AT226" s="590"/>
      <c r="AU226" s="590"/>
      <c r="AV226" s="590"/>
      <c r="AW226" s="590"/>
      <c r="AX226" s="590"/>
      <c r="AY226" s="590"/>
      <c r="AZ226" s="590"/>
      <c r="BA226" s="590"/>
      <c r="BB226" s="590"/>
      <c r="BC226" s="590"/>
      <c r="BD226" s="590"/>
      <c r="BE226" s="590"/>
      <c r="BF226" s="590"/>
      <c r="BG226" s="590"/>
      <c r="BH226" s="590"/>
      <c r="BI226" s="590"/>
      <c r="BJ226" s="590"/>
      <c r="BK226" s="591"/>
      <c r="BL226" s="591"/>
      <c r="BM226" s="591"/>
      <c r="BN226" s="591"/>
      <c r="BO226" s="591"/>
      <c r="BP226" s="591"/>
      <c r="BQ226" s="591"/>
      <c r="BR226" s="591"/>
      <c r="BS226" s="591"/>
      <c r="BT226" s="591"/>
      <c r="BU226" s="591"/>
      <c r="BV226" s="591"/>
      <c r="BW226" s="591"/>
      <c r="BX226" s="591"/>
      <c r="BY226" s="591"/>
      <c r="BZ226" s="591"/>
      <c r="CA226" s="591"/>
      <c r="CB226" s="591"/>
      <c r="CC226" s="591"/>
      <c r="CD226" s="591"/>
      <c r="CE226" s="591"/>
      <c r="CF226" s="591"/>
    </row>
    <row r="227" spans="1:84">
      <c r="A227" s="590"/>
      <c r="B227" s="590"/>
      <c r="C227" s="590"/>
      <c r="D227" s="590"/>
      <c r="E227" s="590"/>
      <c r="F227" s="590"/>
      <c r="G227" s="590"/>
      <c r="H227" s="590"/>
      <c r="I227" s="590"/>
      <c r="J227" s="590"/>
      <c r="K227" s="590"/>
      <c r="L227" s="590"/>
      <c r="M227" s="590"/>
      <c r="N227" s="590"/>
      <c r="O227" s="590"/>
      <c r="P227" s="590"/>
      <c r="Q227" s="590"/>
      <c r="R227" s="590"/>
      <c r="S227" s="590"/>
      <c r="T227" s="590"/>
      <c r="U227" s="590"/>
      <c r="V227" s="590"/>
      <c r="W227" s="590"/>
      <c r="X227" s="590"/>
      <c r="Y227" s="590"/>
      <c r="Z227" s="590"/>
      <c r="AA227" s="590"/>
      <c r="AB227" s="590"/>
      <c r="AC227" s="590"/>
      <c r="AD227" s="590"/>
      <c r="AE227" s="590"/>
      <c r="AF227" s="590"/>
      <c r="AG227" s="590"/>
      <c r="AH227" s="590"/>
      <c r="AI227" s="590"/>
      <c r="AJ227" s="590"/>
      <c r="AK227" s="590"/>
      <c r="AL227" s="590"/>
      <c r="AM227" s="590"/>
      <c r="AN227" s="590"/>
      <c r="AO227" s="590"/>
      <c r="AP227" s="590"/>
      <c r="AQ227" s="590"/>
      <c r="AR227" s="590"/>
      <c r="AS227" s="590"/>
      <c r="AT227" s="590"/>
      <c r="AU227" s="590"/>
      <c r="AV227" s="590"/>
      <c r="AW227" s="590"/>
      <c r="AX227" s="590"/>
      <c r="AY227" s="590"/>
      <c r="AZ227" s="590"/>
      <c r="BA227" s="590"/>
      <c r="BB227" s="590"/>
      <c r="BC227" s="590"/>
      <c r="BD227" s="590"/>
      <c r="BE227" s="590"/>
      <c r="BF227" s="590"/>
      <c r="BG227" s="590"/>
      <c r="BH227" s="590"/>
      <c r="BI227" s="590"/>
      <c r="BJ227" s="590"/>
      <c r="BK227" s="591"/>
      <c r="BL227" s="591"/>
      <c r="BM227" s="591"/>
      <c r="BN227" s="591"/>
      <c r="BO227" s="591"/>
      <c r="BP227" s="591"/>
      <c r="BQ227" s="591"/>
      <c r="BR227" s="591"/>
      <c r="BS227" s="591"/>
      <c r="BT227" s="591"/>
      <c r="BU227" s="591"/>
      <c r="BV227" s="591"/>
      <c r="BW227" s="591"/>
      <c r="BX227" s="591"/>
      <c r="BY227" s="591"/>
      <c r="BZ227" s="591"/>
      <c r="CA227" s="591"/>
      <c r="CB227" s="591"/>
      <c r="CC227" s="591"/>
      <c r="CD227" s="591"/>
      <c r="CE227" s="591"/>
      <c r="CF227" s="591"/>
    </row>
    <row r="228" spans="1:84">
      <c r="A228" s="590"/>
      <c r="B228" s="590"/>
      <c r="C228" s="590"/>
      <c r="D228" s="590"/>
      <c r="E228" s="590"/>
      <c r="F228" s="590"/>
      <c r="G228" s="590"/>
      <c r="H228" s="590"/>
      <c r="I228" s="590"/>
      <c r="J228" s="590"/>
      <c r="K228" s="590"/>
      <c r="L228" s="590"/>
      <c r="M228" s="590"/>
      <c r="N228" s="590"/>
      <c r="O228" s="590"/>
      <c r="P228" s="590"/>
      <c r="Q228" s="590"/>
      <c r="R228" s="590"/>
      <c r="S228" s="590"/>
      <c r="T228" s="590"/>
      <c r="U228" s="590"/>
      <c r="V228" s="590"/>
      <c r="W228" s="590"/>
      <c r="X228" s="590"/>
      <c r="Y228" s="590"/>
      <c r="Z228" s="590"/>
      <c r="AA228" s="590"/>
      <c r="AB228" s="590"/>
      <c r="AC228" s="590"/>
      <c r="AD228" s="590"/>
      <c r="AE228" s="590"/>
      <c r="AF228" s="590"/>
      <c r="AG228" s="590"/>
      <c r="AH228" s="590"/>
      <c r="AI228" s="590"/>
      <c r="AJ228" s="590"/>
      <c r="AK228" s="590"/>
      <c r="AL228" s="590"/>
      <c r="AM228" s="590"/>
      <c r="AN228" s="590"/>
      <c r="AO228" s="590"/>
      <c r="AP228" s="590"/>
      <c r="AQ228" s="590"/>
      <c r="AR228" s="590"/>
      <c r="AS228" s="590"/>
      <c r="AT228" s="590"/>
      <c r="AU228" s="590"/>
      <c r="AV228" s="590"/>
      <c r="AW228" s="590"/>
      <c r="AX228" s="590"/>
      <c r="AY228" s="590"/>
      <c r="AZ228" s="590"/>
      <c r="BA228" s="590"/>
      <c r="BB228" s="590"/>
      <c r="BC228" s="590"/>
      <c r="BD228" s="590"/>
      <c r="BE228" s="590"/>
      <c r="BF228" s="590"/>
      <c r="BG228" s="590"/>
      <c r="BH228" s="590"/>
      <c r="BI228" s="590"/>
      <c r="BJ228" s="590"/>
      <c r="BK228" s="591"/>
      <c r="BL228" s="591"/>
      <c r="BM228" s="591"/>
      <c r="BN228" s="591"/>
      <c r="BO228" s="591"/>
      <c r="BP228" s="591"/>
      <c r="BQ228" s="591"/>
      <c r="BR228" s="591"/>
      <c r="BS228" s="591"/>
      <c r="BT228" s="591"/>
      <c r="BU228" s="591"/>
      <c r="BV228" s="591"/>
      <c r="BW228" s="591"/>
      <c r="BX228" s="591"/>
      <c r="BY228" s="591"/>
      <c r="BZ228" s="591"/>
      <c r="CA228" s="591"/>
      <c r="CB228" s="591"/>
      <c r="CC228" s="591"/>
      <c r="CD228" s="591"/>
      <c r="CE228" s="591"/>
      <c r="CF228" s="591"/>
    </row>
    <row r="229" spans="1:84">
      <c r="A229" s="590"/>
      <c r="B229" s="590"/>
      <c r="C229" s="590"/>
      <c r="D229" s="590"/>
      <c r="E229" s="590"/>
      <c r="F229" s="590"/>
      <c r="G229" s="590"/>
      <c r="H229" s="590"/>
      <c r="I229" s="590"/>
      <c r="J229" s="590"/>
      <c r="K229" s="590"/>
      <c r="L229" s="590"/>
      <c r="M229" s="590"/>
      <c r="N229" s="590"/>
      <c r="O229" s="590"/>
      <c r="P229" s="590"/>
      <c r="Q229" s="590"/>
      <c r="R229" s="590"/>
      <c r="S229" s="590"/>
      <c r="T229" s="590"/>
      <c r="U229" s="590"/>
      <c r="V229" s="590"/>
      <c r="W229" s="590"/>
      <c r="X229" s="590"/>
      <c r="Y229" s="590"/>
      <c r="Z229" s="590"/>
      <c r="AA229" s="590"/>
      <c r="AB229" s="590"/>
      <c r="AC229" s="590"/>
      <c r="AD229" s="590"/>
      <c r="AE229" s="590"/>
      <c r="AF229" s="590"/>
      <c r="AG229" s="590"/>
      <c r="AH229" s="590"/>
      <c r="AI229" s="590"/>
      <c r="AJ229" s="590"/>
      <c r="AK229" s="590"/>
      <c r="AL229" s="590"/>
      <c r="AM229" s="590"/>
      <c r="AN229" s="590"/>
      <c r="AO229" s="590"/>
      <c r="AP229" s="590"/>
      <c r="AQ229" s="590"/>
      <c r="AR229" s="590"/>
      <c r="AS229" s="590"/>
      <c r="AT229" s="590"/>
      <c r="AU229" s="590"/>
      <c r="AV229" s="590"/>
      <c r="AW229" s="590"/>
      <c r="AX229" s="590"/>
      <c r="AY229" s="590"/>
      <c r="AZ229" s="590"/>
      <c r="BA229" s="590"/>
      <c r="BB229" s="590"/>
      <c r="BC229" s="590"/>
      <c r="BD229" s="590"/>
      <c r="BE229" s="590"/>
      <c r="BF229" s="590"/>
      <c r="BG229" s="590"/>
      <c r="BH229" s="590"/>
      <c r="BI229" s="590"/>
      <c r="BJ229" s="590"/>
      <c r="BK229" s="591"/>
      <c r="BL229" s="591"/>
      <c r="BM229" s="591"/>
      <c r="BN229" s="591"/>
      <c r="BO229" s="591"/>
      <c r="BP229" s="591"/>
      <c r="BQ229" s="591"/>
      <c r="BR229" s="591"/>
      <c r="BS229" s="591"/>
      <c r="BT229" s="591"/>
      <c r="BU229" s="591"/>
      <c r="BV229" s="591"/>
      <c r="BW229" s="591"/>
      <c r="BX229" s="591"/>
      <c r="BY229" s="591"/>
      <c r="BZ229" s="591"/>
      <c r="CA229" s="591"/>
      <c r="CB229" s="591"/>
      <c r="CC229" s="591"/>
      <c r="CD229" s="591"/>
      <c r="CE229" s="591"/>
      <c r="CF229" s="591"/>
    </row>
    <row r="230" spans="1:84">
      <c r="A230" s="590"/>
      <c r="B230" s="590"/>
      <c r="C230" s="590"/>
      <c r="D230" s="590"/>
      <c r="E230" s="590"/>
      <c r="F230" s="590"/>
      <c r="G230" s="590"/>
      <c r="H230" s="590"/>
      <c r="I230" s="590"/>
      <c r="J230" s="590"/>
      <c r="K230" s="590"/>
      <c r="L230" s="590"/>
      <c r="M230" s="590"/>
      <c r="N230" s="590"/>
      <c r="O230" s="590"/>
      <c r="P230" s="590"/>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0"/>
      <c r="AQ230" s="590"/>
      <c r="AR230" s="590"/>
      <c r="AS230" s="590"/>
      <c r="AT230" s="590"/>
      <c r="AU230" s="590"/>
      <c r="AV230" s="590"/>
      <c r="AW230" s="590"/>
      <c r="AX230" s="590"/>
      <c r="AY230" s="590"/>
      <c r="AZ230" s="590"/>
      <c r="BA230" s="590"/>
      <c r="BB230" s="590"/>
      <c r="BC230" s="590"/>
      <c r="BD230" s="590"/>
      <c r="BE230" s="590"/>
      <c r="BF230" s="590"/>
      <c r="BG230" s="590"/>
      <c r="BH230" s="590"/>
      <c r="BI230" s="590"/>
      <c r="BJ230" s="590"/>
      <c r="BK230" s="591"/>
      <c r="BL230" s="591"/>
      <c r="BM230" s="591"/>
      <c r="BN230" s="591"/>
      <c r="BO230" s="591"/>
      <c r="BP230" s="591"/>
      <c r="BQ230" s="591"/>
      <c r="BR230" s="591"/>
      <c r="BS230" s="591"/>
      <c r="BT230" s="591"/>
      <c r="BU230" s="591"/>
      <c r="BV230" s="591"/>
      <c r="BW230" s="591"/>
      <c r="BX230" s="591"/>
      <c r="BY230" s="591"/>
      <c r="BZ230" s="591"/>
      <c r="CA230" s="591"/>
      <c r="CB230" s="591"/>
      <c r="CC230" s="591"/>
      <c r="CD230" s="591"/>
      <c r="CE230" s="591"/>
      <c r="CF230" s="591"/>
    </row>
    <row r="231" spans="1:84">
      <c r="A231" s="590"/>
      <c r="B231" s="590"/>
      <c r="C231" s="590"/>
      <c r="D231" s="590"/>
      <c r="E231" s="590"/>
      <c r="F231" s="590"/>
      <c r="G231" s="590"/>
      <c r="H231" s="590"/>
      <c r="I231" s="590"/>
      <c r="J231" s="590"/>
      <c r="K231" s="590"/>
      <c r="L231" s="590"/>
      <c r="M231" s="590"/>
      <c r="N231" s="590"/>
      <c r="O231" s="590"/>
      <c r="P231" s="590"/>
      <c r="Q231" s="590"/>
      <c r="R231" s="590"/>
      <c r="S231" s="590"/>
      <c r="T231" s="590"/>
      <c r="U231" s="590"/>
      <c r="V231" s="590"/>
      <c r="W231" s="590"/>
      <c r="X231" s="590"/>
      <c r="Y231" s="590"/>
      <c r="Z231" s="590"/>
      <c r="AA231" s="590"/>
      <c r="AB231" s="590"/>
      <c r="AC231" s="590"/>
      <c r="AD231" s="590"/>
      <c r="AE231" s="590"/>
      <c r="AF231" s="590"/>
      <c r="AG231" s="590"/>
      <c r="AH231" s="590"/>
      <c r="AI231" s="590"/>
      <c r="AJ231" s="590"/>
      <c r="AK231" s="590"/>
      <c r="AL231" s="590"/>
      <c r="AM231" s="590"/>
      <c r="AN231" s="590"/>
      <c r="AO231" s="590"/>
      <c r="AP231" s="590"/>
      <c r="AQ231" s="590"/>
      <c r="AR231" s="590"/>
      <c r="AS231" s="590"/>
      <c r="AT231" s="590"/>
      <c r="AU231" s="590"/>
      <c r="AV231" s="590"/>
      <c r="AW231" s="590"/>
      <c r="AX231" s="590"/>
      <c r="AY231" s="590"/>
      <c r="AZ231" s="590"/>
      <c r="BA231" s="590"/>
      <c r="BB231" s="590"/>
      <c r="BC231" s="590"/>
      <c r="BD231" s="590"/>
      <c r="BE231" s="590"/>
      <c r="BF231" s="590"/>
      <c r="BG231" s="590"/>
      <c r="BH231" s="590"/>
      <c r="BI231" s="590"/>
      <c r="BJ231" s="590"/>
      <c r="BK231" s="591"/>
      <c r="BL231" s="591"/>
      <c r="BM231" s="591"/>
      <c r="BN231" s="591"/>
      <c r="BO231" s="591"/>
      <c r="BP231" s="591"/>
      <c r="BQ231" s="591"/>
      <c r="BR231" s="591"/>
      <c r="BS231" s="591"/>
      <c r="BT231" s="591"/>
      <c r="BU231" s="591"/>
      <c r="BV231" s="591"/>
      <c r="BW231" s="591"/>
      <c r="BX231" s="591"/>
      <c r="BY231" s="591"/>
      <c r="BZ231" s="591"/>
      <c r="CA231" s="591"/>
      <c r="CB231" s="591"/>
      <c r="CC231" s="591"/>
      <c r="CD231" s="591"/>
      <c r="CE231" s="591"/>
      <c r="CF231" s="591"/>
    </row>
    <row r="232" spans="1:84">
      <c r="A232" s="590"/>
      <c r="B232" s="590"/>
      <c r="C232" s="590"/>
      <c r="D232" s="590"/>
      <c r="E232" s="590"/>
      <c r="F232" s="590"/>
      <c r="G232" s="590"/>
      <c r="H232" s="590"/>
      <c r="I232" s="590"/>
      <c r="J232" s="590"/>
      <c r="K232" s="590"/>
      <c r="L232" s="590"/>
      <c r="M232" s="590"/>
      <c r="N232" s="590"/>
      <c r="O232" s="590"/>
      <c r="P232" s="590"/>
      <c r="Q232" s="590"/>
      <c r="R232" s="590"/>
      <c r="S232" s="590"/>
      <c r="T232" s="590"/>
      <c r="U232" s="590"/>
      <c r="V232" s="590"/>
      <c r="W232" s="590"/>
      <c r="X232" s="590"/>
      <c r="Y232" s="590"/>
      <c r="Z232" s="590"/>
      <c r="AA232" s="590"/>
      <c r="AB232" s="590"/>
      <c r="AC232" s="590"/>
      <c r="AD232" s="590"/>
      <c r="AE232" s="590"/>
      <c r="AF232" s="590"/>
      <c r="AG232" s="590"/>
      <c r="AH232" s="590"/>
      <c r="AI232" s="590"/>
      <c r="AJ232" s="590"/>
      <c r="AK232" s="590"/>
      <c r="AL232" s="590"/>
      <c r="AM232" s="590"/>
      <c r="AN232" s="590"/>
      <c r="AO232" s="590"/>
      <c r="AP232" s="590"/>
      <c r="AQ232" s="590"/>
      <c r="AR232" s="590"/>
      <c r="AS232" s="590"/>
      <c r="AT232" s="590"/>
      <c r="AU232" s="590"/>
      <c r="AV232" s="590"/>
      <c r="AW232" s="590"/>
      <c r="AX232" s="590"/>
      <c r="AY232" s="590"/>
      <c r="AZ232" s="590"/>
      <c r="BA232" s="590"/>
      <c r="BB232" s="590"/>
      <c r="BC232" s="590"/>
      <c r="BD232" s="590"/>
      <c r="BE232" s="590"/>
      <c r="BF232" s="590"/>
      <c r="BG232" s="590"/>
      <c r="BH232" s="590"/>
      <c r="BI232" s="590"/>
      <c r="BJ232" s="590"/>
      <c r="BK232" s="591"/>
      <c r="BL232" s="591"/>
      <c r="BM232" s="591"/>
      <c r="BN232" s="591"/>
      <c r="BO232" s="591"/>
      <c r="BP232" s="591"/>
      <c r="BQ232" s="591"/>
      <c r="BR232" s="591"/>
      <c r="BS232" s="591"/>
      <c r="BT232" s="591"/>
      <c r="BU232" s="591"/>
      <c r="BV232" s="591"/>
      <c r="BW232" s="591"/>
      <c r="BX232" s="591"/>
      <c r="BY232" s="591"/>
      <c r="BZ232" s="591"/>
      <c r="CA232" s="591"/>
      <c r="CB232" s="591"/>
      <c r="CC232" s="591"/>
      <c r="CD232" s="591"/>
      <c r="CE232" s="591"/>
      <c r="CF232" s="591"/>
    </row>
    <row r="233" spans="1:84">
      <c r="A233" s="590"/>
      <c r="B233" s="590"/>
      <c r="C233" s="590"/>
      <c r="D233" s="590"/>
      <c r="E233" s="590"/>
      <c r="F233" s="590"/>
      <c r="G233" s="590"/>
      <c r="H233" s="590"/>
      <c r="I233" s="590"/>
      <c r="J233" s="590"/>
      <c r="K233" s="590"/>
      <c r="L233" s="590"/>
      <c r="M233" s="590"/>
      <c r="N233" s="590"/>
      <c r="O233" s="590"/>
      <c r="P233" s="590"/>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0"/>
      <c r="AQ233" s="590"/>
      <c r="AR233" s="590"/>
      <c r="AS233" s="590"/>
      <c r="AT233" s="590"/>
      <c r="AU233" s="590"/>
      <c r="AV233" s="590"/>
      <c r="AW233" s="590"/>
      <c r="AX233" s="590"/>
      <c r="AY233" s="590"/>
      <c r="AZ233" s="590"/>
      <c r="BA233" s="590"/>
      <c r="BB233" s="590"/>
      <c r="BC233" s="590"/>
      <c r="BD233" s="590"/>
      <c r="BE233" s="590"/>
      <c r="BF233" s="590"/>
      <c r="BG233" s="590"/>
      <c r="BH233" s="590"/>
      <c r="BI233" s="590"/>
      <c r="BJ233" s="590"/>
      <c r="BK233" s="591"/>
      <c r="BL233" s="591"/>
      <c r="BM233" s="591"/>
      <c r="BN233" s="591"/>
      <c r="BO233" s="591"/>
      <c r="BP233" s="591"/>
      <c r="BQ233" s="591"/>
      <c r="BR233" s="591"/>
      <c r="BS233" s="591"/>
      <c r="BT233" s="591"/>
      <c r="BU233" s="591"/>
      <c r="BV233" s="591"/>
      <c r="BW233" s="591"/>
      <c r="BX233" s="591"/>
      <c r="BY233" s="591"/>
      <c r="BZ233" s="591"/>
      <c r="CA233" s="591"/>
      <c r="CB233" s="591"/>
      <c r="CC233" s="591"/>
      <c r="CD233" s="591"/>
      <c r="CE233" s="591"/>
      <c r="CF233" s="591"/>
    </row>
    <row r="234" spans="1:84">
      <c r="A234" s="590"/>
      <c r="B234" s="590"/>
      <c r="C234" s="590"/>
      <c r="D234" s="590"/>
      <c r="E234" s="590"/>
      <c r="F234" s="590"/>
      <c r="G234" s="590"/>
      <c r="H234" s="590"/>
      <c r="I234" s="590"/>
      <c r="J234" s="590"/>
      <c r="K234" s="590"/>
      <c r="L234" s="590"/>
      <c r="M234" s="590"/>
      <c r="N234" s="590"/>
      <c r="O234" s="590"/>
      <c r="P234" s="590"/>
      <c r="Q234" s="590"/>
      <c r="R234" s="590"/>
      <c r="S234" s="590"/>
      <c r="T234" s="590"/>
      <c r="U234" s="590"/>
      <c r="V234" s="590"/>
      <c r="W234" s="590"/>
      <c r="X234" s="590"/>
      <c r="Y234" s="590"/>
      <c r="Z234" s="590"/>
      <c r="AA234" s="590"/>
      <c r="AB234" s="590"/>
      <c r="AC234" s="590"/>
      <c r="AD234" s="590"/>
      <c r="AE234" s="590"/>
      <c r="AF234" s="590"/>
      <c r="AG234" s="590"/>
      <c r="AH234" s="590"/>
      <c r="AI234" s="590"/>
      <c r="AJ234" s="590"/>
      <c r="AK234" s="590"/>
      <c r="AL234" s="590"/>
      <c r="AM234" s="590"/>
      <c r="AN234" s="590"/>
      <c r="AO234" s="590"/>
      <c r="AP234" s="590"/>
      <c r="AQ234" s="590"/>
      <c r="AR234" s="590"/>
      <c r="AS234" s="590"/>
      <c r="AT234" s="590"/>
      <c r="AU234" s="590"/>
      <c r="AV234" s="590"/>
      <c r="AW234" s="590"/>
      <c r="AX234" s="590"/>
      <c r="AY234" s="590"/>
      <c r="AZ234" s="590"/>
      <c r="BA234" s="590"/>
      <c r="BB234" s="590"/>
      <c r="BC234" s="590"/>
      <c r="BD234" s="590"/>
      <c r="BE234" s="590"/>
      <c r="BF234" s="590"/>
      <c r="BG234" s="590"/>
      <c r="BH234" s="590"/>
      <c r="BI234" s="590"/>
      <c r="BJ234" s="590"/>
      <c r="BK234" s="591"/>
      <c r="BL234" s="591"/>
      <c r="BM234" s="591"/>
      <c r="BN234" s="591"/>
      <c r="BO234" s="591"/>
      <c r="BP234" s="591"/>
      <c r="BQ234" s="591"/>
      <c r="BR234" s="591"/>
      <c r="BS234" s="591"/>
      <c r="BT234" s="591"/>
      <c r="BU234" s="591"/>
      <c r="BV234" s="591"/>
      <c r="BW234" s="591"/>
      <c r="BX234" s="591"/>
      <c r="BY234" s="591"/>
      <c r="BZ234" s="591"/>
      <c r="CA234" s="591"/>
      <c r="CB234" s="591"/>
      <c r="CC234" s="591"/>
      <c r="CD234" s="591"/>
      <c r="CE234" s="591"/>
      <c r="CF234" s="591"/>
    </row>
    <row r="235" spans="1:84">
      <c r="A235" s="590"/>
      <c r="B235" s="590"/>
      <c r="C235" s="590"/>
      <c r="D235" s="590"/>
      <c r="E235" s="590"/>
      <c r="F235" s="590"/>
      <c r="G235" s="590"/>
      <c r="H235" s="590"/>
      <c r="I235" s="590"/>
      <c r="J235" s="590"/>
      <c r="K235" s="590"/>
      <c r="L235" s="590"/>
      <c r="M235" s="590"/>
      <c r="N235" s="590"/>
      <c r="O235" s="590"/>
      <c r="P235" s="590"/>
      <c r="Q235" s="590"/>
      <c r="R235" s="590"/>
      <c r="S235" s="590"/>
      <c r="T235" s="590"/>
      <c r="U235" s="590"/>
      <c r="V235" s="590"/>
      <c r="W235" s="590"/>
      <c r="X235" s="590"/>
      <c r="Y235" s="590"/>
      <c r="Z235" s="590"/>
      <c r="AA235" s="590"/>
      <c r="AB235" s="590"/>
      <c r="AC235" s="590"/>
      <c r="AD235" s="590"/>
      <c r="AE235" s="590"/>
      <c r="AF235" s="590"/>
      <c r="AG235" s="590"/>
      <c r="AH235" s="590"/>
      <c r="AI235" s="590"/>
      <c r="AJ235" s="590"/>
      <c r="AK235" s="590"/>
      <c r="AL235" s="590"/>
      <c r="AM235" s="590"/>
      <c r="AN235" s="590"/>
      <c r="AO235" s="590"/>
      <c r="AP235" s="590"/>
      <c r="AQ235" s="590"/>
      <c r="AR235" s="590"/>
      <c r="AS235" s="590"/>
      <c r="AT235" s="590"/>
      <c r="AU235" s="590"/>
      <c r="AV235" s="590"/>
      <c r="AW235" s="590"/>
      <c r="AX235" s="590"/>
      <c r="AY235" s="590"/>
      <c r="AZ235" s="590"/>
      <c r="BA235" s="590"/>
      <c r="BB235" s="590"/>
      <c r="BC235" s="590"/>
      <c r="BD235" s="590"/>
      <c r="BE235" s="590"/>
      <c r="BF235" s="590"/>
      <c r="BG235" s="590"/>
      <c r="BH235" s="590"/>
      <c r="BI235" s="590"/>
      <c r="BJ235" s="590"/>
      <c r="BK235" s="591"/>
      <c r="BL235" s="591"/>
      <c r="BM235" s="591"/>
      <c r="BN235" s="591"/>
      <c r="BO235" s="591"/>
      <c r="BP235" s="591"/>
      <c r="BQ235" s="591"/>
      <c r="BR235" s="591"/>
      <c r="BS235" s="591"/>
      <c r="BT235" s="591"/>
      <c r="BU235" s="591"/>
      <c r="BV235" s="591"/>
      <c r="BW235" s="591"/>
      <c r="BX235" s="591"/>
      <c r="BY235" s="591"/>
      <c r="BZ235" s="591"/>
      <c r="CA235" s="591"/>
      <c r="CB235" s="591"/>
      <c r="CC235" s="591"/>
      <c r="CD235" s="591"/>
      <c r="CE235" s="591"/>
      <c r="CF235" s="591"/>
    </row>
    <row r="236" spans="1:84">
      <c r="A236" s="590"/>
      <c r="B236" s="590"/>
      <c r="C236" s="590"/>
      <c r="D236" s="590"/>
      <c r="E236" s="590"/>
      <c r="F236" s="590"/>
      <c r="G236" s="590"/>
      <c r="H236" s="590"/>
      <c r="I236" s="590"/>
      <c r="J236" s="590"/>
      <c r="K236" s="590"/>
      <c r="L236" s="590"/>
      <c r="M236" s="590"/>
      <c r="N236" s="590"/>
      <c r="O236" s="590"/>
      <c r="P236" s="590"/>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0"/>
      <c r="AQ236" s="590"/>
      <c r="AR236" s="590"/>
      <c r="AS236" s="590"/>
      <c r="AT236" s="590"/>
      <c r="AU236" s="590"/>
      <c r="AV236" s="590"/>
      <c r="AW236" s="590"/>
      <c r="AX236" s="590"/>
      <c r="AY236" s="590"/>
      <c r="AZ236" s="590"/>
      <c r="BA236" s="590"/>
      <c r="BB236" s="590"/>
      <c r="BC236" s="590"/>
      <c r="BD236" s="590"/>
      <c r="BE236" s="590"/>
      <c r="BF236" s="590"/>
      <c r="BG236" s="590"/>
      <c r="BH236" s="590"/>
      <c r="BI236" s="590"/>
      <c r="BJ236" s="590"/>
      <c r="BK236" s="591"/>
      <c r="BL236" s="591"/>
      <c r="BM236" s="591"/>
      <c r="BN236" s="591"/>
      <c r="BO236" s="591"/>
      <c r="BP236" s="591"/>
      <c r="BQ236" s="591"/>
      <c r="BR236" s="591"/>
      <c r="BS236" s="591"/>
      <c r="BT236" s="591"/>
      <c r="BU236" s="591"/>
      <c r="BV236" s="591"/>
      <c r="BW236" s="591"/>
      <c r="BX236" s="591"/>
      <c r="BY236" s="591"/>
      <c r="BZ236" s="591"/>
      <c r="CA236" s="591"/>
      <c r="CB236" s="591"/>
      <c r="CC236" s="591"/>
      <c r="CD236" s="591"/>
      <c r="CE236" s="591"/>
      <c r="CF236" s="591"/>
    </row>
    <row r="237" spans="1:84">
      <c r="A237" s="590"/>
      <c r="B237" s="590"/>
      <c r="C237" s="590"/>
      <c r="D237" s="590"/>
      <c r="E237" s="590"/>
      <c r="F237" s="590"/>
      <c r="G237" s="590"/>
      <c r="H237" s="590"/>
      <c r="I237" s="590"/>
      <c r="J237" s="590"/>
      <c r="K237" s="590"/>
      <c r="L237" s="590"/>
      <c r="M237" s="590"/>
      <c r="N237" s="590"/>
      <c r="O237" s="590"/>
      <c r="P237" s="590"/>
      <c r="Q237" s="590"/>
      <c r="R237" s="590"/>
      <c r="S237" s="590"/>
      <c r="T237" s="590"/>
      <c r="U237" s="590"/>
      <c r="V237" s="590"/>
      <c r="W237" s="590"/>
      <c r="X237" s="590"/>
      <c r="Y237" s="590"/>
      <c r="Z237" s="590"/>
      <c r="AA237" s="590"/>
      <c r="AB237" s="590"/>
      <c r="AC237" s="590"/>
      <c r="AD237" s="590"/>
      <c r="AE237" s="590"/>
      <c r="AF237" s="590"/>
      <c r="AG237" s="590"/>
      <c r="AH237" s="590"/>
      <c r="AI237" s="590"/>
      <c r="AJ237" s="590"/>
      <c r="AK237" s="590"/>
      <c r="AL237" s="590"/>
      <c r="AM237" s="590"/>
      <c r="AN237" s="590"/>
      <c r="AO237" s="590"/>
      <c r="AP237" s="590"/>
      <c r="AQ237" s="590"/>
      <c r="AR237" s="590"/>
      <c r="AS237" s="590"/>
      <c r="AT237" s="590"/>
      <c r="AU237" s="590"/>
      <c r="AV237" s="590"/>
      <c r="AW237" s="590"/>
      <c r="AX237" s="590"/>
      <c r="AY237" s="590"/>
      <c r="AZ237" s="590"/>
      <c r="BA237" s="590"/>
      <c r="BB237" s="590"/>
      <c r="BC237" s="590"/>
      <c r="BD237" s="590"/>
      <c r="BE237" s="590"/>
      <c r="BF237" s="590"/>
      <c r="BG237" s="590"/>
      <c r="BH237" s="590"/>
      <c r="BI237" s="590"/>
      <c r="BJ237" s="590"/>
      <c r="BK237" s="591"/>
      <c r="BL237" s="591"/>
      <c r="BM237" s="591"/>
      <c r="BN237" s="591"/>
      <c r="BO237" s="591"/>
      <c r="BP237" s="591"/>
      <c r="BQ237" s="591"/>
      <c r="BR237" s="591"/>
      <c r="BS237" s="591"/>
      <c r="BT237" s="591"/>
      <c r="BU237" s="591"/>
      <c r="BV237" s="591"/>
      <c r="BW237" s="591"/>
      <c r="BX237" s="591"/>
      <c r="BY237" s="591"/>
      <c r="BZ237" s="591"/>
      <c r="CA237" s="591"/>
      <c r="CB237" s="591"/>
      <c r="CC237" s="591"/>
      <c r="CD237" s="591"/>
      <c r="CE237" s="591"/>
      <c r="CF237" s="591"/>
    </row>
    <row r="238" spans="1:84">
      <c r="A238" s="590"/>
      <c r="B238" s="590"/>
      <c r="C238" s="590"/>
      <c r="D238" s="590"/>
      <c r="E238" s="590"/>
      <c r="F238" s="590"/>
      <c r="G238" s="590"/>
      <c r="H238" s="590"/>
      <c r="I238" s="590"/>
      <c r="J238" s="590"/>
      <c r="K238" s="590"/>
      <c r="L238" s="590"/>
      <c r="M238" s="590"/>
      <c r="N238" s="590"/>
      <c r="O238" s="590"/>
      <c r="P238" s="590"/>
      <c r="Q238" s="590"/>
      <c r="R238" s="590"/>
      <c r="S238" s="590"/>
      <c r="T238" s="590"/>
      <c r="U238" s="590"/>
      <c r="V238" s="590"/>
      <c r="W238" s="590"/>
      <c r="X238" s="590"/>
      <c r="Y238" s="590"/>
      <c r="Z238" s="590"/>
      <c r="AA238" s="590"/>
      <c r="AB238" s="590"/>
      <c r="AC238" s="590"/>
      <c r="AD238" s="590"/>
      <c r="AE238" s="590"/>
      <c r="AF238" s="590"/>
      <c r="AG238" s="590"/>
      <c r="AH238" s="590"/>
      <c r="AI238" s="590"/>
      <c r="AJ238" s="590"/>
      <c r="AK238" s="590"/>
      <c r="AL238" s="590"/>
      <c r="AM238" s="590"/>
      <c r="AN238" s="590"/>
      <c r="AO238" s="590"/>
      <c r="AP238" s="590"/>
      <c r="AQ238" s="590"/>
      <c r="AR238" s="590"/>
      <c r="AS238" s="590"/>
      <c r="AT238" s="590"/>
      <c r="AU238" s="590"/>
      <c r="AV238" s="590"/>
      <c r="AW238" s="590"/>
      <c r="AX238" s="590"/>
      <c r="AY238" s="590"/>
      <c r="AZ238" s="590"/>
      <c r="BA238" s="590"/>
      <c r="BB238" s="590"/>
      <c r="BC238" s="590"/>
      <c r="BD238" s="590"/>
      <c r="BE238" s="590"/>
      <c r="BF238" s="590"/>
      <c r="BG238" s="590"/>
      <c r="BH238" s="590"/>
      <c r="BI238" s="590"/>
      <c r="BJ238" s="590"/>
      <c r="BK238" s="591"/>
      <c r="BL238" s="591"/>
      <c r="BM238" s="591"/>
      <c r="BN238" s="591"/>
      <c r="BO238" s="591"/>
      <c r="BP238" s="591"/>
      <c r="BQ238" s="591"/>
      <c r="BR238" s="591"/>
      <c r="BS238" s="591"/>
      <c r="BT238" s="591"/>
      <c r="BU238" s="591"/>
      <c r="BV238" s="591"/>
      <c r="BW238" s="591"/>
      <c r="BX238" s="591"/>
      <c r="BY238" s="591"/>
      <c r="BZ238" s="591"/>
      <c r="CA238" s="591"/>
      <c r="CB238" s="591"/>
      <c r="CC238" s="591"/>
      <c r="CD238" s="591"/>
      <c r="CE238" s="591"/>
      <c r="CF238" s="591"/>
    </row>
    <row r="239" spans="1:84">
      <c r="A239" s="590"/>
      <c r="B239" s="590"/>
      <c r="C239" s="590"/>
      <c r="D239" s="590"/>
      <c r="E239" s="590"/>
      <c r="F239" s="590"/>
      <c r="G239" s="590"/>
      <c r="H239" s="590"/>
      <c r="I239" s="590"/>
      <c r="J239" s="590"/>
      <c r="K239" s="590"/>
      <c r="L239" s="590"/>
      <c r="M239" s="590"/>
      <c r="N239" s="590"/>
      <c r="O239" s="590"/>
      <c r="P239" s="590"/>
      <c r="Q239" s="590"/>
      <c r="R239" s="590"/>
      <c r="S239" s="590"/>
      <c r="T239" s="590"/>
      <c r="U239" s="590"/>
      <c r="V239" s="590"/>
      <c r="W239" s="590"/>
      <c r="X239" s="590"/>
      <c r="Y239" s="590"/>
      <c r="Z239" s="590"/>
      <c r="AA239" s="590"/>
      <c r="AB239" s="590"/>
      <c r="AC239" s="590"/>
      <c r="AD239" s="590"/>
      <c r="AE239" s="590"/>
      <c r="AF239" s="590"/>
      <c r="AG239" s="590"/>
      <c r="AH239" s="590"/>
      <c r="AI239" s="590"/>
      <c r="AJ239" s="590"/>
      <c r="AK239" s="590"/>
      <c r="AL239" s="590"/>
      <c r="AM239" s="590"/>
      <c r="AN239" s="590"/>
      <c r="AO239" s="590"/>
      <c r="AP239" s="590"/>
      <c r="AQ239" s="590"/>
      <c r="AR239" s="590"/>
      <c r="AS239" s="590"/>
      <c r="AT239" s="590"/>
      <c r="AU239" s="590"/>
      <c r="AV239" s="590"/>
      <c r="AW239" s="590"/>
      <c r="AX239" s="590"/>
      <c r="AY239" s="590"/>
      <c r="AZ239" s="590"/>
      <c r="BA239" s="590"/>
      <c r="BB239" s="590"/>
      <c r="BC239" s="590"/>
      <c r="BD239" s="590"/>
      <c r="BE239" s="590"/>
      <c r="BF239" s="590"/>
      <c r="BG239" s="590"/>
      <c r="BH239" s="590"/>
      <c r="BI239" s="590"/>
      <c r="BJ239" s="590"/>
      <c r="BK239" s="591"/>
      <c r="BL239" s="591"/>
      <c r="BM239" s="591"/>
      <c r="BN239" s="591"/>
      <c r="BO239" s="591"/>
      <c r="BP239" s="591"/>
      <c r="BQ239" s="591"/>
      <c r="BR239" s="591"/>
      <c r="BS239" s="591"/>
      <c r="BT239" s="591"/>
      <c r="BU239" s="591"/>
      <c r="BV239" s="591"/>
      <c r="BW239" s="591"/>
      <c r="BX239" s="591"/>
      <c r="BY239" s="591"/>
      <c r="BZ239" s="591"/>
      <c r="CA239" s="591"/>
      <c r="CB239" s="591"/>
      <c r="CC239" s="591"/>
      <c r="CD239" s="591"/>
      <c r="CE239" s="591"/>
      <c r="CF239" s="591"/>
    </row>
    <row r="240" spans="1:84">
      <c r="A240" s="590"/>
      <c r="B240" s="590"/>
      <c r="C240" s="590"/>
      <c r="D240" s="590"/>
      <c r="E240" s="590"/>
      <c r="F240" s="590"/>
      <c r="G240" s="590"/>
      <c r="H240" s="590"/>
      <c r="I240" s="590"/>
      <c r="J240" s="590"/>
      <c r="K240" s="590"/>
      <c r="L240" s="590"/>
      <c r="M240" s="590"/>
      <c r="N240" s="590"/>
      <c r="O240" s="590"/>
      <c r="P240" s="590"/>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0"/>
      <c r="AQ240" s="590"/>
      <c r="AR240" s="590"/>
      <c r="AS240" s="590"/>
      <c r="AT240" s="590"/>
      <c r="AU240" s="590"/>
      <c r="AV240" s="590"/>
      <c r="AW240" s="590"/>
      <c r="AX240" s="590"/>
      <c r="AY240" s="590"/>
      <c r="AZ240" s="590"/>
      <c r="BA240" s="590"/>
      <c r="BB240" s="590"/>
      <c r="BC240" s="590"/>
      <c r="BD240" s="590"/>
      <c r="BE240" s="590"/>
      <c r="BF240" s="590"/>
      <c r="BG240" s="590"/>
      <c r="BH240" s="590"/>
      <c r="BI240" s="590"/>
      <c r="BJ240" s="590"/>
      <c r="BK240" s="591"/>
      <c r="BL240" s="591"/>
      <c r="BM240" s="591"/>
      <c r="BN240" s="591"/>
      <c r="BO240" s="591"/>
      <c r="BP240" s="591"/>
      <c r="BQ240" s="591"/>
      <c r="BR240" s="591"/>
      <c r="BS240" s="591"/>
      <c r="BT240" s="591"/>
      <c r="BU240" s="591"/>
      <c r="BV240" s="591"/>
      <c r="BW240" s="591"/>
      <c r="BX240" s="591"/>
      <c r="BY240" s="591"/>
      <c r="BZ240" s="591"/>
      <c r="CA240" s="591"/>
      <c r="CB240" s="591"/>
      <c r="CC240" s="591"/>
      <c r="CD240" s="591"/>
      <c r="CE240" s="591"/>
      <c r="CF240" s="591"/>
    </row>
    <row r="241" spans="1:84">
      <c r="A241" s="590"/>
      <c r="B241" s="590"/>
      <c r="C241" s="590"/>
      <c r="D241" s="590"/>
      <c r="E241" s="590"/>
      <c r="F241" s="590"/>
      <c r="G241" s="590"/>
      <c r="H241" s="590"/>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590"/>
      <c r="AY241" s="590"/>
      <c r="AZ241" s="590"/>
      <c r="BA241" s="590"/>
      <c r="BB241" s="590"/>
      <c r="BC241" s="590"/>
      <c r="BD241" s="590"/>
      <c r="BE241" s="590"/>
      <c r="BF241" s="590"/>
      <c r="BG241" s="590"/>
      <c r="BH241" s="590"/>
      <c r="BI241" s="590"/>
      <c r="BJ241" s="590"/>
      <c r="BK241" s="591"/>
      <c r="BL241" s="591"/>
      <c r="BM241" s="591"/>
      <c r="BN241" s="591"/>
      <c r="BO241" s="591"/>
      <c r="BP241" s="591"/>
      <c r="BQ241" s="591"/>
      <c r="BR241" s="591"/>
      <c r="BS241" s="591"/>
      <c r="BT241" s="591"/>
      <c r="BU241" s="591"/>
      <c r="BV241" s="591"/>
      <c r="BW241" s="591"/>
      <c r="BX241" s="591"/>
      <c r="BY241" s="591"/>
      <c r="BZ241" s="591"/>
      <c r="CA241" s="591"/>
      <c r="CB241" s="591"/>
      <c r="CC241" s="591"/>
      <c r="CD241" s="591"/>
      <c r="CE241" s="591"/>
      <c r="CF241" s="591"/>
    </row>
    <row r="242" spans="1:84">
      <c r="A242" s="590"/>
      <c r="B242" s="590"/>
      <c r="C242" s="590"/>
      <c r="D242" s="590"/>
      <c r="E242" s="590"/>
      <c r="F242" s="590"/>
      <c r="G242" s="590"/>
      <c r="H242" s="590"/>
      <c r="I242" s="590"/>
      <c r="J242" s="590"/>
      <c r="K242" s="590"/>
      <c r="L242" s="590"/>
      <c r="M242" s="590"/>
      <c r="N242" s="590"/>
      <c r="O242" s="590"/>
      <c r="P242" s="590"/>
      <c r="Q242" s="590"/>
      <c r="R242" s="590"/>
      <c r="S242" s="590"/>
      <c r="T242" s="590"/>
      <c r="U242" s="590"/>
      <c r="V242" s="590"/>
      <c r="W242" s="590"/>
      <c r="X242" s="590"/>
      <c r="Y242" s="590"/>
      <c r="Z242" s="590"/>
      <c r="AA242" s="590"/>
      <c r="AB242" s="590"/>
      <c r="AC242" s="590"/>
      <c r="AD242" s="590"/>
      <c r="AE242" s="590"/>
      <c r="AF242" s="590"/>
      <c r="AG242" s="590"/>
      <c r="AH242" s="590"/>
      <c r="AI242" s="590"/>
      <c r="AJ242" s="590"/>
      <c r="AK242" s="590"/>
      <c r="AL242" s="590"/>
      <c r="AM242" s="590"/>
      <c r="AN242" s="590"/>
      <c r="AO242" s="590"/>
      <c r="AP242" s="590"/>
      <c r="AQ242" s="590"/>
      <c r="AR242" s="590"/>
      <c r="AS242" s="590"/>
      <c r="AT242" s="590"/>
      <c r="AU242" s="590"/>
      <c r="AV242" s="590"/>
      <c r="AW242" s="590"/>
      <c r="AX242" s="590"/>
      <c r="AY242" s="590"/>
      <c r="AZ242" s="590"/>
      <c r="BA242" s="590"/>
      <c r="BB242" s="590"/>
      <c r="BC242" s="590"/>
      <c r="BD242" s="590"/>
      <c r="BE242" s="590"/>
      <c r="BF242" s="590"/>
      <c r="BG242" s="590"/>
      <c r="BH242" s="590"/>
      <c r="BI242" s="590"/>
      <c r="BJ242" s="590"/>
      <c r="BK242" s="591"/>
      <c r="BL242" s="591"/>
      <c r="BM242" s="591"/>
      <c r="BN242" s="591"/>
      <c r="BO242" s="591"/>
      <c r="BP242" s="591"/>
      <c r="BQ242" s="591"/>
      <c r="BR242" s="591"/>
      <c r="BS242" s="591"/>
      <c r="BT242" s="591"/>
      <c r="BU242" s="591"/>
      <c r="BV242" s="591"/>
      <c r="BW242" s="591"/>
      <c r="BX242" s="591"/>
      <c r="BY242" s="591"/>
      <c r="BZ242" s="591"/>
      <c r="CA242" s="591"/>
      <c r="CB242" s="591"/>
      <c r="CC242" s="591"/>
      <c r="CD242" s="591"/>
      <c r="CE242" s="591"/>
      <c r="CF242" s="591"/>
    </row>
    <row r="243" spans="1:84">
      <c r="A243" s="590"/>
      <c r="B243" s="590"/>
      <c r="C243" s="590"/>
      <c r="D243" s="590"/>
      <c r="E243" s="590"/>
      <c r="F243" s="590"/>
      <c r="G243" s="590"/>
      <c r="H243" s="590"/>
      <c r="I243" s="590"/>
      <c r="J243" s="590"/>
      <c r="K243" s="590"/>
      <c r="L243" s="590"/>
      <c r="M243" s="590"/>
      <c r="N243" s="590"/>
      <c r="O243" s="590"/>
      <c r="P243" s="590"/>
      <c r="Q243" s="590"/>
      <c r="R243" s="590"/>
      <c r="S243" s="590"/>
      <c r="T243" s="590"/>
      <c r="U243" s="590"/>
      <c r="V243" s="590"/>
      <c r="W243" s="590"/>
      <c r="X243" s="590"/>
      <c r="Y243" s="590"/>
      <c r="Z243" s="590"/>
      <c r="AA243" s="590"/>
      <c r="AB243" s="590"/>
      <c r="AC243" s="590"/>
      <c r="AD243" s="590"/>
      <c r="AE243" s="590"/>
      <c r="AF243" s="590"/>
      <c r="AG243" s="590"/>
      <c r="AH243" s="590"/>
      <c r="AI243" s="590"/>
      <c r="AJ243" s="590"/>
      <c r="AK243" s="590"/>
      <c r="AL243" s="590"/>
      <c r="AM243" s="590"/>
      <c r="AN243" s="590"/>
      <c r="AO243" s="590"/>
      <c r="AP243" s="590"/>
      <c r="AQ243" s="590"/>
      <c r="AR243" s="590"/>
      <c r="AS243" s="590"/>
      <c r="AT243" s="590"/>
      <c r="AU243" s="590"/>
      <c r="AV243" s="590"/>
      <c r="AW243" s="590"/>
      <c r="AX243" s="590"/>
      <c r="AY243" s="590"/>
      <c r="AZ243" s="590"/>
      <c r="BA243" s="590"/>
      <c r="BB243" s="590"/>
      <c r="BC243" s="590"/>
      <c r="BD243" s="590"/>
      <c r="BE243" s="590"/>
      <c r="BF243" s="590"/>
      <c r="BG243" s="590"/>
      <c r="BH243" s="590"/>
      <c r="BI243" s="590"/>
      <c r="BJ243" s="590"/>
      <c r="BK243" s="591"/>
      <c r="BL243" s="591"/>
      <c r="BM243" s="591"/>
      <c r="BN243" s="591"/>
      <c r="BO243" s="591"/>
      <c r="BP243" s="591"/>
      <c r="BQ243" s="591"/>
      <c r="BR243" s="591"/>
      <c r="BS243" s="591"/>
      <c r="BT243" s="591"/>
      <c r="BU243" s="591"/>
      <c r="BV243" s="591"/>
      <c r="BW243" s="591"/>
      <c r="BX243" s="591"/>
      <c r="BY243" s="591"/>
      <c r="BZ243" s="591"/>
      <c r="CA243" s="591"/>
      <c r="CB243" s="591"/>
      <c r="CC243" s="591"/>
      <c r="CD243" s="591"/>
      <c r="CE243" s="591"/>
      <c r="CF243" s="591"/>
    </row>
    <row r="244" spans="1:84">
      <c r="A244" s="590"/>
      <c r="B244" s="590"/>
      <c r="C244" s="590"/>
      <c r="D244" s="590"/>
      <c r="E244" s="590"/>
      <c r="F244" s="590"/>
      <c r="G244" s="590"/>
      <c r="H244" s="590"/>
      <c r="I244" s="590"/>
      <c r="J244" s="590"/>
      <c r="K244" s="590"/>
      <c r="L244" s="590"/>
      <c r="M244" s="590"/>
      <c r="N244" s="590"/>
      <c r="O244" s="590"/>
      <c r="P244" s="590"/>
      <c r="Q244" s="590"/>
      <c r="R244" s="590"/>
      <c r="S244" s="590"/>
      <c r="T244" s="590"/>
      <c r="U244" s="590"/>
      <c r="V244" s="590"/>
      <c r="W244" s="590"/>
      <c r="X244" s="590"/>
      <c r="Y244" s="590"/>
      <c r="Z244" s="590"/>
      <c r="AA244" s="590"/>
      <c r="AB244" s="590"/>
      <c r="AC244" s="590"/>
      <c r="AD244" s="590"/>
      <c r="AE244" s="590"/>
      <c r="AF244" s="590"/>
      <c r="AG244" s="590"/>
      <c r="AH244" s="590"/>
      <c r="AI244" s="590"/>
      <c r="AJ244" s="590"/>
      <c r="AK244" s="590"/>
      <c r="AL244" s="590"/>
      <c r="AM244" s="590"/>
      <c r="AN244" s="590"/>
      <c r="AO244" s="590"/>
      <c r="AP244" s="590"/>
      <c r="AQ244" s="590"/>
      <c r="AR244" s="590"/>
      <c r="AS244" s="590"/>
      <c r="AT244" s="590"/>
      <c r="AU244" s="590"/>
      <c r="AV244" s="590"/>
      <c r="AW244" s="590"/>
      <c r="AX244" s="590"/>
      <c r="AY244" s="590"/>
      <c r="AZ244" s="590"/>
      <c r="BA244" s="590"/>
      <c r="BB244" s="590"/>
      <c r="BC244" s="590"/>
      <c r="BD244" s="590"/>
      <c r="BE244" s="590"/>
      <c r="BF244" s="590"/>
      <c r="BG244" s="590"/>
      <c r="BH244" s="590"/>
      <c r="BI244" s="590"/>
      <c r="BJ244" s="590"/>
      <c r="BK244" s="591"/>
      <c r="BL244" s="591"/>
      <c r="BM244" s="591"/>
      <c r="BN244" s="591"/>
      <c r="BO244" s="591"/>
      <c r="BP244" s="591"/>
      <c r="BQ244" s="591"/>
      <c r="BR244" s="591"/>
      <c r="BS244" s="591"/>
      <c r="BT244" s="591"/>
      <c r="BU244" s="591"/>
      <c r="BV244" s="591"/>
      <c r="BW244" s="591"/>
      <c r="BX244" s="591"/>
      <c r="BY244" s="591"/>
      <c r="BZ244" s="591"/>
      <c r="CA244" s="591"/>
      <c r="CB244" s="591"/>
      <c r="CC244" s="591"/>
      <c r="CD244" s="591"/>
      <c r="CE244" s="591"/>
      <c r="CF244" s="591"/>
    </row>
    <row r="245" spans="1:84">
      <c r="A245" s="590"/>
      <c r="B245" s="590"/>
      <c r="C245" s="590"/>
      <c r="D245" s="590"/>
      <c r="E245" s="590"/>
      <c r="F245" s="590"/>
      <c r="G245" s="590"/>
      <c r="H245" s="590"/>
      <c r="I245" s="590"/>
      <c r="J245" s="590"/>
      <c r="K245" s="590"/>
      <c r="L245" s="590"/>
      <c r="M245" s="590"/>
      <c r="N245" s="590"/>
      <c r="O245" s="590"/>
      <c r="P245" s="590"/>
      <c r="Q245" s="590"/>
      <c r="R245" s="590"/>
      <c r="S245" s="590"/>
      <c r="T245" s="590"/>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0"/>
      <c r="AQ245" s="590"/>
      <c r="AR245" s="590"/>
      <c r="AS245" s="590"/>
      <c r="AT245" s="590"/>
      <c r="AU245" s="590"/>
      <c r="AV245" s="590"/>
      <c r="AW245" s="590"/>
      <c r="AX245" s="590"/>
      <c r="AY245" s="590"/>
      <c r="AZ245" s="590"/>
      <c r="BA245" s="590"/>
      <c r="BB245" s="590"/>
      <c r="BC245" s="590"/>
      <c r="BD245" s="590"/>
      <c r="BE245" s="590"/>
      <c r="BF245" s="590"/>
      <c r="BG245" s="590"/>
      <c r="BH245" s="590"/>
      <c r="BI245" s="590"/>
      <c r="BJ245" s="590"/>
      <c r="BK245" s="591"/>
      <c r="BL245" s="591"/>
      <c r="BM245" s="591"/>
      <c r="BN245" s="591"/>
      <c r="BO245" s="591"/>
      <c r="BP245" s="591"/>
      <c r="BQ245" s="591"/>
      <c r="BR245" s="591"/>
      <c r="BS245" s="591"/>
      <c r="BT245" s="591"/>
      <c r="BU245" s="591"/>
      <c r="BV245" s="591"/>
      <c r="BW245" s="591"/>
      <c r="BX245" s="591"/>
      <c r="BY245" s="591"/>
      <c r="BZ245" s="591"/>
      <c r="CA245" s="591"/>
      <c r="CB245" s="591"/>
      <c r="CC245" s="591"/>
      <c r="CD245" s="591"/>
      <c r="CE245" s="591"/>
      <c r="CF245" s="591"/>
    </row>
    <row r="246" spans="1:84">
      <c r="A246" s="590"/>
      <c r="B246" s="590"/>
      <c r="C246" s="590"/>
      <c r="D246" s="590"/>
      <c r="E246" s="590"/>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c r="AE246" s="590"/>
      <c r="AF246" s="590"/>
      <c r="AG246" s="590"/>
      <c r="AH246" s="590"/>
      <c r="AI246" s="590"/>
      <c r="AJ246" s="590"/>
      <c r="AK246" s="590"/>
      <c r="AL246" s="590"/>
      <c r="AM246" s="590"/>
      <c r="AN246" s="590"/>
      <c r="AO246" s="590"/>
      <c r="AP246" s="590"/>
      <c r="AQ246" s="590"/>
      <c r="AR246" s="590"/>
      <c r="AS246" s="590"/>
      <c r="AT246" s="590"/>
      <c r="AU246" s="590"/>
      <c r="AV246" s="590"/>
      <c r="AW246" s="590"/>
      <c r="AX246" s="590"/>
      <c r="AY246" s="590"/>
      <c r="AZ246" s="590"/>
      <c r="BA246" s="590"/>
      <c r="BB246" s="590"/>
      <c r="BC246" s="590"/>
      <c r="BD246" s="590"/>
      <c r="BE246" s="590"/>
      <c r="BF246" s="590"/>
      <c r="BG246" s="590"/>
      <c r="BH246" s="590"/>
      <c r="BI246" s="590"/>
      <c r="BJ246" s="590"/>
      <c r="BK246" s="591"/>
      <c r="BL246" s="591"/>
      <c r="BM246" s="591"/>
      <c r="BN246" s="591"/>
      <c r="BO246" s="591"/>
      <c r="BP246" s="591"/>
      <c r="BQ246" s="591"/>
      <c r="BR246" s="591"/>
      <c r="BS246" s="591"/>
      <c r="BT246" s="591"/>
      <c r="BU246" s="591"/>
      <c r="BV246" s="591"/>
      <c r="BW246" s="591"/>
      <c r="BX246" s="591"/>
      <c r="BY246" s="591"/>
      <c r="BZ246" s="591"/>
      <c r="CA246" s="591"/>
      <c r="CB246" s="591"/>
      <c r="CC246" s="591"/>
      <c r="CD246" s="591"/>
      <c r="CE246" s="591"/>
      <c r="CF246" s="591"/>
    </row>
    <row r="247" spans="1:84">
      <c r="A247" s="590"/>
      <c r="B247" s="590"/>
      <c r="C247" s="590"/>
      <c r="D247" s="590"/>
      <c r="E247" s="590"/>
      <c r="F247" s="590"/>
      <c r="G247" s="590"/>
      <c r="H247" s="590"/>
      <c r="I247" s="590"/>
      <c r="J247" s="590"/>
      <c r="K247" s="590"/>
      <c r="L247" s="590"/>
      <c r="M247" s="590"/>
      <c r="N247" s="590"/>
      <c r="O247" s="590"/>
      <c r="P247" s="590"/>
      <c r="Q247" s="590"/>
      <c r="R247" s="590"/>
      <c r="S247" s="590"/>
      <c r="T247" s="590"/>
      <c r="U247" s="590"/>
      <c r="V247" s="590"/>
      <c r="W247" s="590"/>
      <c r="X247" s="590"/>
      <c r="Y247" s="590"/>
      <c r="Z247" s="590"/>
      <c r="AA247" s="590"/>
      <c r="AB247" s="590"/>
      <c r="AC247" s="590"/>
      <c r="AD247" s="590"/>
      <c r="AE247" s="590"/>
      <c r="AF247" s="590"/>
      <c r="AG247" s="590"/>
      <c r="AH247" s="590"/>
      <c r="AI247" s="590"/>
      <c r="AJ247" s="590"/>
      <c r="AK247" s="590"/>
      <c r="AL247" s="590"/>
      <c r="AM247" s="590"/>
      <c r="AN247" s="590"/>
      <c r="AO247" s="590"/>
      <c r="AP247" s="590"/>
      <c r="AQ247" s="590"/>
      <c r="AR247" s="590"/>
      <c r="AS247" s="590"/>
      <c r="AT247" s="590"/>
      <c r="AU247" s="590"/>
      <c r="AV247" s="590"/>
      <c r="AW247" s="590"/>
      <c r="AX247" s="590"/>
      <c r="AY247" s="590"/>
      <c r="AZ247" s="590"/>
      <c r="BA247" s="590"/>
      <c r="BB247" s="590"/>
      <c r="BC247" s="590"/>
      <c r="BD247" s="590"/>
      <c r="BE247" s="590"/>
      <c r="BF247" s="590"/>
      <c r="BG247" s="590"/>
      <c r="BH247" s="590"/>
      <c r="BI247" s="590"/>
      <c r="BJ247" s="590"/>
      <c r="BK247" s="591"/>
      <c r="BL247" s="591"/>
      <c r="BM247" s="591"/>
      <c r="BN247" s="591"/>
      <c r="BO247" s="591"/>
      <c r="BP247" s="591"/>
      <c r="BQ247" s="591"/>
      <c r="BR247" s="591"/>
      <c r="BS247" s="591"/>
      <c r="BT247" s="591"/>
      <c r="BU247" s="591"/>
      <c r="BV247" s="591"/>
      <c r="BW247" s="591"/>
      <c r="BX247" s="591"/>
      <c r="BY247" s="591"/>
      <c r="BZ247" s="591"/>
      <c r="CA247" s="591"/>
      <c r="CB247" s="591"/>
      <c r="CC247" s="591"/>
      <c r="CD247" s="591"/>
      <c r="CE247" s="591"/>
      <c r="CF247" s="591"/>
    </row>
    <row r="248" spans="1:84">
      <c r="A248" s="590"/>
      <c r="B248" s="590"/>
      <c r="C248" s="590"/>
      <c r="D248" s="590"/>
      <c r="E248" s="590"/>
      <c r="F248" s="590"/>
      <c r="G248" s="590"/>
      <c r="H248" s="590"/>
      <c r="I248" s="590"/>
      <c r="J248" s="590"/>
      <c r="K248" s="590"/>
      <c r="L248" s="590"/>
      <c r="M248" s="590"/>
      <c r="N248" s="590"/>
      <c r="O248" s="590"/>
      <c r="P248" s="590"/>
      <c r="Q248" s="590"/>
      <c r="R248" s="590"/>
      <c r="S248" s="590"/>
      <c r="T248" s="590"/>
      <c r="U248" s="590"/>
      <c r="V248" s="590"/>
      <c r="W248" s="590"/>
      <c r="X248" s="590"/>
      <c r="Y248" s="590"/>
      <c r="Z248" s="590"/>
      <c r="AA248" s="590"/>
      <c r="AB248" s="590"/>
      <c r="AC248" s="590"/>
      <c r="AD248" s="590"/>
      <c r="AE248" s="590"/>
      <c r="AF248" s="590"/>
      <c r="AG248" s="590"/>
      <c r="AH248" s="590"/>
      <c r="AI248" s="590"/>
      <c r="AJ248" s="590"/>
      <c r="AK248" s="590"/>
      <c r="AL248" s="590"/>
      <c r="AM248" s="590"/>
      <c r="AN248" s="590"/>
      <c r="AO248" s="590"/>
      <c r="AP248" s="590"/>
      <c r="AQ248" s="590"/>
      <c r="AR248" s="590"/>
      <c r="AS248" s="590"/>
      <c r="AT248" s="590"/>
      <c r="AU248" s="590"/>
      <c r="AV248" s="590"/>
      <c r="AW248" s="590"/>
      <c r="AX248" s="590"/>
      <c r="AY248" s="590"/>
      <c r="AZ248" s="590"/>
      <c r="BA248" s="590"/>
      <c r="BB248" s="590"/>
      <c r="BC248" s="590"/>
      <c r="BD248" s="590"/>
      <c r="BE248" s="590"/>
      <c r="BF248" s="590"/>
      <c r="BG248" s="590"/>
      <c r="BH248" s="590"/>
      <c r="BI248" s="590"/>
      <c r="BJ248" s="590"/>
      <c r="BK248" s="591"/>
      <c r="BL248" s="591"/>
      <c r="BM248" s="591"/>
      <c r="BN248" s="591"/>
      <c r="BO248" s="591"/>
      <c r="BP248" s="591"/>
      <c r="BQ248" s="591"/>
      <c r="BR248" s="591"/>
      <c r="BS248" s="591"/>
      <c r="BT248" s="591"/>
      <c r="BU248" s="591"/>
      <c r="BV248" s="591"/>
      <c r="BW248" s="591"/>
      <c r="BX248" s="591"/>
      <c r="BY248" s="591"/>
      <c r="BZ248" s="591"/>
      <c r="CA248" s="591"/>
      <c r="CB248" s="591"/>
      <c r="CC248" s="591"/>
      <c r="CD248" s="591"/>
      <c r="CE248" s="591"/>
      <c r="CF248" s="591"/>
    </row>
    <row r="249" spans="1:84">
      <c r="A249" s="590"/>
      <c r="B249" s="590"/>
      <c r="C249" s="590"/>
      <c r="D249" s="590"/>
      <c r="E249" s="590"/>
      <c r="F249" s="590"/>
      <c r="G249" s="590"/>
      <c r="H249" s="590"/>
      <c r="I249" s="590"/>
      <c r="J249" s="590"/>
      <c r="K249" s="590"/>
      <c r="L249" s="590"/>
      <c r="M249" s="590"/>
      <c r="N249" s="590"/>
      <c r="O249" s="590"/>
      <c r="P249" s="590"/>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0"/>
      <c r="AQ249" s="590"/>
      <c r="AR249" s="590"/>
      <c r="AS249" s="590"/>
      <c r="AT249" s="590"/>
      <c r="AU249" s="590"/>
      <c r="AV249" s="590"/>
      <c r="AW249" s="590"/>
      <c r="AX249" s="590"/>
      <c r="AY249" s="590"/>
      <c r="AZ249" s="590"/>
      <c r="BA249" s="590"/>
      <c r="BB249" s="590"/>
      <c r="BC249" s="590"/>
      <c r="BD249" s="590"/>
      <c r="BE249" s="590"/>
      <c r="BF249" s="590"/>
      <c r="BG249" s="590"/>
      <c r="BH249" s="590"/>
      <c r="BI249" s="590"/>
      <c r="BJ249" s="590"/>
      <c r="BK249" s="591"/>
      <c r="BL249" s="591"/>
      <c r="BM249" s="591"/>
      <c r="BN249" s="591"/>
      <c r="BO249" s="591"/>
      <c r="BP249" s="591"/>
      <c r="BQ249" s="591"/>
      <c r="BR249" s="591"/>
      <c r="BS249" s="591"/>
      <c r="BT249" s="591"/>
      <c r="BU249" s="591"/>
      <c r="BV249" s="591"/>
      <c r="BW249" s="591"/>
      <c r="BX249" s="591"/>
      <c r="BY249" s="591"/>
      <c r="BZ249" s="591"/>
      <c r="CA249" s="591"/>
      <c r="CB249" s="591"/>
      <c r="CC249" s="591"/>
      <c r="CD249" s="591"/>
      <c r="CE249" s="591"/>
      <c r="CF249" s="591"/>
    </row>
    <row r="250" spans="1:84">
      <c r="A250" s="590"/>
      <c r="B250" s="590"/>
      <c r="C250" s="590"/>
      <c r="D250" s="590"/>
      <c r="E250" s="590"/>
      <c r="F250" s="590"/>
      <c r="G250" s="590"/>
      <c r="H250" s="590"/>
      <c r="I250" s="590"/>
      <c r="J250" s="590"/>
      <c r="K250" s="590"/>
      <c r="L250" s="590"/>
      <c r="M250" s="590"/>
      <c r="N250" s="590"/>
      <c r="O250" s="590"/>
      <c r="P250" s="590"/>
      <c r="Q250" s="590"/>
      <c r="R250" s="590"/>
      <c r="S250" s="590"/>
      <c r="T250" s="590"/>
      <c r="U250" s="590"/>
      <c r="V250" s="590"/>
      <c r="W250" s="590"/>
      <c r="X250" s="590"/>
      <c r="Y250" s="590"/>
      <c r="Z250" s="590"/>
      <c r="AA250" s="590"/>
      <c r="AB250" s="590"/>
      <c r="AC250" s="590"/>
      <c r="AD250" s="590"/>
      <c r="AE250" s="590"/>
      <c r="AF250" s="590"/>
      <c r="AG250" s="590"/>
      <c r="AH250" s="590"/>
      <c r="AI250" s="590"/>
      <c r="AJ250" s="590"/>
      <c r="AK250" s="590"/>
      <c r="AL250" s="590"/>
      <c r="AM250" s="590"/>
      <c r="AN250" s="590"/>
      <c r="AO250" s="590"/>
      <c r="AP250" s="590"/>
      <c r="AQ250" s="590"/>
      <c r="AR250" s="590"/>
      <c r="AS250" s="590"/>
      <c r="AT250" s="590"/>
      <c r="AU250" s="590"/>
      <c r="AV250" s="590"/>
      <c r="AW250" s="590"/>
      <c r="AX250" s="590"/>
      <c r="AY250" s="590"/>
      <c r="AZ250" s="590"/>
      <c r="BA250" s="590"/>
      <c r="BB250" s="590"/>
      <c r="BC250" s="590"/>
      <c r="BD250" s="590"/>
      <c r="BE250" s="590"/>
      <c r="BF250" s="590"/>
      <c r="BG250" s="590"/>
      <c r="BH250" s="590"/>
      <c r="BI250" s="590"/>
      <c r="BJ250" s="590"/>
      <c r="BK250" s="591"/>
      <c r="BL250" s="591"/>
      <c r="BM250" s="591"/>
      <c r="BN250" s="591"/>
      <c r="BO250" s="591"/>
      <c r="BP250" s="591"/>
      <c r="BQ250" s="591"/>
      <c r="BR250" s="591"/>
      <c r="BS250" s="591"/>
      <c r="BT250" s="591"/>
      <c r="BU250" s="591"/>
      <c r="BV250" s="591"/>
      <c r="BW250" s="591"/>
      <c r="BX250" s="591"/>
      <c r="BY250" s="591"/>
      <c r="BZ250" s="591"/>
      <c r="CA250" s="591"/>
      <c r="CB250" s="591"/>
      <c r="CC250" s="591"/>
      <c r="CD250" s="591"/>
      <c r="CE250" s="591"/>
      <c r="CF250" s="591"/>
    </row>
    <row r="251" spans="1:84">
      <c r="A251" s="590"/>
      <c r="B251" s="590"/>
      <c r="C251" s="590"/>
      <c r="D251" s="590"/>
      <c r="E251" s="590"/>
      <c r="F251" s="590"/>
      <c r="G251" s="590"/>
      <c r="H251" s="590"/>
      <c r="I251" s="590"/>
      <c r="J251" s="590"/>
      <c r="K251" s="590"/>
      <c r="L251" s="590"/>
      <c r="M251" s="590"/>
      <c r="N251" s="590"/>
      <c r="O251" s="590"/>
      <c r="P251" s="590"/>
      <c r="Q251" s="590"/>
      <c r="R251" s="590"/>
      <c r="S251" s="590"/>
      <c r="T251" s="590"/>
      <c r="U251" s="590"/>
      <c r="V251" s="590"/>
      <c r="W251" s="590"/>
      <c r="X251" s="590"/>
      <c r="Y251" s="590"/>
      <c r="Z251" s="590"/>
      <c r="AA251" s="590"/>
      <c r="AB251" s="590"/>
      <c r="AC251" s="590"/>
      <c r="AD251" s="590"/>
      <c r="AE251" s="590"/>
      <c r="AF251" s="590"/>
      <c r="AG251" s="590"/>
      <c r="AH251" s="590"/>
      <c r="AI251" s="590"/>
      <c r="AJ251" s="590"/>
      <c r="AK251" s="590"/>
      <c r="AL251" s="590"/>
      <c r="AM251" s="590"/>
      <c r="AN251" s="590"/>
      <c r="AO251" s="590"/>
      <c r="AP251" s="590"/>
      <c r="AQ251" s="590"/>
      <c r="AR251" s="590"/>
      <c r="AS251" s="590"/>
      <c r="AT251" s="590"/>
      <c r="AU251" s="590"/>
      <c r="AV251" s="590"/>
      <c r="AW251" s="590"/>
      <c r="AX251" s="590"/>
      <c r="AY251" s="590"/>
      <c r="AZ251" s="590"/>
      <c r="BA251" s="590"/>
      <c r="BB251" s="590"/>
      <c r="BC251" s="590"/>
      <c r="BD251" s="590"/>
      <c r="BE251" s="590"/>
      <c r="BF251" s="590"/>
      <c r="BG251" s="590"/>
      <c r="BH251" s="590"/>
      <c r="BI251" s="590"/>
      <c r="BJ251" s="590"/>
      <c r="BK251" s="591"/>
      <c r="BL251" s="591"/>
      <c r="BM251" s="591"/>
      <c r="BN251" s="591"/>
      <c r="BO251" s="591"/>
      <c r="BP251" s="591"/>
      <c r="BQ251" s="591"/>
      <c r="BR251" s="591"/>
      <c r="BS251" s="591"/>
      <c r="BT251" s="591"/>
      <c r="BU251" s="591"/>
      <c r="BV251" s="591"/>
      <c r="BW251" s="591"/>
      <c r="BX251" s="591"/>
      <c r="BY251" s="591"/>
      <c r="BZ251" s="591"/>
      <c r="CA251" s="591"/>
      <c r="CB251" s="591"/>
      <c r="CC251" s="591"/>
      <c r="CD251" s="591"/>
      <c r="CE251" s="591"/>
      <c r="CF251" s="591"/>
    </row>
    <row r="252" spans="1:84">
      <c r="A252" s="590"/>
      <c r="B252" s="590"/>
      <c r="C252" s="590"/>
      <c r="D252" s="590"/>
      <c r="E252" s="590"/>
      <c r="F252" s="590"/>
      <c r="G252" s="590"/>
      <c r="H252" s="590"/>
      <c r="I252" s="590"/>
      <c r="J252" s="590"/>
      <c r="K252" s="590"/>
      <c r="L252" s="590"/>
      <c r="M252" s="590"/>
      <c r="N252" s="590"/>
      <c r="O252" s="590"/>
      <c r="P252" s="590"/>
      <c r="Q252" s="590"/>
      <c r="R252" s="590"/>
      <c r="S252" s="590"/>
      <c r="T252" s="590"/>
      <c r="U252" s="590"/>
      <c r="V252" s="590"/>
      <c r="W252" s="590"/>
      <c r="X252" s="590"/>
      <c r="Y252" s="590"/>
      <c r="Z252" s="590"/>
      <c r="AA252" s="590"/>
      <c r="AB252" s="590"/>
      <c r="AC252" s="590"/>
      <c r="AD252" s="590"/>
      <c r="AE252" s="590"/>
      <c r="AF252" s="590"/>
      <c r="AG252" s="590"/>
      <c r="AH252" s="590"/>
      <c r="AI252" s="590"/>
      <c r="AJ252" s="590"/>
      <c r="AK252" s="590"/>
      <c r="AL252" s="590"/>
      <c r="AM252" s="590"/>
      <c r="AN252" s="590"/>
      <c r="AO252" s="590"/>
      <c r="AP252" s="590"/>
      <c r="AQ252" s="590"/>
      <c r="AR252" s="590"/>
      <c r="AS252" s="590"/>
      <c r="AT252" s="590"/>
      <c r="AU252" s="590"/>
      <c r="AV252" s="590"/>
      <c r="AW252" s="590"/>
      <c r="AX252" s="590"/>
      <c r="AY252" s="590"/>
      <c r="AZ252" s="590"/>
      <c r="BA252" s="590"/>
      <c r="BB252" s="590"/>
      <c r="BC252" s="590"/>
      <c r="BD252" s="590"/>
      <c r="BE252" s="590"/>
      <c r="BF252" s="590"/>
      <c r="BG252" s="590"/>
      <c r="BH252" s="590"/>
      <c r="BI252" s="590"/>
      <c r="BJ252" s="590"/>
      <c r="BK252" s="591"/>
      <c r="BL252" s="591"/>
      <c r="BM252" s="591"/>
      <c r="BN252" s="591"/>
      <c r="BO252" s="591"/>
      <c r="BP252" s="591"/>
      <c r="BQ252" s="591"/>
      <c r="BR252" s="591"/>
      <c r="BS252" s="591"/>
      <c r="BT252" s="591"/>
      <c r="BU252" s="591"/>
      <c r="BV252" s="591"/>
      <c r="BW252" s="591"/>
      <c r="BX252" s="591"/>
      <c r="BY252" s="591"/>
      <c r="BZ252" s="591"/>
      <c r="CA252" s="591"/>
      <c r="CB252" s="591"/>
      <c r="CC252" s="591"/>
      <c r="CD252" s="591"/>
      <c r="CE252" s="591"/>
      <c r="CF252" s="591"/>
    </row>
    <row r="253" spans="1:84">
      <c r="A253" s="590"/>
      <c r="B253" s="590"/>
      <c r="C253" s="590"/>
      <c r="D253" s="590"/>
      <c r="E253" s="590"/>
      <c r="F253" s="590"/>
      <c r="G253" s="590"/>
      <c r="H253" s="590"/>
      <c r="I253" s="590"/>
      <c r="J253" s="590"/>
      <c r="K253" s="590"/>
      <c r="L253" s="590"/>
      <c r="M253" s="590"/>
      <c r="N253" s="590"/>
      <c r="O253" s="590"/>
      <c r="P253" s="590"/>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0"/>
      <c r="AQ253" s="590"/>
      <c r="AR253" s="590"/>
      <c r="AS253" s="590"/>
      <c r="AT253" s="590"/>
      <c r="AU253" s="590"/>
      <c r="AV253" s="590"/>
      <c r="AW253" s="590"/>
      <c r="AX253" s="590"/>
      <c r="AY253" s="590"/>
      <c r="AZ253" s="590"/>
      <c r="BA253" s="590"/>
      <c r="BB253" s="590"/>
      <c r="BC253" s="590"/>
      <c r="BD253" s="590"/>
      <c r="BE253" s="590"/>
      <c r="BF253" s="590"/>
      <c r="BG253" s="590"/>
      <c r="BH253" s="590"/>
      <c r="BI253" s="590"/>
      <c r="BJ253" s="590"/>
      <c r="BK253" s="591"/>
      <c r="BL253" s="591"/>
      <c r="BM253" s="591"/>
      <c r="BN253" s="591"/>
      <c r="BO253" s="591"/>
      <c r="BP253" s="591"/>
      <c r="BQ253" s="591"/>
      <c r="BR253" s="591"/>
      <c r="BS253" s="591"/>
      <c r="BT253" s="591"/>
      <c r="BU253" s="591"/>
      <c r="BV253" s="591"/>
      <c r="BW253" s="591"/>
      <c r="BX253" s="591"/>
      <c r="BY253" s="591"/>
      <c r="BZ253" s="591"/>
      <c r="CA253" s="591"/>
      <c r="CB253" s="591"/>
      <c r="CC253" s="591"/>
      <c r="CD253" s="591"/>
      <c r="CE253" s="591"/>
      <c r="CF253" s="591"/>
    </row>
    <row r="254" spans="1:84">
      <c r="A254" s="590"/>
      <c r="B254" s="590"/>
      <c r="C254" s="590"/>
      <c r="D254" s="590"/>
      <c r="E254" s="590"/>
      <c r="F254" s="590"/>
      <c r="G254" s="590"/>
      <c r="H254" s="590"/>
      <c r="I254" s="590"/>
      <c r="J254" s="590"/>
      <c r="K254" s="590"/>
      <c r="L254" s="590"/>
      <c r="M254" s="590"/>
      <c r="N254" s="590"/>
      <c r="O254" s="590"/>
      <c r="P254" s="590"/>
      <c r="Q254" s="590"/>
      <c r="R254" s="590"/>
      <c r="S254" s="590"/>
      <c r="T254" s="590"/>
      <c r="U254" s="590"/>
      <c r="V254" s="590"/>
      <c r="W254" s="590"/>
      <c r="X254" s="590"/>
      <c r="Y254" s="590"/>
      <c r="Z254" s="590"/>
      <c r="AA254" s="590"/>
      <c r="AB254" s="590"/>
      <c r="AC254" s="590"/>
      <c r="AD254" s="590"/>
      <c r="AE254" s="590"/>
      <c r="AF254" s="590"/>
      <c r="AG254" s="590"/>
      <c r="AH254" s="590"/>
      <c r="AI254" s="590"/>
      <c r="AJ254" s="590"/>
      <c r="AK254" s="590"/>
      <c r="AL254" s="590"/>
      <c r="AM254" s="590"/>
      <c r="AN254" s="590"/>
      <c r="AO254" s="590"/>
      <c r="AP254" s="590"/>
      <c r="AQ254" s="590"/>
      <c r="AR254" s="590"/>
      <c r="AS254" s="590"/>
      <c r="AT254" s="590"/>
      <c r="AU254" s="590"/>
      <c r="AV254" s="590"/>
      <c r="AW254" s="590"/>
      <c r="AX254" s="590"/>
      <c r="AY254" s="590"/>
      <c r="AZ254" s="590"/>
      <c r="BA254" s="590"/>
      <c r="BB254" s="590"/>
      <c r="BC254" s="590"/>
      <c r="BD254" s="590"/>
      <c r="BE254" s="590"/>
      <c r="BF254" s="590"/>
      <c r="BG254" s="590"/>
      <c r="BH254" s="590"/>
      <c r="BI254" s="590"/>
      <c r="BJ254" s="590"/>
      <c r="BK254" s="591"/>
      <c r="BL254" s="591"/>
      <c r="BM254" s="591"/>
      <c r="BN254" s="591"/>
      <c r="BO254" s="591"/>
      <c r="BP254" s="591"/>
      <c r="BQ254" s="591"/>
      <c r="BR254" s="591"/>
      <c r="BS254" s="591"/>
      <c r="BT254" s="591"/>
      <c r="BU254" s="591"/>
      <c r="BV254" s="591"/>
      <c r="BW254" s="591"/>
      <c r="BX254" s="591"/>
      <c r="BY254" s="591"/>
      <c r="BZ254" s="591"/>
      <c r="CA254" s="591"/>
      <c r="CB254" s="591"/>
      <c r="CC254" s="591"/>
      <c r="CD254" s="591"/>
      <c r="CE254" s="591"/>
      <c r="CF254" s="591"/>
    </row>
    <row r="255" spans="1:84">
      <c r="A255" s="590"/>
      <c r="B255" s="590"/>
      <c r="C255" s="590"/>
      <c r="D255" s="590"/>
      <c r="E255" s="590"/>
      <c r="F255" s="590"/>
      <c r="G255" s="590"/>
      <c r="H255" s="590"/>
      <c r="I255" s="590"/>
      <c r="J255" s="590"/>
      <c r="K255" s="590"/>
      <c r="L255" s="590"/>
      <c r="M255" s="590"/>
      <c r="N255" s="590"/>
      <c r="O255" s="590"/>
      <c r="P255" s="590"/>
      <c r="Q255" s="590"/>
      <c r="R255" s="590"/>
      <c r="S255" s="590"/>
      <c r="T255" s="590"/>
      <c r="U255" s="590"/>
      <c r="V255" s="590"/>
      <c r="W255" s="590"/>
      <c r="X255" s="590"/>
      <c r="Y255" s="590"/>
      <c r="Z255" s="590"/>
      <c r="AA255" s="590"/>
      <c r="AB255" s="590"/>
      <c r="AC255" s="590"/>
      <c r="AD255" s="590"/>
      <c r="AE255" s="590"/>
      <c r="AF255" s="590"/>
      <c r="AG255" s="590"/>
      <c r="AH255" s="590"/>
      <c r="AI255" s="590"/>
      <c r="AJ255" s="590"/>
      <c r="AK255" s="590"/>
      <c r="AL255" s="590"/>
      <c r="AM255" s="590"/>
      <c r="AN255" s="590"/>
      <c r="AO255" s="590"/>
      <c r="AP255" s="590"/>
      <c r="AQ255" s="590"/>
      <c r="AR255" s="590"/>
      <c r="AS255" s="590"/>
      <c r="AT255" s="590"/>
      <c r="AU255" s="590"/>
      <c r="AV255" s="590"/>
      <c r="AW255" s="590"/>
      <c r="AX255" s="590"/>
      <c r="AY255" s="590"/>
      <c r="AZ255" s="590"/>
      <c r="BA255" s="590"/>
      <c r="BB255" s="590"/>
      <c r="BC255" s="590"/>
      <c r="BD255" s="590"/>
      <c r="BE255" s="590"/>
      <c r="BF255" s="590"/>
      <c r="BG255" s="590"/>
      <c r="BH255" s="590"/>
      <c r="BI255" s="590"/>
      <c r="BJ255" s="590"/>
      <c r="BK255" s="591"/>
      <c r="BL255" s="591"/>
      <c r="BM255" s="591"/>
      <c r="BN255" s="591"/>
      <c r="BO255" s="591"/>
      <c r="BP255" s="591"/>
      <c r="BQ255" s="591"/>
      <c r="BR255" s="591"/>
      <c r="BS255" s="591"/>
      <c r="BT255" s="591"/>
      <c r="BU255" s="591"/>
      <c r="BV255" s="591"/>
      <c r="BW255" s="591"/>
      <c r="BX255" s="591"/>
      <c r="BY255" s="591"/>
      <c r="BZ255" s="591"/>
      <c r="CA255" s="591"/>
      <c r="CB255" s="591"/>
      <c r="CC255" s="591"/>
      <c r="CD255" s="591"/>
      <c r="CE255" s="591"/>
      <c r="CF255" s="591"/>
    </row>
    <row r="256" spans="1:84">
      <c r="A256" s="590"/>
      <c r="B256" s="590"/>
      <c r="C256" s="590"/>
      <c r="D256" s="590"/>
      <c r="E256" s="590"/>
      <c r="F256" s="590"/>
      <c r="G256" s="590"/>
      <c r="H256" s="590"/>
      <c r="I256" s="590"/>
      <c r="J256" s="590"/>
      <c r="K256" s="590"/>
      <c r="L256" s="590"/>
      <c r="M256" s="590"/>
      <c r="N256" s="590"/>
      <c r="O256" s="590"/>
      <c r="P256" s="590"/>
      <c r="Q256" s="590"/>
      <c r="R256" s="590"/>
      <c r="S256" s="590"/>
      <c r="T256" s="590"/>
      <c r="U256" s="590"/>
      <c r="V256" s="590"/>
      <c r="W256" s="590"/>
      <c r="X256" s="590"/>
      <c r="Y256" s="590"/>
      <c r="Z256" s="590"/>
      <c r="AA256" s="590"/>
      <c r="AB256" s="590"/>
      <c r="AC256" s="590"/>
      <c r="AD256" s="590"/>
      <c r="AE256" s="590"/>
      <c r="AF256" s="590"/>
      <c r="AG256" s="590"/>
      <c r="AH256" s="590"/>
      <c r="AI256" s="590"/>
      <c r="AJ256" s="590"/>
      <c r="AK256" s="590"/>
      <c r="AL256" s="590"/>
      <c r="AM256" s="590"/>
      <c r="AN256" s="590"/>
      <c r="AO256" s="590"/>
      <c r="AP256" s="590"/>
      <c r="AQ256" s="590"/>
      <c r="AR256" s="590"/>
      <c r="AS256" s="590"/>
      <c r="AT256" s="590"/>
      <c r="AU256" s="590"/>
      <c r="AV256" s="590"/>
      <c r="AW256" s="590"/>
      <c r="AX256" s="590"/>
      <c r="AY256" s="590"/>
      <c r="AZ256" s="590"/>
      <c r="BA256" s="590"/>
      <c r="BB256" s="590"/>
      <c r="BC256" s="590"/>
      <c r="BD256" s="590"/>
      <c r="BE256" s="590"/>
      <c r="BF256" s="590"/>
      <c r="BG256" s="590"/>
      <c r="BH256" s="590"/>
      <c r="BI256" s="590"/>
      <c r="BJ256" s="590"/>
      <c r="BK256" s="591"/>
      <c r="BL256" s="591"/>
      <c r="BM256" s="591"/>
      <c r="BN256" s="591"/>
      <c r="BO256" s="591"/>
      <c r="BP256" s="591"/>
      <c r="BQ256" s="591"/>
      <c r="BR256" s="591"/>
      <c r="BS256" s="591"/>
      <c r="BT256" s="591"/>
      <c r="BU256" s="591"/>
      <c r="BV256" s="591"/>
      <c r="BW256" s="591"/>
      <c r="BX256" s="591"/>
      <c r="BY256" s="591"/>
      <c r="BZ256" s="591"/>
      <c r="CA256" s="591"/>
      <c r="CB256" s="591"/>
      <c r="CC256" s="591"/>
      <c r="CD256" s="591"/>
      <c r="CE256" s="591"/>
      <c r="CF256" s="591"/>
    </row>
    <row r="257" spans="1:84">
      <c r="A257" s="590"/>
      <c r="B257" s="590"/>
      <c r="C257" s="590"/>
      <c r="D257" s="590"/>
      <c r="E257" s="590"/>
      <c r="F257" s="590"/>
      <c r="G257" s="590"/>
      <c r="H257" s="590"/>
      <c r="I257" s="590"/>
      <c r="J257" s="590"/>
      <c r="K257" s="590"/>
      <c r="L257" s="590"/>
      <c r="M257" s="590"/>
      <c r="N257" s="590"/>
      <c r="O257" s="590"/>
      <c r="P257" s="590"/>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0"/>
      <c r="AQ257" s="590"/>
      <c r="AR257" s="590"/>
      <c r="AS257" s="590"/>
      <c r="AT257" s="590"/>
      <c r="AU257" s="590"/>
      <c r="AV257" s="590"/>
      <c r="AW257" s="590"/>
      <c r="AX257" s="590"/>
      <c r="AY257" s="590"/>
      <c r="AZ257" s="590"/>
      <c r="BA257" s="590"/>
      <c r="BB257" s="590"/>
      <c r="BC257" s="590"/>
      <c r="BD257" s="590"/>
      <c r="BE257" s="590"/>
      <c r="BF257" s="590"/>
      <c r="BG257" s="590"/>
      <c r="BH257" s="590"/>
      <c r="BI257" s="590"/>
      <c r="BJ257" s="590"/>
      <c r="BK257" s="591"/>
      <c r="BL257" s="591"/>
      <c r="BM257" s="591"/>
      <c r="BN257" s="591"/>
      <c r="BO257" s="591"/>
      <c r="BP257" s="591"/>
      <c r="BQ257" s="591"/>
      <c r="BR257" s="591"/>
      <c r="BS257" s="591"/>
      <c r="BT257" s="591"/>
      <c r="BU257" s="591"/>
      <c r="BV257" s="591"/>
      <c r="BW257" s="591"/>
      <c r="BX257" s="591"/>
      <c r="BY257" s="591"/>
      <c r="BZ257" s="591"/>
      <c r="CA257" s="591"/>
      <c r="CB257" s="591"/>
      <c r="CC257" s="591"/>
      <c r="CD257" s="591"/>
      <c r="CE257" s="591"/>
      <c r="CF257" s="591"/>
    </row>
    <row r="258" spans="1:84">
      <c r="A258" s="590"/>
      <c r="B258" s="590"/>
      <c r="C258" s="590"/>
      <c r="D258" s="590"/>
      <c r="E258" s="590"/>
      <c r="F258" s="590"/>
      <c r="G258" s="590"/>
      <c r="H258" s="590"/>
      <c r="I258" s="590"/>
      <c r="J258" s="590"/>
      <c r="K258" s="590"/>
      <c r="L258" s="590"/>
      <c r="M258" s="590"/>
      <c r="N258" s="590"/>
      <c r="O258" s="590"/>
      <c r="P258" s="590"/>
      <c r="Q258" s="590"/>
      <c r="R258" s="590"/>
      <c r="S258" s="590"/>
      <c r="T258" s="590"/>
      <c r="U258" s="590"/>
      <c r="V258" s="590"/>
      <c r="W258" s="590"/>
      <c r="X258" s="590"/>
      <c r="Y258" s="590"/>
      <c r="Z258" s="590"/>
      <c r="AA258" s="590"/>
      <c r="AB258" s="590"/>
      <c r="AC258" s="590"/>
      <c r="AD258" s="590"/>
      <c r="AE258" s="590"/>
      <c r="AF258" s="590"/>
      <c r="AG258" s="590"/>
      <c r="AH258" s="590"/>
      <c r="AI258" s="590"/>
      <c r="AJ258" s="590"/>
      <c r="AK258" s="590"/>
      <c r="AL258" s="590"/>
      <c r="AM258" s="590"/>
      <c r="AN258" s="590"/>
      <c r="AO258" s="590"/>
      <c r="AP258" s="590"/>
      <c r="AQ258" s="590"/>
      <c r="AR258" s="590"/>
      <c r="AS258" s="590"/>
      <c r="AT258" s="590"/>
      <c r="AU258" s="590"/>
      <c r="AV258" s="590"/>
      <c r="AW258" s="590"/>
      <c r="AX258" s="590"/>
      <c r="AY258" s="590"/>
      <c r="AZ258" s="590"/>
      <c r="BA258" s="590"/>
      <c r="BB258" s="590"/>
      <c r="BC258" s="590"/>
      <c r="BD258" s="590"/>
      <c r="BE258" s="590"/>
      <c r="BF258" s="590"/>
      <c r="BG258" s="590"/>
      <c r="BH258" s="590"/>
      <c r="BI258" s="590"/>
      <c r="BJ258" s="590"/>
      <c r="BK258" s="591"/>
      <c r="BL258" s="591"/>
      <c r="BM258" s="591"/>
      <c r="BN258" s="591"/>
      <c r="BO258" s="591"/>
      <c r="BP258" s="591"/>
      <c r="BQ258" s="591"/>
      <c r="BR258" s="591"/>
      <c r="BS258" s="591"/>
      <c r="BT258" s="591"/>
      <c r="BU258" s="591"/>
      <c r="BV258" s="591"/>
      <c r="BW258" s="591"/>
      <c r="BX258" s="591"/>
      <c r="BY258" s="591"/>
      <c r="BZ258" s="591"/>
      <c r="CA258" s="591"/>
      <c r="CB258" s="591"/>
      <c r="CC258" s="591"/>
      <c r="CD258" s="591"/>
      <c r="CE258" s="591"/>
      <c r="CF258" s="591"/>
    </row>
    <row r="259" spans="1:84">
      <c r="A259" s="590"/>
      <c r="B259" s="590"/>
      <c r="C259" s="590"/>
      <c r="D259" s="590"/>
      <c r="E259" s="590"/>
      <c r="F259" s="590"/>
      <c r="G259" s="590"/>
      <c r="H259" s="590"/>
      <c r="I259" s="590"/>
      <c r="J259" s="590"/>
      <c r="K259" s="590"/>
      <c r="L259" s="590"/>
      <c r="M259" s="590"/>
      <c r="N259" s="590"/>
      <c r="O259" s="590"/>
      <c r="P259" s="590"/>
      <c r="Q259" s="590"/>
      <c r="R259" s="590"/>
      <c r="S259" s="590"/>
      <c r="T259" s="590"/>
      <c r="U259" s="590"/>
      <c r="V259" s="590"/>
      <c r="W259" s="590"/>
      <c r="X259" s="590"/>
      <c r="Y259" s="590"/>
      <c r="Z259" s="590"/>
      <c r="AA259" s="590"/>
      <c r="AB259" s="590"/>
      <c r="AC259" s="590"/>
      <c r="AD259" s="590"/>
      <c r="AE259" s="590"/>
      <c r="AF259" s="590"/>
      <c r="AG259" s="590"/>
      <c r="AH259" s="590"/>
      <c r="AI259" s="590"/>
      <c r="AJ259" s="590"/>
      <c r="AK259" s="590"/>
      <c r="AL259" s="590"/>
      <c r="AM259" s="590"/>
      <c r="AN259" s="590"/>
      <c r="AO259" s="590"/>
      <c r="AP259" s="590"/>
      <c r="AQ259" s="590"/>
      <c r="AR259" s="590"/>
      <c r="AS259" s="590"/>
      <c r="AT259" s="590"/>
      <c r="AU259" s="590"/>
      <c r="AV259" s="590"/>
      <c r="AW259" s="590"/>
      <c r="AX259" s="590"/>
      <c r="AY259" s="590"/>
      <c r="AZ259" s="590"/>
      <c r="BA259" s="590"/>
      <c r="BB259" s="590"/>
      <c r="BC259" s="590"/>
      <c r="BD259" s="590"/>
      <c r="BE259" s="590"/>
      <c r="BF259" s="590"/>
      <c r="BG259" s="590"/>
      <c r="BH259" s="590"/>
      <c r="BI259" s="590"/>
      <c r="BJ259" s="590"/>
      <c r="BK259" s="591"/>
      <c r="BL259" s="591"/>
      <c r="BM259" s="591"/>
      <c r="BN259" s="591"/>
      <c r="BO259" s="591"/>
      <c r="BP259" s="591"/>
      <c r="BQ259" s="591"/>
      <c r="BR259" s="591"/>
      <c r="BS259" s="591"/>
      <c r="BT259" s="591"/>
      <c r="BU259" s="591"/>
      <c r="BV259" s="591"/>
      <c r="BW259" s="591"/>
      <c r="BX259" s="591"/>
      <c r="BY259" s="591"/>
      <c r="BZ259" s="591"/>
      <c r="CA259" s="591"/>
      <c r="CB259" s="591"/>
      <c r="CC259" s="591"/>
      <c r="CD259" s="591"/>
      <c r="CE259" s="591"/>
      <c r="CF259" s="591"/>
    </row>
    <row r="260" spans="1:84">
      <c r="A260" s="591"/>
      <c r="B260" s="591"/>
      <c r="C260" s="591"/>
      <c r="D260" s="591"/>
      <c r="E260" s="591"/>
      <c r="F260" s="591"/>
      <c r="G260" s="591"/>
      <c r="H260" s="591"/>
      <c r="I260" s="591"/>
      <c r="J260" s="591"/>
      <c r="K260" s="591"/>
      <c r="L260" s="591"/>
      <c r="M260" s="591"/>
      <c r="N260" s="591"/>
      <c r="O260" s="591"/>
      <c r="P260" s="591"/>
      <c r="Q260" s="591"/>
      <c r="R260" s="591"/>
      <c r="S260" s="591"/>
      <c r="T260" s="591"/>
      <c r="U260" s="591"/>
      <c r="V260" s="591"/>
      <c r="W260" s="591"/>
      <c r="X260" s="591"/>
      <c r="Y260" s="591"/>
      <c r="Z260" s="591"/>
      <c r="AA260" s="591"/>
      <c r="AB260" s="591"/>
      <c r="AC260" s="591"/>
      <c r="AD260" s="591"/>
      <c r="AE260" s="591"/>
      <c r="AF260" s="591"/>
      <c r="AG260" s="591"/>
      <c r="AH260" s="591"/>
      <c r="AI260" s="591"/>
      <c r="AJ260" s="591"/>
      <c r="AK260" s="591"/>
      <c r="AL260" s="591"/>
      <c r="AM260" s="591"/>
      <c r="AN260" s="591"/>
      <c r="AO260" s="591"/>
      <c r="AP260" s="591"/>
      <c r="AQ260" s="591"/>
      <c r="AR260" s="591"/>
      <c r="AS260" s="591"/>
      <c r="AT260" s="591"/>
      <c r="AU260" s="591"/>
      <c r="AV260" s="591"/>
      <c r="AW260" s="591"/>
      <c r="AX260" s="591"/>
      <c r="AY260" s="591"/>
      <c r="AZ260" s="591"/>
      <c r="BA260" s="591"/>
      <c r="BB260" s="591"/>
      <c r="BC260" s="591"/>
      <c r="BD260" s="591"/>
      <c r="BE260" s="591"/>
      <c r="BF260" s="591"/>
      <c r="BG260" s="591"/>
      <c r="BH260" s="591"/>
      <c r="BI260" s="591"/>
      <c r="BJ260" s="591"/>
      <c r="BK260" s="591"/>
      <c r="BL260" s="591"/>
      <c r="BM260" s="591"/>
      <c r="BN260" s="591"/>
      <c r="BO260" s="591"/>
      <c r="BP260" s="591"/>
      <c r="BQ260" s="591"/>
      <c r="BR260" s="591"/>
      <c r="BS260" s="591"/>
      <c r="BT260" s="591"/>
      <c r="BU260" s="591"/>
      <c r="BV260" s="591"/>
      <c r="BW260" s="591"/>
      <c r="BX260" s="591"/>
      <c r="BY260" s="591"/>
      <c r="BZ260" s="591"/>
      <c r="CA260" s="591"/>
      <c r="CB260" s="591"/>
      <c r="CC260" s="591"/>
      <c r="CD260" s="591"/>
      <c r="CE260" s="591"/>
      <c r="CF260" s="591"/>
    </row>
    <row r="261" spans="1:84">
      <c r="A261" s="591"/>
      <c r="B261" s="591"/>
      <c r="C261" s="591"/>
      <c r="D261" s="591"/>
      <c r="E261" s="591"/>
      <c r="F261" s="591"/>
      <c r="G261" s="591"/>
      <c r="H261" s="591"/>
      <c r="I261" s="591"/>
      <c r="J261" s="591"/>
      <c r="K261" s="591"/>
      <c r="L261" s="591"/>
      <c r="M261" s="591"/>
      <c r="N261" s="591"/>
      <c r="O261" s="591"/>
      <c r="P261" s="591"/>
      <c r="Q261" s="591"/>
      <c r="R261" s="591"/>
      <c r="S261" s="591"/>
      <c r="T261" s="591"/>
      <c r="U261" s="591"/>
      <c r="V261" s="591"/>
      <c r="W261" s="591"/>
      <c r="X261" s="591"/>
      <c r="Y261" s="591"/>
      <c r="Z261" s="591"/>
      <c r="AA261" s="591"/>
      <c r="AB261" s="591"/>
      <c r="AC261" s="591"/>
      <c r="AD261" s="591"/>
      <c r="AE261" s="591"/>
      <c r="AF261" s="591"/>
      <c r="AG261" s="591"/>
      <c r="AH261" s="591"/>
      <c r="AI261" s="591"/>
      <c r="AJ261" s="591"/>
      <c r="AK261" s="591"/>
      <c r="AL261" s="591"/>
      <c r="AM261" s="591"/>
      <c r="AN261" s="591"/>
      <c r="AO261" s="591"/>
      <c r="AP261" s="591"/>
      <c r="AQ261" s="591"/>
      <c r="AR261" s="591"/>
      <c r="AS261" s="591"/>
      <c r="AT261" s="591"/>
      <c r="AU261" s="591"/>
      <c r="AV261" s="591"/>
      <c r="AW261" s="591"/>
      <c r="AX261" s="591"/>
      <c r="AY261" s="591"/>
      <c r="AZ261" s="591"/>
      <c r="BA261" s="591"/>
      <c r="BB261" s="591"/>
      <c r="BC261" s="591"/>
      <c r="BD261" s="591"/>
      <c r="BE261" s="591"/>
      <c r="BF261" s="591"/>
      <c r="BG261" s="591"/>
      <c r="BH261" s="591"/>
      <c r="BI261" s="591"/>
      <c r="BJ261" s="591"/>
      <c r="BK261" s="591"/>
      <c r="BL261" s="591"/>
      <c r="BM261" s="591"/>
      <c r="BN261" s="591"/>
      <c r="BO261" s="591"/>
      <c r="BP261" s="591"/>
      <c r="BQ261" s="591"/>
      <c r="BR261" s="591"/>
      <c r="BS261" s="591"/>
      <c r="BT261" s="591"/>
      <c r="BU261" s="591"/>
      <c r="BV261" s="591"/>
      <c r="BW261" s="591"/>
      <c r="BX261" s="591"/>
      <c r="BY261" s="591"/>
      <c r="BZ261" s="591"/>
      <c r="CA261" s="591"/>
      <c r="CB261" s="591"/>
      <c r="CC261" s="591"/>
      <c r="CD261" s="591"/>
      <c r="CE261" s="591"/>
      <c r="CF261" s="591"/>
    </row>
    <row r="262" spans="1:84">
      <c r="A262" s="591"/>
      <c r="B262" s="591"/>
      <c r="C262" s="591"/>
      <c r="D262" s="591"/>
      <c r="E262" s="591"/>
      <c r="F262" s="591"/>
      <c r="G262" s="591"/>
      <c r="H262" s="591"/>
      <c r="I262" s="591"/>
      <c r="J262" s="591"/>
      <c r="K262" s="591"/>
      <c r="L262" s="591"/>
      <c r="M262" s="591"/>
      <c r="N262" s="591"/>
      <c r="O262" s="591"/>
      <c r="P262" s="591"/>
      <c r="Q262" s="591"/>
      <c r="R262" s="591"/>
      <c r="S262" s="591"/>
      <c r="T262" s="591"/>
      <c r="U262" s="591"/>
      <c r="V262" s="591"/>
      <c r="W262" s="591"/>
      <c r="X262" s="591"/>
      <c r="Y262" s="591"/>
      <c r="Z262" s="591"/>
      <c r="AA262" s="591"/>
      <c r="AB262" s="591"/>
      <c r="AC262" s="591"/>
      <c r="AD262" s="591"/>
      <c r="AE262" s="591"/>
      <c r="AF262" s="591"/>
      <c r="AG262" s="591"/>
      <c r="AH262" s="591"/>
      <c r="AI262" s="591"/>
      <c r="AJ262" s="591"/>
      <c r="AK262" s="591"/>
      <c r="AL262" s="591"/>
      <c r="AM262" s="591"/>
      <c r="AN262" s="591"/>
      <c r="AO262" s="591"/>
      <c r="AP262" s="591"/>
      <c r="AQ262" s="591"/>
      <c r="AR262" s="591"/>
      <c r="AS262" s="591"/>
      <c r="AT262" s="591"/>
      <c r="AU262" s="591"/>
      <c r="AV262" s="591"/>
      <c r="AW262" s="591"/>
      <c r="AX262" s="591"/>
      <c r="AY262" s="591"/>
      <c r="AZ262" s="591"/>
      <c r="BA262" s="591"/>
      <c r="BB262" s="591"/>
      <c r="BC262" s="591"/>
      <c r="BD262" s="591"/>
      <c r="BE262" s="591"/>
      <c r="BF262" s="591"/>
      <c r="BG262" s="591"/>
      <c r="BH262" s="591"/>
      <c r="BI262" s="591"/>
      <c r="BJ262" s="591"/>
      <c r="BK262" s="591"/>
      <c r="BL262" s="591"/>
      <c r="BM262" s="591"/>
      <c r="BN262" s="591"/>
      <c r="BO262" s="591"/>
      <c r="BP262" s="591"/>
      <c r="BQ262" s="591"/>
      <c r="BR262" s="591"/>
      <c r="BS262" s="591"/>
      <c r="BT262" s="591"/>
      <c r="BU262" s="591"/>
      <c r="BV262" s="591"/>
      <c r="BW262" s="591"/>
      <c r="BX262" s="591"/>
      <c r="BY262" s="591"/>
      <c r="BZ262" s="591"/>
      <c r="CA262" s="591"/>
      <c r="CB262" s="591"/>
      <c r="CC262" s="591"/>
      <c r="CD262" s="591"/>
      <c r="CE262" s="591"/>
      <c r="CF262" s="591"/>
    </row>
    <row r="263" spans="1:84">
      <c r="A263" s="591"/>
      <c r="B263" s="591"/>
      <c r="C263" s="591"/>
      <c r="D263" s="591"/>
      <c r="E263" s="591"/>
      <c r="F263" s="591"/>
      <c r="G263" s="591"/>
      <c r="H263" s="591"/>
      <c r="I263" s="591"/>
      <c r="J263" s="591"/>
      <c r="K263" s="591"/>
      <c r="L263" s="591"/>
      <c r="M263" s="591"/>
      <c r="N263" s="591"/>
      <c r="O263" s="591"/>
      <c r="P263" s="591"/>
      <c r="Q263" s="591"/>
      <c r="R263" s="591"/>
      <c r="S263" s="591"/>
      <c r="T263" s="591"/>
      <c r="U263" s="591"/>
      <c r="V263" s="591"/>
      <c r="W263" s="591"/>
      <c r="X263" s="591"/>
      <c r="Y263" s="591"/>
      <c r="Z263" s="591"/>
      <c r="AA263" s="591"/>
      <c r="AB263" s="591"/>
      <c r="AC263" s="591"/>
      <c r="AD263" s="591"/>
      <c r="AE263" s="591"/>
      <c r="AF263" s="591"/>
      <c r="AG263" s="591"/>
      <c r="AH263" s="591"/>
      <c r="AI263" s="591"/>
      <c r="AJ263" s="591"/>
      <c r="AK263" s="591"/>
      <c r="AL263" s="591"/>
      <c r="AM263" s="591"/>
      <c r="AN263" s="591"/>
      <c r="AO263" s="591"/>
      <c r="AP263" s="591"/>
      <c r="AQ263" s="591"/>
      <c r="AR263" s="591"/>
      <c r="AS263" s="591"/>
      <c r="AT263" s="591"/>
      <c r="AU263" s="591"/>
      <c r="AV263" s="591"/>
      <c r="AW263" s="591"/>
      <c r="AX263" s="591"/>
      <c r="AY263" s="591"/>
      <c r="AZ263" s="591"/>
      <c r="BA263" s="591"/>
      <c r="BB263" s="591"/>
      <c r="BC263" s="591"/>
      <c r="BD263" s="591"/>
      <c r="BE263" s="591"/>
      <c r="BF263" s="591"/>
      <c r="BG263" s="591"/>
      <c r="BH263" s="591"/>
      <c r="BI263" s="591"/>
      <c r="BJ263" s="591"/>
      <c r="BK263" s="591"/>
      <c r="BL263" s="591"/>
      <c r="BM263" s="591"/>
      <c r="BN263" s="591"/>
      <c r="BO263" s="591"/>
      <c r="BP263" s="591"/>
      <c r="BQ263" s="591"/>
      <c r="BR263" s="591"/>
      <c r="BS263" s="591"/>
      <c r="BT263" s="591"/>
      <c r="BU263" s="591"/>
      <c r="BV263" s="591"/>
      <c r="BW263" s="591"/>
      <c r="BX263" s="591"/>
      <c r="BY263" s="591"/>
      <c r="BZ263" s="591"/>
      <c r="CA263" s="591"/>
      <c r="CB263" s="591"/>
      <c r="CC263" s="591"/>
      <c r="CD263" s="591"/>
      <c r="CE263" s="591"/>
      <c r="CF263" s="591"/>
    </row>
    <row r="264" spans="1:84">
      <c r="A264" s="591"/>
      <c r="B264" s="591"/>
      <c r="C264" s="591"/>
      <c r="D264" s="591"/>
      <c r="E264" s="591"/>
      <c r="F264" s="591"/>
      <c r="G264" s="591"/>
      <c r="H264" s="591"/>
      <c r="I264" s="591"/>
      <c r="J264" s="591"/>
      <c r="K264" s="591"/>
      <c r="L264" s="591"/>
      <c r="M264" s="591"/>
      <c r="N264" s="591"/>
      <c r="O264" s="591"/>
      <c r="P264" s="591"/>
      <c r="Q264" s="591"/>
      <c r="R264" s="591"/>
      <c r="S264" s="591"/>
      <c r="T264" s="591"/>
      <c r="U264" s="591"/>
      <c r="V264" s="591"/>
      <c r="W264" s="591"/>
      <c r="X264" s="591"/>
      <c r="Y264" s="591"/>
      <c r="Z264" s="591"/>
      <c r="AA264" s="591"/>
      <c r="AB264" s="591"/>
      <c r="AC264" s="591"/>
      <c r="AD264" s="591"/>
      <c r="AE264" s="591"/>
      <c r="AF264" s="591"/>
      <c r="AG264" s="591"/>
      <c r="AH264" s="591"/>
      <c r="AI264" s="591"/>
      <c r="AJ264" s="591"/>
      <c r="AK264" s="591"/>
      <c r="AL264" s="591"/>
      <c r="AM264" s="591"/>
      <c r="AN264" s="591"/>
      <c r="AO264" s="591"/>
      <c r="AP264" s="591"/>
      <c r="AQ264" s="591"/>
      <c r="AR264" s="591"/>
      <c r="AS264" s="591"/>
      <c r="AT264" s="591"/>
      <c r="AU264" s="591"/>
      <c r="AV264" s="591"/>
      <c r="AW264" s="591"/>
      <c r="AX264" s="591"/>
      <c r="AY264" s="591"/>
      <c r="AZ264" s="591"/>
      <c r="BA264" s="591"/>
      <c r="BB264" s="591"/>
      <c r="BC264" s="591"/>
      <c r="BD264" s="591"/>
      <c r="BE264" s="591"/>
      <c r="BF264" s="591"/>
      <c r="BG264" s="591"/>
      <c r="BH264" s="591"/>
      <c r="BI264" s="591"/>
      <c r="BJ264" s="591"/>
      <c r="BK264" s="591"/>
      <c r="BL264" s="591"/>
      <c r="BM264" s="591"/>
      <c r="BN264" s="591"/>
      <c r="BO264" s="591"/>
      <c r="BP264" s="591"/>
      <c r="BQ264" s="591"/>
      <c r="BR264" s="591"/>
      <c r="BS264" s="591"/>
      <c r="BT264" s="591"/>
      <c r="BU264" s="591"/>
      <c r="BV264" s="591"/>
      <c r="BW264" s="591"/>
      <c r="BX264" s="591"/>
      <c r="BY264" s="591"/>
      <c r="BZ264" s="591"/>
      <c r="CA264" s="591"/>
      <c r="CB264" s="591"/>
      <c r="CC264" s="591"/>
      <c r="CD264" s="591"/>
      <c r="CE264" s="591"/>
      <c r="CF264" s="591"/>
    </row>
    <row r="265" spans="1:84">
      <c r="A265" s="591"/>
      <c r="B265" s="591"/>
      <c r="C265" s="591"/>
      <c r="D265" s="591"/>
      <c r="E265" s="591"/>
      <c r="F265" s="591"/>
      <c r="G265" s="591"/>
      <c r="H265" s="591"/>
      <c r="I265" s="591"/>
      <c r="J265" s="591"/>
      <c r="K265" s="591"/>
      <c r="L265" s="591"/>
      <c r="M265" s="591"/>
      <c r="N265" s="591"/>
      <c r="O265" s="591"/>
      <c r="P265" s="591"/>
      <c r="Q265" s="591"/>
      <c r="R265" s="591"/>
      <c r="S265" s="591"/>
      <c r="T265" s="591"/>
      <c r="U265" s="591"/>
      <c r="V265" s="591"/>
      <c r="W265" s="591"/>
      <c r="X265" s="591"/>
      <c r="Y265" s="591"/>
      <c r="Z265" s="591"/>
      <c r="AA265" s="591"/>
      <c r="AB265" s="591"/>
      <c r="AC265" s="591"/>
      <c r="AD265" s="591"/>
      <c r="AE265" s="591"/>
      <c r="AF265" s="591"/>
      <c r="AG265" s="591"/>
      <c r="AH265" s="591"/>
      <c r="AI265" s="591"/>
      <c r="AJ265" s="591"/>
      <c r="AK265" s="591"/>
      <c r="AL265" s="591"/>
      <c r="AM265" s="591"/>
      <c r="AN265" s="591"/>
      <c r="AO265" s="591"/>
      <c r="AP265" s="591"/>
      <c r="AQ265" s="591"/>
      <c r="AR265" s="591"/>
      <c r="AS265" s="591"/>
      <c r="AT265" s="591"/>
      <c r="AU265" s="591"/>
      <c r="AV265" s="591"/>
      <c r="AW265" s="591"/>
      <c r="AX265" s="591"/>
      <c r="AY265" s="591"/>
      <c r="AZ265" s="591"/>
      <c r="BA265" s="591"/>
      <c r="BB265" s="591"/>
      <c r="BC265" s="591"/>
      <c r="BD265" s="591"/>
      <c r="BE265" s="591"/>
      <c r="BF265" s="591"/>
      <c r="BG265" s="591"/>
      <c r="BH265" s="591"/>
      <c r="BI265" s="591"/>
      <c r="BJ265" s="591"/>
      <c r="BK265" s="591"/>
      <c r="BL265" s="591"/>
      <c r="BM265" s="591"/>
      <c r="BN265" s="591"/>
      <c r="BO265" s="591"/>
      <c r="BP265" s="591"/>
      <c r="BQ265" s="591"/>
      <c r="BR265" s="591"/>
      <c r="BS265" s="591"/>
      <c r="BT265" s="591"/>
      <c r="BU265" s="591"/>
      <c r="BV265" s="591"/>
      <c r="BW265" s="591"/>
      <c r="BX265" s="591"/>
      <c r="BY265" s="591"/>
      <c r="BZ265" s="591"/>
      <c r="CA265" s="591"/>
      <c r="CB265" s="591"/>
      <c r="CC265" s="591"/>
      <c r="CD265" s="591"/>
      <c r="CE265" s="591"/>
      <c r="CF265" s="591"/>
    </row>
    <row r="266" spans="1:84">
      <c r="A266" s="591"/>
      <c r="B266" s="591"/>
      <c r="C266" s="591"/>
      <c r="D266" s="591"/>
      <c r="E266" s="591"/>
      <c r="F266" s="591"/>
      <c r="G266" s="591"/>
      <c r="H266" s="591"/>
      <c r="I266" s="591"/>
      <c r="J266" s="591"/>
      <c r="K266" s="591"/>
      <c r="L266" s="591"/>
      <c r="M266" s="591"/>
      <c r="N266" s="591"/>
      <c r="O266" s="591"/>
      <c r="P266" s="591"/>
      <c r="Q266" s="591"/>
      <c r="R266" s="591"/>
      <c r="S266" s="591"/>
      <c r="T266" s="591"/>
      <c r="U266" s="591"/>
      <c r="V266" s="591"/>
      <c r="W266" s="591"/>
      <c r="X266" s="591"/>
      <c r="Y266" s="591"/>
      <c r="Z266" s="591"/>
      <c r="AA266" s="591"/>
      <c r="AB266" s="591"/>
      <c r="AC266" s="591"/>
      <c r="AD266" s="591"/>
      <c r="AE266" s="591"/>
      <c r="AF266" s="591"/>
      <c r="AG266" s="591"/>
      <c r="AH266" s="591"/>
      <c r="AI266" s="591"/>
      <c r="AJ266" s="591"/>
      <c r="AK266" s="591"/>
      <c r="AL266" s="591"/>
      <c r="AM266" s="591"/>
      <c r="AN266" s="591"/>
      <c r="AO266" s="591"/>
      <c r="AP266" s="591"/>
      <c r="AQ266" s="591"/>
      <c r="AR266" s="591"/>
      <c r="AS266" s="591"/>
      <c r="AT266" s="591"/>
      <c r="AU266" s="591"/>
      <c r="AV266" s="591"/>
      <c r="AW266" s="591"/>
      <c r="AX266" s="591"/>
      <c r="AY266" s="591"/>
      <c r="AZ266" s="591"/>
      <c r="BA266" s="591"/>
      <c r="BB266" s="591"/>
      <c r="BC266" s="591"/>
      <c r="BD266" s="591"/>
      <c r="BE266" s="591"/>
      <c r="BF266" s="591"/>
      <c r="BG266" s="591"/>
      <c r="BH266" s="591"/>
      <c r="BI266" s="591"/>
      <c r="BJ266" s="591"/>
      <c r="BK266" s="591"/>
      <c r="BL266" s="591"/>
      <c r="BM266" s="591"/>
      <c r="BN266" s="591"/>
      <c r="BO266" s="591"/>
      <c r="BP266" s="591"/>
      <c r="BQ266" s="591"/>
      <c r="BR266" s="591"/>
      <c r="BS266" s="591"/>
      <c r="BT266" s="591"/>
      <c r="BU266" s="591"/>
      <c r="BV266" s="591"/>
      <c r="BW266" s="591"/>
      <c r="BX266" s="591"/>
      <c r="BY266" s="591"/>
      <c r="BZ266" s="591"/>
      <c r="CA266" s="591"/>
      <c r="CB266" s="591"/>
      <c r="CC266" s="591"/>
      <c r="CD266" s="591"/>
      <c r="CE266" s="591"/>
      <c r="CF266" s="591"/>
    </row>
    <row r="267" spans="1:84">
      <c r="A267" s="591"/>
      <c r="B267" s="591"/>
      <c r="C267" s="591"/>
      <c r="D267" s="591"/>
      <c r="E267" s="591"/>
      <c r="F267" s="591"/>
      <c r="G267" s="591"/>
      <c r="H267" s="591"/>
      <c r="I267" s="591"/>
      <c r="J267" s="591"/>
      <c r="K267" s="591"/>
      <c r="L267" s="591"/>
      <c r="M267" s="591"/>
      <c r="N267" s="591"/>
      <c r="O267" s="591"/>
      <c r="P267" s="591"/>
      <c r="Q267" s="591"/>
      <c r="R267" s="591"/>
      <c r="S267" s="591"/>
      <c r="T267" s="591"/>
      <c r="U267" s="591"/>
      <c r="V267" s="591"/>
      <c r="W267" s="591"/>
      <c r="X267" s="591"/>
      <c r="Y267" s="591"/>
      <c r="Z267" s="591"/>
      <c r="AA267" s="591"/>
      <c r="AB267" s="591"/>
      <c r="AC267" s="591"/>
      <c r="AD267" s="591"/>
      <c r="AE267" s="591"/>
      <c r="AF267" s="591"/>
      <c r="AG267" s="591"/>
      <c r="AH267" s="591"/>
      <c r="AI267" s="591"/>
      <c r="AJ267" s="591"/>
      <c r="AK267" s="591"/>
      <c r="AL267" s="591"/>
      <c r="AM267" s="591"/>
      <c r="AN267" s="591"/>
      <c r="AO267" s="591"/>
      <c r="AP267" s="591"/>
      <c r="AQ267" s="591"/>
      <c r="AR267" s="591"/>
      <c r="AS267" s="591"/>
      <c r="AT267" s="591"/>
      <c r="AU267" s="591"/>
      <c r="AV267" s="591"/>
      <c r="AW267" s="591"/>
      <c r="AX267" s="591"/>
      <c r="AY267" s="591"/>
      <c r="AZ267" s="591"/>
      <c r="BA267" s="591"/>
      <c r="BB267" s="591"/>
      <c r="BC267" s="591"/>
      <c r="BD267" s="591"/>
      <c r="BE267" s="591"/>
      <c r="BF267" s="591"/>
      <c r="BG267" s="591"/>
      <c r="BH267" s="591"/>
      <c r="BI267" s="591"/>
      <c r="BJ267" s="591"/>
      <c r="BK267" s="591"/>
      <c r="BL267" s="591"/>
      <c r="BM267" s="591"/>
      <c r="BN267" s="591"/>
      <c r="BO267" s="591"/>
      <c r="BP267" s="591"/>
      <c r="BQ267" s="591"/>
      <c r="BR267" s="591"/>
      <c r="BS267" s="591"/>
      <c r="BT267" s="591"/>
      <c r="BU267" s="591"/>
      <c r="BV267" s="591"/>
      <c r="BW267" s="591"/>
      <c r="BX267" s="591"/>
      <c r="BY267" s="591"/>
      <c r="BZ267" s="591"/>
      <c r="CA267" s="591"/>
      <c r="CB267" s="591"/>
      <c r="CC267" s="591"/>
      <c r="CD267" s="591"/>
      <c r="CE267" s="591"/>
      <c r="CF267" s="591"/>
    </row>
    <row r="268" spans="1:84">
      <c r="A268" s="591"/>
      <c r="B268" s="591"/>
      <c r="C268" s="591"/>
      <c r="D268" s="591"/>
      <c r="E268" s="591"/>
      <c r="F268" s="591"/>
      <c r="G268" s="591"/>
      <c r="H268" s="591"/>
      <c r="I268" s="591"/>
      <c r="J268" s="591"/>
      <c r="K268" s="591"/>
      <c r="L268" s="591"/>
      <c r="M268" s="591"/>
      <c r="N268" s="591"/>
      <c r="O268" s="591"/>
      <c r="P268" s="591"/>
      <c r="Q268" s="591"/>
      <c r="R268" s="591"/>
      <c r="S268" s="591"/>
      <c r="T268" s="591"/>
      <c r="U268" s="591"/>
      <c r="V268" s="591"/>
      <c r="W268" s="591"/>
      <c r="X268" s="591"/>
      <c r="Y268" s="591"/>
      <c r="Z268" s="591"/>
      <c r="AA268" s="591"/>
      <c r="AB268" s="591"/>
      <c r="AC268" s="591"/>
      <c r="AD268" s="591"/>
      <c r="AE268" s="591"/>
      <c r="AF268" s="591"/>
      <c r="AG268" s="591"/>
      <c r="AH268" s="591"/>
      <c r="AI268" s="591"/>
      <c r="AJ268" s="591"/>
      <c r="AK268" s="591"/>
      <c r="AL268" s="591"/>
      <c r="AM268" s="591"/>
      <c r="AN268" s="591"/>
      <c r="AO268" s="591"/>
      <c r="AP268" s="591"/>
      <c r="AQ268" s="591"/>
      <c r="AR268" s="591"/>
      <c r="AS268" s="591"/>
      <c r="AT268" s="591"/>
      <c r="AU268" s="591"/>
      <c r="AV268" s="591"/>
      <c r="AW268" s="591"/>
      <c r="AX268" s="591"/>
      <c r="AY268" s="591"/>
      <c r="AZ268" s="591"/>
      <c r="BA268" s="591"/>
      <c r="BB268" s="591"/>
      <c r="BC268" s="591"/>
      <c r="BD268" s="591"/>
      <c r="BE268" s="591"/>
      <c r="BF268" s="591"/>
      <c r="BG268" s="591"/>
      <c r="BH268" s="591"/>
      <c r="BI268" s="591"/>
      <c r="BJ268" s="591"/>
      <c r="BK268" s="591"/>
      <c r="BL268" s="591"/>
      <c r="BM268" s="591"/>
      <c r="BN268" s="591"/>
      <c r="BO268" s="591"/>
      <c r="BP268" s="591"/>
      <c r="BQ268" s="591"/>
      <c r="BR268" s="591"/>
      <c r="BS268" s="591"/>
      <c r="BT268" s="591"/>
      <c r="BU268" s="591"/>
      <c r="BV268" s="591"/>
      <c r="BW268" s="591"/>
      <c r="BX268" s="591"/>
      <c r="BY268" s="591"/>
      <c r="BZ268" s="591"/>
      <c r="CA268" s="591"/>
      <c r="CB268" s="591"/>
      <c r="CC268" s="591"/>
      <c r="CD268" s="591"/>
      <c r="CE268" s="591"/>
      <c r="CF268" s="591"/>
    </row>
    <row r="269" spans="1:84">
      <c r="A269" s="591"/>
      <c r="B269" s="591"/>
      <c r="C269" s="591"/>
      <c r="D269" s="591"/>
      <c r="E269" s="591"/>
      <c r="F269" s="591"/>
      <c r="G269" s="591"/>
      <c r="H269" s="591"/>
      <c r="I269" s="591"/>
      <c r="J269" s="591"/>
      <c r="K269" s="591"/>
      <c r="L269" s="591"/>
      <c r="M269" s="591"/>
      <c r="N269" s="591"/>
      <c r="O269" s="591"/>
      <c r="P269" s="591"/>
      <c r="Q269" s="591"/>
      <c r="R269" s="591"/>
      <c r="S269" s="591"/>
      <c r="T269" s="591"/>
      <c r="U269" s="591"/>
      <c r="V269" s="591"/>
      <c r="W269" s="591"/>
      <c r="X269" s="591"/>
      <c r="Y269" s="591"/>
      <c r="Z269" s="591"/>
      <c r="AA269" s="591"/>
      <c r="AB269" s="591"/>
      <c r="AC269" s="591"/>
      <c r="AD269" s="591"/>
      <c r="AE269" s="591"/>
      <c r="AF269" s="591"/>
      <c r="AG269" s="591"/>
      <c r="AH269" s="591"/>
      <c r="AI269" s="591"/>
      <c r="AJ269" s="591"/>
      <c r="AK269" s="591"/>
      <c r="AL269" s="591"/>
      <c r="AM269" s="591"/>
      <c r="AN269" s="591"/>
      <c r="AO269" s="591"/>
      <c r="AP269" s="591"/>
      <c r="AQ269" s="591"/>
      <c r="AR269" s="591"/>
      <c r="AS269" s="591"/>
      <c r="AT269" s="591"/>
      <c r="AU269" s="591"/>
      <c r="AV269" s="591"/>
      <c r="AW269" s="591"/>
      <c r="AX269" s="591"/>
      <c r="AY269" s="591"/>
      <c r="AZ269" s="591"/>
      <c r="BA269" s="591"/>
      <c r="BB269" s="591"/>
      <c r="BC269" s="591"/>
      <c r="BD269" s="591"/>
      <c r="BE269" s="591"/>
      <c r="BF269" s="591"/>
      <c r="BG269" s="591"/>
      <c r="BH269" s="591"/>
      <c r="BI269" s="591"/>
      <c r="BJ269" s="591"/>
      <c r="BK269" s="591"/>
      <c r="BL269" s="591"/>
      <c r="BM269" s="591"/>
      <c r="BN269" s="591"/>
      <c r="BO269" s="591"/>
      <c r="BP269" s="591"/>
      <c r="BQ269" s="591"/>
      <c r="BR269" s="591"/>
      <c r="BS269" s="591"/>
      <c r="BT269" s="591"/>
      <c r="BU269" s="591"/>
      <c r="BV269" s="591"/>
      <c r="BW269" s="591"/>
      <c r="BX269" s="591"/>
      <c r="BY269" s="591"/>
      <c r="BZ269" s="591"/>
      <c r="CA269" s="591"/>
      <c r="CB269" s="591"/>
      <c r="CC269" s="591"/>
      <c r="CD269" s="591"/>
      <c r="CE269" s="591"/>
      <c r="CF269" s="591"/>
    </row>
    <row r="270" spans="1:84">
      <c r="A270" s="591"/>
      <c r="B270" s="591"/>
      <c r="C270" s="591"/>
      <c r="D270" s="591"/>
      <c r="E270" s="591"/>
      <c r="F270" s="591"/>
      <c r="G270" s="591"/>
      <c r="H270" s="591"/>
      <c r="I270" s="591"/>
      <c r="J270" s="591"/>
      <c r="K270" s="591"/>
      <c r="L270" s="591"/>
      <c r="M270" s="591"/>
      <c r="N270" s="591"/>
      <c r="O270" s="591"/>
      <c r="P270" s="591"/>
      <c r="Q270" s="591"/>
      <c r="R270" s="591"/>
      <c r="S270" s="591"/>
      <c r="T270" s="591"/>
      <c r="U270" s="591"/>
      <c r="V270" s="591"/>
      <c r="W270" s="591"/>
      <c r="X270" s="591"/>
      <c r="Y270" s="591"/>
      <c r="Z270" s="591"/>
      <c r="AA270" s="591"/>
      <c r="AB270" s="591"/>
      <c r="AC270" s="591"/>
      <c r="AD270" s="591"/>
      <c r="AE270" s="591"/>
      <c r="AF270" s="591"/>
      <c r="AG270" s="591"/>
      <c r="AH270" s="591"/>
      <c r="AI270" s="591"/>
      <c r="AJ270" s="591"/>
      <c r="AK270" s="591"/>
      <c r="AL270" s="591"/>
      <c r="AM270" s="591"/>
      <c r="AN270" s="591"/>
      <c r="AO270" s="591"/>
      <c r="AP270" s="591"/>
      <c r="AQ270" s="591"/>
      <c r="AR270" s="591"/>
      <c r="AS270" s="591"/>
      <c r="AT270" s="591"/>
      <c r="AU270" s="591"/>
      <c r="AV270" s="591"/>
      <c r="AW270" s="591"/>
      <c r="AX270" s="591"/>
      <c r="AY270" s="591"/>
      <c r="AZ270" s="591"/>
      <c r="BA270" s="591"/>
      <c r="BB270" s="591"/>
      <c r="BC270" s="591"/>
      <c r="BD270" s="591"/>
      <c r="BE270" s="591"/>
      <c r="BF270" s="591"/>
      <c r="BG270" s="591"/>
      <c r="BH270" s="591"/>
      <c r="BI270" s="591"/>
      <c r="BJ270" s="591"/>
      <c r="BK270" s="591"/>
      <c r="BL270" s="591"/>
      <c r="BM270" s="591"/>
      <c r="BN270" s="591"/>
      <c r="BO270" s="591"/>
      <c r="BP270" s="591"/>
      <c r="BQ270" s="591"/>
      <c r="BR270" s="591"/>
      <c r="BS270" s="591"/>
      <c r="BT270" s="591"/>
      <c r="BU270" s="591"/>
      <c r="BV270" s="591"/>
      <c r="BW270" s="591"/>
      <c r="BX270" s="591"/>
      <c r="BY270" s="591"/>
      <c r="BZ270" s="591"/>
      <c r="CA270" s="591"/>
      <c r="CB270" s="591"/>
      <c r="CC270" s="591"/>
      <c r="CD270" s="591"/>
      <c r="CE270" s="591"/>
      <c r="CF270" s="591"/>
    </row>
    <row r="271" spans="1:84">
      <c r="A271" s="591"/>
      <c r="B271" s="591"/>
      <c r="C271" s="591"/>
      <c r="D271" s="591"/>
      <c r="E271" s="591"/>
      <c r="F271" s="591"/>
      <c r="G271" s="591"/>
      <c r="H271" s="591"/>
      <c r="I271" s="591"/>
      <c r="J271" s="591"/>
      <c r="K271" s="591"/>
      <c r="L271" s="591"/>
      <c r="M271" s="591"/>
      <c r="N271" s="591"/>
      <c r="O271" s="591"/>
      <c r="P271" s="591"/>
      <c r="Q271" s="591"/>
      <c r="R271" s="591"/>
      <c r="S271" s="591"/>
      <c r="T271" s="591"/>
      <c r="U271" s="591"/>
      <c r="V271" s="591"/>
      <c r="W271" s="591"/>
      <c r="X271" s="591"/>
      <c r="Y271" s="591"/>
      <c r="Z271" s="591"/>
      <c r="AA271" s="591"/>
      <c r="AB271" s="591"/>
      <c r="AC271" s="591"/>
      <c r="AD271" s="591"/>
      <c r="AE271" s="591"/>
      <c r="AF271" s="591"/>
      <c r="AG271" s="591"/>
      <c r="AH271" s="591"/>
      <c r="AI271" s="591"/>
      <c r="AJ271" s="591"/>
      <c r="AK271" s="591"/>
      <c r="AL271" s="591"/>
      <c r="AM271" s="591"/>
      <c r="AN271" s="591"/>
      <c r="AO271" s="591"/>
      <c r="AP271" s="591"/>
      <c r="AQ271" s="591"/>
      <c r="AR271" s="591"/>
      <c r="AS271" s="591"/>
      <c r="AT271" s="591"/>
      <c r="AU271" s="591"/>
      <c r="AV271" s="591"/>
      <c r="AW271" s="591"/>
      <c r="AX271" s="591"/>
      <c r="AY271" s="591"/>
      <c r="AZ271" s="591"/>
      <c r="BA271" s="591"/>
      <c r="BB271" s="591"/>
      <c r="BC271" s="591"/>
      <c r="BD271" s="591"/>
      <c r="BE271" s="591"/>
      <c r="BF271" s="591"/>
      <c r="BG271" s="591"/>
      <c r="BH271" s="591"/>
      <c r="BI271" s="591"/>
      <c r="BJ271" s="591"/>
      <c r="BK271" s="591"/>
      <c r="BL271" s="591"/>
      <c r="BM271" s="591"/>
      <c r="BN271" s="591"/>
      <c r="BO271" s="591"/>
      <c r="BP271" s="591"/>
      <c r="BQ271" s="591"/>
      <c r="BR271" s="591"/>
      <c r="BS271" s="591"/>
      <c r="BT271" s="591"/>
      <c r="BU271" s="591"/>
      <c r="BV271" s="591"/>
      <c r="BW271" s="591"/>
      <c r="BX271" s="591"/>
      <c r="BY271" s="591"/>
      <c r="BZ271" s="591"/>
      <c r="CA271" s="591"/>
      <c r="CB271" s="591"/>
      <c r="CC271" s="591"/>
      <c r="CD271" s="591"/>
      <c r="CE271" s="591"/>
      <c r="CF271" s="591"/>
    </row>
    <row r="272" spans="1:84">
      <c r="A272" s="591"/>
      <c r="B272" s="591"/>
      <c r="C272" s="591"/>
      <c r="D272" s="591"/>
      <c r="E272" s="591"/>
      <c r="F272" s="591"/>
      <c r="G272" s="591"/>
      <c r="H272" s="591"/>
      <c r="I272" s="591"/>
      <c r="J272" s="591"/>
      <c r="K272" s="591"/>
      <c r="L272" s="591"/>
      <c r="M272" s="591"/>
      <c r="N272" s="591"/>
      <c r="O272" s="591"/>
      <c r="P272" s="591"/>
      <c r="Q272" s="591"/>
      <c r="R272" s="591"/>
      <c r="S272" s="591"/>
      <c r="T272" s="591"/>
      <c r="U272" s="591"/>
      <c r="V272" s="591"/>
      <c r="W272" s="591"/>
      <c r="X272" s="591"/>
      <c r="Y272" s="591"/>
      <c r="Z272" s="591"/>
      <c r="AA272" s="591"/>
      <c r="AB272" s="591"/>
      <c r="AC272" s="591"/>
      <c r="AD272" s="591"/>
      <c r="AE272" s="591"/>
      <c r="AF272" s="591"/>
      <c r="AG272" s="591"/>
      <c r="AH272" s="591"/>
      <c r="AI272" s="591"/>
      <c r="AJ272" s="591"/>
      <c r="AK272" s="591"/>
      <c r="AL272" s="591"/>
      <c r="AM272" s="591"/>
      <c r="AN272" s="591"/>
      <c r="AO272" s="591"/>
      <c r="AP272" s="591"/>
      <c r="AQ272" s="591"/>
      <c r="AR272" s="591"/>
      <c r="AS272" s="591"/>
      <c r="AT272" s="591"/>
      <c r="AU272" s="591"/>
      <c r="AV272" s="591"/>
      <c r="AW272" s="591"/>
      <c r="AX272" s="591"/>
      <c r="AY272" s="591"/>
      <c r="AZ272" s="591"/>
      <c r="BA272" s="591"/>
      <c r="BB272" s="591"/>
      <c r="BC272" s="591"/>
      <c r="BD272" s="591"/>
      <c r="BE272" s="591"/>
      <c r="BF272" s="591"/>
      <c r="BG272" s="591"/>
      <c r="BH272" s="591"/>
      <c r="BI272" s="591"/>
      <c r="BJ272" s="591"/>
      <c r="BK272" s="591"/>
      <c r="BL272" s="591"/>
      <c r="BM272" s="591"/>
      <c r="BN272" s="591"/>
      <c r="BO272" s="591"/>
      <c r="BP272" s="591"/>
      <c r="BQ272" s="591"/>
      <c r="BR272" s="591"/>
      <c r="BS272" s="591"/>
      <c r="BT272" s="591"/>
      <c r="BU272" s="591"/>
      <c r="BV272" s="591"/>
      <c r="BW272" s="591"/>
      <c r="BX272" s="591"/>
      <c r="BY272" s="591"/>
      <c r="BZ272" s="591"/>
      <c r="CA272" s="591"/>
      <c r="CB272" s="591"/>
      <c r="CC272" s="591"/>
      <c r="CD272" s="591"/>
      <c r="CE272" s="591"/>
      <c r="CF272" s="591"/>
    </row>
    <row r="273" spans="1:84">
      <c r="A273" s="591"/>
      <c r="B273" s="591"/>
      <c r="C273" s="591"/>
      <c r="D273" s="591"/>
      <c r="E273" s="591"/>
      <c r="F273" s="591"/>
      <c r="G273" s="591"/>
      <c r="H273" s="591"/>
      <c r="I273" s="591"/>
      <c r="J273" s="591"/>
      <c r="K273" s="591"/>
      <c r="L273" s="591"/>
      <c r="M273" s="591"/>
      <c r="N273" s="591"/>
      <c r="O273" s="591"/>
      <c r="P273" s="591"/>
      <c r="Q273" s="591"/>
      <c r="R273" s="591"/>
      <c r="S273" s="591"/>
      <c r="T273" s="591"/>
      <c r="U273" s="591"/>
      <c r="V273" s="591"/>
      <c r="W273" s="591"/>
      <c r="X273" s="591"/>
      <c r="Y273" s="591"/>
      <c r="Z273" s="591"/>
      <c r="AA273" s="591"/>
      <c r="AB273" s="591"/>
      <c r="AC273" s="591"/>
      <c r="AD273" s="591"/>
      <c r="AE273" s="591"/>
      <c r="AF273" s="591"/>
      <c r="AG273" s="591"/>
      <c r="AH273" s="591"/>
      <c r="AI273" s="591"/>
      <c r="AJ273" s="591"/>
      <c r="AK273" s="591"/>
      <c r="AL273" s="591"/>
      <c r="AM273" s="591"/>
      <c r="AN273" s="591"/>
      <c r="AO273" s="591"/>
      <c r="AP273" s="591"/>
      <c r="AQ273" s="591"/>
      <c r="AR273" s="591"/>
      <c r="AS273" s="591"/>
      <c r="AT273" s="591"/>
      <c r="AU273" s="591"/>
      <c r="AV273" s="591"/>
      <c r="AW273" s="591"/>
      <c r="AX273" s="591"/>
      <c r="AY273" s="591"/>
      <c r="AZ273" s="591"/>
      <c r="BA273" s="591"/>
      <c r="BB273" s="591"/>
      <c r="BC273" s="591"/>
      <c r="BD273" s="591"/>
      <c r="BE273" s="591"/>
      <c r="BF273" s="591"/>
      <c r="BG273" s="591"/>
      <c r="BH273" s="591"/>
      <c r="BI273" s="591"/>
      <c r="BJ273" s="591"/>
      <c r="BK273" s="591"/>
      <c r="BL273" s="591"/>
      <c r="BM273" s="591"/>
      <c r="BN273" s="591"/>
      <c r="BO273" s="591"/>
      <c r="BP273" s="591"/>
      <c r="BQ273" s="591"/>
      <c r="BR273" s="591"/>
      <c r="BS273" s="591"/>
      <c r="BT273" s="591"/>
      <c r="BU273" s="591"/>
      <c r="BV273" s="591"/>
      <c r="BW273" s="591"/>
      <c r="BX273" s="591"/>
      <c r="BY273" s="591"/>
      <c r="BZ273" s="591"/>
      <c r="CA273" s="591"/>
      <c r="CB273" s="591"/>
      <c r="CC273" s="591"/>
      <c r="CD273" s="591"/>
      <c r="CE273" s="591"/>
      <c r="CF273" s="591"/>
    </row>
    <row r="274" spans="1:84">
      <c r="A274" s="591"/>
      <c r="B274" s="591"/>
      <c r="C274" s="591"/>
      <c r="D274" s="591"/>
      <c r="E274" s="591"/>
      <c r="F274" s="591"/>
      <c r="G274" s="591"/>
      <c r="H274" s="591"/>
      <c r="I274" s="591"/>
      <c r="J274" s="591"/>
      <c r="K274" s="591"/>
      <c r="L274" s="591"/>
      <c r="M274" s="591"/>
      <c r="N274" s="591"/>
      <c r="O274" s="591"/>
      <c r="P274" s="591"/>
      <c r="Q274" s="591"/>
      <c r="R274" s="591"/>
      <c r="S274" s="591"/>
      <c r="T274" s="591"/>
      <c r="U274" s="591"/>
      <c r="V274" s="591"/>
      <c r="W274" s="591"/>
      <c r="X274" s="591"/>
      <c r="Y274" s="591"/>
      <c r="Z274" s="591"/>
      <c r="AA274" s="591"/>
      <c r="AB274" s="591"/>
      <c r="AC274" s="591"/>
      <c r="AD274" s="591"/>
      <c r="AE274" s="591"/>
      <c r="AF274" s="591"/>
      <c r="AG274" s="591"/>
      <c r="AH274" s="591"/>
      <c r="AI274" s="591"/>
      <c r="AJ274" s="591"/>
      <c r="AK274" s="591"/>
      <c r="AL274" s="591"/>
      <c r="AM274" s="591"/>
      <c r="AN274" s="591"/>
      <c r="AO274" s="591"/>
      <c r="AP274" s="591"/>
      <c r="AQ274" s="591"/>
      <c r="AR274" s="591"/>
      <c r="AS274" s="591"/>
      <c r="AT274" s="591"/>
      <c r="AU274" s="591"/>
      <c r="AV274" s="591"/>
      <c r="AW274" s="591"/>
      <c r="AX274" s="591"/>
      <c r="AY274" s="591"/>
      <c r="AZ274" s="591"/>
      <c r="BA274" s="591"/>
      <c r="BB274" s="591"/>
      <c r="BC274" s="591"/>
      <c r="BD274" s="591"/>
      <c r="BE274" s="591"/>
      <c r="BF274" s="591"/>
      <c r="BG274" s="591"/>
      <c r="BH274" s="591"/>
      <c r="BI274" s="591"/>
      <c r="BJ274" s="591"/>
      <c r="BK274" s="591"/>
      <c r="BL274" s="591"/>
      <c r="BM274" s="591"/>
      <c r="BN274" s="591"/>
      <c r="BO274" s="591"/>
      <c r="BP274" s="591"/>
      <c r="BQ274" s="591"/>
      <c r="BR274" s="591"/>
      <c r="BS274" s="591"/>
      <c r="BT274" s="591"/>
      <c r="BU274" s="591"/>
      <c r="BV274" s="591"/>
      <c r="BW274" s="591"/>
      <c r="BX274" s="591"/>
      <c r="BY274" s="591"/>
      <c r="BZ274" s="591"/>
      <c r="CA274" s="591"/>
      <c r="CB274" s="591"/>
      <c r="CC274" s="591"/>
      <c r="CD274" s="591"/>
      <c r="CE274" s="591"/>
      <c r="CF274" s="591"/>
    </row>
    <row r="275" spans="1:84">
      <c r="A275" s="591"/>
      <c r="B275" s="591"/>
      <c r="C275" s="591"/>
      <c r="D275" s="591"/>
      <c r="E275" s="591"/>
      <c r="F275" s="591"/>
      <c r="G275" s="591"/>
      <c r="H275" s="591"/>
      <c r="I275" s="591"/>
      <c r="J275" s="591"/>
      <c r="K275" s="591"/>
      <c r="L275" s="591"/>
      <c r="M275" s="591"/>
      <c r="N275" s="591"/>
      <c r="O275" s="591"/>
      <c r="P275" s="591"/>
      <c r="Q275" s="591"/>
      <c r="R275" s="591"/>
      <c r="S275" s="591"/>
      <c r="T275" s="591"/>
      <c r="U275" s="591"/>
      <c r="V275" s="591"/>
      <c r="W275" s="591"/>
      <c r="X275" s="591"/>
      <c r="Y275" s="591"/>
      <c r="Z275" s="591"/>
      <c r="AA275" s="591"/>
      <c r="AB275" s="591"/>
      <c r="AC275" s="591"/>
      <c r="AD275" s="591"/>
      <c r="AE275" s="591"/>
      <c r="AF275" s="591"/>
      <c r="AG275" s="591"/>
      <c r="AH275" s="591"/>
      <c r="AI275" s="591"/>
      <c r="AJ275" s="591"/>
      <c r="AK275" s="591"/>
      <c r="AL275" s="591"/>
      <c r="AM275" s="591"/>
      <c r="AN275" s="591"/>
      <c r="AO275" s="591"/>
      <c r="AP275" s="591"/>
      <c r="AQ275" s="591"/>
      <c r="AR275" s="591"/>
      <c r="AS275" s="591"/>
      <c r="AT275" s="591"/>
      <c r="AU275" s="591"/>
      <c r="AV275" s="591"/>
      <c r="AW275" s="591"/>
      <c r="AX275" s="591"/>
      <c r="AY275" s="591"/>
      <c r="AZ275" s="591"/>
      <c r="BA275" s="591"/>
      <c r="BB275" s="591"/>
      <c r="BC275" s="591"/>
      <c r="BD275" s="591"/>
      <c r="BE275" s="591"/>
      <c r="BF275" s="591"/>
      <c r="BG275" s="591"/>
      <c r="BH275" s="591"/>
      <c r="BI275" s="591"/>
      <c r="BJ275" s="591"/>
      <c r="BK275" s="591"/>
      <c r="BL275" s="591"/>
      <c r="BM275" s="591"/>
      <c r="BN275" s="591"/>
      <c r="BO275" s="591"/>
      <c r="BP275" s="591"/>
      <c r="BQ275" s="591"/>
      <c r="BR275" s="591"/>
      <c r="BS275" s="591"/>
      <c r="BT275" s="591"/>
      <c r="BU275" s="591"/>
      <c r="BV275" s="591"/>
      <c r="BW275" s="591"/>
      <c r="BX275" s="591"/>
      <c r="BY275" s="591"/>
      <c r="BZ275" s="591"/>
      <c r="CA275" s="591"/>
      <c r="CB275" s="591"/>
      <c r="CC275" s="591"/>
      <c r="CD275" s="591"/>
      <c r="CE275" s="591"/>
      <c r="CF275" s="591"/>
    </row>
    <row r="276" spans="1:84">
      <c r="A276" s="591"/>
      <c r="B276" s="591"/>
      <c r="C276" s="591"/>
      <c r="D276" s="591"/>
      <c r="E276" s="591"/>
      <c r="F276" s="591"/>
      <c r="G276" s="591"/>
      <c r="H276" s="591"/>
      <c r="I276" s="591"/>
      <c r="J276" s="591"/>
      <c r="K276" s="591"/>
      <c r="L276" s="591"/>
      <c r="M276" s="591"/>
      <c r="N276" s="591"/>
      <c r="O276" s="591"/>
      <c r="P276" s="591"/>
      <c r="Q276" s="591"/>
      <c r="R276" s="591"/>
      <c r="S276" s="591"/>
      <c r="T276" s="591"/>
      <c r="U276" s="591"/>
      <c r="V276" s="591"/>
      <c r="W276" s="591"/>
      <c r="X276" s="591"/>
      <c r="Y276" s="591"/>
      <c r="Z276" s="591"/>
      <c r="AA276" s="591"/>
      <c r="AB276" s="591"/>
      <c r="AC276" s="591"/>
      <c r="AD276" s="591"/>
      <c r="AE276" s="591"/>
      <c r="AF276" s="591"/>
      <c r="AG276" s="591"/>
      <c r="AH276" s="591"/>
      <c r="AI276" s="591"/>
      <c r="AJ276" s="591"/>
      <c r="AK276" s="591"/>
      <c r="AL276" s="591"/>
      <c r="AM276" s="591"/>
      <c r="AN276" s="591"/>
      <c r="AO276" s="591"/>
      <c r="AP276" s="591"/>
      <c r="AQ276" s="591"/>
      <c r="AR276" s="591"/>
      <c r="AS276" s="591"/>
      <c r="AT276" s="591"/>
      <c r="AU276" s="591"/>
      <c r="AV276" s="591"/>
      <c r="AW276" s="591"/>
      <c r="AX276" s="591"/>
      <c r="AY276" s="591"/>
      <c r="AZ276" s="591"/>
      <c r="BA276" s="591"/>
      <c r="BB276" s="591"/>
      <c r="BC276" s="591"/>
      <c r="BD276" s="591"/>
      <c r="BE276" s="591"/>
      <c r="BF276" s="591"/>
      <c r="BG276" s="591"/>
      <c r="BH276" s="591"/>
      <c r="BI276" s="591"/>
      <c r="BJ276" s="591"/>
      <c r="BK276" s="591"/>
      <c r="BL276" s="591"/>
      <c r="BM276" s="591"/>
      <c r="BN276" s="591"/>
      <c r="BO276" s="591"/>
      <c r="BP276" s="591"/>
      <c r="BQ276" s="591"/>
      <c r="BR276" s="591"/>
      <c r="BS276" s="591"/>
      <c r="BT276" s="591"/>
      <c r="BU276" s="591"/>
      <c r="BV276" s="591"/>
      <c r="BW276" s="591"/>
      <c r="BX276" s="591"/>
      <c r="BY276" s="591"/>
      <c r="BZ276" s="591"/>
      <c r="CA276" s="591"/>
      <c r="CB276" s="591"/>
      <c r="CC276" s="591"/>
      <c r="CD276" s="591"/>
      <c r="CE276" s="591"/>
      <c r="CF276" s="591"/>
    </row>
    <row r="277" spans="1:84">
      <c r="A277" s="591"/>
      <c r="B277" s="591"/>
      <c r="C277" s="591"/>
      <c r="D277" s="591"/>
      <c r="E277" s="591"/>
      <c r="F277" s="591"/>
      <c r="G277" s="591"/>
      <c r="H277" s="591"/>
      <c r="I277" s="591"/>
      <c r="J277" s="591"/>
      <c r="K277" s="591"/>
      <c r="L277" s="591"/>
      <c r="M277" s="591"/>
      <c r="N277" s="591"/>
      <c r="O277" s="591"/>
      <c r="P277" s="591"/>
      <c r="Q277" s="591"/>
      <c r="R277" s="591"/>
      <c r="S277" s="591"/>
      <c r="T277" s="591"/>
      <c r="U277" s="591"/>
      <c r="V277" s="591"/>
      <c r="W277" s="591"/>
      <c r="X277" s="591"/>
      <c r="Y277" s="591"/>
      <c r="Z277" s="591"/>
      <c r="AA277" s="591"/>
      <c r="AB277" s="591"/>
      <c r="AC277" s="591"/>
      <c r="AD277" s="591"/>
      <c r="AE277" s="591"/>
      <c r="AF277" s="591"/>
      <c r="AG277" s="591"/>
      <c r="AH277" s="591"/>
      <c r="AI277" s="591"/>
      <c r="AJ277" s="591"/>
      <c r="AK277" s="591"/>
      <c r="AL277" s="591"/>
      <c r="AM277" s="591"/>
      <c r="AN277" s="591"/>
      <c r="AO277" s="591"/>
      <c r="AP277" s="591"/>
      <c r="AQ277" s="591"/>
      <c r="AR277" s="591"/>
      <c r="AS277" s="591"/>
      <c r="AT277" s="591"/>
      <c r="AU277" s="591"/>
      <c r="AV277" s="591"/>
      <c r="AW277" s="591"/>
      <c r="AX277" s="591"/>
      <c r="AY277" s="591"/>
      <c r="AZ277" s="591"/>
      <c r="BA277" s="591"/>
      <c r="BB277" s="591"/>
      <c r="BC277" s="591"/>
      <c r="BD277" s="591"/>
      <c r="BE277" s="591"/>
      <c r="BF277" s="591"/>
      <c r="BG277" s="591"/>
      <c r="BH277" s="591"/>
      <c r="BI277" s="591"/>
      <c r="BJ277" s="591"/>
      <c r="BK277" s="591"/>
      <c r="BL277" s="591"/>
      <c r="BM277" s="591"/>
      <c r="BN277" s="591"/>
      <c r="BO277" s="591"/>
      <c r="BP277" s="591"/>
      <c r="BQ277" s="591"/>
      <c r="BR277" s="591"/>
      <c r="BS277" s="591"/>
      <c r="BT277" s="591"/>
      <c r="BU277" s="591"/>
      <c r="BV277" s="591"/>
      <c r="BW277" s="591"/>
      <c r="BX277" s="591"/>
      <c r="BY277" s="591"/>
      <c r="BZ277" s="591"/>
      <c r="CA277" s="591"/>
      <c r="CB277" s="591"/>
      <c r="CC277" s="591"/>
      <c r="CD277" s="591"/>
      <c r="CE277" s="591"/>
      <c r="CF277" s="591"/>
    </row>
    <row r="278" spans="1:84">
      <c r="A278" s="591"/>
      <c r="B278" s="591"/>
      <c r="C278" s="591"/>
      <c r="D278" s="591"/>
      <c r="E278" s="591"/>
      <c r="F278" s="591"/>
      <c r="G278" s="591"/>
      <c r="H278" s="591"/>
      <c r="I278" s="591"/>
      <c r="J278" s="591"/>
      <c r="K278" s="591"/>
      <c r="L278" s="591"/>
      <c r="M278" s="591"/>
      <c r="N278" s="591"/>
      <c r="O278" s="591"/>
      <c r="P278" s="591"/>
      <c r="Q278" s="591"/>
      <c r="R278" s="591"/>
      <c r="S278" s="591"/>
      <c r="T278" s="591"/>
      <c r="U278" s="591"/>
      <c r="V278" s="591"/>
      <c r="W278" s="591"/>
      <c r="X278" s="591"/>
      <c r="Y278" s="591"/>
      <c r="Z278" s="591"/>
      <c r="AA278" s="591"/>
      <c r="AB278" s="591"/>
      <c r="AC278" s="591"/>
      <c r="AD278" s="591"/>
      <c r="AE278" s="591"/>
      <c r="AF278" s="591"/>
      <c r="AG278" s="591"/>
      <c r="AH278" s="591"/>
      <c r="AI278" s="591"/>
      <c r="AJ278" s="591"/>
      <c r="AK278" s="591"/>
      <c r="AL278" s="591"/>
      <c r="AM278" s="591"/>
      <c r="AN278" s="591"/>
      <c r="AO278" s="591"/>
      <c r="AP278" s="591"/>
      <c r="AQ278" s="591"/>
      <c r="AR278" s="591"/>
      <c r="AS278" s="591"/>
      <c r="AT278" s="591"/>
      <c r="AU278" s="591"/>
      <c r="AV278" s="591"/>
      <c r="AW278" s="591"/>
      <c r="AX278" s="591"/>
      <c r="AY278" s="591"/>
      <c r="AZ278" s="591"/>
      <c r="BA278" s="591"/>
      <c r="BB278" s="591"/>
      <c r="BC278" s="591"/>
      <c r="BD278" s="591"/>
      <c r="BE278" s="591"/>
      <c r="BF278" s="591"/>
      <c r="BG278" s="591"/>
      <c r="BH278" s="591"/>
      <c r="BI278" s="591"/>
      <c r="BJ278" s="591"/>
      <c r="BK278" s="591"/>
      <c r="BL278" s="591"/>
      <c r="BM278" s="591"/>
      <c r="BN278" s="591"/>
      <c r="BO278" s="591"/>
      <c r="BP278" s="591"/>
      <c r="BQ278" s="591"/>
      <c r="BR278" s="591"/>
      <c r="BS278" s="591"/>
      <c r="BT278" s="591"/>
      <c r="BU278" s="591"/>
      <c r="BV278" s="591"/>
      <c r="BW278" s="591"/>
      <c r="BX278" s="591"/>
      <c r="BY278" s="591"/>
      <c r="BZ278" s="591"/>
      <c r="CA278" s="591"/>
      <c r="CB278" s="591"/>
      <c r="CC278" s="591"/>
      <c r="CD278" s="591"/>
      <c r="CE278" s="591"/>
      <c r="CF278" s="591"/>
    </row>
    <row r="279" spans="1:84">
      <c r="A279" s="591"/>
      <c r="B279" s="591"/>
      <c r="C279" s="591"/>
      <c r="D279" s="591"/>
      <c r="E279" s="591"/>
      <c r="F279" s="591"/>
      <c r="G279" s="591"/>
      <c r="H279" s="591"/>
      <c r="I279" s="591"/>
      <c r="J279" s="591"/>
      <c r="K279" s="591"/>
      <c r="L279" s="591"/>
      <c r="M279" s="591"/>
      <c r="N279" s="591"/>
      <c r="O279" s="591"/>
      <c r="P279" s="591"/>
      <c r="Q279" s="591"/>
      <c r="R279" s="591"/>
      <c r="S279" s="591"/>
      <c r="T279" s="591"/>
      <c r="U279" s="591"/>
      <c r="V279" s="591"/>
      <c r="W279" s="591"/>
      <c r="X279" s="591"/>
      <c r="Y279" s="591"/>
      <c r="Z279" s="591"/>
      <c r="AA279" s="591"/>
      <c r="AB279" s="591"/>
      <c r="AC279" s="591"/>
      <c r="AD279" s="591"/>
      <c r="AE279" s="591"/>
      <c r="AF279" s="591"/>
      <c r="AG279" s="591"/>
      <c r="AH279" s="591"/>
      <c r="AI279" s="591"/>
      <c r="AJ279" s="591"/>
      <c r="AK279" s="591"/>
      <c r="AL279" s="591"/>
      <c r="AM279" s="591"/>
      <c r="AN279" s="591"/>
      <c r="AO279" s="591"/>
      <c r="AP279" s="591"/>
      <c r="AQ279" s="591"/>
      <c r="AR279" s="591"/>
      <c r="AS279" s="591"/>
      <c r="AT279" s="591"/>
      <c r="AU279" s="591"/>
      <c r="AV279" s="591"/>
      <c r="AW279" s="591"/>
      <c r="AX279" s="591"/>
      <c r="AY279" s="591"/>
      <c r="AZ279" s="591"/>
      <c r="BA279" s="591"/>
      <c r="BB279" s="591"/>
      <c r="BC279" s="591"/>
      <c r="BD279" s="591"/>
      <c r="BE279" s="591"/>
      <c r="BF279" s="591"/>
      <c r="BG279" s="591"/>
      <c r="BH279" s="591"/>
      <c r="BI279" s="591"/>
      <c r="BJ279" s="591"/>
      <c r="BK279" s="591"/>
      <c r="BL279" s="591"/>
      <c r="BM279" s="591"/>
      <c r="BN279" s="591"/>
      <c r="BO279" s="591"/>
      <c r="BP279" s="591"/>
      <c r="BQ279" s="591"/>
      <c r="BR279" s="591"/>
      <c r="BS279" s="591"/>
      <c r="BT279" s="591"/>
      <c r="BU279" s="591"/>
      <c r="BV279" s="591"/>
      <c r="BW279" s="591"/>
      <c r="BX279" s="591"/>
      <c r="BY279" s="591"/>
      <c r="BZ279" s="591"/>
      <c r="CA279" s="591"/>
      <c r="CB279" s="591"/>
      <c r="CC279" s="591"/>
      <c r="CD279" s="591"/>
      <c r="CE279" s="591"/>
      <c r="CF279" s="591"/>
    </row>
    <row r="280" spans="1:84">
      <c r="A280" s="591"/>
      <c r="B280" s="591"/>
      <c r="C280" s="591"/>
      <c r="D280" s="591"/>
      <c r="E280" s="591"/>
      <c r="F280" s="591"/>
      <c r="G280" s="591"/>
      <c r="H280" s="591"/>
      <c r="I280" s="591"/>
      <c r="J280" s="591"/>
      <c r="K280" s="591"/>
      <c r="L280" s="591"/>
      <c r="M280" s="591"/>
      <c r="N280" s="591"/>
      <c r="O280" s="591"/>
      <c r="P280" s="591"/>
      <c r="Q280" s="591"/>
      <c r="R280" s="591"/>
      <c r="S280" s="591"/>
      <c r="T280" s="591"/>
      <c r="U280" s="591"/>
      <c r="V280" s="591"/>
      <c r="W280" s="591"/>
      <c r="X280" s="591"/>
      <c r="Y280" s="591"/>
      <c r="Z280" s="591"/>
      <c r="AA280" s="591"/>
      <c r="AB280" s="591"/>
      <c r="AC280" s="591"/>
      <c r="AD280" s="591"/>
      <c r="AE280" s="591"/>
      <c r="AF280" s="591"/>
      <c r="AG280" s="591"/>
      <c r="AH280" s="591"/>
      <c r="AI280" s="591"/>
      <c r="AJ280" s="591"/>
      <c r="AK280" s="591"/>
      <c r="AL280" s="591"/>
      <c r="AM280" s="591"/>
      <c r="AN280" s="591"/>
      <c r="AO280" s="591"/>
      <c r="AP280" s="591"/>
      <c r="AQ280" s="591"/>
      <c r="AR280" s="591"/>
      <c r="AS280" s="591"/>
      <c r="AT280" s="591"/>
      <c r="AU280" s="591"/>
      <c r="AV280" s="591"/>
      <c r="AW280" s="591"/>
      <c r="AX280" s="591"/>
      <c r="AY280" s="591"/>
      <c r="AZ280" s="591"/>
      <c r="BA280" s="591"/>
      <c r="BB280" s="591"/>
      <c r="BC280" s="591"/>
      <c r="BD280" s="591"/>
      <c r="BE280" s="591"/>
      <c r="BF280" s="591"/>
      <c r="BG280" s="591"/>
      <c r="BH280" s="591"/>
      <c r="BI280" s="591"/>
      <c r="BJ280" s="591"/>
      <c r="BK280" s="591"/>
      <c r="BL280" s="591"/>
      <c r="BM280" s="591"/>
      <c r="BN280" s="591"/>
      <c r="BO280" s="591"/>
      <c r="BP280" s="591"/>
      <c r="BQ280" s="591"/>
      <c r="BR280" s="591"/>
      <c r="BS280" s="591"/>
      <c r="BT280" s="591"/>
      <c r="BU280" s="591"/>
      <c r="BV280" s="591"/>
      <c r="BW280" s="591"/>
      <c r="BX280" s="591"/>
      <c r="BY280" s="591"/>
      <c r="BZ280" s="591"/>
      <c r="CA280" s="591"/>
      <c r="CB280" s="591"/>
      <c r="CC280" s="591"/>
      <c r="CD280" s="591"/>
      <c r="CE280" s="591"/>
      <c r="CF280" s="591"/>
    </row>
    <row r="281" spans="1:84">
      <c r="A281" s="591"/>
      <c r="B281" s="591"/>
      <c r="C281" s="591"/>
      <c r="D281" s="591"/>
      <c r="E281" s="591"/>
      <c r="F281" s="591"/>
      <c r="G281" s="591"/>
      <c r="H281" s="591"/>
      <c r="I281" s="591"/>
      <c r="J281" s="591"/>
      <c r="K281" s="591"/>
      <c r="L281" s="591"/>
      <c r="M281" s="591"/>
      <c r="N281" s="591"/>
      <c r="O281" s="591"/>
      <c r="P281" s="591"/>
      <c r="Q281" s="591"/>
      <c r="R281" s="591"/>
      <c r="S281" s="591"/>
      <c r="T281" s="591"/>
      <c r="U281" s="591"/>
      <c r="V281" s="591"/>
      <c r="W281" s="591"/>
      <c r="X281" s="591"/>
      <c r="Y281" s="591"/>
      <c r="Z281" s="591"/>
      <c r="AA281" s="591"/>
      <c r="AB281" s="591"/>
      <c r="AC281" s="591"/>
      <c r="AD281" s="591"/>
      <c r="AE281" s="591"/>
      <c r="AF281" s="591"/>
      <c r="AG281" s="591"/>
      <c r="AH281" s="591"/>
      <c r="AI281" s="591"/>
      <c r="AJ281" s="591"/>
      <c r="AK281" s="591"/>
      <c r="AL281" s="591"/>
      <c r="AM281" s="591"/>
      <c r="AN281" s="591"/>
      <c r="AO281" s="591"/>
      <c r="AP281" s="591"/>
      <c r="AQ281" s="591"/>
      <c r="AR281" s="591"/>
      <c r="AS281" s="591"/>
      <c r="AT281" s="591"/>
      <c r="AU281" s="591"/>
      <c r="AV281" s="591"/>
      <c r="AW281" s="591"/>
      <c r="AX281" s="591"/>
      <c r="AY281" s="591"/>
      <c r="AZ281" s="591"/>
      <c r="BA281" s="591"/>
      <c r="BB281" s="591"/>
      <c r="BC281" s="591"/>
      <c r="BD281" s="591"/>
      <c r="BE281" s="591"/>
      <c r="BF281" s="591"/>
      <c r="BG281" s="591"/>
      <c r="BH281" s="591"/>
      <c r="BI281" s="591"/>
      <c r="BJ281" s="591"/>
      <c r="BK281" s="591"/>
      <c r="BL281" s="591"/>
      <c r="BM281" s="591"/>
      <c r="BN281" s="591"/>
      <c r="BO281" s="591"/>
      <c r="BP281" s="591"/>
      <c r="BQ281" s="591"/>
      <c r="BR281" s="591"/>
      <c r="BS281" s="591"/>
      <c r="BT281" s="591"/>
      <c r="BU281" s="591"/>
      <c r="BV281" s="591"/>
      <c r="BW281" s="591"/>
      <c r="BX281" s="591"/>
      <c r="BY281" s="591"/>
      <c r="BZ281" s="591"/>
      <c r="CA281" s="591"/>
      <c r="CB281" s="591"/>
      <c r="CC281" s="591"/>
      <c r="CD281" s="591"/>
      <c r="CE281" s="591"/>
      <c r="CF281" s="591"/>
    </row>
    <row r="282" spans="1:84">
      <c r="A282" s="591"/>
      <c r="B282" s="591"/>
      <c r="C282" s="591"/>
      <c r="D282" s="591"/>
      <c r="E282" s="591"/>
      <c r="F282" s="591"/>
      <c r="G282" s="591"/>
      <c r="H282" s="591"/>
      <c r="I282" s="591"/>
      <c r="J282" s="591"/>
      <c r="K282" s="591"/>
      <c r="L282" s="591"/>
      <c r="M282" s="591"/>
      <c r="N282" s="591"/>
      <c r="O282" s="591"/>
      <c r="P282" s="591"/>
      <c r="Q282" s="591"/>
      <c r="R282" s="591"/>
      <c r="S282" s="591"/>
      <c r="T282" s="591"/>
      <c r="U282" s="591"/>
      <c r="V282" s="591"/>
      <c r="W282" s="591"/>
      <c r="X282" s="591"/>
      <c r="Y282" s="591"/>
      <c r="Z282" s="591"/>
      <c r="AA282" s="591"/>
      <c r="AB282" s="591"/>
      <c r="AC282" s="591"/>
      <c r="AD282" s="591"/>
      <c r="AE282" s="591"/>
      <c r="AF282" s="591"/>
      <c r="AG282" s="591"/>
      <c r="AH282" s="591"/>
      <c r="AI282" s="591"/>
      <c r="AJ282" s="591"/>
      <c r="AK282" s="591"/>
      <c r="AL282" s="591"/>
      <c r="AM282" s="591"/>
      <c r="AN282" s="591"/>
      <c r="AO282" s="591"/>
      <c r="AP282" s="591"/>
      <c r="AQ282" s="591"/>
      <c r="AR282" s="591"/>
      <c r="AS282" s="591"/>
      <c r="AT282" s="591"/>
      <c r="AU282" s="591"/>
      <c r="AV282" s="591"/>
      <c r="AW282" s="591"/>
      <c r="AX282" s="591"/>
      <c r="AY282" s="591"/>
      <c r="AZ282" s="591"/>
      <c r="BA282" s="591"/>
      <c r="BB282" s="591"/>
      <c r="BC282" s="591"/>
      <c r="BD282" s="591"/>
      <c r="BE282" s="591"/>
      <c r="BF282" s="591"/>
      <c r="BG282" s="591"/>
      <c r="BH282" s="591"/>
      <c r="BI282" s="591"/>
      <c r="BJ282" s="591"/>
      <c r="BK282" s="591"/>
      <c r="BL282" s="591"/>
      <c r="BM282" s="591"/>
      <c r="BN282" s="591"/>
      <c r="BO282" s="591"/>
      <c r="BP282" s="591"/>
      <c r="BQ282" s="591"/>
      <c r="BR282" s="591"/>
      <c r="BS282" s="591"/>
      <c r="BT282" s="591"/>
      <c r="BU282" s="591"/>
      <c r="BV282" s="591"/>
      <c r="BW282" s="591"/>
      <c r="BX282" s="591"/>
      <c r="BY282" s="591"/>
      <c r="BZ282" s="591"/>
      <c r="CA282" s="591"/>
      <c r="CB282" s="591"/>
      <c r="CC282" s="591"/>
      <c r="CD282" s="591"/>
      <c r="CE282" s="591"/>
      <c r="CF282" s="591"/>
    </row>
    <row r="283" spans="1:84">
      <c r="A283" s="591"/>
      <c r="B283" s="591"/>
      <c r="C283" s="591"/>
      <c r="D283" s="591"/>
      <c r="E283" s="591"/>
      <c r="F283" s="591"/>
      <c r="G283" s="591"/>
      <c r="H283" s="591"/>
      <c r="I283" s="591"/>
      <c r="J283" s="591"/>
      <c r="K283" s="591"/>
      <c r="L283" s="591"/>
      <c r="M283" s="591"/>
      <c r="N283" s="591"/>
      <c r="O283" s="591"/>
      <c r="P283" s="591"/>
      <c r="Q283" s="591"/>
      <c r="R283" s="591"/>
      <c r="S283" s="591"/>
      <c r="T283" s="591"/>
      <c r="U283" s="591"/>
      <c r="V283" s="591"/>
      <c r="W283" s="591"/>
      <c r="X283" s="591"/>
      <c r="Y283" s="591"/>
      <c r="Z283" s="591"/>
      <c r="AA283" s="591"/>
      <c r="AB283" s="591"/>
      <c r="AC283" s="591"/>
      <c r="AD283" s="591"/>
      <c r="AE283" s="591"/>
      <c r="AF283" s="591"/>
      <c r="AG283" s="591"/>
      <c r="AH283" s="591"/>
      <c r="AI283" s="591"/>
      <c r="AJ283" s="591"/>
      <c r="AK283" s="591"/>
      <c r="AL283" s="591"/>
      <c r="AM283" s="591"/>
      <c r="AN283" s="591"/>
      <c r="AO283" s="591"/>
      <c r="AP283" s="591"/>
      <c r="AQ283" s="591"/>
      <c r="AR283" s="591"/>
      <c r="AS283" s="591"/>
      <c r="AT283" s="591"/>
      <c r="AU283" s="591"/>
      <c r="AV283" s="591"/>
      <c r="AW283" s="591"/>
      <c r="AX283" s="591"/>
      <c r="AY283" s="591"/>
      <c r="AZ283" s="591"/>
      <c r="BA283" s="591"/>
      <c r="BB283" s="591"/>
      <c r="BC283" s="591"/>
      <c r="BD283" s="591"/>
      <c r="BE283" s="591"/>
      <c r="BF283" s="591"/>
      <c r="BG283" s="591"/>
      <c r="BH283" s="591"/>
      <c r="BI283" s="591"/>
      <c r="BJ283" s="591"/>
      <c r="BK283" s="591"/>
      <c r="BL283" s="591"/>
      <c r="BM283" s="591"/>
      <c r="BN283" s="591"/>
      <c r="BO283" s="591"/>
      <c r="BP283" s="591"/>
      <c r="BQ283" s="591"/>
      <c r="BR283" s="591"/>
      <c r="BS283" s="591"/>
      <c r="BT283" s="591"/>
      <c r="BU283" s="591"/>
      <c r="BV283" s="591"/>
      <c r="BW283" s="591"/>
      <c r="BX283" s="591"/>
      <c r="BY283" s="591"/>
      <c r="BZ283" s="591"/>
      <c r="CA283" s="591"/>
      <c r="CB283" s="591"/>
      <c r="CC283" s="591"/>
      <c r="CD283" s="591"/>
      <c r="CE283" s="591"/>
      <c r="CF283" s="591"/>
    </row>
    <row r="284" spans="1:84">
      <c r="A284" s="591"/>
      <c r="B284" s="591"/>
      <c r="C284" s="591"/>
      <c r="D284" s="591"/>
      <c r="E284" s="591"/>
      <c r="F284" s="591"/>
      <c r="G284" s="591"/>
      <c r="H284" s="591"/>
      <c r="I284" s="591"/>
      <c r="J284" s="591"/>
      <c r="K284" s="591"/>
      <c r="L284" s="591"/>
      <c r="M284" s="591"/>
      <c r="N284" s="591"/>
      <c r="O284" s="591"/>
      <c r="P284" s="591"/>
      <c r="Q284" s="591"/>
      <c r="R284" s="591"/>
      <c r="S284" s="591"/>
      <c r="T284" s="591"/>
      <c r="U284" s="591"/>
      <c r="V284" s="591"/>
      <c r="W284" s="591"/>
      <c r="X284" s="591"/>
      <c r="Y284" s="591"/>
      <c r="Z284" s="591"/>
      <c r="AA284" s="591"/>
      <c r="AB284" s="591"/>
      <c r="AC284" s="591"/>
      <c r="AD284" s="591"/>
      <c r="AE284" s="591"/>
      <c r="AF284" s="591"/>
      <c r="AG284" s="591"/>
      <c r="AH284" s="591"/>
      <c r="AI284" s="591"/>
      <c r="AJ284" s="591"/>
      <c r="AK284" s="591"/>
      <c r="AL284" s="591"/>
      <c r="AM284" s="591"/>
      <c r="AN284" s="591"/>
      <c r="AO284" s="591"/>
      <c r="AP284" s="591"/>
      <c r="AQ284" s="591"/>
      <c r="AR284" s="591"/>
      <c r="AS284" s="591"/>
      <c r="AT284" s="591"/>
      <c r="AU284" s="591"/>
      <c r="AV284" s="591"/>
      <c r="AW284" s="591"/>
      <c r="AX284" s="591"/>
      <c r="AY284" s="591"/>
      <c r="AZ284" s="591"/>
      <c r="BA284" s="591"/>
      <c r="BB284" s="591"/>
      <c r="BC284" s="591"/>
      <c r="BD284" s="591"/>
      <c r="BE284" s="591"/>
      <c r="BF284" s="591"/>
      <c r="BG284" s="591"/>
      <c r="BH284" s="591"/>
      <c r="BI284" s="591"/>
      <c r="BJ284" s="591"/>
      <c r="BK284" s="591"/>
      <c r="BL284" s="591"/>
      <c r="BM284" s="591"/>
      <c r="BN284" s="591"/>
      <c r="BO284" s="591"/>
      <c r="BP284" s="591"/>
      <c r="BQ284" s="591"/>
      <c r="BR284" s="591"/>
      <c r="BS284" s="591"/>
      <c r="BT284" s="591"/>
      <c r="BU284" s="591"/>
      <c r="BV284" s="591"/>
      <c r="BW284" s="591"/>
      <c r="BX284" s="591"/>
      <c r="BY284" s="591"/>
      <c r="BZ284" s="591"/>
      <c r="CA284" s="591"/>
      <c r="CB284" s="591"/>
      <c r="CC284" s="591"/>
      <c r="CD284" s="591"/>
      <c r="CE284" s="591"/>
      <c r="CF284" s="591"/>
    </row>
    <row r="285" spans="1:84">
      <c r="A285" s="591"/>
      <c r="B285" s="591"/>
      <c r="C285" s="591"/>
      <c r="D285" s="591"/>
      <c r="E285" s="591"/>
      <c r="F285" s="591"/>
      <c r="G285" s="591"/>
      <c r="H285" s="591"/>
      <c r="I285" s="591"/>
      <c r="J285" s="591"/>
      <c r="K285" s="591"/>
      <c r="L285" s="591"/>
      <c r="M285" s="591"/>
      <c r="N285" s="591"/>
      <c r="O285" s="591"/>
      <c r="P285" s="591"/>
      <c r="Q285" s="591"/>
      <c r="R285" s="591"/>
      <c r="S285" s="591"/>
      <c r="T285" s="591"/>
      <c r="U285" s="591"/>
      <c r="V285" s="591"/>
      <c r="W285" s="591"/>
      <c r="X285" s="591"/>
      <c r="Y285" s="591"/>
      <c r="Z285" s="591"/>
      <c r="AA285" s="591"/>
      <c r="AB285" s="591"/>
      <c r="AC285" s="591"/>
      <c r="AD285" s="591"/>
      <c r="AE285" s="591"/>
      <c r="AF285" s="591"/>
      <c r="AG285" s="591"/>
      <c r="AH285" s="591"/>
      <c r="AI285" s="591"/>
      <c r="AJ285" s="591"/>
      <c r="AK285" s="591"/>
      <c r="AL285" s="591"/>
      <c r="AM285" s="591"/>
      <c r="AN285" s="591"/>
      <c r="AO285" s="591"/>
      <c r="AP285" s="591"/>
      <c r="AQ285" s="591"/>
      <c r="AR285" s="591"/>
      <c r="AS285" s="591"/>
      <c r="AT285" s="591"/>
      <c r="AU285" s="591"/>
      <c r="AV285" s="591"/>
      <c r="AW285" s="591"/>
      <c r="AX285" s="591"/>
      <c r="AY285" s="591"/>
      <c r="AZ285" s="591"/>
      <c r="BA285" s="591"/>
      <c r="BB285" s="591"/>
      <c r="BC285" s="591"/>
      <c r="BD285" s="591"/>
      <c r="BE285" s="591"/>
      <c r="BF285" s="591"/>
      <c r="BG285" s="591"/>
      <c r="BH285" s="591"/>
      <c r="BI285" s="591"/>
      <c r="BJ285" s="591"/>
      <c r="BK285" s="591"/>
      <c r="BL285" s="591"/>
      <c r="BM285" s="591"/>
      <c r="BN285" s="591"/>
      <c r="BO285" s="591"/>
      <c r="BP285" s="591"/>
      <c r="BQ285" s="591"/>
      <c r="BR285" s="591"/>
      <c r="BS285" s="591"/>
      <c r="BT285" s="591"/>
      <c r="BU285" s="591"/>
      <c r="BV285" s="591"/>
      <c r="BW285" s="591"/>
      <c r="BX285" s="591"/>
      <c r="BY285" s="591"/>
      <c r="BZ285" s="591"/>
      <c r="CA285" s="591"/>
      <c r="CB285" s="591"/>
      <c r="CC285" s="591"/>
      <c r="CD285" s="591"/>
      <c r="CE285" s="591"/>
      <c r="CF285" s="591"/>
    </row>
    <row r="286" spans="1:84">
      <c r="A286" s="591"/>
      <c r="B286" s="591"/>
      <c r="C286" s="591"/>
      <c r="D286" s="591"/>
      <c r="E286" s="591"/>
      <c r="F286" s="591"/>
      <c r="G286" s="591"/>
      <c r="H286" s="591"/>
      <c r="I286" s="591"/>
      <c r="J286" s="591"/>
      <c r="K286" s="591"/>
      <c r="L286" s="591"/>
      <c r="M286" s="591"/>
      <c r="N286" s="591"/>
      <c r="O286" s="591"/>
      <c r="P286" s="591"/>
      <c r="Q286" s="591"/>
      <c r="R286" s="591"/>
      <c r="S286" s="591"/>
      <c r="T286" s="591"/>
      <c r="U286" s="591"/>
      <c r="V286" s="591"/>
      <c r="W286" s="591"/>
      <c r="X286" s="591"/>
      <c r="Y286" s="591"/>
      <c r="Z286" s="591"/>
      <c r="AA286" s="591"/>
      <c r="AB286" s="591"/>
      <c r="AC286" s="591"/>
      <c r="AD286" s="591"/>
      <c r="AE286" s="591"/>
      <c r="AF286" s="591"/>
      <c r="AG286" s="591"/>
      <c r="AH286" s="591"/>
      <c r="AI286" s="591"/>
      <c r="AJ286" s="591"/>
      <c r="AK286" s="591"/>
      <c r="AL286" s="591"/>
      <c r="AM286" s="591"/>
      <c r="AN286" s="591"/>
      <c r="AO286" s="591"/>
      <c r="AP286" s="591"/>
      <c r="AQ286" s="591"/>
      <c r="AR286" s="591"/>
      <c r="AS286" s="591"/>
      <c r="AT286" s="591"/>
      <c r="AU286" s="591"/>
      <c r="AV286" s="591"/>
      <c r="AW286" s="591"/>
      <c r="AX286" s="591"/>
      <c r="AY286" s="591"/>
      <c r="AZ286" s="591"/>
      <c r="BA286" s="591"/>
      <c r="BB286" s="591"/>
      <c r="BC286" s="591"/>
      <c r="BD286" s="591"/>
      <c r="BE286" s="591"/>
      <c r="BF286" s="591"/>
      <c r="BG286" s="591"/>
      <c r="BH286" s="591"/>
      <c r="BI286" s="591"/>
      <c r="BJ286" s="591"/>
      <c r="BK286" s="591"/>
      <c r="BL286" s="591"/>
      <c r="BM286" s="591"/>
      <c r="BN286" s="591"/>
      <c r="BO286" s="591"/>
      <c r="BP286" s="591"/>
      <c r="BQ286" s="591"/>
      <c r="BR286" s="591"/>
      <c r="BS286" s="591"/>
      <c r="BT286" s="591"/>
      <c r="BU286" s="591"/>
      <c r="BV286" s="591"/>
      <c r="BW286" s="591"/>
      <c r="BX286" s="591"/>
      <c r="BY286" s="591"/>
      <c r="BZ286" s="591"/>
      <c r="CA286" s="591"/>
      <c r="CB286" s="591"/>
      <c r="CC286" s="591"/>
      <c r="CD286" s="591"/>
      <c r="CE286" s="591"/>
      <c r="CF286" s="591"/>
    </row>
    <row r="287" spans="1:84">
      <c r="A287" s="591"/>
      <c r="B287" s="591"/>
      <c r="C287" s="591"/>
      <c r="D287" s="591"/>
      <c r="E287" s="591"/>
      <c r="F287" s="591"/>
      <c r="G287" s="591"/>
      <c r="H287" s="591"/>
      <c r="I287" s="591"/>
      <c r="J287" s="591"/>
      <c r="K287" s="591"/>
      <c r="L287" s="591"/>
      <c r="M287" s="591"/>
      <c r="N287" s="591"/>
      <c r="O287" s="591"/>
      <c r="P287" s="591"/>
      <c r="Q287" s="591"/>
      <c r="R287" s="591"/>
      <c r="S287" s="591"/>
      <c r="T287" s="591"/>
      <c r="U287" s="591"/>
      <c r="V287" s="591"/>
      <c r="W287" s="591"/>
      <c r="X287" s="591"/>
      <c r="Y287" s="591"/>
      <c r="Z287" s="591"/>
      <c r="AA287" s="591"/>
      <c r="AB287" s="591"/>
      <c r="AC287" s="591"/>
      <c r="AD287" s="591"/>
      <c r="AE287" s="591"/>
      <c r="AF287" s="591"/>
      <c r="AG287" s="591"/>
      <c r="AH287" s="591"/>
      <c r="AI287" s="591"/>
      <c r="AJ287" s="591"/>
      <c r="AK287" s="591"/>
      <c r="AL287" s="591"/>
      <c r="AM287" s="591"/>
      <c r="AN287" s="591"/>
      <c r="AO287" s="591"/>
      <c r="AP287" s="591"/>
      <c r="AQ287" s="591"/>
      <c r="AR287" s="591"/>
      <c r="AS287" s="591"/>
      <c r="AT287" s="591"/>
      <c r="AU287" s="591"/>
      <c r="AV287" s="591"/>
      <c r="AW287" s="591"/>
      <c r="AX287" s="591"/>
      <c r="AY287" s="591"/>
      <c r="AZ287" s="591"/>
      <c r="BA287" s="591"/>
      <c r="BB287" s="591"/>
      <c r="BC287" s="591"/>
      <c r="BD287" s="591"/>
      <c r="BE287" s="591"/>
      <c r="BF287" s="591"/>
      <c r="BG287" s="591"/>
      <c r="BH287" s="591"/>
      <c r="BI287" s="591"/>
      <c r="BJ287" s="591"/>
      <c r="BK287" s="591"/>
      <c r="BL287" s="591"/>
      <c r="BM287" s="591"/>
      <c r="BN287" s="591"/>
      <c r="BO287" s="591"/>
      <c r="BP287" s="591"/>
      <c r="BQ287" s="591"/>
      <c r="BR287" s="591"/>
      <c r="BS287" s="591"/>
      <c r="BT287" s="591"/>
      <c r="BU287" s="591"/>
      <c r="BV287" s="591"/>
      <c r="BW287" s="591"/>
      <c r="BX287" s="591"/>
      <c r="BY287" s="591"/>
      <c r="BZ287" s="591"/>
      <c r="CA287" s="591"/>
      <c r="CB287" s="591"/>
      <c r="CC287" s="591"/>
      <c r="CD287" s="591"/>
      <c r="CE287" s="591"/>
      <c r="CF287" s="591"/>
    </row>
    <row r="288" spans="1:84">
      <c r="A288" s="591"/>
      <c r="B288" s="591"/>
      <c r="C288" s="591"/>
      <c r="D288" s="591"/>
      <c r="E288" s="591"/>
      <c r="F288" s="591"/>
      <c r="G288" s="591"/>
      <c r="H288" s="591"/>
      <c r="I288" s="591"/>
      <c r="J288" s="591"/>
      <c r="K288" s="591"/>
      <c r="L288" s="591"/>
      <c r="M288" s="591"/>
      <c r="N288" s="591"/>
      <c r="O288" s="591"/>
      <c r="P288" s="591"/>
      <c r="Q288" s="591"/>
      <c r="R288" s="591"/>
      <c r="S288" s="591"/>
      <c r="T288" s="591"/>
      <c r="U288" s="591"/>
      <c r="V288" s="591"/>
      <c r="W288" s="591"/>
      <c r="X288" s="591"/>
      <c r="Y288" s="591"/>
      <c r="Z288" s="591"/>
      <c r="AA288" s="591"/>
      <c r="AB288" s="591"/>
      <c r="AC288" s="591"/>
      <c r="AD288" s="591"/>
      <c r="AE288" s="591"/>
      <c r="AF288" s="591"/>
      <c r="AG288" s="591"/>
      <c r="AH288" s="591"/>
      <c r="AI288" s="591"/>
      <c r="AJ288" s="591"/>
      <c r="AK288" s="591"/>
      <c r="AL288" s="591"/>
      <c r="AM288" s="591"/>
      <c r="AN288" s="591"/>
      <c r="AO288" s="591"/>
      <c r="AP288" s="591"/>
      <c r="AQ288" s="591"/>
      <c r="AR288" s="591"/>
      <c r="AS288" s="591"/>
      <c r="AT288" s="591"/>
      <c r="AU288" s="591"/>
      <c r="AV288" s="591"/>
      <c r="AW288" s="591"/>
      <c r="AX288" s="591"/>
      <c r="AY288" s="591"/>
      <c r="AZ288" s="591"/>
      <c r="BA288" s="591"/>
      <c r="BB288" s="591"/>
      <c r="BC288" s="591"/>
      <c r="BD288" s="591"/>
      <c r="BE288" s="591"/>
      <c r="BF288" s="591"/>
      <c r="BG288" s="591"/>
      <c r="BH288" s="591"/>
      <c r="BI288" s="591"/>
      <c r="BJ288" s="591"/>
      <c r="BK288" s="591"/>
      <c r="BL288" s="591"/>
      <c r="BM288" s="591"/>
      <c r="BN288" s="591"/>
      <c r="BO288" s="591"/>
      <c r="BP288" s="591"/>
      <c r="BQ288" s="591"/>
      <c r="BR288" s="591"/>
      <c r="BS288" s="591"/>
      <c r="BT288" s="591"/>
      <c r="BU288" s="591"/>
      <c r="BV288" s="591"/>
      <c r="BW288" s="591"/>
      <c r="BX288" s="591"/>
      <c r="BY288" s="591"/>
      <c r="BZ288" s="591"/>
      <c r="CA288" s="591"/>
      <c r="CB288" s="591"/>
      <c r="CC288" s="591"/>
      <c r="CD288" s="591"/>
      <c r="CE288" s="591"/>
      <c r="CF288" s="591"/>
    </row>
    <row r="289" spans="1:84">
      <c r="A289" s="591"/>
      <c r="B289" s="591"/>
      <c r="C289" s="591"/>
      <c r="D289" s="591"/>
      <c r="E289" s="591"/>
      <c r="F289" s="591"/>
      <c r="G289" s="591"/>
      <c r="H289" s="591"/>
      <c r="I289" s="591"/>
      <c r="J289" s="591"/>
      <c r="K289" s="591"/>
      <c r="L289" s="591"/>
      <c r="M289" s="591"/>
      <c r="N289" s="591"/>
      <c r="O289" s="591"/>
      <c r="P289" s="591"/>
      <c r="Q289" s="591"/>
      <c r="R289" s="591"/>
      <c r="S289" s="591"/>
      <c r="T289" s="591"/>
      <c r="U289" s="591"/>
      <c r="V289" s="591"/>
      <c r="W289" s="591"/>
      <c r="X289" s="591"/>
      <c r="Y289" s="591"/>
      <c r="Z289" s="591"/>
      <c r="AA289" s="591"/>
      <c r="AB289" s="591"/>
      <c r="AC289" s="591"/>
      <c r="AD289" s="591"/>
      <c r="AE289" s="591"/>
      <c r="AF289" s="591"/>
      <c r="AG289" s="591"/>
      <c r="AH289" s="591"/>
      <c r="AI289" s="591"/>
      <c r="AJ289" s="591"/>
      <c r="AK289" s="591"/>
      <c r="AL289" s="591"/>
      <c r="AM289" s="591"/>
      <c r="AN289" s="591"/>
      <c r="AO289" s="591"/>
      <c r="AP289" s="591"/>
      <c r="AQ289" s="591"/>
      <c r="AR289" s="591"/>
      <c r="AS289" s="591"/>
      <c r="AT289" s="591"/>
      <c r="AU289" s="591"/>
      <c r="AV289" s="591"/>
      <c r="AW289" s="591"/>
      <c r="AX289" s="591"/>
      <c r="AY289" s="591"/>
      <c r="AZ289" s="591"/>
      <c r="BA289" s="591"/>
      <c r="BB289" s="591"/>
      <c r="BC289" s="591"/>
      <c r="BD289" s="591"/>
      <c r="BE289" s="591"/>
      <c r="BF289" s="591"/>
      <c r="BG289" s="591"/>
      <c r="BH289" s="591"/>
      <c r="BI289" s="591"/>
      <c r="BJ289" s="591"/>
      <c r="BK289" s="591"/>
      <c r="BL289" s="591"/>
      <c r="BM289" s="591"/>
      <c r="BN289" s="591"/>
      <c r="BO289" s="591"/>
      <c r="BP289" s="591"/>
      <c r="BQ289" s="591"/>
      <c r="BR289" s="591"/>
      <c r="BS289" s="591"/>
      <c r="BT289" s="591"/>
      <c r="BU289" s="591"/>
      <c r="BV289" s="591"/>
      <c r="BW289" s="591"/>
      <c r="BX289" s="591"/>
      <c r="BY289" s="591"/>
      <c r="BZ289" s="591"/>
      <c r="CA289" s="591"/>
      <c r="CB289" s="591"/>
      <c r="CC289" s="591"/>
      <c r="CD289" s="591"/>
      <c r="CE289" s="591"/>
      <c r="CF289" s="591"/>
    </row>
    <row r="290" spans="1:84">
      <c r="A290" s="591"/>
      <c r="B290" s="591"/>
      <c r="C290" s="591"/>
      <c r="D290" s="591"/>
      <c r="E290" s="591"/>
      <c r="F290" s="591"/>
      <c r="G290" s="591"/>
      <c r="H290" s="591"/>
      <c r="I290" s="591"/>
      <c r="J290" s="591"/>
      <c r="K290" s="591"/>
      <c r="L290" s="591"/>
      <c r="M290" s="591"/>
      <c r="N290" s="591"/>
      <c r="O290" s="591"/>
      <c r="P290" s="591"/>
      <c r="Q290" s="591"/>
      <c r="R290" s="591"/>
      <c r="S290" s="591"/>
      <c r="T290" s="591"/>
      <c r="U290" s="591"/>
      <c r="V290" s="591"/>
      <c r="W290" s="591"/>
      <c r="X290" s="591"/>
      <c r="Y290" s="591"/>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c r="BD290" s="591"/>
      <c r="BE290" s="591"/>
      <c r="BF290" s="591"/>
      <c r="BG290" s="591"/>
      <c r="BH290" s="591"/>
      <c r="BI290" s="591"/>
      <c r="BJ290" s="591"/>
      <c r="BK290" s="591"/>
      <c r="BL290" s="591"/>
      <c r="BM290" s="591"/>
      <c r="BN290" s="591"/>
      <c r="BO290" s="591"/>
      <c r="BP290" s="591"/>
      <c r="BQ290" s="591"/>
      <c r="BR290" s="591"/>
      <c r="BS290" s="591"/>
      <c r="BT290" s="591"/>
      <c r="BU290" s="591"/>
      <c r="BV290" s="591"/>
      <c r="BW290" s="591"/>
      <c r="BX290" s="591"/>
      <c r="BY290" s="591"/>
      <c r="BZ290" s="591"/>
      <c r="CA290" s="591"/>
      <c r="CB290" s="591"/>
      <c r="CC290" s="591"/>
      <c r="CD290" s="591"/>
      <c r="CE290" s="591"/>
      <c r="CF290" s="591"/>
    </row>
    <row r="291" spans="1:84">
      <c r="A291" s="591"/>
      <c r="B291" s="591"/>
      <c r="C291" s="591"/>
      <c r="D291" s="591"/>
      <c r="E291" s="591"/>
      <c r="F291" s="591"/>
      <c r="G291" s="591"/>
      <c r="H291" s="591"/>
      <c r="I291" s="591"/>
      <c r="J291" s="591"/>
      <c r="K291" s="591"/>
      <c r="L291" s="591"/>
      <c r="M291" s="591"/>
      <c r="N291" s="591"/>
      <c r="O291" s="591"/>
      <c r="P291" s="591"/>
      <c r="Q291" s="591"/>
      <c r="R291" s="591"/>
      <c r="S291" s="591"/>
      <c r="T291" s="591"/>
      <c r="U291" s="591"/>
      <c r="V291" s="591"/>
      <c r="W291" s="591"/>
      <c r="X291" s="591"/>
      <c r="Y291" s="591"/>
      <c r="Z291" s="591"/>
      <c r="AA291" s="591"/>
      <c r="AB291" s="591"/>
      <c r="AC291" s="591"/>
      <c r="AD291" s="591"/>
      <c r="AE291" s="591"/>
      <c r="AF291" s="591"/>
      <c r="AG291" s="591"/>
      <c r="AH291" s="591"/>
      <c r="AI291" s="591"/>
      <c r="AJ291" s="591"/>
      <c r="AK291" s="591"/>
      <c r="AL291" s="591"/>
      <c r="AM291" s="591"/>
      <c r="AN291" s="591"/>
      <c r="AO291" s="591"/>
      <c r="AP291" s="591"/>
      <c r="AQ291" s="591"/>
      <c r="AR291" s="591"/>
      <c r="AS291" s="591"/>
      <c r="AT291" s="591"/>
      <c r="AU291" s="591"/>
      <c r="AV291" s="591"/>
      <c r="AW291" s="591"/>
      <c r="AX291" s="591"/>
      <c r="AY291" s="591"/>
      <c r="AZ291" s="591"/>
      <c r="BA291" s="591"/>
      <c r="BB291" s="591"/>
      <c r="BC291" s="591"/>
      <c r="BD291" s="591"/>
      <c r="BE291" s="591"/>
      <c r="BF291" s="591"/>
      <c r="BG291" s="591"/>
      <c r="BH291" s="591"/>
      <c r="BI291" s="591"/>
      <c r="BJ291" s="591"/>
      <c r="BK291" s="591"/>
      <c r="BL291" s="591"/>
      <c r="BM291" s="591"/>
      <c r="BN291" s="591"/>
      <c r="BO291" s="591"/>
      <c r="BP291" s="591"/>
      <c r="BQ291" s="591"/>
      <c r="BR291" s="591"/>
      <c r="BS291" s="591"/>
      <c r="BT291" s="591"/>
      <c r="BU291" s="591"/>
      <c r="BV291" s="591"/>
      <c r="BW291" s="591"/>
      <c r="BX291" s="591"/>
      <c r="BY291" s="591"/>
      <c r="BZ291" s="591"/>
      <c r="CA291" s="591"/>
      <c r="CB291" s="591"/>
      <c r="CC291" s="591"/>
      <c r="CD291" s="591"/>
      <c r="CE291" s="591"/>
      <c r="CF291" s="591"/>
    </row>
    <row r="292" spans="1:84">
      <c r="A292" s="591"/>
      <c r="B292" s="591"/>
      <c r="C292" s="591"/>
      <c r="D292" s="591"/>
      <c r="E292" s="591"/>
      <c r="F292" s="591"/>
      <c r="G292" s="591"/>
      <c r="H292" s="591"/>
      <c r="I292" s="591"/>
      <c r="J292" s="591"/>
      <c r="K292" s="591"/>
      <c r="L292" s="591"/>
      <c r="M292" s="591"/>
      <c r="N292" s="591"/>
      <c r="O292" s="591"/>
      <c r="P292" s="591"/>
      <c r="Q292" s="591"/>
      <c r="R292" s="591"/>
      <c r="S292" s="591"/>
      <c r="T292" s="591"/>
      <c r="U292" s="591"/>
      <c r="V292" s="591"/>
      <c r="W292" s="591"/>
      <c r="X292" s="591"/>
      <c r="Y292" s="591"/>
      <c r="Z292" s="591"/>
      <c r="AA292" s="591"/>
      <c r="AB292" s="591"/>
      <c r="AC292" s="591"/>
      <c r="AD292" s="591"/>
      <c r="AE292" s="591"/>
      <c r="AF292" s="591"/>
      <c r="AG292" s="591"/>
      <c r="AH292" s="591"/>
      <c r="AI292" s="591"/>
      <c r="AJ292" s="591"/>
      <c r="AK292" s="591"/>
      <c r="AL292" s="591"/>
      <c r="AM292" s="591"/>
      <c r="AN292" s="591"/>
      <c r="AO292" s="591"/>
      <c r="AP292" s="591"/>
      <c r="AQ292" s="591"/>
      <c r="AR292" s="591"/>
      <c r="AS292" s="591"/>
      <c r="AT292" s="591"/>
      <c r="AU292" s="591"/>
      <c r="AV292" s="591"/>
      <c r="AW292" s="591"/>
      <c r="AX292" s="591"/>
      <c r="AY292" s="591"/>
      <c r="AZ292" s="591"/>
      <c r="BA292" s="591"/>
      <c r="BB292" s="591"/>
      <c r="BC292" s="591"/>
      <c r="BD292" s="591"/>
      <c r="BE292" s="591"/>
      <c r="BF292" s="591"/>
      <c r="BG292" s="591"/>
      <c r="BH292" s="591"/>
      <c r="BI292" s="591"/>
      <c r="BJ292" s="591"/>
      <c r="BK292" s="591"/>
      <c r="BL292" s="591"/>
      <c r="BM292" s="591"/>
      <c r="BN292" s="591"/>
      <c r="BO292" s="591"/>
      <c r="BP292" s="591"/>
      <c r="BQ292" s="591"/>
      <c r="BR292" s="591"/>
      <c r="BS292" s="591"/>
      <c r="BT292" s="591"/>
      <c r="BU292" s="591"/>
      <c r="BV292" s="591"/>
      <c r="BW292" s="591"/>
      <c r="BX292" s="591"/>
      <c r="BY292" s="591"/>
      <c r="BZ292" s="591"/>
      <c r="CA292" s="591"/>
      <c r="CB292" s="591"/>
      <c r="CC292" s="591"/>
      <c r="CD292" s="591"/>
      <c r="CE292" s="591"/>
      <c r="CF292" s="591"/>
    </row>
    <row r="293" spans="1:84">
      <c r="A293" s="591"/>
      <c r="B293" s="591"/>
      <c r="C293" s="591"/>
      <c r="D293" s="591"/>
      <c r="E293" s="591"/>
      <c r="F293" s="591"/>
      <c r="G293" s="591"/>
      <c r="H293" s="591"/>
      <c r="I293" s="591"/>
      <c r="J293" s="591"/>
      <c r="K293" s="591"/>
      <c r="L293" s="591"/>
      <c r="M293" s="591"/>
      <c r="N293" s="591"/>
      <c r="O293" s="591"/>
      <c r="P293" s="591"/>
      <c r="Q293" s="591"/>
      <c r="R293" s="591"/>
      <c r="S293" s="591"/>
      <c r="T293" s="591"/>
      <c r="U293" s="591"/>
      <c r="V293" s="591"/>
      <c r="W293" s="591"/>
      <c r="X293" s="591"/>
      <c r="Y293" s="591"/>
      <c r="Z293" s="591"/>
      <c r="AA293" s="591"/>
      <c r="AB293" s="591"/>
      <c r="AC293" s="591"/>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1"/>
      <c r="AY293" s="591"/>
      <c r="AZ293" s="591"/>
      <c r="BA293" s="591"/>
      <c r="BB293" s="591"/>
      <c r="BC293" s="591"/>
      <c r="BD293" s="591"/>
      <c r="BE293" s="591"/>
      <c r="BF293" s="591"/>
      <c r="BG293" s="591"/>
      <c r="BH293" s="591"/>
      <c r="BI293" s="591"/>
      <c r="BJ293" s="591"/>
      <c r="BK293" s="591"/>
      <c r="BL293" s="591"/>
      <c r="BM293" s="591"/>
      <c r="BN293" s="591"/>
      <c r="BO293" s="591"/>
      <c r="BP293" s="591"/>
      <c r="BQ293" s="591"/>
      <c r="BR293" s="591"/>
      <c r="BS293" s="591"/>
      <c r="BT293" s="591"/>
      <c r="BU293" s="591"/>
      <c r="BV293" s="591"/>
      <c r="BW293" s="591"/>
      <c r="BX293" s="591"/>
      <c r="BY293" s="591"/>
      <c r="BZ293" s="591"/>
      <c r="CA293" s="591"/>
      <c r="CB293" s="591"/>
      <c r="CC293" s="591"/>
      <c r="CD293" s="591"/>
      <c r="CE293" s="591"/>
      <c r="CF293" s="591"/>
    </row>
    <row r="294" spans="1:84">
      <c r="A294" s="591"/>
      <c r="B294" s="591"/>
      <c r="C294" s="591"/>
      <c r="D294" s="591"/>
      <c r="E294" s="591"/>
      <c r="F294" s="591"/>
      <c r="G294" s="591"/>
      <c r="H294" s="591"/>
      <c r="I294" s="591"/>
      <c r="J294" s="591"/>
      <c r="K294" s="591"/>
      <c r="L294" s="591"/>
      <c r="M294" s="591"/>
      <c r="N294" s="591"/>
      <c r="O294" s="591"/>
      <c r="P294" s="591"/>
      <c r="Q294" s="591"/>
      <c r="R294" s="591"/>
      <c r="S294" s="591"/>
      <c r="T294" s="591"/>
      <c r="U294" s="591"/>
      <c r="V294" s="591"/>
      <c r="W294" s="591"/>
      <c r="X294" s="591"/>
      <c r="Y294" s="591"/>
      <c r="Z294" s="591"/>
      <c r="AA294" s="591"/>
      <c r="AB294" s="591"/>
      <c r="AC294" s="591"/>
      <c r="AD294" s="591"/>
      <c r="AE294" s="591"/>
      <c r="AF294" s="591"/>
      <c r="AG294" s="591"/>
      <c r="AH294" s="591"/>
      <c r="AI294" s="591"/>
      <c r="AJ294" s="591"/>
      <c r="AK294" s="591"/>
      <c r="AL294" s="591"/>
      <c r="AM294" s="591"/>
      <c r="AN294" s="591"/>
      <c r="AO294" s="591"/>
      <c r="AP294" s="591"/>
      <c r="AQ294" s="591"/>
      <c r="AR294" s="591"/>
      <c r="AS294" s="591"/>
      <c r="AT294" s="591"/>
      <c r="AU294" s="591"/>
      <c r="AV294" s="591"/>
      <c r="AW294" s="591"/>
      <c r="AX294" s="591"/>
      <c r="AY294" s="591"/>
      <c r="AZ294" s="591"/>
      <c r="BA294" s="591"/>
      <c r="BB294" s="591"/>
      <c r="BC294" s="591"/>
      <c r="BD294" s="591"/>
      <c r="BE294" s="591"/>
      <c r="BF294" s="591"/>
      <c r="BG294" s="591"/>
      <c r="BH294" s="591"/>
      <c r="BI294" s="591"/>
      <c r="BJ294" s="591"/>
      <c r="BK294" s="591"/>
      <c r="BL294" s="591"/>
      <c r="BM294" s="591"/>
      <c r="BN294" s="591"/>
      <c r="BO294" s="591"/>
      <c r="BP294" s="591"/>
      <c r="BQ294" s="591"/>
      <c r="BR294" s="591"/>
      <c r="BS294" s="591"/>
      <c r="BT294" s="591"/>
      <c r="BU294" s="591"/>
      <c r="BV294" s="591"/>
      <c r="BW294" s="591"/>
      <c r="BX294" s="591"/>
      <c r="BY294" s="591"/>
      <c r="BZ294" s="591"/>
      <c r="CA294" s="591"/>
      <c r="CB294" s="591"/>
      <c r="CC294" s="591"/>
      <c r="CD294" s="591"/>
      <c r="CE294" s="591"/>
      <c r="CF294" s="591"/>
    </row>
    <row r="295" spans="1:84">
      <c r="A295" s="591"/>
      <c r="B295" s="591"/>
      <c r="C295" s="591"/>
      <c r="D295" s="591"/>
      <c r="E295" s="591"/>
      <c r="F295" s="591"/>
      <c r="G295" s="591"/>
      <c r="H295" s="591"/>
      <c r="I295" s="591"/>
      <c r="J295" s="591"/>
      <c r="K295" s="591"/>
      <c r="L295" s="591"/>
      <c r="M295" s="591"/>
      <c r="N295" s="591"/>
      <c r="O295" s="591"/>
      <c r="P295" s="591"/>
      <c r="Q295" s="591"/>
      <c r="R295" s="591"/>
      <c r="S295" s="591"/>
      <c r="T295" s="591"/>
      <c r="U295" s="591"/>
      <c r="V295" s="591"/>
      <c r="W295" s="591"/>
      <c r="X295" s="591"/>
      <c r="Y295" s="591"/>
      <c r="Z295" s="591"/>
      <c r="AA295" s="591"/>
      <c r="AB295" s="591"/>
      <c r="AC295" s="591"/>
      <c r="AD295" s="591"/>
      <c r="AE295" s="591"/>
      <c r="AF295" s="591"/>
      <c r="AG295" s="591"/>
      <c r="AH295" s="591"/>
      <c r="AI295" s="591"/>
      <c r="AJ295" s="591"/>
      <c r="AK295" s="591"/>
      <c r="AL295" s="591"/>
      <c r="AM295" s="591"/>
      <c r="AN295" s="591"/>
      <c r="AO295" s="591"/>
      <c r="AP295" s="591"/>
      <c r="AQ295" s="591"/>
      <c r="AR295" s="591"/>
      <c r="AS295" s="591"/>
      <c r="AT295" s="591"/>
      <c r="AU295" s="591"/>
      <c r="AV295" s="591"/>
      <c r="AW295" s="591"/>
      <c r="AX295" s="591"/>
      <c r="AY295" s="591"/>
      <c r="AZ295" s="591"/>
      <c r="BA295" s="591"/>
      <c r="BB295" s="591"/>
      <c r="BC295" s="591"/>
      <c r="BD295" s="591"/>
      <c r="BE295" s="591"/>
      <c r="BF295" s="591"/>
      <c r="BG295" s="591"/>
      <c r="BH295" s="591"/>
      <c r="BI295" s="591"/>
      <c r="BJ295" s="591"/>
      <c r="BK295" s="591"/>
      <c r="BL295" s="591"/>
      <c r="BM295" s="591"/>
      <c r="BN295" s="591"/>
      <c r="BO295" s="591"/>
      <c r="BP295" s="591"/>
      <c r="BQ295" s="591"/>
      <c r="BR295" s="591"/>
      <c r="BS295" s="591"/>
      <c r="BT295" s="591"/>
      <c r="BU295" s="591"/>
      <c r="BV295" s="591"/>
      <c r="BW295" s="591"/>
      <c r="BX295" s="591"/>
      <c r="BY295" s="591"/>
      <c r="BZ295" s="591"/>
      <c r="CA295" s="591"/>
      <c r="CB295" s="591"/>
      <c r="CC295" s="591"/>
      <c r="CD295" s="591"/>
      <c r="CE295" s="591"/>
      <c r="CF295" s="591"/>
    </row>
    <row r="296" spans="1:84">
      <c r="A296" s="591"/>
      <c r="B296" s="591"/>
      <c r="C296" s="591"/>
      <c r="D296" s="591"/>
      <c r="E296" s="591"/>
      <c r="F296" s="591"/>
      <c r="G296" s="591"/>
      <c r="H296" s="591"/>
      <c r="I296" s="591"/>
      <c r="J296" s="591"/>
      <c r="K296" s="591"/>
      <c r="L296" s="591"/>
      <c r="M296" s="591"/>
      <c r="N296" s="591"/>
      <c r="O296" s="591"/>
      <c r="P296" s="591"/>
      <c r="Q296" s="591"/>
      <c r="R296" s="591"/>
      <c r="S296" s="591"/>
      <c r="T296" s="591"/>
      <c r="U296" s="591"/>
      <c r="V296" s="591"/>
      <c r="W296" s="591"/>
      <c r="X296" s="591"/>
      <c r="Y296" s="591"/>
      <c r="Z296" s="591"/>
      <c r="AA296" s="591"/>
      <c r="AB296" s="591"/>
      <c r="AC296" s="591"/>
      <c r="AD296" s="591"/>
      <c r="AE296" s="591"/>
      <c r="AF296" s="591"/>
      <c r="AG296" s="591"/>
      <c r="AH296" s="591"/>
      <c r="AI296" s="591"/>
      <c r="AJ296" s="591"/>
      <c r="AK296" s="591"/>
      <c r="AL296" s="591"/>
      <c r="AM296" s="591"/>
      <c r="AN296" s="591"/>
      <c r="AO296" s="591"/>
      <c r="AP296" s="591"/>
      <c r="AQ296" s="591"/>
      <c r="AR296" s="591"/>
      <c r="AS296" s="591"/>
      <c r="AT296" s="591"/>
      <c r="AU296" s="591"/>
      <c r="AV296" s="591"/>
      <c r="AW296" s="591"/>
      <c r="AX296" s="591"/>
      <c r="AY296" s="591"/>
      <c r="AZ296" s="591"/>
      <c r="BA296" s="591"/>
      <c r="BB296" s="591"/>
      <c r="BC296" s="591"/>
      <c r="BD296" s="591"/>
      <c r="BE296" s="591"/>
      <c r="BF296" s="591"/>
      <c r="BG296" s="591"/>
      <c r="BH296" s="591"/>
      <c r="BI296" s="591"/>
      <c r="BJ296" s="591"/>
      <c r="BK296" s="591"/>
      <c r="BL296" s="591"/>
      <c r="BM296" s="591"/>
      <c r="BN296" s="591"/>
      <c r="BO296" s="591"/>
      <c r="BP296" s="591"/>
      <c r="BQ296" s="591"/>
      <c r="BR296" s="591"/>
      <c r="BS296" s="591"/>
      <c r="BT296" s="591"/>
      <c r="BU296" s="591"/>
      <c r="BV296" s="591"/>
      <c r="BW296" s="591"/>
      <c r="BX296" s="591"/>
      <c r="BY296" s="591"/>
      <c r="BZ296" s="591"/>
      <c r="CA296" s="591"/>
      <c r="CB296" s="591"/>
      <c r="CC296" s="591"/>
      <c r="CD296" s="591"/>
      <c r="CE296" s="591"/>
      <c r="CF296" s="591"/>
    </row>
    <row r="297" spans="1:84">
      <c r="A297" s="591"/>
      <c r="B297" s="591"/>
      <c r="C297" s="591"/>
      <c r="D297" s="591"/>
      <c r="E297" s="591"/>
      <c r="F297" s="591"/>
      <c r="G297" s="591"/>
      <c r="H297" s="591"/>
      <c r="I297" s="591"/>
      <c r="J297" s="591"/>
      <c r="K297" s="591"/>
      <c r="L297" s="591"/>
      <c r="M297" s="591"/>
      <c r="N297" s="591"/>
      <c r="O297" s="591"/>
      <c r="P297" s="591"/>
      <c r="Q297" s="591"/>
      <c r="R297" s="591"/>
      <c r="S297" s="591"/>
      <c r="T297" s="591"/>
      <c r="U297" s="591"/>
      <c r="V297" s="591"/>
      <c r="W297" s="591"/>
      <c r="X297" s="591"/>
      <c r="Y297" s="591"/>
      <c r="Z297" s="591"/>
      <c r="AA297" s="591"/>
      <c r="AB297" s="591"/>
      <c r="AC297" s="591"/>
      <c r="AD297" s="591"/>
      <c r="AE297" s="591"/>
      <c r="AF297" s="591"/>
      <c r="AG297" s="591"/>
      <c r="AH297" s="591"/>
      <c r="AI297" s="591"/>
      <c r="AJ297" s="591"/>
      <c r="AK297" s="591"/>
      <c r="AL297" s="591"/>
      <c r="AM297" s="591"/>
      <c r="AN297" s="591"/>
      <c r="AO297" s="591"/>
      <c r="AP297" s="591"/>
      <c r="AQ297" s="591"/>
      <c r="AR297" s="591"/>
      <c r="AS297" s="591"/>
      <c r="AT297" s="591"/>
      <c r="AU297" s="591"/>
      <c r="AV297" s="591"/>
      <c r="AW297" s="591"/>
      <c r="AX297" s="591"/>
      <c r="AY297" s="591"/>
      <c r="AZ297" s="591"/>
      <c r="BA297" s="591"/>
      <c r="BB297" s="591"/>
      <c r="BC297" s="591"/>
      <c r="BD297" s="591"/>
      <c r="BE297" s="591"/>
      <c r="BF297" s="591"/>
      <c r="BG297" s="591"/>
      <c r="BH297" s="591"/>
      <c r="BI297" s="591"/>
      <c r="BJ297" s="591"/>
      <c r="BK297" s="591"/>
      <c r="BL297" s="591"/>
      <c r="BM297" s="591"/>
      <c r="BN297" s="591"/>
      <c r="BO297" s="591"/>
      <c r="BP297" s="591"/>
      <c r="BQ297" s="591"/>
      <c r="BR297" s="591"/>
      <c r="BS297" s="591"/>
      <c r="BT297" s="591"/>
      <c r="BU297" s="591"/>
      <c r="BV297" s="591"/>
      <c r="BW297" s="591"/>
      <c r="BX297" s="591"/>
      <c r="BY297" s="591"/>
      <c r="BZ297" s="591"/>
      <c r="CA297" s="591"/>
      <c r="CB297" s="591"/>
      <c r="CC297" s="591"/>
      <c r="CD297" s="591"/>
      <c r="CE297" s="591"/>
      <c r="CF297" s="591"/>
    </row>
    <row r="298" spans="1:84">
      <c r="A298" s="591"/>
      <c r="B298" s="591"/>
      <c r="C298" s="591"/>
      <c r="D298" s="591"/>
      <c r="E298" s="591"/>
      <c r="F298" s="591"/>
      <c r="G298" s="591"/>
      <c r="H298" s="591"/>
      <c r="I298" s="591"/>
      <c r="J298" s="591"/>
      <c r="K298" s="591"/>
      <c r="L298" s="591"/>
      <c r="M298" s="591"/>
      <c r="N298" s="591"/>
      <c r="O298" s="591"/>
      <c r="P298" s="591"/>
      <c r="Q298" s="591"/>
      <c r="R298" s="591"/>
      <c r="S298" s="591"/>
      <c r="T298" s="591"/>
      <c r="U298" s="591"/>
      <c r="V298" s="591"/>
      <c r="W298" s="591"/>
      <c r="X298" s="591"/>
      <c r="Y298" s="591"/>
      <c r="Z298" s="591"/>
      <c r="AA298" s="591"/>
      <c r="AB298" s="591"/>
      <c r="AC298" s="591"/>
      <c r="AD298" s="591"/>
      <c r="AE298" s="591"/>
      <c r="AF298" s="591"/>
      <c r="AG298" s="591"/>
      <c r="AH298" s="591"/>
      <c r="AI298" s="591"/>
      <c r="AJ298" s="591"/>
      <c r="AK298" s="591"/>
      <c r="AL298" s="591"/>
      <c r="AM298" s="591"/>
      <c r="AN298" s="591"/>
      <c r="AO298" s="591"/>
      <c r="AP298" s="591"/>
      <c r="AQ298" s="591"/>
      <c r="AR298" s="591"/>
      <c r="AS298" s="591"/>
      <c r="AT298" s="591"/>
      <c r="AU298" s="591"/>
      <c r="AV298" s="591"/>
      <c r="AW298" s="591"/>
      <c r="AX298" s="591"/>
      <c r="AY298" s="591"/>
      <c r="AZ298" s="591"/>
      <c r="BA298" s="591"/>
      <c r="BB298" s="591"/>
      <c r="BC298" s="591"/>
      <c r="BD298" s="591"/>
      <c r="BE298" s="591"/>
      <c r="BF298" s="591"/>
      <c r="BG298" s="591"/>
      <c r="BH298" s="591"/>
      <c r="BI298" s="591"/>
      <c r="BJ298" s="591"/>
      <c r="BK298" s="591"/>
      <c r="BL298" s="591"/>
      <c r="BM298" s="591"/>
      <c r="BN298" s="591"/>
      <c r="BO298" s="591"/>
      <c r="BP298" s="591"/>
      <c r="BQ298" s="591"/>
      <c r="BR298" s="591"/>
      <c r="BS298" s="591"/>
      <c r="BT298" s="591"/>
      <c r="BU298" s="591"/>
      <c r="BV298" s="591"/>
      <c r="BW298" s="591"/>
      <c r="BX298" s="591"/>
      <c r="BY298" s="591"/>
      <c r="BZ298" s="591"/>
      <c r="CA298" s="591"/>
      <c r="CB298" s="591"/>
      <c r="CC298" s="591"/>
      <c r="CD298" s="591"/>
      <c r="CE298" s="591"/>
      <c r="CF298" s="591"/>
    </row>
    <row r="299" spans="1:84">
      <c r="A299" s="591"/>
      <c r="B299" s="591"/>
      <c r="C299" s="591"/>
      <c r="D299" s="591"/>
      <c r="E299" s="591"/>
      <c r="F299" s="591"/>
      <c r="G299" s="591"/>
      <c r="H299" s="591"/>
      <c r="I299" s="591"/>
      <c r="J299" s="591"/>
      <c r="K299" s="591"/>
      <c r="L299" s="591"/>
      <c r="M299" s="591"/>
      <c r="N299" s="591"/>
      <c r="O299" s="591"/>
      <c r="P299" s="591"/>
      <c r="Q299" s="591"/>
      <c r="R299" s="591"/>
      <c r="S299" s="591"/>
      <c r="T299" s="591"/>
      <c r="U299" s="591"/>
      <c r="V299" s="591"/>
      <c r="W299" s="591"/>
      <c r="X299" s="591"/>
      <c r="Y299" s="591"/>
      <c r="Z299" s="591"/>
      <c r="AA299" s="591"/>
      <c r="AB299" s="591"/>
      <c r="AC299" s="591"/>
      <c r="AD299" s="591"/>
      <c r="AE299" s="591"/>
      <c r="AF299" s="591"/>
      <c r="AG299" s="591"/>
      <c r="AH299" s="591"/>
      <c r="AI299" s="591"/>
      <c r="AJ299" s="591"/>
      <c r="AK299" s="591"/>
      <c r="AL299" s="591"/>
      <c r="AM299" s="591"/>
      <c r="AN299" s="591"/>
      <c r="AO299" s="591"/>
      <c r="AP299" s="591"/>
      <c r="AQ299" s="591"/>
      <c r="AR299" s="591"/>
      <c r="AS299" s="591"/>
      <c r="AT299" s="591"/>
      <c r="AU299" s="591"/>
      <c r="AV299" s="591"/>
      <c r="AW299" s="591"/>
      <c r="AX299" s="591"/>
      <c r="AY299" s="591"/>
      <c r="AZ299" s="591"/>
      <c r="BA299" s="591"/>
      <c r="BB299" s="591"/>
      <c r="BC299" s="591"/>
      <c r="BD299" s="591"/>
      <c r="BE299" s="591"/>
      <c r="BF299" s="591"/>
      <c r="BG299" s="591"/>
      <c r="BH299" s="591"/>
      <c r="BI299" s="591"/>
      <c r="BJ299" s="591"/>
      <c r="BK299" s="591"/>
      <c r="BL299" s="591"/>
      <c r="BM299" s="591"/>
      <c r="BN299" s="591"/>
      <c r="BO299" s="591"/>
      <c r="BP299" s="591"/>
      <c r="BQ299" s="591"/>
      <c r="BR299" s="591"/>
      <c r="BS299" s="591"/>
      <c r="BT299" s="591"/>
      <c r="BU299" s="591"/>
      <c r="BV299" s="591"/>
      <c r="BW299" s="591"/>
      <c r="BX299" s="591"/>
      <c r="BY299" s="591"/>
      <c r="BZ299" s="591"/>
      <c r="CA299" s="591"/>
      <c r="CB299" s="591"/>
      <c r="CC299" s="591"/>
      <c r="CD299" s="591"/>
      <c r="CE299" s="591"/>
      <c r="CF299" s="591"/>
    </row>
    <row r="300" spans="1:84">
      <c r="A300" s="591"/>
      <c r="B300" s="591"/>
      <c r="C300" s="591"/>
      <c r="D300" s="591"/>
      <c r="E300" s="591"/>
      <c r="F300" s="591"/>
      <c r="G300" s="591"/>
      <c r="H300" s="591"/>
      <c r="I300" s="591"/>
      <c r="J300" s="591"/>
      <c r="K300" s="591"/>
      <c r="L300" s="591"/>
      <c r="M300" s="591"/>
      <c r="N300" s="591"/>
      <c r="O300" s="591"/>
      <c r="P300" s="591"/>
      <c r="Q300" s="591"/>
      <c r="R300" s="591"/>
      <c r="S300" s="591"/>
      <c r="T300" s="591"/>
      <c r="U300" s="591"/>
      <c r="V300" s="591"/>
      <c r="W300" s="591"/>
      <c r="X300" s="591"/>
      <c r="Y300" s="591"/>
      <c r="Z300" s="591"/>
      <c r="AA300" s="591"/>
      <c r="AB300" s="591"/>
      <c r="AC300" s="591"/>
      <c r="AD300" s="591"/>
      <c r="AE300" s="591"/>
      <c r="AF300" s="591"/>
      <c r="AG300" s="591"/>
      <c r="AH300" s="591"/>
      <c r="AI300" s="591"/>
      <c r="AJ300" s="591"/>
      <c r="AK300" s="591"/>
      <c r="AL300" s="591"/>
      <c r="AM300" s="591"/>
      <c r="AN300" s="591"/>
      <c r="AO300" s="591"/>
      <c r="AP300" s="591"/>
      <c r="AQ300" s="591"/>
      <c r="AR300" s="591"/>
      <c r="AS300" s="591"/>
      <c r="AT300" s="591"/>
      <c r="AU300" s="591"/>
      <c r="AV300" s="591"/>
      <c r="AW300" s="591"/>
      <c r="AX300" s="591"/>
      <c r="AY300" s="591"/>
      <c r="AZ300" s="591"/>
      <c r="BA300" s="591"/>
      <c r="BB300" s="591"/>
      <c r="BC300" s="591"/>
      <c r="BD300" s="591"/>
      <c r="BE300" s="591"/>
      <c r="BF300" s="591"/>
      <c r="BG300" s="591"/>
      <c r="BH300" s="591"/>
      <c r="BI300" s="591"/>
      <c r="BJ300" s="591"/>
      <c r="BK300" s="591"/>
      <c r="BL300" s="591"/>
      <c r="BM300" s="591"/>
      <c r="BN300" s="591"/>
      <c r="BO300" s="591"/>
      <c r="BP300" s="591"/>
      <c r="BQ300" s="591"/>
      <c r="BR300" s="591"/>
      <c r="BS300" s="591"/>
      <c r="BT300" s="591"/>
      <c r="BU300" s="591"/>
      <c r="BV300" s="591"/>
      <c r="BW300" s="591"/>
      <c r="BX300" s="591"/>
      <c r="BY300" s="591"/>
      <c r="BZ300" s="591"/>
      <c r="CA300" s="591"/>
      <c r="CB300" s="591"/>
      <c r="CC300" s="591"/>
      <c r="CD300" s="591"/>
      <c r="CE300" s="591"/>
      <c r="CF300" s="591"/>
    </row>
    <row r="301" spans="1:84">
      <c r="A301" s="591"/>
      <c r="B301" s="591"/>
      <c r="C301" s="591"/>
      <c r="D301" s="591"/>
      <c r="E301" s="591"/>
      <c r="F301" s="591"/>
      <c r="G301" s="591"/>
      <c r="H301" s="591"/>
      <c r="I301" s="591"/>
      <c r="J301" s="591"/>
      <c r="K301" s="591"/>
      <c r="L301" s="591"/>
      <c r="M301" s="591"/>
      <c r="N301" s="591"/>
      <c r="O301" s="591"/>
      <c r="P301" s="591"/>
      <c r="Q301" s="591"/>
      <c r="R301" s="591"/>
      <c r="S301" s="591"/>
      <c r="T301" s="591"/>
      <c r="U301" s="591"/>
      <c r="V301" s="591"/>
      <c r="W301" s="591"/>
      <c r="X301" s="591"/>
      <c r="Y301" s="591"/>
      <c r="Z301" s="591"/>
      <c r="AA301" s="591"/>
      <c r="AB301" s="591"/>
      <c r="AC301" s="591"/>
      <c r="AD301" s="591"/>
      <c r="AE301" s="591"/>
      <c r="AF301" s="591"/>
      <c r="AG301" s="591"/>
      <c r="AH301" s="591"/>
      <c r="AI301" s="591"/>
      <c r="AJ301" s="591"/>
      <c r="AK301" s="591"/>
      <c r="AL301" s="591"/>
      <c r="AM301" s="591"/>
      <c r="AN301" s="591"/>
      <c r="AO301" s="591"/>
      <c r="AP301" s="591"/>
      <c r="AQ301" s="591"/>
      <c r="AR301" s="591"/>
      <c r="AS301" s="591"/>
      <c r="AT301" s="591"/>
      <c r="AU301" s="591"/>
      <c r="AV301" s="591"/>
      <c r="AW301" s="591"/>
      <c r="AX301" s="591"/>
      <c r="AY301" s="591"/>
      <c r="AZ301" s="591"/>
      <c r="BA301" s="591"/>
      <c r="BB301" s="591"/>
      <c r="BC301" s="591"/>
      <c r="BD301" s="591"/>
      <c r="BE301" s="591"/>
      <c r="BF301" s="591"/>
      <c r="BG301" s="591"/>
      <c r="BH301" s="591"/>
      <c r="BI301" s="591"/>
      <c r="BJ301" s="591"/>
      <c r="BK301" s="591"/>
      <c r="BL301" s="591"/>
      <c r="BM301" s="591"/>
      <c r="BN301" s="591"/>
      <c r="BO301" s="591"/>
      <c r="BP301" s="591"/>
      <c r="BQ301" s="591"/>
      <c r="BR301" s="591"/>
      <c r="BS301" s="591"/>
      <c r="BT301" s="591"/>
      <c r="BU301" s="591"/>
      <c r="BV301" s="591"/>
      <c r="BW301" s="591"/>
      <c r="BX301" s="591"/>
      <c r="BY301" s="591"/>
      <c r="BZ301" s="591"/>
      <c r="CA301" s="591"/>
      <c r="CB301" s="591"/>
      <c r="CC301" s="591"/>
      <c r="CD301" s="591"/>
      <c r="CE301" s="591"/>
      <c r="CF301" s="591"/>
    </row>
    <row r="302" spans="1:84">
      <c r="A302" s="591"/>
      <c r="B302" s="591"/>
      <c r="C302" s="591"/>
      <c r="D302" s="591"/>
      <c r="E302" s="591"/>
      <c r="F302" s="591"/>
      <c r="G302" s="591"/>
      <c r="H302" s="591"/>
      <c r="I302" s="591"/>
      <c r="J302" s="591"/>
      <c r="K302" s="591"/>
      <c r="L302" s="591"/>
      <c r="M302" s="591"/>
      <c r="N302" s="591"/>
      <c r="O302" s="591"/>
      <c r="P302" s="591"/>
      <c r="Q302" s="591"/>
      <c r="R302" s="591"/>
      <c r="S302" s="591"/>
      <c r="T302" s="591"/>
      <c r="U302" s="591"/>
      <c r="V302" s="591"/>
      <c r="W302" s="591"/>
      <c r="X302" s="591"/>
      <c r="Y302" s="591"/>
      <c r="Z302" s="591"/>
      <c r="AA302" s="591"/>
      <c r="AB302" s="591"/>
      <c r="AC302" s="591"/>
      <c r="AD302" s="591"/>
      <c r="AE302" s="591"/>
      <c r="AF302" s="591"/>
      <c r="AG302" s="591"/>
      <c r="AH302" s="591"/>
      <c r="AI302" s="591"/>
      <c r="AJ302" s="591"/>
      <c r="AK302" s="591"/>
      <c r="AL302" s="591"/>
      <c r="AM302" s="591"/>
      <c r="AN302" s="591"/>
      <c r="AO302" s="591"/>
      <c r="AP302" s="591"/>
      <c r="AQ302" s="591"/>
      <c r="AR302" s="591"/>
      <c r="AS302" s="591"/>
      <c r="AT302" s="591"/>
      <c r="AU302" s="591"/>
      <c r="AV302" s="591"/>
      <c r="AW302" s="591"/>
      <c r="AX302" s="591"/>
      <c r="AY302" s="591"/>
      <c r="AZ302" s="591"/>
      <c r="BA302" s="591"/>
      <c r="BB302" s="591"/>
      <c r="BC302" s="591"/>
      <c r="BD302" s="591"/>
      <c r="BE302" s="591"/>
      <c r="BF302" s="591"/>
      <c r="BG302" s="591"/>
      <c r="BH302" s="591"/>
      <c r="BI302" s="591"/>
      <c r="BJ302" s="591"/>
      <c r="BK302" s="591"/>
      <c r="BL302" s="591"/>
      <c r="BM302" s="591"/>
      <c r="BN302" s="591"/>
      <c r="BO302" s="591"/>
      <c r="BP302" s="591"/>
      <c r="BQ302" s="591"/>
      <c r="BR302" s="591"/>
      <c r="BS302" s="591"/>
      <c r="BT302" s="591"/>
      <c r="BU302" s="591"/>
      <c r="BV302" s="591"/>
      <c r="BW302" s="591"/>
      <c r="BX302" s="591"/>
      <c r="BY302" s="591"/>
      <c r="BZ302" s="591"/>
      <c r="CA302" s="591"/>
      <c r="CB302" s="591"/>
      <c r="CC302" s="591"/>
      <c r="CD302" s="591"/>
      <c r="CE302" s="591"/>
      <c r="CF302" s="591"/>
    </row>
    <row r="303" spans="1:84">
      <c r="A303" s="591"/>
      <c r="B303" s="591"/>
      <c r="C303" s="591"/>
      <c r="D303" s="591"/>
      <c r="E303" s="591"/>
      <c r="F303" s="591"/>
      <c r="G303" s="591"/>
      <c r="H303" s="591"/>
      <c r="I303" s="591"/>
      <c r="J303" s="591"/>
      <c r="K303" s="591"/>
      <c r="L303" s="591"/>
      <c r="M303" s="591"/>
      <c r="N303" s="591"/>
      <c r="O303" s="591"/>
      <c r="P303" s="591"/>
      <c r="Q303" s="591"/>
      <c r="R303" s="591"/>
      <c r="S303" s="591"/>
      <c r="T303" s="591"/>
      <c r="U303" s="591"/>
      <c r="V303" s="591"/>
      <c r="W303" s="591"/>
      <c r="X303" s="591"/>
      <c r="Y303" s="591"/>
      <c r="Z303" s="591"/>
      <c r="AA303" s="591"/>
      <c r="AB303" s="591"/>
      <c r="AC303" s="591"/>
      <c r="AD303" s="591"/>
      <c r="AE303" s="591"/>
      <c r="AF303" s="591"/>
      <c r="AG303" s="591"/>
      <c r="AH303" s="591"/>
      <c r="AI303" s="591"/>
      <c r="AJ303" s="591"/>
      <c r="AK303" s="591"/>
      <c r="AL303" s="591"/>
      <c r="AM303" s="591"/>
      <c r="AN303" s="591"/>
      <c r="AO303" s="591"/>
      <c r="AP303" s="591"/>
      <c r="AQ303" s="591"/>
      <c r="AR303" s="591"/>
      <c r="AS303" s="591"/>
      <c r="AT303" s="591"/>
      <c r="AU303" s="591"/>
      <c r="AV303" s="591"/>
      <c r="AW303" s="591"/>
      <c r="AX303" s="591"/>
      <c r="AY303" s="591"/>
      <c r="AZ303" s="591"/>
      <c r="BA303" s="591"/>
      <c r="BB303" s="591"/>
      <c r="BC303" s="591"/>
      <c r="BD303" s="591"/>
      <c r="BE303" s="591"/>
      <c r="BF303" s="591"/>
      <c r="BG303" s="591"/>
      <c r="BH303" s="591"/>
      <c r="BI303" s="591"/>
      <c r="BJ303" s="591"/>
      <c r="BK303" s="591"/>
      <c r="BL303" s="591"/>
      <c r="BM303" s="591"/>
      <c r="BN303" s="591"/>
      <c r="BO303" s="591"/>
      <c r="BP303" s="591"/>
      <c r="BQ303" s="591"/>
      <c r="BR303" s="591"/>
      <c r="BS303" s="591"/>
      <c r="BT303" s="591"/>
      <c r="BU303" s="591"/>
      <c r="BV303" s="591"/>
      <c r="BW303" s="591"/>
      <c r="BX303" s="591"/>
      <c r="BY303" s="591"/>
      <c r="BZ303" s="591"/>
      <c r="CA303" s="591"/>
      <c r="CB303" s="591"/>
      <c r="CC303" s="591"/>
      <c r="CD303" s="591"/>
      <c r="CE303" s="591"/>
      <c r="CF303" s="591"/>
    </row>
    <row r="304" spans="1:84">
      <c r="A304" s="591"/>
      <c r="B304" s="591"/>
      <c r="C304" s="591"/>
      <c r="D304" s="591"/>
      <c r="E304" s="591"/>
      <c r="F304" s="591"/>
      <c r="G304" s="591"/>
      <c r="H304" s="591"/>
      <c r="I304" s="591"/>
      <c r="J304" s="591"/>
      <c r="K304" s="591"/>
      <c r="L304" s="591"/>
      <c r="M304" s="591"/>
      <c r="N304" s="591"/>
      <c r="O304" s="591"/>
      <c r="P304" s="591"/>
      <c r="Q304" s="591"/>
      <c r="R304" s="591"/>
      <c r="S304" s="591"/>
      <c r="T304" s="591"/>
      <c r="U304" s="591"/>
      <c r="V304" s="591"/>
      <c r="W304" s="591"/>
      <c r="X304" s="591"/>
      <c r="Y304" s="591"/>
      <c r="Z304" s="591"/>
      <c r="AA304" s="591"/>
      <c r="AB304" s="591"/>
      <c r="AC304" s="591"/>
      <c r="AD304" s="591"/>
      <c r="AE304" s="591"/>
      <c r="AF304" s="591"/>
      <c r="AG304" s="591"/>
      <c r="AH304" s="591"/>
      <c r="AI304" s="591"/>
      <c r="AJ304" s="591"/>
      <c r="AK304" s="591"/>
      <c r="AL304" s="591"/>
      <c r="AM304" s="591"/>
      <c r="AN304" s="591"/>
      <c r="AO304" s="591"/>
      <c r="AP304" s="591"/>
      <c r="AQ304" s="591"/>
      <c r="AR304" s="591"/>
      <c r="AS304" s="591"/>
      <c r="AT304" s="591"/>
      <c r="AU304" s="591"/>
      <c r="AV304" s="591"/>
      <c r="AW304" s="591"/>
      <c r="AX304" s="591"/>
      <c r="AY304" s="591"/>
      <c r="AZ304" s="591"/>
      <c r="BA304" s="591"/>
      <c r="BB304" s="591"/>
      <c r="BC304" s="591"/>
      <c r="BD304" s="591"/>
      <c r="BE304" s="591"/>
      <c r="BF304" s="591"/>
      <c r="BG304" s="591"/>
      <c r="BH304" s="591"/>
      <c r="BI304" s="591"/>
      <c r="BJ304" s="591"/>
      <c r="BK304" s="591"/>
      <c r="BL304" s="591"/>
      <c r="BM304" s="591"/>
      <c r="BN304" s="591"/>
      <c r="BO304" s="591"/>
      <c r="BP304" s="591"/>
      <c r="BQ304" s="591"/>
      <c r="BR304" s="591"/>
      <c r="BS304" s="591"/>
      <c r="BT304" s="591"/>
      <c r="BU304" s="591"/>
      <c r="BV304" s="591"/>
      <c r="BW304" s="591"/>
      <c r="BX304" s="591"/>
      <c r="BY304" s="591"/>
      <c r="BZ304" s="591"/>
      <c r="CA304" s="591"/>
      <c r="CB304" s="591"/>
      <c r="CC304" s="591"/>
      <c r="CD304" s="591"/>
      <c r="CE304" s="591"/>
      <c r="CF304" s="591"/>
    </row>
    <row r="305" spans="1:84">
      <c r="A305" s="591"/>
      <c r="B305" s="591"/>
      <c r="C305" s="591"/>
      <c r="D305" s="591"/>
      <c r="E305" s="591"/>
      <c r="F305" s="591"/>
      <c r="G305" s="591"/>
      <c r="H305" s="591"/>
      <c r="I305" s="591"/>
      <c r="J305" s="591"/>
      <c r="K305" s="591"/>
      <c r="L305" s="591"/>
      <c r="M305" s="591"/>
      <c r="N305" s="591"/>
      <c r="O305" s="591"/>
      <c r="P305" s="591"/>
      <c r="Q305" s="591"/>
      <c r="R305" s="591"/>
      <c r="S305" s="591"/>
      <c r="T305" s="591"/>
      <c r="U305" s="591"/>
      <c r="V305" s="591"/>
      <c r="W305" s="591"/>
      <c r="X305" s="591"/>
      <c r="Y305" s="591"/>
      <c r="Z305" s="591"/>
      <c r="AA305" s="591"/>
      <c r="AB305" s="591"/>
      <c r="AC305" s="591"/>
      <c r="AD305" s="591"/>
      <c r="AE305" s="591"/>
      <c r="AF305" s="591"/>
      <c r="AG305" s="591"/>
      <c r="AH305" s="591"/>
      <c r="AI305" s="591"/>
      <c r="AJ305" s="591"/>
      <c r="AK305" s="591"/>
      <c r="AL305" s="591"/>
      <c r="AM305" s="591"/>
      <c r="AN305" s="591"/>
      <c r="AO305" s="591"/>
      <c r="AP305" s="591"/>
      <c r="AQ305" s="591"/>
      <c r="AR305" s="591"/>
      <c r="AS305" s="591"/>
      <c r="AT305" s="591"/>
      <c r="AU305" s="591"/>
      <c r="AV305" s="591"/>
      <c r="AW305" s="591"/>
      <c r="AX305" s="591"/>
      <c r="AY305" s="591"/>
      <c r="AZ305" s="591"/>
      <c r="BA305" s="591"/>
      <c r="BB305" s="591"/>
      <c r="BC305" s="591"/>
      <c r="BD305" s="591"/>
      <c r="BE305" s="591"/>
      <c r="BF305" s="591"/>
      <c r="BG305" s="591"/>
      <c r="BH305" s="591"/>
      <c r="BI305" s="591"/>
      <c r="BJ305" s="591"/>
      <c r="BK305" s="591"/>
      <c r="BL305" s="591"/>
      <c r="BM305" s="591"/>
      <c r="BN305" s="591"/>
      <c r="BO305" s="591"/>
      <c r="BP305" s="591"/>
      <c r="BQ305" s="591"/>
      <c r="BR305" s="591"/>
      <c r="BS305" s="591"/>
      <c r="BT305" s="591"/>
      <c r="BU305" s="591"/>
      <c r="BV305" s="591"/>
      <c r="BW305" s="591"/>
      <c r="BX305" s="591"/>
      <c r="BY305" s="591"/>
      <c r="BZ305" s="591"/>
      <c r="CA305" s="591"/>
      <c r="CB305" s="591"/>
      <c r="CC305" s="591"/>
      <c r="CD305" s="591"/>
      <c r="CE305" s="591"/>
      <c r="CF305" s="591"/>
    </row>
    <row r="306" spans="1:84">
      <c r="A306" s="591"/>
      <c r="B306" s="591"/>
      <c r="C306" s="591"/>
      <c r="D306" s="591"/>
      <c r="E306" s="591"/>
      <c r="F306" s="591"/>
      <c r="G306" s="591"/>
      <c r="H306" s="591"/>
      <c r="I306" s="591"/>
      <c r="J306" s="591"/>
      <c r="K306" s="591"/>
      <c r="L306" s="591"/>
      <c r="M306" s="591"/>
      <c r="N306" s="591"/>
      <c r="O306" s="591"/>
      <c r="P306" s="591"/>
      <c r="Q306" s="591"/>
      <c r="R306" s="591"/>
      <c r="S306" s="591"/>
      <c r="T306" s="591"/>
      <c r="U306" s="591"/>
      <c r="V306" s="591"/>
      <c r="W306" s="591"/>
      <c r="X306" s="591"/>
      <c r="Y306" s="591"/>
      <c r="Z306" s="591"/>
      <c r="AA306" s="591"/>
      <c r="AB306" s="591"/>
      <c r="AC306" s="591"/>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1"/>
      <c r="AY306" s="591"/>
      <c r="AZ306" s="591"/>
      <c r="BA306" s="591"/>
      <c r="BB306" s="591"/>
      <c r="BC306" s="591"/>
      <c r="BD306" s="591"/>
      <c r="BE306" s="591"/>
      <c r="BF306" s="591"/>
      <c r="BG306" s="591"/>
      <c r="BH306" s="591"/>
      <c r="BI306" s="591"/>
      <c r="BJ306" s="591"/>
      <c r="BK306" s="591"/>
      <c r="BL306" s="591"/>
      <c r="BM306" s="591"/>
      <c r="BN306" s="591"/>
      <c r="BO306" s="591"/>
      <c r="BP306" s="591"/>
      <c r="BQ306" s="591"/>
      <c r="BR306" s="591"/>
      <c r="BS306" s="591"/>
      <c r="BT306" s="591"/>
      <c r="BU306" s="591"/>
      <c r="BV306" s="591"/>
      <c r="BW306" s="591"/>
      <c r="BX306" s="591"/>
      <c r="BY306" s="591"/>
      <c r="BZ306" s="591"/>
      <c r="CA306" s="591"/>
      <c r="CB306" s="591"/>
      <c r="CC306" s="591"/>
      <c r="CD306" s="591"/>
      <c r="CE306" s="591"/>
      <c r="CF306" s="591"/>
    </row>
    <row r="307" spans="1:84">
      <c r="A307" s="591"/>
      <c r="B307" s="591"/>
      <c r="C307" s="591"/>
      <c r="D307" s="591"/>
      <c r="E307" s="591"/>
      <c r="F307" s="591"/>
      <c r="G307" s="591"/>
      <c r="H307" s="591"/>
      <c r="I307" s="591"/>
      <c r="J307" s="591"/>
      <c r="K307" s="591"/>
      <c r="L307" s="591"/>
      <c r="M307" s="591"/>
      <c r="N307" s="591"/>
      <c r="O307" s="591"/>
      <c r="P307" s="591"/>
      <c r="Q307" s="591"/>
      <c r="R307" s="591"/>
      <c r="S307" s="591"/>
      <c r="T307" s="591"/>
      <c r="U307" s="591"/>
      <c r="V307" s="591"/>
      <c r="W307" s="591"/>
      <c r="X307" s="591"/>
      <c r="Y307" s="591"/>
      <c r="Z307" s="591"/>
      <c r="AA307" s="591"/>
      <c r="AB307" s="591"/>
      <c r="AC307" s="591"/>
      <c r="AD307" s="591"/>
      <c r="AE307" s="591"/>
      <c r="AF307" s="591"/>
      <c r="AG307" s="591"/>
      <c r="AH307" s="591"/>
      <c r="AI307" s="591"/>
      <c r="AJ307" s="591"/>
      <c r="AK307" s="591"/>
      <c r="AL307" s="591"/>
      <c r="AM307" s="591"/>
      <c r="AN307" s="591"/>
      <c r="AO307" s="591"/>
      <c r="AP307" s="591"/>
      <c r="AQ307" s="591"/>
      <c r="AR307" s="591"/>
      <c r="AS307" s="591"/>
      <c r="AT307" s="591"/>
      <c r="AU307" s="591"/>
      <c r="AV307" s="591"/>
      <c r="AW307" s="591"/>
      <c r="AX307" s="591"/>
      <c r="AY307" s="591"/>
      <c r="AZ307" s="591"/>
      <c r="BA307" s="591"/>
      <c r="BB307" s="591"/>
      <c r="BC307" s="591"/>
      <c r="BD307" s="591"/>
      <c r="BE307" s="591"/>
      <c r="BF307" s="591"/>
      <c r="BG307" s="591"/>
      <c r="BH307" s="591"/>
      <c r="BI307" s="591"/>
      <c r="BJ307" s="591"/>
      <c r="BK307" s="591"/>
      <c r="BL307" s="591"/>
      <c r="BM307" s="591"/>
      <c r="BN307" s="591"/>
      <c r="BO307" s="591"/>
      <c r="BP307" s="591"/>
      <c r="BQ307" s="591"/>
      <c r="BR307" s="591"/>
      <c r="BS307" s="591"/>
      <c r="BT307" s="591"/>
      <c r="BU307" s="591"/>
      <c r="BV307" s="591"/>
      <c r="BW307" s="591"/>
      <c r="BX307" s="591"/>
      <c r="BY307" s="591"/>
      <c r="BZ307" s="591"/>
      <c r="CA307" s="591"/>
      <c r="CB307" s="591"/>
      <c r="CC307" s="591"/>
      <c r="CD307" s="591"/>
      <c r="CE307" s="591"/>
      <c r="CF307" s="591"/>
    </row>
    <row r="308" spans="1:84">
      <c r="A308" s="591"/>
      <c r="B308" s="591"/>
      <c r="C308" s="591"/>
      <c r="D308" s="591"/>
      <c r="E308" s="591"/>
      <c r="F308" s="591"/>
      <c r="G308" s="591"/>
      <c r="H308" s="591"/>
      <c r="I308" s="591"/>
      <c r="J308" s="591"/>
      <c r="K308" s="591"/>
      <c r="L308" s="591"/>
      <c r="M308" s="591"/>
      <c r="N308" s="591"/>
      <c r="O308" s="591"/>
      <c r="P308" s="591"/>
      <c r="Q308" s="591"/>
      <c r="R308" s="591"/>
      <c r="S308" s="591"/>
      <c r="T308" s="591"/>
      <c r="U308" s="591"/>
      <c r="V308" s="591"/>
      <c r="W308" s="591"/>
      <c r="X308" s="591"/>
      <c r="Y308" s="591"/>
      <c r="Z308" s="591"/>
      <c r="AA308" s="591"/>
      <c r="AB308" s="591"/>
      <c r="AC308" s="591"/>
      <c r="AD308" s="591"/>
      <c r="AE308" s="591"/>
      <c r="AF308" s="591"/>
      <c r="AG308" s="591"/>
      <c r="AH308" s="591"/>
      <c r="AI308" s="591"/>
      <c r="AJ308" s="591"/>
      <c r="AK308" s="591"/>
      <c r="AL308" s="591"/>
      <c r="AM308" s="591"/>
      <c r="AN308" s="591"/>
      <c r="AO308" s="591"/>
      <c r="AP308" s="591"/>
      <c r="AQ308" s="591"/>
      <c r="AR308" s="591"/>
      <c r="AS308" s="591"/>
      <c r="AT308" s="591"/>
      <c r="AU308" s="591"/>
      <c r="AV308" s="591"/>
      <c r="AW308" s="591"/>
      <c r="AX308" s="591"/>
      <c r="AY308" s="591"/>
      <c r="AZ308" s="591"/>
      <c r="BA308" s="591"/>
      <c r="BB308" s="591"/>
      <c r="BC308" s="591"/>
      <c r="BD308" s="591"/>
      <c r="BE308" s="591"/>
      <c r="BF308" s="591"/>
      <c r="BG308" s="591"/>
      <c r="BH308" s="591"/>
      <c r="BI308" s="591"/>
      <c r="BJ308" s="591"/>
      <c r="BK308" s="591"/>
      <c r="BL308" s="591"/>
      <c r="BM308" s="591"/>
      <c r="BN308" s="591"/>
      <c r="BO308" s="591"/>
      <c r="BP308" s="591"/>
      <c r="BQ308" s="591"/>
      <c r="BR308" s="591"/>
      <c r="BS308" s="591"/>
      <c r="BT308" s="591"/>
      <c r="BU308" s="591"/>
      <c r="BV308" s="591"/>
      <c r="BW308" s="591"/>
      <c r="BX308" s="591"/>
      <c r="BY308" s="591"/>
      <c r="BZ308" s="591"/>
      <c r="CA308" s="591"/>
      <c r="CB308" s="591"/>
      <c r="CC308" s="591"/>
      <c r="CD308" s="591"/>
      <c r="CE308" s="591"/>
      <c r="CF308" s="591"/>
    </row>
    <row r="309" spans="1:84">
      <c r="A309" s="591"/>
      <c r="B309" s="591"/>
      <c r="C309" s="591"/>
      <c r="D309" s="591"/>
      <c r="E309" s="591"/>
      <c r="F309" s="591"/>
      <c r="G309" s="591"/>
      <c r="H309" s="591"/>
      <c r="I309" s="591"/>
      <c r="J309" s="591"/>
      <c r="K309" s="591"/>
      <c r="L309" s="591"/>
      <c r="M309" s="591"/>
      <c r="N309" s="591"/>
      <c r="O309" s="591"/>
      <c r="P309" s="591"/>
      <c r="Q309" s="591"/>
      <c r="R309" s="591"/>
      <c r="S309" s="591"/>
      <c r="T309" s="591"/>
      <c r="U309" s="591"/>
      <c r="V309" s="591"/>
      <c r="W309" s="591"/>
      <c r="X309" s="591"/>
      <c r="Y309" s="591"/>
      <c r="Z309" s="591"/>
      <c r="AA309" s="591"/>
      <c r="AB309" s="591"/>
      <c r="AC309" s="591"/>
      <c r="AD309" s="591"/>
      <c r="AE309" s="591"/>
      <c r="AF309" s="591"/>
      <c r="AG309" s="591"/>
      <c r="AH309" s="591"/>
      <c r="AI309" s="591"/>
      <c r="AJ309" s="591"/>
      <c r="AK309" s="591"/>
      <c r="AL309" s="591"/>
      <c r="AM309" s="591"/>
      <c r="AN309" s="591"/>
      <c r="AO309" s="591"/>
      <c r="AP309" s="591"/>
      <c r="AQ309" s="591"/>
      <c r="AR309" s="591"/>
      <c r="AS309" s="591"/>
      <c r="AT309" s="591"/>
      <c r="AU309" s="591"/>
      <c r="AV309" s="591"/>
      <c r="AW309" s="591"/>
      <c r="AX309" s="591"/>
      <c r="AY309" s="591"/>
      <c r="AZ309" s="591"/>
      <c r="BA309" s="591"/>
      <c r="BB309" s="591"/>
      <c r="BC309" s="591"/>
      <c r="BD309" s="591"/>
      <c r="BE309" s="591"/>
      <c r="BF309" s="591"/>
      <c r="BG309" s="591"/>
      <c r="BH309" s="591"/>
      <c r="BI309" s="591"/>
      <c r="BJ309" s="591"/>
      <c r="BK309" s="591"/>
      <c r="BL309" s="591"/>
      <c r="BM309" s="591"/>
      <c r="BN309" s="591"/>
      <c r="BO309" s="591"/>
      <c r="BP309" s="591"/>
      <c r="BQ309" s="591"/>
      <c r="BR309" s="591"/>
      <c r="BS309" s="591"/>
      <c r="BT309" s="591"/>
      <c r="BU309" s="591"/>
      <c r="BV309" s="591"/>
      <c r="BW309" s="591"/>
      <c r="BX309" s="591"/>
      <c r="BY309" s="591"/>
      <c r="BZ309" s="591"/>
      <c r="CA309" s="591"/>
      <c r="CB309" s="591"/>
      <c r="CC309" s="591"/>
      <c r="CD309" s="591"/>
      <c r="CE309" s="591"/>
      <c r="CF309" s="591"/>
    </row>
    <row r="310" spans="1:84">
      <c r="A310" s="591"/>
      <c r="B310" s="591"/>
      <c r="C310" s="591"/>
      <c r="D310" s="591"/>
      <c r="E310" s="591"/>
      <c r="F310" s="591"/>
      <c r="G310" s="591"/>
      <c r="H310" s="591"/>
      <c r="I310" s="591"/>
      <c r="J310" s="591"/>
      <c r="K310" s="591"/>
      <c r="L310" s="591"/>
      <c r="M310" s="591"/>
      <c r="N310" s="591"/>
      <c r="O310" s="591"/>
      <c r="P310" s="591"/>
      <c r="Q310" s="591"/>
      <c r="R310" s="591"/>
      <c r="S310" s="591"/>
      <c r="T310" s="591"/>
      <c r="U310" s="591"/>
      <c r="V310" s="591"/>
      <c r="W310" s="591"/>
      <c r="X310" s="591"/>
      <c r="Y310" s="591"/>
      <c r="Z310" s="591"/>
      <c r="AA310" s="591"/>
      <c r="AB310" s="591"/>
      <c r="AC310" s="591"/>
      <c r="AD310" s="591"/>
      <c r="AE310" s="591"/>
      <c r="AF310" s="591"/>
      <c r="AG310" s="591"/>
      <c r="AH310" s="591"/>
      <c r="AI310" s="591"/>
      <c r="AJ310" s="591"/>
      <c r="AK310" s="591"/>
      <c r="AL310" s="591"/>
      <c r="AM310" s="591"/>
      <c r="AN310" s="591"/>
      <c r="AO310" s="591"/>
      <c r="AP310" s="591"/>
      <c r="AQ310" s="591"/>
      <c r="AR310" s="591"/>
      <c r="AS310" s="591"/>
      <c r="AT310" s="591"/>
      <c r="AU310" s="591"/>
      <c r="AV310" s="591"/>
      <c r="AW310" s="591"/>
      <c r="AX310" s="591"/>
      <c r="AY310" s="591"/>
      <c r="AZ310" s="591"/>
      <c r="BA310" s="591"/>
      <c r="BB310" s="591"/>
      <c r="BC310" s="591"/>
      <c r="BD310" s="591"/>
      <c r="BE310" s="591"/>
      <c r="BF310" s="591"/>
      <c r="BG310" s="591"/>
      <c r="BH310" s="591"/>
      <c r="BI310" s="591"/>
      <c r="BJ310" s="591"/>
      <c r="BK310" s="591"/>
      <c r="BL310" s="591"/>
      <c r="BM310" s="591"/>
      <c r="BN310" s="591"/>
      <c r="BO310" s="591"/>
      <c r="BP310" s="591"/>
      <c r="BQ310" s="591"/>
      <c r="BR310" s="591"/>
      <c r="BS310" s="591"/>
      <c r="BT310" s="591"/>
      <c r="BU310" s="591"/>
      <c r="BV310" s="591"/>
      <c r="BW310" s="591"/>
      <c r="BX310" s="591"/>
      <c r="BY310" s="591"/>
      <c r="BZ310" s="591"/>
      <c r="CA310" s="591"/>
      <c r="CB310" s="591"/>
      <c r="CC310" s="591"/>
      <c r="CD310" s="591"/>
      <c r="CE310" s="591"/>
      <c r="CF310" s="591"/>
    </row>
    <row r="311" spans="1:84">
      <c r="A311" s="591"/>
      <c r="B311" s="591"/>
      <c r="C311" s="591"/>
      <c r="D311" s="591"/>
      <c r="E311" s="591"/>
      <c r="F311" s="591"/>
      <c r="G311" s="591"/>
      <c r="H311" s="591"/>
      <c r="I311" s="591"/>
      <c r="J311" s="591"/>
      <c r="K311" s="591"/>
      <c r="L311" s="591"/>
      <c r="M311" s="591"/>
      <c r="N311" s="591"/>
      <c r="O311" s="591"/>
      <c r="P311" s="591"/>
      <c r="Q311" s="591"/>
      <c r="R311" s="591"/>
      <c r="S311" s="591"/>
      <c r="T311" s="591"/>
      <c r="U311" s="591"/>
      <c r="V311" s="591"/>
      <c r="W311" s="591"/>
      <c r="X311" s="591"/>
      <c r="Y311" s="591"/>
      <c r="Z311" s="591"/>
      <c r="AA311" s="591"/>
      <c r="AB311" s="591"/>
      <c r="AC311" s="591"/>
      <c r="AD311" s="591"/>
      <c r="AE311" s="591"/>
      <c r="AF311" s="591"/>
      <c r="AG311" s="591"/>
      <c r="AH311" s="591"/>
      <c r="AI311" s="591"/>
      <c r="AJ311" s="591"/>
      <c r="AK311" s="591"/>
      <c r="AL311" s="591"/>
      <c r="AM311" s="591"/>
      <c r="AN311" s="591"/>
      <c r="AO311" s="591"/>
      <c r="AP311" s="591"/>
      <c r="AQ311" s="591"/>
      <c r="AR311" s="591"/>
      <c r="AS311" s="591"/>
      <c r="AT311" s="591"/>
      <c r="AU311" s="591"/>
      <c r="AV311" s="591"/>
      <c r="AW311" s="591"/>
      <c r="AX311" s="591"/>
      <c r="AY311" s="591"/>
      <c r="AZ311" s="591"/>
      <c r="BA311" s="591"/>
      <c r="BB311" s="591"/>
      <c r="BC311" s="591"/>
      <c r="BD311" s="591"/>
      <c r="BE311" s="591"/>
      <c r="BF311" s="591"/>
      <c r="BG311" s="591"/>
      <c r="BH311" s="591"/>
      <c r="BI311" s="591"/>
      <c r="BJ311" s="591"/>
      <c r="BK311" s="591"/>
      <c r="BL311" s="591"/>
      <c r="BM311" s="591"/>
      <c r="BN311" s="591"/>
      <c r="BO311" s="591"/>
      <c r="BP311" s="591"/>
      <c r="BQ311" s="591"/>
      <c r="BR311" s="591"/>
      <c r="BS311" s="591"/>
      <c r="BT311" s="591"/>
      <c r="BU311" s="591"/>
      <c r="BV311" s="591"/>
      <c r="BW311" s="591"/>
      <c r="BX311" s="591"/>
      <c r="BY311" s="591"/>
      <c r="BZ311" s="591"/>
      <c r="CA311" s="591"/>
      <c r="CB311" s="591"/>
      <c r="CC311" s="591"/>
      <c r="CD311" s="591"/>
      <c r="CE311" s="591"/>
      <c r="CF311" s="591"/>
    </row>
    <row r="312" spans="1:84">
      <c r="A312" s="591"/>
      <c r="B312" s="591"/>
      <c r="C312" s="591"/>
      <c r="D312" s="591"/>
      <c r="E312" s="591"/>
      <c r="F312" s="591"/>
      <c r="G312" s="591"/>
      <c r="H312" s="591"/>
      <c r="I312" s="591"/>
      <c r="J312" s="591"/>
      <c r="K312" s="591"/>
      <c r="L312" s="591"/>
      <c r="M312" s="591"/>
      <c r="N312" s="591"/>
      <c r="O312" s="591"/>
      <c r="P312" s="591"/>
      <c r="Q312" s="591"/>
      <c r="R312" s="591"/>
      <c r="S312" s="591"/>
      <c r="T312" s="591"/>
      <c r="U312" s="591"/>
      <c r="V312" s="591"/>
      <c r="W312" s="591"/>
      <c r="X312" s="591"/>
      <c r="Y312" s="591"/>
      <c r="Z312" s="591"/>
      <c r="AA312" s="591"/>
      <c r="AB312" s="591"/>
      <c r="AC312" s="591"/>
      <c r="AD312" s="591"/>
      <c r="AE312" s="591"/>
      <c r="AF312" s="591"/>
      <c r="AG312" s="591"/>
      <c r="AH312" s="591"/>
      <c r="AI312" s="591"/>
      <c r="AJ312" s="591"/>
      <c r="AK312" s="591"/>
      <c r="AL312" s="591"/>
      <c r="AM312" s="591"/>
      <c r="AN312" s="591"/>
      <c r="AO312" s="591"/>
      <c r="AP312" s="591"/>
      <c r="AQ312" s="591"/>
      <c r="AR312" s="591"/>
      <c r="AS312" s="591"/>
      <c r="AT312" s="591"/>
      <c r="AU312" s="591"/>
      <c r="AV312" s="591"/>
      <c r="AW312" s="591"/>
      <c r="AX312" s="591"/>
      <c r="AY312" s="591"/>
      <c r="AZ312" s="591"/>
      <c r="BA312" s="591"/>
      <c r="BB312" s="591"/>
      <c r="BC312" s="591"/>
      <c r="BD312" s="591"/>
      <c r="BE312" s="591"/>
      <c r="BF312" s="591"/>
      <c r="BG312" s="591"/>
      <c r="BH312" s="591"/>
      <c r="BI312" s="591"/>
      <c r="BJ312" s="591"/>
      <c r="BK312" s="591"/>
      <c r="BL312" s="591"/>
      <c r="BM312" s="591"/>
      <c r="BN312" s="591"/>
      <c r="BO312" s="591"/>
      <c r="BP312" s="591"/>
      <c r="BQ312" s="591"/>
      <c r="BR312" s="591"/>
      <c r="BS312" s="591"/>
      <c r="BT312" s="591"/>
      <c r="BU312" s="591"/>
      <c r="BV312" s="591"/>
      <c r="BW312" s="591"/>
      <c r="BX312" s="591"/>
      <c r="BY312" s="591"/>
      <c r="BZ312" s="591"/>
      <c r="CA312" s="591"/>
      <c r="CB312" s="591"/>
      <c r="CC312" s="591"/>
      <c r="CD312" s="591"/>
      <c r="CE312" s="591"/>
      <c r="CF312" s="591"/>
    </row>
    <row r="313" spans="1:84">
      <c r="A313" s="591"/>
      <c r="B313" s="591"/>
      <c r="C313" s="591"/>
      <c r="D313" s="591"/>
      <c r="E313" s="591"/>
      <c r="F313" s="591"/>
      <c r="G313" s="591"/>
      <c r="H313" s="591"/>
      <c r="I313" s="591"/>
      <c r="J313" s="591"/>
      <c r="K313" s="591"/>
      <c r="L313" s="591"/>
      <c r="M313" s="591"/>
      <c r="N313" s="591"/>
      <c r="O313" s="591"/>
      <c r="P313" s="591"/>
      <c r="Q313" s="591"/>
      <c r="R313" s="591"/>
      <c r="S313" s="591"/>
      <c r="T313" s="591"/>
      <c r="U313" s="591"/>
      <c r="V313" s="591"/>
      <c r="W313" s="591"/>
      <c r="X313" s="591"/>
      <c r="Y313" s="591"/>
      <c r="Z313" s="591"/>
      <c r="AA313" s="591"/>
      <c r="AB313" s="591"/>
      <c r="AC313" s="591"/>
      <c r="AD313" s="591"/>
      <c r="AE313" s="591"/>
      <c r="AF313" s="591"/>
      <c r="AG313" s="591"/>
      <c r="AH313" s="591"/>
      <c r="AI313" s="591"/>
      <c r="AJ313" s="591"/>
      <c r="AK313" s="591"/>
      <c r="AL313" s="591"/>
      <c r="AM313" s="591"/>
      <c r="AN313" s="591"/>
      <c r="AO313" s="591"/>
      <c r="AP313" s="591"/>
      <c r="AQ313" s="591"/>
      <c r="AR313" s="591"/>
      <c r="AS313" s="591"/>
      <c r="AT313" s="591"/>
      <c r="AU313" s="591"/>
      <c r="AV313" s="591"/>
      <c r="AW313" s="591"/>
      <c r="AX313" s="591"/>
      <c r="AY313" s="591"/>
      <c r="AZ313" s="591"/>
      <c r="BA313" s="591"/>
      <c r="BB313" s="591"/>
      <c r="BC313" s="591"/>
      <c r="BD313" s="591"/>
      <c r="BE313" s="591"/>
      <c r="BF313" s="591"/>
      <c r="BG313" s="591"/>
      <c r="BH313" s="591"/>
      <c r="BI313" s="591"/>
      <c r="BJ313" s="591"/>
      <c r="BK313" s="591"/>
      <c r="BL313" s="591"/>
      <c r="BM313" s="591"/>
      <c r="BN313" s="591"/>
      <c r="BO313" s="591"/>
      <c r="BP313" s="591"/>
      <c r="BQ313" s="591"/>
      <c r="BR313" s="591"/>
      <c r="BS313" s="591"/>
      <c r="BT313" s="591"/>
      <c r="BU313" s="591"/>
      <c r="BV313" s="591"/>
      <c r="BW313" s="591"/>
      <c r="BX313" s="591"/>
      <c r="BY313" s="591"/>
      <c r="BZ313" s="591"/>
      <c r="CA313" s="591"/>
      <c r="CB313" s="591"/>
      <c r="CC313" s="591"/>
      <c r="CD313" s="591"/>
      <c r="CE313" s="591"/>
      <c r="CF313" s="591"/>
    </row>
    <row r="314" spans="1:84">
      <c r="A314" s="591"/>
      <c r="B314" s="591"/>
      <c r="C314" s="591"/>
      <c r="D314" s="591"/>
      <c r="E314" s="591"/>
      <c r="F314" s="591"/>
      <c r="G314" s="591"/>
      <c r="H314" s="591"/>
      <c r="I314" s="591"/>
      <c r="J314" s="591"/>
      <c r="K314" s="591"/>
      <c r="L314" s="591"/>
      <c r="M314" s="591"/>
      <c r="N314" s="591"/>
      <c r="O314" s="591"/>
      <c r="P314" s="591"/>
      <c r="Q314" s="591"/>
      <c r="R314" s="591"/>
      <c r="S314" s="591"/>
      <c r="T314" s="591"/>
      <c r="U314" s="591"/>
      <c r="V314" s="591"/>
      <c r="W314" s="591"/>
      <c r="X314" s="591"/>
      <c r="Y314" s="591"/>
      <c r="Z314" s="591"/>
      <c r="AA314" s="591"/>
      <c r="AB314" s="591"/>
      <c r="AC314" s="591"/>
      <c r="AD314" s="591"/>
      <c r="AE314" s="591"/>
      <c r="AF314" s="591"/>
      <c r="AG314" s="591"/>
      <c r="AH314" s="591"/>
      <c r="AI314" s="591"/>
      <c r="AJ314" s="591"/>
      <c r="AK314" s="591"/>
      <c r="AL314" s="591"/>
      <c r="AM314" s="591"/>
      <c r="AN314" s="591"/>
      <c r="AO314" s="591"/>
      <c r="AP314" s="591"/>
      <c r="AQ314" s="591"/>
      <c r="AR314" s="591"/>
      <c r="AS314" s="591"/>
      <c r="AT314" s="591"/>
      <c r="AU314" s="591"/>
      <c r="AV314" s="591"/>
      <c r="AW314" s="591"/>
      <c r="AX314" s="591"/>
      <c r="AY314" s="591"/>
      <c r="AZ314" s="591"/>
      <c r="BA314" s="591"/>
      <c r="BB314" s="591"/>
      <c r="BC314" s="591"/>
      <c r="BD314" s="591"/>
      <c r="BE314" s="591"/>
      <c r="BF314" s="591"/>
      <c r="BG314" s="591"/>
      <c r="BH314" s="591"/>
      <c r="BI314" s="591"/>
      <c r="BJ314" s="591"/>
      <c r="BK314" s="591"/>
      <c r="BL314" s="591"/>
      <c r="BM314" s="591"/>
      <c r="BN314" s="591"/>
      <c r="BO314" s="591"/>
      <c r="BP314" s="591"/>
      <c r="BQ314" s="591"/>
      <c r="BR314" s="591"/>
      <c r="BS314" s="591"/>
      <c r="BT314" s="591"/>
      <c r="BU314" s="591"/>
      <c r="BV314" s="591"/>
      <c r="BW314" s="591"/>
      <c r="BX314" s="591"/>
      <c r="BY314" s="591"/>
      <c r="BZ314" s="591"/>
      <c r="CA314" s="591"/>
      <c r="CB314" s="591"/>
      <c r="CC314" s="591"/>
      <c r="CD314" s="591"/>
      <c r="CE314" s="591"/>
      <c r="CF314" s="591"/>
    </row>
    <row r="315" spans="1:84">
      <c r="A315" s="591"/>
      <c r="B315" s="591"/>
      <c r="C315" s="591"/>
      <c r="D315" s="591"/>
      <c r="E315" s="591"/>
      <c r="F315" s="591"/>
      <c r="G315" s="591"/>
      <c r="H315" s="591"/>
      <c r="I315" s="591"/>
      <c r="J315" s="591"/>
      <c r="K315" s="591"/>
      <c r="L315" s="591"/>
      <c r="M315" s="591"/>
      <c r="N315" s="591"/>
      <c r="O315" s="591"/>
      <c r="P315" s="591"/>
      <c r="Q315" s="591"/>
      <c r="R315" s="591"/>
      <c r="S315" s="591"/>
      <c r="T315" s="591"/>
      <c r="U315" s="591"/>
      <c r="V315" s="591"/>
      <c r="W315" s="591"/>
      <c r="X315" s="591"/>
      <c r="Y315" s="591"/>
      <c r="Z315" s="591"/>
      <c r="AA315" s="591"/>
      <c r="AB315" s="591"/>
      <c r="AC315" s="591"/>
      <c r="AD315" s="591"/>
      <c r="AE315" s="591"/>
      <c r="AF315" s="591"/>
      <c r="AG315" s="591"/>
      <c r="AH315" s="591"/>
      <c r="AI315" s="591"/>
      <c r="AJ315" s="591"/>
      <c r="AK315" s="591"/>
      <c r="AL315" s="591"/>
      <c r="AM315" s="591"/>
      <c r="AN315" s="591"/>
      <c r="AO315" s="591"/>
      <c r="AP315" s="591"/>
      <c r="AQ315" s="591"/>
      <c r="AR315" s="591"/>
      <c r="AS315" s="591"/>
      <c r="AT315" s="591"/>
      <c r="AU315" s="591"/>
      <c r="AV315" s="591"/>
      <c r="AW315" s="591"/>
      <c r="AX315" s="591"/>
      <c r="AY315" s="591"/>
      <c r="AZ315" s="591"/>
      <c r="BA315" s="591"/>
      <c r="BB315" s="591"/>
      <c r="BC315" s="591"/>
      <c r="BD315" s="591"/>
      <c r="BE315" s="591"/>
      <c r="BF315" s="591"/>
      <c r="BG315" s="591"/>
      <c r="BH315" s="591"/>
      <c r="BI315" s="591"/>
      <c r="BJ315" s="591"/>
      <c r="BK315" s="591"/>
      <c r="BL315" s="591"/>
      <c r="BM315" s="591"/>
      <c r="BN315" s="591"/>
      <c r="BO315" s="591"/>
      <c r="BP315" s="591"/>
      <c r="BQ315" s="591"/>
      <c r="BR315" s="591"/>
      <c r="BS315" s="591"/>
      <c r="BT315" s="591"/>
      <c r="BU315" s="591"/>
      <c r="BV315" s="591"/>
      <c r="BW315" s="591"/>
      <c r="BX315" s="591"/>
      <c r="BY315" s="591"/>
      <c r="BZ315" s="591"/>
      <c r="CA315" s="591"/>
      <c r="CB315" s="591"/>
      <c r="CC315" s="591"/>
      <c r="CD315" s="591"/>
      <c r="CE315" s="591"/>
      <c r="CF315" s="591"/>
    </row>
    <row r="316" spans="1:84">
      <c r="A316" s="591"/>
      <c r="B316" s="591"/>
      <c r="C316" s="591"/>
      <c r="D316" s="591"/>
      <c r="E316" s="591"/>
      <c r="F316" s="591"/>
      <c r="G316" s="591"/>
      <c r="H316" s="591"/>
      <c r="I316" s="591"/>
      <c r="J316" s="591"/>
      <c r="K316" s="591"/>
      <c r="L316" s="591"/>
      <c r="M316" s="591"/>
      <c r="N316" s="591"/>
      <c r="O316" s="591"/>
      <c r="P316" s="591"/>
      <c r="Q316" s="591"/>
      <c r="R316" s="591"/>
      <c r="S316" s="591"/>
      <c r="T316" s="591"/>
      <c r="U316" s="591"/>
      <c r="V316" s="591"/>
      <c r="W316" s="591"/>
      <c r="X316" s="591"/>
      <c r="Y316" s="591"/>
      <c r="Z316" s="591"/>
      <c r="AA316" s="591"/>
      <c r="AB316" s="591"/>
      <c r="AC316" s="591"/>
      <c r="AD316" s="591"/>
      <c r="AE316" s="591"/>
      <c r="AF316" s="591"/>
      <c r="AG316" s="591"/>
      <c r="AH316" s="591"/>
      <c r="AI316" s="591"/>
      <c r="AJ316" s="591"/>
      <c r="AK316" s="591"/>
      <c r="AL316" s="591"/>
      <c r="AM316" s="591"/>
      <c r="AN316" s="591"/>
      <c r="AO316" s="591"/>
      <c r="AP316" s="591"/>
      <c r="AQ316" s="591"/>
      <c r="AR316" s="591"/>
      <c r="AS316" s="591"/>
      <c r="AT316" s="591"/>
      <c r="AU316" s="591"/>
      <c r="AV316" s="591"/>
      <c r="AW316" s="591"/>
      <c r="AX316" s="591"/>
      <c r="AY316" s="591"/>
      <c r="AZ316" s="591"/>
      <c r="BA316" s="591"/>
      <c r="BB316" s="591"/>
      <c r="BC316" s="591"/>
      <c r="BD316" s="591"/>
      <c r="BE316" s="591"/>
      <c r="BF316" s="591"/>
      <c r="BG316" s="591"/>
      <c r="BH316" s="591"/>
      <c r="BI316" s="591"/>
      <c r="BJ316" s="591"/>
      <c r="BK316" s="591"/>
      <c r="BL316" s="591"/>
      <c r="BM316" s="591"/>
      <c r="BN316" s="591"/>
      <c r="BO316" s="591"/>
      <c r="BP316" s="591"/>
      <c r="BQ316" s="591"/>
      <c r="BR316" s="591"/>
      <c r="BS316" s="591"/>
      <c r="BT316" s="591"/>
      <c r="BU316" s="591"/>
      <c r="BV316" s="591"/>
      <c r="BW316" s="591"/>
      <c r="BX316" s="591"/>
      <c r="BY316" s="591"/>
      <c r="BZ316" s="591"/>
      <c r="CA316" s="591"/>
      <c r="CB316" s="591"/>
      <c r="CC316" s="591"/>
      <c r="CD316" s="591"/>
      <c r="CE316" s="591"/>
      <c r="CF316" s="591"/>
    </row>
    <row r="317" spans="1:84">
      <c r="A317" s="591"/>
      <c r="B317" s="591"/>
      <c r="C317" s="591"/>
      <c r="D317" s="591"/>
      <c r="E317" s="591"/>
      <c r="F317" s="591"/>
      <c r="G317" s="591"/>
      <c r="H317" s="591"/>
      <c r="I317" s="591"/>
      <c r="J317" s="591"/>
      <c r="K317" s="591"/>
      <c r="L317" s="591"/>
      <c r="M317" s="591"/>
      <c r="N317" s="591"/>
      <c r="O317" s="591"/>
      <c r="P317" s="591"/>
      <c r="Q317" s="591"/>
      <c r="R317" s="591"/>
      <c r="S317" s="591"/>
      <c r="T317" s="591"/>
      <c r="U317" s="591"/>
      <c r="V317" s="591"/>
      <c r="W317" s="591"/>
      <c r="X317" s="591"/>
      <c r="Y317" s="591"/>
      <c r="Z317" s="591"/>
      <c r="AA317" s="591"/>
      <c r="AB317" s="591"/>
      <c r="AC317" s="591"/>
      <c r="AD317" s="591"/>
      <c r="AE317" s="591"/>
      <c r="AF317" s="591"/>
      <c r="AG317" s="591"/>
      <c r="AH317" s="591"/>
      <c r="AI317" s="591"/>
      <c r="AJ317" s="591"/>
      <c r="AK317" s="591"/>
      <c r="AL317" s="591"/>
      <c r="AM317" s="591"/>
      <c r="AN317" s="591"/>
      <c r="AO317" s="591"/>
      <c r="AP317" s="591"/>
      <c r="AQ317" s="591"/>
      <c r="AR317" s="591"/>
      <c r="AS317" s="591"/>
      <c r="AT317" s="591"/>
      <c r="AU317" s="591"/>
      <c r="AV317" s="591"/>
      <c r="AW317" s="591"/>
      <c r="AX317" s="591"/>
      <c r="AY317" s="591"/>
      <c r="AZ317" s="591"/>
      <c r="BA317" s="591"/>
      <c r="BB317" s="591"/>
      <c r="BC317" s="591"/>
      <c r="BD317" s="591"/>
      <c r="BE317" s="591"/>
      <c r="BF317" s="591"/>
      <c r="BG317" s="591"/>
      <c r="BH317" s="591"/>
      <c r="BI317" s="591"/>
      <c r="BJ317" s="591"/>
      <c r="BK317" s="591"/>
      <c r="BL317" s="591"/>
      <c r="BM317" s="591"/>
      <c r="BN317" s="591"/>
      <c r="BO317" s="591"/>
      <c r="BP317" s="591"/>
      <c r="BQ317" s="591"/>
      <c r="BR317" s="591"/>
      <c r="BS317" s="591"/>
      <c r="BT317" s="591"/>
      <c r="BU317" s="591"/>
      <c r="BV317" s="591"/>
      <c r="BW317" s="591"/>
      <c r="BX317" s="591"/>
      <c r="BY317" s="591"/>
      <c r="BZ317" s="591"/>
      <c r="CA317" s="591"/>
      <c r="CB317" s="591"/>
      <c r="CC317" s="591"/>
      <c r="CD317" s="591"/>
      <c r="CE317" s="591"/>
      <c r="CF317" s="591"/>
    </row>
    <row r="318" spans="1:84">
      <c r="A318" s="591"/>
      <c r="B318" s="591"/>
      <c r="C318" s="591"/>
      <c r="D318" s="591"/>
      <c r="E318" s="591"/>
      <c r="F318" s="591"/>
      <c r="G318" s="591"/>
      <c r="H318" s="591"/>
      <c r="I318" s="591"/>
      <c r="J318" s="591"/>
      <c r="K318" s="591"/>
      <c r="L318" s="591"/>
      <c r="M318" s="591"/>
      <c r="N318" s="591"/>
      <c r="O318" s="591"/>
      <c r="P318" s="591"/>
      <c r="Q318" s="591"/>
      <c r="R318" s="591"/>
      <c r="S318" s="591"/>
      <c r="T318" s="591"/>
      <c r="U318" s="591"/>
      <c r="V318" s="591"/>
      <c r="W318" s="591"/>
      <c r="X318" s="591"/>
      <c r="Y318" s="591"/>
      <c r="Z318" s="591"/>
      <c r="AA318" s="591"/>
      <c r="AB318" s="591"/>
      <c r="AC318" s="591"/>
      <c r="AD318" s="591"/>
      <c r="AE318" s="591"/>
      <c r="AF318" s="591"/>
      <c r="AG318" s="591"/>
      <c r="AH318" s="591"/>
      <c r="AI318" s="591"/>
      <c r="AJ318" s="591"/>
      <c r="AK318" s="591"/>
      <c r="AL318" s="591"/>
      <c r="AM318" s="591"/>
      <c r="AN318" s="591"/>
      <c r="AO318" s="591"/>
      <c r="AP318" s="591"/>
      <c r="AQ318" s="591"/>
      <c r="AR318" s="591"/>
      <c r="AS318" s="591"/>
      <c r="AT318" s="591"/>
      <c r="AU318" s="591"/>
      <c r="AV318" s="591"/>
      <c r="AW318" s="591"/>
      <c r="AX318" s="591"/>
      <c r="AY318" s="591"/>
      <c r="AZ318" s="591"/>
      <c r="BA318" s="591"/>
      <c r="BB318" s="591"/>
      <c r="BC318" s="591"/>
      <c r="BD318" s="591"/>
      <c r="BE318" s="591"/>
      <c r="BF318" s="591"/>
      <c r="BG318" s="591"/>
      <c r="BH318" s="591"/>
      <c r="BI318" s="591"/>
      <c r="BJ318" s="591"/>
      <c r="BK318" s="591"/>
      <c r="BL318" s="591"/>
      <c r="BM318" s="591"/>
      <c r="BN318" s="591"/>
      <c r="BO318" s="591"/>
      <c r="BP318" s="591"/>
      <c r="BQ318" s="591"/>
      <c r="BR318" s="591"/>
      <c r="BS318" s="591"/>
      <c r="BT318" s="591"/>
      <c r="BU318" s="591"/>
      <c r="BV318" s="591"/>
      <c r="BW318" s="591"/>
      <c r="BX318" s="591"/>
      <c r="BY318" s="591"/>
      <c r="BZ318" s="591"/>
      <c r="CA318" s="591"/>
      <c r="CB318" s="591"/>
      <c r="CC318" s="591"/>
      <c r="CD318" s="591"/>
      <c r="CE318" s="591"/>
      <c r="CF318" s="591"/>
    </row>
    <row r="319" spans="1:84">
      <c r="A319" s="591"/>
      <c r="B319" s="591"/>
      <c r="C319" s="591"/>
      <c r="D319" s="591"/>
      <c r="E319" s="591"/>
      <c r="F319" s="591"/>
      <c r="G319" s="591"/>
      <c r="H319" s="591"/>
      <c r="I319" s="591"/>
      <c r="J319" s="591"/>
      <c r="K319" s="591"/>
      <c r="L319" s="591"/>
      <c r="M319" s="591"/>
      <c r="N319" s="591"/>
      <c r="O319" s="591"/>
      <c r="P319" s="591"/>
      <c r="Q319" s="591"/>
      <c r="R319" s="591"/>
      <c r="S319" s="591"/>
      <c r="T319" s="591"/>
      <c r="U319" s="591"/>
      <c r="V319" s="591"/>
      <c r="W319" s="591"/>
      <c r="X319" s="591"/>
      <c r="Y319" s="591"/>
      <c r="Z319" s="591"/>
      <c r="AA319" s="591"/>
      <c r="AB319" s="591"/>
      <c r="AC319" s="591"/>
      <c r="AD319" s="591"/>
      <c r="AE319" s="591"/>
      <c r="AF319" s="591"/>
      <c r="AG319" s="591"/>
      <c r="AH319" s="591"/>
      <c r="AI319" s="591"/>
      <c r="AJ319" s="591"/>
      <c r="AK319" s="591"/>
      <c r="AL319" s="591"/>
      <c r="AM319" s="591"/>
      <c r="AN319" s="591"/>
      <c r="AO319" s="591"/>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1"/>
      <c r="BM319" s="591"/>
      <c r="BN319" s="591"/>
      <c r="BO319" s="591"/>
      <c r="BP319" s="591"/>
      <c r="BQ319" s="591"/>
      <c r="BR319" s="591"/>
      <c r="BS319" s="591"/>
      <c r="BT319" s="591"/>
      <c r="BU319" s="591"/>
      <c r="BV319" s="591"/>
      <c r="BW319" s="591"/>
      <c r="BX319" s="591"/>
      <c r="BY319" s="591"/>
      <c r="BZ319" s="591"/>
      <c r="CA319" s="591"/>
      <c r="CB319" s="591"/>
      <c r="CC319" s="591"/>
      <c r="CD319" s="591"/>
      <c r="CE319" s="591"/>
      <c r="CF319" s="591"/>
    </row>
    <row r="320" spans="1:84">
      <c r="A320" s="591"/>
      <c r="B320" s="591"/>
      <c r="C320" s="591"/>
      <c r="D320" s="591"/>
      <c r="E320" s="591"/>
      <c r="F320" s="591"/>
      <c r="G320" s="591"/>
      <c r="H320" s="591"/>
      <c r="I320" s="591"/>
      <c r="J320" s="591"/>
      <c r="K320" s="591"/>
      <c r="L320" s="591"/>
      <c r="M320" s="591"/>
      <c r="N320" s="591"/>
      <c r="O320" s="591"/>
      <c r="P320" s="591"/>
      <c r="Q320" s="591"/>
      <c r="R320" s="591"/>
      <c r="S320" s="591"/>
      <c r="T320" s="591"/>
      <c r="U320" s="591"/>
      <c r="V320" s="591"/>
      <c r="W320" s="591"/>
      <c r="X320" s="591"/>
      <c r="Y320" s="591"/>
      <c r="Z320" s="591"/>
      <c r="AA320" s="591"/>
      <c r="AB320" s="591"/>
      <c r="AC320" s="591"/>
      <c r="AD320" s="591"/>
      <c r="AE320" s="591"/>
      <c r="AF320" s="591"/>
      <c r="AG320" s="591"/>
      <c r="AH320" s="591"/>
      <c r="AI320" s="591"/>
      <c r="AJ320" s="591"/>
      <c r="AK320" s="591"/>
      <c r="AL320" s="591"/>
      <c r="AM320" s="591"/>
      <c r="AN320" s="591"/>
      <c r="AO320" s="591"/>
      <c r="AP320" s="591"/>
      <c r="AQ320" s="591"/>
      <c r="AR320" s="591"/>
      <c r="AS320" s="591"/>
      <c r="AT320" s="591"/>
      <c r="AU320" s="591"/>
      <c r="AV320" s="591"/>
      <c r="AW320" s="591"/>
      <c r="AX320" s="591"/>
      <c r="AY320" s="591"/>
      <c r="AZ320" s="591"/>
      <c r="BA320" s="591"/>
      <c r="BB320" s="591"/>
      <c r="BC320" s="591"/>
      <c r="BD320" s="591"/>
      <c r="BE320" s="591"/>
      <c r="BF320" s="591"/>
      <c r="BG320" s="591"/>
      <c r="BH320" s="591"/>
      <c r="BI320" s="591"/>
      <c r="BJ320" s="591"/>
      <c r="BK320" s="591"/>
      <c r="BL320" s="591"/>
      <c r="BM320" s="591"/>
      <c r="BN320" s="591"/>
      <c r="BO320" s="591"/>
      <c r="BP320" s="591"/>
      <c r="BQ320" s="591"/>
      <c r="BR320" s="591"/>
      <c r="BS320" s="591"/>
      <c r="BT320" s="591"/>
      <c r="BU320" s="591"/>
      <c r="BV320" s="591"/>
      <c r="BW320" s="591"/>
      <c r="BX320" s="591"/>
      <c r="BY320" s="591"/>
      <c r="BZ320" s="591"/>
      <c r="CA320" s="591"/>
      <c r="CB320" s="591"/>
      <c r="CC320" s="591"/>
      <c r="CD320" s="591"/>
      <c r="CE320" s="591"/>
      <c r="CF320" s="591"/>
    </row>
    <row r="321" spans="1:84">
      <c r="A321" s="591"/>
      <c r="B321" s="591"/>
      <c r="C321" s="591"/>
      <c r="D321" s="591"/>
      <c r="E321" s="591"/>
      <c r="F321" s="591"/>
      <c r="G321" s="591"/>
      <c r="H321" s="591"/>
      <c r="I321" s="591"/>
      <c r="J321" s="591"/>
      <c r="K321" s="591"/>
      <c r="L321" s="591"/>
      <c r="M321" s="591"/>
      <c r="N321" s="591"/>
      <c r="O321" s="591"/>
      <c r="P321" s="591"/>
      <c r="Q321" s="591"/>
      <c r="R321" s="591"/>
      <c r="S321" s="591"/>
      <c r="T321" s="591"/>
      <c r="U321" s="591"/>
      <c r="V321" s="591"/>
      <c r="W321" s="591"/>
      <c r="X321" s="591"/>
      <c r="Y321" s="591"/>
      <c r="Z321" s="591"/>
      <c r="AA321" s="591"/>
      <c r="AB321" s="591"/>
      <c r="AC321" s="591"/>
      <c r="AD321" s="591"/>
      <c r="AE321" s="591"/>
      <c r="AF321" s="591"/>
      <c r="AG321" s="591"/>
      <c r="AH321" s="591"/>
      <c r="AI321" s="591"/>
      <c r="AJ321" s="591"/>
      <c r="AK321" s="591"/>
      <c r="AL321" s="591"/>
      <c r="AM321" s="591"/>
      <c r="AN321" s="591"/>
      <c r="AO321" s="591"/>
      <c r="AP321" s="591"/>
      <c r="AQ321" s="591"/>
      <c r="AR321" s="591"/>
      <c r="AS321" s="591"/>
      <c r="AT321" s="591"/>
      <c r="AU321" s="591"/>
      <c r="AV321" s="591"/>
      <c r="AW321" s="591"/>
      <c r="AX321" s="591"/>
      <c r="AY321" s="591"/>
      <c r="AZ321" s="591"/>
      <c r="BA321" s="591"/>
      <c r="BB321" s="591"/>
      <c r="BC321" s="591"/>
      <c r="BD321" s="591"/>
      <c r="BE321" s="591"/>
      <c r="BF321" s="591"/>
      <c r="BG321" s="591"/>
      <c r="BH321" s="591"/>
      <c r="BI321" s="591"/>
      <c r="BJ321" s="591"/>
      <c r="BK321" s="591"/>
      <c r="BL321" s="591"/>
      <c r="BM321" s="591"/>
      <c r="BN321" s="591"/>
      <c r="BO321" s="591"/>
      <c r="BP321" s="591"/>
      <c r="BQ321" s="591"/>
      <c r="BR321" s="591"/>
      <c r="BS321" s="591"/>
      <c r="BT321" s="591"/>
      <c r="BU321" s="591"/>
      <c r="BV321" s="591"/>
      <c r="BW321" s="591"/>
      <c r="BX321" s="591"/>
      <c r="BY321" s="591"/>
      <c r="BZ321" s="591"/>
      <c r="CA321" s="591"/>
      <c r="CB321" s="591"/>
      <c r="CC321" s="591"/>
      <c r="CD321" s="591"/>
      <c r="CE321" s="591"/>
      <c r="CF321" s="591"/>
    </row>
    <row r="322" spans="1:84">
      <c r="A322" s="591"/>
      <c r="B322" s="591"/>
      <c r="C322" s="591"/>
      <c r="D322" s="591"/>
      <c r="E322" s="591"/>
      <c r="F322" s="591"/>
      <c r="G322" s="591"/>
      <c r="H322" s="591"/>
      <c r="I322" s="591"/>
      <c r="J322" s="591"/>
      <c r="K322" s="591"/>
      <c r="L322" s="591"/>
      <c r="M322" s="591"/>
      <c r="N322" s="591"/>
      <c r="O322" s="591"/>
      <c r="P322" s="591"/>
      <c r="Q322" s="591"/>
      <c r="R322" s="591"/>
      <c r="S322" s="591"/>
      <c r="T322" s="591"/>
      <c r="U322" s="591"/>
      <c r="V322" s="591"/>
      <c r="W322" s="591"/>
      <c r="X322" s="591"/>
      <c r="Y322" s="591"/>
      <c r="Z322" s="591"/>
      <c r="AA322" s="591"/>
      <c r="AB322" s="591"/>
      <c r="AC322" s="591"/>
      <c r="AD322" s="591"/>
      <c r="AE322" s="591"/>
      <c r="AF322" s="591"/>
      <c r="AG322" s="591"/>
      <c r="AH322" s="591"/>
      <c r="AI322" s="591"/>
      <c r="AJ322" s="591"/>
      <c r="AK322" s="591"/>
      <c r="AL322" s="591"/>
      <c r="AM322" s="591"/>
      <c r="AN322" s="591"/>
      <c r="AO322" s="591"/>
      <c r="AP322" s="591"/>
      <c r="AQ322" s="591"/>
      <c r="AR322" s="591"/>
      <c r="AS322" s="591"/>
      <c r="AT322" s="591"/>
      <c r="AU322" s="591"/>
      <c r="AV322" s="591"/>
      <c r="AW322" s="591"/>
      <c r="AX322" s="591"/>
      <c r="AY322" s="591"/>
      <c r="AZ322" s="591"/>
      <c r="BA322" s="591"/>
      <c r="BB322" s="591"/>
      <c r="BC322" s="591"/>
      <c r="BD322" s="591"/>
      <c r="BE322" s="591"/>
      <c r="BF322" s="591"/>
      <c r="BG322" s="591"/>
      <c r="BH322" s="591"/>
      <c r="BI322" s="591"/>
      <c r="BJ322" s="591"/>
      <c r="BK322" s="591"/>
      <c r="BL322" s="591"/>
      <c r="BM322" s="591"/>
      <c r="BN322" s="591"/>
      <c r="BO322" s="591"/>
      <c r="BP322" s="591"/>
      <c r="BQ322" s="591"/>
      <c r="BR322" s="591"/>
      <c r="BS322" s="591"/>
      <c r="BT322" s="591"/>
      <c r="BU322" s="591"/>
      <c r="BV322" s="591"/>
      <c r="BW322" s="591"/>
      <c r="BX322" s="591"/>
      <c r="BY322" s="591"/>
      <c r="BZ322" s="591"/>
      <c r="CA322" s="591"/>
      <c r="CB322" s="591"/>
      <c r="CC322" s="591"/>
      <c r="CD322" s="591"/>
      <c r="CE322" s="591"/>
      <c r="CF322" s="591"/>
    </row>
    <row r="323" spans="1:84">
      <c r="A323" s="591"/>
      <c r="B323" s="591"/>
      <c r="C323" s="591"/>
      <c r="D323" s="591"/>
      <c r="E323" s="591"/>
      <c r="F323" s="591"/>
      <c r="G323" s="591"/>
      <c r="H323" s="591"/>
      <c r="I323" s="591"/>
      <c r="J323" s="591"/>
      <c r="K323" s="591"/>
      <c r="L323" s="591"/>
      <c r="M323" s="591"/>
      <c r="N323" s="591"/>
      <c r="O323" s="591"/>
      <c r="P323" s="591"/>
      <c r="Q323" s="591"/>
      <c r="R323" s="591"/>
      <c r="S323" s="591"/>
      <c r="T323" s="591"/>
      <c r="U323" s="591"/>
      <c r="V323" s="591"/>
      <c r="W323" s="591"/>
      <c r="X323" s="591"/>
      <c r="Y323" s="591"/>
      <c r="Z323" s="591"/>
      <c r="AA323" s="591"/>
      <c r="AB323" s="591"/>
      <c r="AC323" s="591"/>
      <c r="AD323" s="591"/>
      <c r="AE323" s="591"/>
      <c r="AF323" s="591"/>
      <c r="AG323" s="591"/>
      <c r="AH323" s="591"/>
      <c r="AI323" s="591"/>
      <c r="AJ323" s="591"/>
      <c r="AK323" s="591"/>
      <c r="AL323" s="591"/>
      <c r="AM323" s="591"/>
      <c r="AN323" s="591"/>
      <c r="AO323" s="591"/>
      <c r="AP323" s="591"/>
      <c r="AQ323" s="591"/>
      <c r="AR323" s="591"/>
      <c r="AS323" s="591"/>
      <c r="AT323" s="591"/>
      <c r="AU323" s="591"/>
      <c r="AV323" s="591"/>
      <c r="AW323" s="591"/>
      <c r="AX323" s="591"/>
      <c r="AY323" s="591"/>
      <c r="AZ323" s="591"/>
      <c r="BA323" s="591"/>
      <c r="BB323" s="591"/>
      <c r="BC323" s="591"/>
      <c r="BD323" s="591"/>
      <c r="BE323" s="591"/>
      <c r="BF323" s="591"/>
      <c r="BG323" s="591"/>
      <c r="BH323" s="591"/>
      <c r="BI323" s="591"/>
      <c r="BJ323" s="591"/>
      <c r="BK323" s="591"/>
      <c r="BL323" s="591"/>
      <c r="BM323" s="591"/>
      <c r="BN323" s="591"/>
      <c r="BO323" s="591"/>
      <c r="BP323" s="591"/>
      <c r="BQ323" s="591"/>
      <c r="BR323" s="591"/>
      <c r="BS323" s="591"/>
      <c r="BT323" s="591"/>
      <c r="BU323" s="591"/>
      <c r="BV323" s="591"/>
      <c r="BW323" s="591"/>
      <c r="BX323" s="591"/>
      <c r="BY323" s="591"/>
      <c r="BZ323" s="591"/>
      <c r="CA323" s="591"/>
      <c r="CB323" s="591"/>
      <c r="CC323" s="591"/>
      <c r="CD323" s="591"/>
      <c r="CE323" s="591"/>
      <c r="CF323" s="591"/>
    </row>
    <row r="324" spans="1:84">
      <c r="A324" s="591"/>
      <c r="B324" s="591"/>
      <c r="C324" s="591"/>
      <c r="D324" s="591"/>
      <c r="E324" s="591"/>
      <c r="F324" s="591"/>
      <c r="G324" s="591"/>
      <c r="H324" s="591"/>
      <c r="I324" s="591"/>
      <c r="J324" s="591"/>
      <c r="K324" s="591"/>
      <c r="L324" s="591"/>
      <c r="M324" s="591"/>
      <c r="N324" s="591"/>
      <c r="O324" s="591"/>
      <c r="P324" s="591"/>
      <c r="Q324" s="591"/>
      <c r="R324" s="591"/>
      <c r="S324" s="591"/>
      <c r="T324" s="591"/>
      <c r="U324" s="591"/>
      <c r="V324" s="591"/>
      <c r="W324" s="591"/>
      <c r="X324" s="591"/>
      <c r="Y324" s="591"/>
      <c r="Z324" s="591"/>
      <c r="AA324" s="591"/>
      <c r="AB324" s="591"/>
      <c r="AC324" s="591"/>
      <c r="AD324" s="591"/>
      <c r="AE324" s="591"/>
      <c r="AF324" s="591"/>
      <c r="AG324" s="591"/>
      <c r="AH324" s="591"/>
      <c r="AI324" s="591"/>
      <c r="AJ324" s="591"/>
      <c r="AK324" s="591"/>
      <c r="AL324" s="591"/>
      <c r="AM324" s="591"/>
      <c r="AN324" s="591"/>
      <c r="AO324" s="591"/>
      <c r="AP324" s="591"/>
      <c r="AQ324" s="591"/>
      <c r="AR324" s="591"/>
      <c r="AS324" s="591"/>
      <c r="AT324" s="591"/>
      <c r="AU324" s="591"/>
      <c r="AV324" s="591"/>
      <c r="AW324" s="591"/>
      <c r="AX324" s="591"/>
      <c r="AY324" s="591"/>
      <c r="AZ324" s="591"/>
      <c r="BA324" s="591"/>
      <c r="BB324" s="591"/>
      <c r="BC324" s="591"/>
      <c r="BD324" s="591"/>
      <c r="BE324" s="591"/>
      <c r="BF324" s="591"/>
      <c r="BG324" s="591"/>
      <c r="BH324" s="591"/>
      <c r="BI324" s="591"/>
      <c r="BJ324" s="591"/>
      <c r="BK324" s="591"/>
      <c r="BL324" s="591"/>
      <c r="BM324" s="591"/>
      <c r="BN324" s="591"/>
      <c r="BO324" s="591"/>
      <c r="BP324" s="591"/>
      <c r="BQ324" s="591"/>
      <c r="BR324" s="591"/>
      <c r="BS324" s="591"/>
      <c r="BT324" s="591"/>
      <c r="BU324" s="591"/>
      <c r="BV324" s="591"/>
      <c r="BW324" s="591"/>
      <c r="BX324" s="591"/>
      <c r="BY324" s="591"/>
      <c r="BZ324" s="591"/>
      <c r="CA324" s="591"/>
      <c r="CB324" s="591"/>
      <c r="CC324" s="591"/>
      <c r="CD324" s="591"/>
      <c r="CE324" s="591"/>
      <c r="CF324" s="591"/>
    </row>
    <row r="325" spans="1:84">
      <c r="A325" s="591"/>
      <c r="B325" s="591"/>
      <c r="C325" s="591"/>
      <c r="D325" s="591"/>
      <c r="E325" s="591"/>
      <c r="F325" s="591"/>
      <c r="G325" s="591"/>
      <c r="H325" s="591"/>
      <c r="I325" s="591"/>
      <c r="J325" s="591"/>
      <c r="K325" s="591"/>
      <c r="L325" s="591"/>
      <c r="M325" s="591"/>
      <c r="N325" s="591"/>
      <c r="O325" s="591"/>
      <c r="P325" s="591"/>
      <c r="Q325" s="591"/>
      <c r="R325" s="591"/>
      <c r="S325" s="591"/>
      <c r="T325" s="591"/>
      <c r="U325" s="591"/>
      <c r="V325" s="591"/>
      <c r="W325" s="591"/>
      <c r="X325" s="591"/>
      <c r="Y325" s="591"/>
      <c r="Z325" s="591"/>
      <c r="AA325" s="591"/>
      <c r="AB325" s="591"/>
      <c r="AC325" s="591"/>
      <c r="AD325" s="591"/>
      <c r="AE325" s="591"/>
      <c r="AF325" s="591"/>
      <c r="AG325" s="591"/>
      <c r="AH325" s="591"/>
      <c r="AI325" s="591"/>
      <c r="AJ325" s="591"/>
      <c r="AK325" s="591"/>
      <c r="AL325" s="591"/>
      <c r="AM325" s="591"/>
      <c r="AN325" s="591"/>
      <c r="AO325" s="591"/>
      <c r="AP325" s="591"/>
      <c r="AQ325" s="591"/>
      <c r="AR325" s="591"/>
      <c r="AS325" s="591"/>
      <c r="AT325" s="591"/>
      <c r="AU325" s="591"/>
      <c r="AV325" s="591"/>
      <c r="AW325" s="591"/>
      <c r="AX325" s="591"/>
      <c r="AY325" s="591"/>
      <c r="AZ325" s="591"/>
      <c r="BA325" s="591"/>
      <c r="BB325" s="591"/>
      <c r="BC325" s="591"/>
      <c r="BD325" s="591"/>
      <c r="BE325" s="591"/>
      <c r="BF325" s="591"/>
      <c r="BG325" s="591"/>
      <c r="BH325" s="591"/>
      <c r="BI325" s="591"/>
      <c r="BJ325" s="591"/>
      <c r="BK325" s="591"/>
      <c r="BL325" s="591"/>
      <c r="BM325" s="591"/>
      <c r="BN325" s="591"/>
      <c r="BO325" s="591"/>
      <c r="BP325" s="591"/>
      <c r="BQ325" s="591"/>
      <c r="BR325" s="591"/>
      <c r="BS325" s="591"/>
      <c r="BT325" s="591"/>
      <c r="BU325" s="591"/>
      <c r="BV325" s="591"/>
      <c r="BW325" s="591"/>
      <c r="BX325" s="591"/>
      <c r="BY325" s="591"/>
      <c r="BZ325" s="591"/>
      <c r="CA325" s="591"/>
      <c r="CB325" s="591"/>
      <c r="CC325" s="591"/>
      <c r="CD325" s="591"/>
      <c r="CE325" s="591"/>
      <c r="CF325" s="591"/>
    </row>
    <row r="326" spans="1:84">
      <c r="A326" s="591"/>
      <c r="B326" s="591"/>
      <c r="C326" s="591"/>
      <c r="D326" s="591"/>
      <c r="E326" s="591"/>
      <c r="F326" s="591"/>
      <c r="G326" s="591"/>
      <c r="H326" s="591"/>
      <c r="I326" s="591"/>
      <c r="J326" s="591"/>
      <c r="K326" s="591"/>
      <c r="L326" s="591"/>
      <c r="M326" s="591"/>
      <c r="N326" s="591"/>
      <c r="O326" s="591"/>
      <c r="P326" s="591"/>
      <c r="Q326" s="591"/>
      <c r="R326" s="591"/>
      <c r="S326" s="591"/>
      <c r="T326" s="591"/>
      <c r="U326" s="591"/>
      <c r="V326" s="591"/>
      <c r="W326" s="591"/>
      <c r="X326" s="591"/>
      <c r="Y326" s="591"/>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1"/>
      <c r="BM326" s="591"/>
      <c r="BN326" s="591"/>
      <c r="BO326" s="591"/>
      <c r="BP326" s="591"/>
      <c r="BQ326" s="591"/>
      <c r="BR326" s="591"/>
      <c r="BS326" s="591"/>
      <c r="BT326" s="591"/>
      <c r="BU326" s="591"/>
      <c r="BV326" s="591"/>
      <c r="BW326" s="591"/>
      <c r="BX326" s="591"/>
      <c r="BY326" s="591"/>
      <c r="BZ326" s="591"/>
      <c r="CA326" s="591"/>
      <c r="CB326" s="591"/>
      <c r="CC326" s="591"/>
      <c r="CD326" s="591"/>
      <c r="CE326" s="591"/>
      <c r="CF326" s="591"/>
    </row>
    <row r="327" spans="1:84">
      <c r="A327" s="591"/>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1"/>
      <c r="AD327" s="591"/>
      <c r="AE327" s="591"/>
      <c r="AF327" s="591"/>
      <c r="AG327" s="591"/>
      <c r="AH327" s="591"/>
      <c r="AI327" s="591"/>
      <c r="AJ327" s="591"/>
      <c r="AK327" s="591"/>
      <c r="AL327" s="591"/>
      <c r="AM327" s="591"/>
      <c r="AN327" s="591"/>
      <c r="AO327" s="591"/>
      <c r="AP327" s="591"/>
      <c r="AQ327" s="591"/>
      <c r="AR327" s="591"/>
      <c r="AS327" s="591"/>
      <c r="AT327" s="591"/>
      <c r="AU327" s="591"/>
      <c r="AV327" s="591"/>
      <c r="AW327" s="591"/>
      <c r="AX327" s="591"/>
      <c r="AY327" s="591"/>
      <c r="AZ327" s="591"/>
      <c r="BA327" s="591"/>
      <c r="BB327" s="591"/>
      <c r="BC327" s="591"/>
      <c r="BD327" s="591"/>
      <c r="BE327" s="591"/>
      <c r="BF327" s="591"/>
      <c r="BG327" s="591"/>
      <c r="BH327" s="591"/>
      <c r="BI327" s="591"/>
      <c r="BJ327" s="591"/>
      <c r="BK327" s="591"/>
      <c r="BL327" s="591"/>
      <c r="BM327" s="591"/>
      <c r="BN327" s="591"/>
      <c r="BO327" s="591"/>
      <c r="BP327" s="591"/>
      <c r="BQ327" s="591"/>
      <c r="BR327" s="591"/>
      <c r="BS327" s="591"/>
      <c r="BT327" s="591"/>
      <c r="BU327" s="591"/>
      <c r="BV327" s="591"/>
      <c r="BW327" s="591"/>
      <c r="BX327" s="591"/>
      <c r="BY327" s="591"/>
      <c r="BZ327" s="591"/>
      <c r="CA327" s="591"/>
      <c r="CB327" s="591"/>
      <c r="CC327" s="591"/>
      <c r="CD327" s="591"/>
      <c r="CE327" s="591"/>
      <c r="CF327" s="591"/>
    </row>
    <row r="328" spans="1:84">
      <c r="A328" s="591"/>
      <c r="B328" s="591"/>
      <c r="C328" s="591"/>
      <c r="D328" s="591"/>
      <c r="E328" s="591"/>
      <c r="F328" s="591"/>
      <c r="G328" s="591"/>
      <c r="H328" s="591"/>
      <c r="I328" s="591"/>
      <c r="J328" s="591"/>
      <c r="K328" s="591"/>
      <c r="L328" s="591"/>
      <c r="M328" s="591"/>
      <c r="N328" s="591"/>
      <c r="O328" s="591"/>
      <c r="P328" s="591"/>
      <c r="Q328" s="591"/>
      <c r="R328" s="591"/>
      <c r="S328" s="591"/>
      <c r="T328" s="591"/>
      <c r="U328" s="591"/>
      <c r="V328" s="591"/>
      <c r="W328" s="591"/>
      <c r="X328" s="591"/>
      <c r="Y328" s="591"/>
      <c r="Z328" s="591"/>
      <c r="AA328" s="591"/>
      <c r="AB328" s="591"/>
      <c r="AC328" s="591"/>
      <c r="AD328" s="591"/>
      <c r="AE328" s="591"/>
      <c r="AF328" s="591"/>
      <c r="AG328" s="591"/>
      <c r="AH328" s="591"/>
      <c r="AI328" s="591"/>
      <c r="AJ328" s="591"/>
      <c r="AK328" s="591"/>
      <c r="AL328" s="591"/>
      <c r="AM328" s="591"/>
      <c r="AN328" s="591"/>
      <c r="AO328" s="591"/>
      <c r="AP328" s="591"/>
      <c r="AQ328" s="591"/>
      <c r="AR328" s="591"/>
      <c r="AS328" s="591"/>
      <c r="AT328" s="591"/>
      <c r="AU328" s="591"/>
      <c r="AV328" s="591"/>
      <c r="AW328" s="591"/>
      <c r="AX328" s="591"/>
      <c r="AY328" s="591"/>
      <c r="AZ328" s="591"/>
      <c r="BA328" s="591"/>
      <c r="BB328" s="591"/>
      <c r="BC328" s="591"/>
      <c r="BD328" s="591"/>
      <c r="BE328" s="591"/>
      <c r="BF328" s="591"/>
      <c r="BG328" s="591"/>
      <c r="BH328" s="591"/>
      <c r="BI328" s="591"/>
      <c r="BJ328" s="591"/>
      <c r="BK328" s="591"/>
      <c r="BL328" s="591"/>
      <c r="BM328" s="591"/>
      <c r="BN328" s="591"/>
      <c r="BO328" s="591"/>
      <c r="BP328" s="591"/>
      <c r="BQ328" s="591"/>
      <c r="BR328" s="591"/>
      <c r="BS328" s="591"/>
      <c r="BT328" s="591"/>
      <c r="BU328" s="591"/>
      <c r="BV328" s="591"/>
      <c r="BW328" s="591"/>
      <c r="BX328" s="591"/>
      <c r="BY328" s="591"/>
      <c r="BZ328" s="591"/>
      <c r="CA328" s="591"/>
      <c r="CB328" s="591"/>
      <c r="CC328" s="591"/>
      <c r="CD328" s="591"/>
      <c r="CE328" s="591"/>
      <c r="CF328" s="591"/>
    </row>
    <row r="329" spans="1:84">
      <c r="A329" s="591"/>
      <c r="B329" s="591"/>
      <c r="C329" s="591"/>
      <c r="D329" s="591"/>
      <c r="E329" s="591"/>
      <c r="F329" s="591"/>
      <c r="G329" s="591"/>
      <c r="H329" s="591"/>
      <c r="I329" s="591"/>
      <c r="J329" s="591"/>
      <c r="K329" s="591"/>
      <c r="L329" s="591"/>
      <c r="M329" s="591"/>
      <c r="N329" s="591"/>
      <c r="O329" s="591"/>
      <c r="P329" s="591"/>
      <c r="Q329" s="591"/>
      <c r="R329" s="591"/>
      <c r="S329" s="591"/>
      <c r="T329" s="591"/>
      <c r="U329" s="591"/>
      <c r="V329" s="591"/>
      <c r="W329" s="591"/>
      <c r="X329" s="591"/>
      <c r="Y329" s="591"/>
      <c r="Z329" s="591"/>
      <c r="AA329" s="591"/>
      <c r="AB329" s="591"/>
      <c r="AC329" s="591"/>
      <c r="AD329" s="591"/>
      <c r="AE329" s="591"/>
      <c r="AF329" s="591"/>
      <c r="AG329" s="591"/>
      <c r="AH329" s="591"/>
      <c r="AI329" s="591"/>
      <c r="AJ329" s="591"/>
      <c r="AK329" s="591"/>
      <c r="AL329" s="591"/>
      <c r="AM329" s="591"/>
      <c r="AN329" s="591"/>
      <c r="AO329" s="591"/>
      <c r="AP329" s="591"/>
      <c r="AQ329" s="591"/>
      <c r="AR329" s="591"/>
      <c r="AS329" s="591"/>
      <c r="AT329" s="591"/>
      <c r="AU329" s="591"/>
      <c r="AV329" s="591"/>
      <c r="AW329" s="591"/>
      <c r="AX329" s="591"/>
      <c r="AY329" s="591"/>
      <c r="AZ329" s="591"/>
      <c r="BA329" s="591"/>
      <c r="BB329" s="591"/>
      <c r="BC329" s="591"/>
      <c r="BD329" s="591"/>
      <c r="BE329" s="591"/>
      <c r="BF329" s="591"/>
      <c r="BG329" s="591"/>
      <c r="BH329" s="591"/>
      <c r="BI329" s="591"/>
      <c r="BJ329" s="591"/>
      <c r="BK329" s="591"/>
      <c r="BL329" s="591"/>
      <c r="BM329" s="591"/>
      <c r="BN329" s="591"/>
      <c r="BO329" s="591"/>
      <c r="BP329" s="591"/>
      <c r="BQ329" s="591"/>
      <c r="BR329" s="591"/>
      <c r="BS329" s="591"/>
      <c r="BT329" s="591"/>
      <c r="BU329" s="591"/>
      <c r="BV329" s="591"/>
      <c r="BW329" s="591"/>
      <c r="BX329" s="591"/>
      <c r="BY329" s="591"/>
      <c r="BZ329" s="591"/>
      <c r="CA329" s="591"/>
      <c r="CB329" s="591"/>
      <c r="CC329" s="591"/>
      <c r="CD329" s="591"/>
      <c r="CE329" s="591"/>
      <c r="CF329" s="591"/>
    </row>
    <row r="330" spans="1:84">
      <c r="A330" s="591"/>
      <c r="B330" s="591"/>
      <c r="C330" s="591"/>
      <c r="D330" s="591"/>
      <c r="E330" s="591"/>
      <c r="F330" s="591"/>
      <c r="G330" s="591"/>
      <c r="H330" s="591"/>
      <c r="I330" s="591"/>
      <c r="J330" s="591"/>
      <c r="K330" s="591"/>
      <c r="L330" s="591"/>
      <c r="M330" s="591"/>
      <c r="N330" s="591"/>
      <c r="O330" s="591"/>
      <c r="P330" s="591"/>
      <c r="Q330" s="591"/>
      <c r="R330" s="591"/>
      <c r="S330" s="591"/>
      <c r="T330" s="591"/>
      <c r="U330" s="591"/>
      <c r="V330" s="591"/>
      <c r="W330" s="591"/>
      <c r="X330" s="591"/>
      <c r="Y330" s="591"/>
      <c r="Z330" s="591"/>
      <c r="AA330" s="591"/>
      <c r="AB330" s="591"/>
      <c r="AC330" s="591"/>
      <c r="AD330" s="591"/>
      <c r="AE330" s="591"/>
      <c r="AF330" s="591"/>
      <c r="AG330" s="591"/>
      <c r="AH330" s="591"/>
      <c r="AI330" s="591"/>
      <c r="AJ330" s="591"/>
      <c r="AK330" s="591"/>
      <c r="AL330" s="591"/>
      <c r="AM330" s="591"/>
      <c r="AN330" s="591"/>
      <c r="AO330" s="591"/>
      <c r="AP330" s="591"/>
      <c r="AQ330" s="591"/>
      <c r="AR330" s="591"/>
      <c r="AS330" s="591"/>
      <c r="AT330" s="591"/>
      <c r="AU330" s="591"/>
      <c r="AV330" s="591"/>
      <c r="AW330" s="591"/>
      <c r="AX330" s="591"/>
      <c r="AY330" s="591"/>
      <c r="AZ330" s="591"/>
      <c r="BA330" s="591"/>
      <c r="BB330" s="591"/>
      <c r="BC330" s="591"/>
      <c r="BD330" s="591"/>
      <c r="BE330" s="591"/>
      <c r="BF330" s="591"/>
      <c r="BG330" s="591"/>
      <c r="BH330" s="591"/>
      <c r="BI330" s="591"/>
      <c r="BJ330" s="591"/>
      <c r="BK330" s="591"/>
      <c r="BL330" s="591"/>
      <c r="BM330" s="591"/>
      <c r="BN330" s="591"/>
      <c r="BO330" s="591"/>
      <c r="BP330" s="591"/>
      <c r="BQ330" s="591"/>
      <c r="BR330" s="591"/>
      <c r="BS330" s="591"/>
      <c r="BT330" s="591"/>
      <c r="BU330" s="591"/>
      <c r="BV330" s="591"/>
      <c r="BW330" s="591"/>
      <c r="BX330" s="591"/>
      <c r="BY330" s="591"/>
      <c r="BZ330" s="591"/>
      <c r="CA330" s="591"/>
      <c r="CB330" s="591"/>
      <c r="CC330" s="591"/>
      <c r="CD330" s="591"/>
      <c r="CE330" s="591"/>
      <c r="CF330" s="591"/>
    </row>
    <row r="331" spans="1:84">
      <c r="A331" s="591"/>
      <c r="B331" s="591"/>
      <c r="C331" s="591"/>
      <c r="D331" s="591"/>
      <c r="E331" s="591"/>
      <c r="F331" s="591"/>
      <c r="G331" s="591"/>
      <c r="H331" s="591"/>
      <c r="I331" s="591"/>
      <c r="J331" s="591"/>
      <c r="K331" s="591"/>
      <c r="L331" s="591"/>
      <c r="M331" s="591"/>
      <c r="N331" s="591"/>
      <c r="O331" s="591"/>
      <c r="P331" s="591"/>
      <c r="Q331" s="591"/>
      <c r="R331" s="591"/>
      <c r="S331" s="591"/>
      <c r="T331" s="591"/>
      <c r="U331" s="591"/>
      <c r="V331" s="591"/>
      <c r="W331" s="591"/>
      <c r="X331" s="591"/>
      <c r="Y331" s="591"/>
      <c r="Z331" s="591"/>
      <c r="AA331" s="591"/>
      <c r="AB331" s="591"/>
      <c r="AC331" s="591"/>
      <c r="AD331" s="591"/>
      <c r="AE331" s="591"/>
      <c r="AF331" s="591"/>
      <c r="AG331" s="591"/>
      <c r="AH331" s="591"/>
      <c r="AI331" s="591"/>
      <c r="AJ331" s="591"/>
      <c r="AK331" s="591"/>
      <c r="AL331" s="591"/>
      <c r="AM331" s="591"/>
      <c r="AN331" s="591"/>
      <c r="AO331" s="591"/>
      <c r="AP331" s="591"/>
      <c r="AQ331" s="591"/>
      <c r="AR331" s="591"/>
      <c r="AS331" s="591"/>
      <c r="AT331" s="591"/>
      <c r="AU331" s="591"/>
      <c r="AV331" s="591"/>
      <c r="AW331" s="591"/>
      <c r="AX331" s="591"/>
      <c r="AY331" s="591"/>
      <c r="AZ331" s="591"/>
      <c r="BA331" s="591"/>
      <c r="BB331" s="591"/>
      <c r="BC331" s="591"/>
      <c r="BD331" s="591"/>
      <c r="BE331" s="591"/>
      <c r="BF331" s="591"/>
      <c r="BG331" s="591"/>
      <c r="BH331" s="591"/>
      <c r="BI331" s="591"/>
      <c r="BJ331" s="591"/>
      <c r="BK331" s="591"/>
      <c r="BL331" s="591"/>
      <c r="BM331" s="591"/>
      <c r="BN331" s="591"/>
      <c r="BO331" s="591"/>
      <c r="BP331" s="591"/>
      <c r="BQ331" s="591"/>
      <c r="BR331" s="591"/>
      <c r="BS331" s="591"/>
      <c r="BT331" s="591"/>
      <c r="BU331" s="591"/>
      <c r="BV331" s="591"/>
      <c r="BW331" s="591"/>
      <c r="BX331" s="591"/>
      <c r="BY331" s="591"/>
      <c r="BZ331" s="591"/>
      <c r="CA331" s="591"/>
      <c r="CB331" s="591"/>
      <c r="CC331" s="591"/>
      <c r="CD331" s="591"/>
      <c r="CE331" s="591"/>
      <c r="CF331" s="591"/>
    </row>
    <row r="332" spans="1:84">
      <c r="A332" s="591"/>
      <c r="B332" s="591"/>
      <c r="C332" s="591"/>
      <c r="D332" s="591"/>
      <c r="E332" s="591"/>
      <c r="F332" s="591"/>
      <c r="G332" s="591"/>
      <c r="H332" s="591"/>
      <c r="I332" s="591"/>
      <c r="J332" s="591"/>
      <c r="K332" s="591"/>
      <c r="L332" s="591"/>
      <c r="M332" s="591"/>
      <c r="N332" s="591"/>
      <c r="O332" s="591"/>
      <c r="P332" s="591"/>
      <c r="Q332" s="591"/>
      <c r="R332" s="591"/>
      <c r="S332" s="591"/>
      <c r="T332" s="591"/>
      <c r="U332" s="591"/>
      <c r="V332" s="591"/>
      <c r="W332" s="591"/>
      <c r="X332" s="591"/>
      <c r="Y332" s="591"/>
      <c r="Z332" s="591"/>
      <c r="AA332" s="591"/>
      <c r="AB332" s="591"/>
      <c r="AC332" s="591"/>
      <c r="AD332" s="591"/>
      <c r="AE332" s="591"/>
      <c r="AF332" s="591"/>
      <c r="AG332" s="591"/>
      <c r="AH332" s="591"/>
      <c r="AI332" s="591"/>
      <c r="AJ332" s="591"/>
      <c r="AK332" s="591"/>
      <c r="AL332" s="591"/>
      <c r="AM332" s="591"/>
      <c r="AN332" s="591"/>
      <c r="AO332" s="591"/>
      <c r="AP332" s="591"/>
      <c r="AQ332" s="591"/>
      <c r="AR332" s="591"/>
      <c r="AS332" s="591"/>
      <c r="AT332" s="591"/>
      <c r="AU332" s="591"/>
      <c r="AV332" s="591"/>
      <c r="AW332" s="591"/>
      <c r="AX332" s="591"/>
      <c r="AY332" s="591"/>
      <c r="AZ332" s="591"/>
      <c r="BA332" s="591"/>
      <c r="BB332" s="591"/>
      <c r="BC332" s="591"/>
      <c r="BD332" s="591"/>
      <c r="BE332" s="591"/>
      <c r="BF332" s="591"/>
      <c r="BG332" s="591"/>
      <c r="BH332" s="591"/>
      <c r="BI332" s="591"/>
      <c r="BJ332" s="591"/>
      <c r="BK332" s="591"/>
      <c r="BL332" s="591"/>
      <c r="BM332" s="591"/>
      <c r="BN332" s="591"/>
      <c r="BO332" s="591"/>
      <c r="BP332" s="591"/>
      <c r="BQ332" s="591"/>
      <c r="BR332" s="591"/>
      <c r="BS332" s="591"/>
      <c r="BT332" s="591"/>
      <c r="BU332" s="591"/>
      <c r="BV332" s="591"/>
      <c r="BW332" s="591"/>
      <c r="BX332" s="591"/>
      <c r="BY332" s="591"/>
      <c r="BZ332" s="591"/>
      <c r="CA332" s="591"/>
      <c r="CB332" s="591"/>
      <c r="CC332" s="591"/>
      <c r="CD332" s="591"/>
      <c r="CE332" s="591"/>
      <c r="CF332" s="591"/>
    </row>
    <row r="333" spans="1:84">
      <c r="A333" s="591"/>
      <c r="B333" s="591"/>
      <c r="C333" s="591"/>
      <c r="D333" s="591"/>
      <c r="E333" s="591"/>
      <c r="F333" s="591"/>
      <c r="G333" s="591"/>
      <c r="H333" s="591"/>
      <c r="I333" s="591"/>
      <c r="J333" s="591"/>
      <c r="K333" s="591"/>
      <c r="L333" s="591"/>
      <c r="M333" s="591"/>
      <c r="N333" s="591"/>
      <c r="O333" s="591"/>
      <c r="P333" s="591"/>
      <c r="Q333" s="591"/>
      <c r="R333" s="591"/>
      <c r="S333" s="591"/>
      <c r="T333" s="591"/>
      <c r="U333" s="591"/>
      <c r="V333" s="591"/>
      <c r="W333" s="591"/>
      <c r="X333" s="591"/>
      <c r="Y333" s="591"/>
      <c r="Z333" s="591"/>
      <c r="AA333" s="591"/>
      <c r="AB333" s="591"/>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591"/>
      <c r="BF333" s="591"/>
      <c r="BG333" s="591"/>
      <c r="BH333" s="591"/>
      <c r="BI333" s="591"/>
      <c r="BJ333" s="591"/>
      <c r="BK333" s="591"/>
      <c r="BL333" s="591"/>
      <c r="BM333" s="591"/>
      <c r="BN333" s="591"/>
      <c r="BO333" s="591"/>
      <c r="BP333" s="591"/>
      <c r="BQ333" s="591"/>
      <c r="BR333" s="591"/>
      <c r="BS333" s="591"/>
      <c r="BT333" s="591"/>
      <c r="BU333" s="591"/>
      <c r="BV333" s="591"/>
      <c r="BW333" s="591"/>
      <c r="BX333" s="591"/>
      <c r="BY333" s="591"/>
      <c r="BZ333" s="591"/>
      <c r="CA333" s="591"/>
      <c r="CB333" s="591"/>
      <c r="CC333" s="591"/>
      <c r="CD333" s="591"/>
      <c r="CE333" s="591"/>
      <c r="CF333" s="591"/>
    </row>
    <row r="334" spans="1:84">
      <c r="A334" s="591"/>
      <c r="B334" s="591"/>
      <c r="C334" s="591"/>
      <c r="D334" s="591"/>
      <c r="E334" s="591"/>
      <c r="F334" s="591"/>
      <c r="G334" s="591"/>
      <c r="H334" s="591"/>
      <c r="I334" s="591"/>
      <c r="J334" s="591"/>
      <c r="K334" s="591"/>
      <c r="L334" s="591"/>
      <c r="M334" s="591"/>
      <c r="N334" s="591"/>
      <c r="O334" s="591"/>
      <c r="P334" s="591"/>
      <c r="Q334" s="591"/>
      <c r="R334" s="591"/>
      <c r="S334" s="591"/>
      <c r="T334" s="591"/>
      <c r="U334" s="591"/>
      <c r="V334" s="591"/>
      <c r="W334" s="591"/>
      <c r="X334" s="591"/>
      <c r="Y334" s="591"/>
      <c r="Z334" s="591"/>
      <c r="AA334" s="591"/>
      <c r="AB334" s="591"/>
      <c r="AC334" s="591"/>
      <c r="AD334" s="591"/>
      <c r="AE334" s="591"/>
      <c r="AF334" s="591"/>
      <c r="AG334" s="591"/>
      <c r="AH334" s="591"/>
      <c r="AI334" s="591"/>
      <c r="AJ334" s="591"/>
      <c r="AK334" s="591"/>
      <c r="AL334" s="591"/>
      <c r="AM334" s="591"/>
      <c r="AN334" s="591"/>
      <c r="AO334" s="591"/>
      <c r="AP334" s="591"/>
      <c r="AQ334" s="591"/>
      <c r="AR334" s="591"/>
      <c r="AS334" s="591"/>
      <c r="AT334" s="591"/>
      <c r="AU334" s="591"/>
      <c r="AV334" s="591"/>
      <c r="AW334" s="591"/>
      <c r="AX334" s="591"/>
      <c r="AY334" s="591"/>
      <c r="AZ334" s="591"/>
      <c r="BA334" s="591"/>
      <c r="BB334" s="591"/>
      <c r="BC334" s="591"/>
      <c r="BD334" s="591"/>
      <c r="BE334" s="591"/>
      <c r="BF334" s="591"/>
      <c r="BG334" s="591"/>
      <c r="BH334" s="591"/>
      <c r="BI334" s="591"/>
      <c r="BJ334" s="591"/>
      <c r="BK334" s="591"/>
      <c r="BL334" s="591"/>
      <c r="BM334" s="591"/>
      <c r="BN334" s="591"/>
      <c r="BO334" s="591"/>
      <c r="BP334" s="591"/>
      <c r="BQ334" s="591"/>
      <c r="BR334" s="591"/>
      <c r="BS334" s="591"/>
      <c r="BT334" s="591"/>
      <c r="BU334" s="591"/>
      <c r="BV334" s="591"/>
      <c r="BW334" s="591"/>
      <c r="BX334" s="591"/>
      <c r="BY334" s="591"/>
      <c r="BZ334" s="591"/>
      <c r="CA334" s="591"/>
      <c r="CB334" s="591"/>
      <c r="CC334" s="591"/>
      <c r="CD334" s="591"/>
      <c r="CE334" s="591"/>
      <c r="CF334" s="591"/>
    </row>
    <row r="335" spans="1:84">
      <c r="A335" s="591"/>
      <c r="B335" s="591"/>
      <c r="C335" s="591"/>
      <c r="D335" s="591"/>
      <c r="E335" s="591"/>
      <c r="F335" s="591"/>
      <c r="G335" s="591"/>
      <c r="H335" s="591"/>
      <c r="I335" s="591"/>
      <c r="J335" s="591"/>
      <c r="K335" s="591"/>
      <c r="L335" s="591"/>
      <c r="M335" s="591"/>
      <c r="N335" s="591"/>
      <c r="O335" s="591"/>
      <c r="P335" s="591"/>
      <c r="Q335" s="591"/>
      <c r="R335" s="591"/>
      <c r="S335" s="591"/>
      <c r="T335" s="591"/>
      <c r="U335" s="591"/>
      <c r="V335" s="591"/>
      <c r="W335" s="591"/>
      <c r="X335" s="591"/>
      <c r="Y335" s="591"/>
      <c r="Z335" s="591"/>
      <c r="AA335" s="591"/>
      <c r="AB335" s="591"/>
      <c r="AC335" s="591"/>
      <c r="AD335" s="591"/>
      <c r="AE335" s="591"/>
      <c r="AF335" s="591"/>
      <c r="AG335" s="591"/>
      <c r="AH335" s="591"/>
      <c r="AI335" s="591"/>
      <c r="AJ335" s="591"/>
      <c r="AK335" s="591"/>
      <c r="AL335" s="591"/>
      <c r="AM335" s="591"/>
      <c r="AN335" s="591"/>
      <c r="AO335" s="591"/>
      <c r="AP335" s="591"/>
      <c r="AQ335" s="591"/>
      <c r="AR335" s="591"/>
      <c r="AS335" s="591"/>
      <c r="AT335" s="591"/>
      <c r="AU335" s="591"/>
      <c r="AV335" s="591"/>
      <c r="AW335" s="591"/>
      <c r="AX335" s="591"/>
      <c r="AY335" s="591"/>
      <c r="AZ335" s="591"/>
      <c r="BA335" s="591"/>
      <c r="BB335" s="591"/>
      <c r="BC335" s="591"/>
      <c r="BD335" s="591"/>
      <c r="BE335" s="591"/>
      <c r="BF335" s="591"/>
      <c r="BG335" s="591"/>
      <c r="BH335" s="591"/>
      <c r="BI335" s="591"/>
      <c r="BJ335" s="591"/>
      <c r="BK335" s="591"/>
      <c r="BL335" s="591"/>
      <c r="BM335" s="591"/>
      <c r="BN335" s="591"/>
      <c r="BO335" s="591"/>
      <c r="BP335" s="591"/>
      <c r="BQ335" s="591"/>
      <c r="BR335" s="591"/>
      <c r="BS335" s="591"/>
      <c r="BT335" s="591"/>
      <c r="BU335" s="591"/>
      <c r="BV335" s="591"/>
      <c r="BW335" s="591"/>
      <c r="BX335" s="591"/>
      <c r="BY335" s="591"/>
      <c r="BZ335" s="591"/>
      <c r="CA335" s="591"/>
      <c r="CB335" s="591"/>
      <c r="CC335" s="591"/>
      <c r="CD335" s="591"/>
      <c r="CE335" s="591"/>
      <c r="CF335" s="591"/>
    </row>
    <row r="336" spans="1:84">
      <c r="A336" s="591"/>
      <c r="B336" s="591"/>
      <c r="C336" s="591"/>
      <c r="D336" s="591"/>
      <c r="E336" s="591"/>
      <c r="F336" s="591"/>
      <c r="G336" s="591"/>
      <c r="H336" s="591"/>
      <c r="I336" s="591"/>
      <c r="J336" s="591"/>
      <c r="K336" s="591"/>
      <c r="L336" s="591"/>
      <c r="M336" s="591"/>
      <c r="N336" s="591"/>
      <c r="O336" s="591"/>
      <c r="P336" s="591"/>
      <c r="Q336" s="591"/>
      <c r="R336" s="591"/>
      <c r="S336" s="591"/>
      <c r="T336" s="591"/>
      <c r="U336" s="591"/>
      <c r="V336" s="591"/>
      <c r="W336" s="591"/>
      <c r="X336" s="591"/>
      <c r="Y336" s="591"/>
      <c r="Z336" s="591"/>
      <c r="AA336" s="591"/>
      <c r="AB336" s="591"/>
      <c r="AC336" s="591"/>
      <c r="AD336" s="591"/>
      <c r="AE336" s="591"/>
      <c r="AF336" s="591"/>
      <c r="AG336" s="591"/>
      <c r="AH336" s="591"/>
      <c r="AI336" s="591"/>
      <c r="AJ336" s="591"/>
      <c r="AK336" s="591"/>
      <c r="AL336" s="591"/>
      <c r="AM336" s="591"/>
      <c r="AN336" s="591"/>
      <c r="AO336" s="591"/>
      <c r="AP336" s="591"/>
      <c r="AQ336" s="591"/>
      <c r="AR336" s="591"/>
      <c r="AS336" s="591"/>
      <c r="AT336" s="591"/>
      <c r="AU336" s="591"/>
      <c r="AV336" s="591"/>
      <c r="AW336" s="591"/>
      <c r="AX336" s="591"/>
      <c r="AY336" s="591"/>
      <c r="AZ336" s="591"/>
      <c r="BA336" s="591"/>
      <c r="BB336" s="591"/>
      <c r="BC336" s="591"/>
      <c r="BD336" s="591"/>
      <c r="BE336" s="591"/>
      <c r="BF336" s="591"/>
      <c r="BG336" s="591"/>
      <c r="BH336" s="591"/>
      <c r="BI336" s="591"/>
      <c r="BJ336" s="591"/>
      <c r="BK336" s="591"/>
      <c r="BL336" s="591"/>
      <c r="BM336" s="591"/>
      <c r="BN336" s="591"/>
      <c r="BO336" s="591"/>
      <c r="BP336" s="591"/>
      <c r="BQ336" s="591"/>
      <c r="BR336" s="591"/>
      <c r="BS336" s="591"/>
      <c r="BT336" s="591"/>
      <c r="BU336" s="591"/>
      <c r="BV336" s="591"/>
      <c r="BW336" s="591"/>
      <c r="BX336" s="591"/>
      <c r="BY336" s="591"/>
      <c r="BZ336" s="591"/>
      <c r="CA336" s="591"/>
      <c r="CB336" s="591"/>
      <c r="CC336" s="591"/>
      <c r="CD336" s="591"/>
      <c r="CE336" s="591"/>
      <c r="CF336" s="591"/>
    </row>
    <row r="337" spans="1:84">
      <c r="A337" s="591"/>
      <c r="B337" s="591"/>
      <c r="C337" s="591"/>
      <c r="D337" s="591"/>
      <c r="E337" s="591"/>
      <c r="F337" s="591"/>
      <c r="G337" s="591"/>
      <c r="H337" s="591"/>
      <c r="I337" s="591"/>
      <c r="J337" s="591"/>
      <c r="K337" s="591"/>
      <c r="L337" s="591"/>
      <c r="M337" s="591"/>
      <c r="N337" s="591"/>
      <c r="O337" s="591"/>
      <c r="P337" s="591"/>
      <c r="Q337" s="591"/>
      <c r="R337" s="591"/>
      <c r="S337" s="591"/>
      <c r="T337" s="591"/>
      <c r="U337" s="591"/>
      <c r="V337" s="591"/>
      <c r="W337" s="591"/>
      <c r="X337" s="591"/>
      <c r="Y337" s="591"/>
      <c r="Z337" s="591"/>
      <c r="AA337" s="591"/>
      <c r="AB337" s="591"/>
      <c r="AC337" s="591"/>
      <c r="AD337" s="591"/>
      <c r="AE337" s="591"/>
      <c r="AF337" s="591"/>
      <c r="AG337" s="591"/>
      <c r="AH337" s="591"/>
      <c r="AI337" s="591"/>
      <c r="AJ337" s="591"/>
      <c r="AK337" s="591"/>
      <c r="AL337" s="591"/>
      <c r="AM337" s="591"/>
      <c r="AN337" s="591"/>
      <c r="AO337" s="591"/>
      <c r="AP337" s="591"/>
      <c r="AQ337" s="591"/>
      <c r="AR337" s="591"/>
      <c r="AS337" s="591"/>
      <c r="AT337" s="591"/>
      <c r="AU337" s="591"/>
      <c r="AV337" s="591"/>
      <c r="AW337" s="591"/>
      <c r="AX337" s="591"/>
      <c r="AY337" s="591"/>
      <c r="AZ337" s="591"/>
      <c r="BA337" s="591"/>
      <c r="BB337" s="591"/>
      <c r="BC337" s="591"/>
      <c r="BD337" s="591"/>
      <c r="BE337" s="591"/>
      <c r="BF337" s="591"/>
      <c r="BG337" s="591"/>
      <c r="BH337" s="591"/>
      <c r="BI337" s="591"/>
      <c r="BJ337" s="591"/>
      <c r="BK337" s="591"/>
      <c r="BL337" s="591"/>
      <c r="BM337" s="591"/>
      <c r="BN337" s="591"/>
      <c r="BO337" s="591"/>
      <c r="BP337" s="591"/>
      <c r="BQ337" s="591"/>
      <c r="BR337" s="591"/>
      <c r="BS337" s="591"/>
      <c r="BT337" s="591"/>
      <c r="BU337" s="591"/>
      <c r="BV337" s="591"/>
      <c r="BW337" s="591"/>
      <c r="BX337" s="591"/>
      <c r="BY337" s="591"/>
      <c r="BZ337" s="591"/>
      <c r="CA337" s="591"/>
      <c r="CB337" s="591"/>
      <c r="CC337" s="591"/>
      <c r="CD337" s="591"/>
      <c r="CE337" s="591"/>
      <c r="CF337" s="591"/>
    </row>
    <row r="338" spans="1:84">
      <c r="A338" s="591"/>
      <c r="B338" s="591"/>
      <c r="C338" s="591"/>
      <c r="D338" s="591"/>
      <c r="E338" s="591"/>
      <c r="F338" s="591"/>
      <c r="G338" s="591"/>
      <c r="H338" s="591"/>
      <c r="I338" s="591"/>
      <c r="J338" s="591"/>
      <c r="K338" s="591"/>
      <c r="L338" s="591"/>
      <c r="M338" s="591"/>
      <c r="N338" s="591"/>
      <c r="O338" s="591"/>
      <c r="P338" s="591"/>
      <c r="Q338" s="591"/>
      <c r="R338" s="591"/>
      <c r="S338" s="591"/>
      <c r="T338" s="591"/>
      <c r="U338" s="591"/>
      <c r="V338" s="591"/>
      <c r="W338" s="591"/>
      <c r="X338" s="591"/>
      <c r="Y338" s="591"/>
      <c r="Z338" s="591"/>
      <c r="AA338" s="591"/>
      <c r="AB338" s="591"/>
      <c r="AC338" s="591"/>
      <c r="AD338" s="591"/>
      <c r="AE338" s="591"/>
      <c r="AF338" s="591"/>
      <c r="AG338" s="591"/>
      <c r="AH338" s="591"/>
      <c r="AI338" s="591"/>
      <c r="AJ338" s="591"/>
      <c r="AK338" s="591"/>
      <c r="AL338" s="591"/>
      <c r="AM338" s="591"/>
      <c r="AN338" s="591"/>
      <c r="AO338" s="591"/>
      <c r="AP338" s="591"/>
      <c r="AQ338" s="591"/>
      <c r="AR338" s="591"/>
      <c r="AS338" s="591"/>
      <c r="AT338" s="591"/>
      <c r="AU338" s="591"/>
      <c r="AV338" s="591"/>
      <c r="AW338" s="591"/>
      <c r="AX338" s="591"/>
      <c r="AY338" s="591"/>
      <c r="AZ338" s="591"/>
      <c r="BA338" s="591"/>
      <c r="BB338" s="591"/>
      <c r="BC338" s="591"/>
      <c r="BD338" s="591"/>
      <c r="BE338" s="591"/>
      <c r="BF338" s="591"/>
      <c r="BG338" s="591"/>
      <c r="BH338" s="591"/>
      <c r="BI338" s="591"/>
      <c r="BJ338" s="591"/>
      <c r="BK338" s="591"/>
      <c r="BL338" s="591"/>
      <c r="BM338" s="591"/>
      <c r="BN338" s="591"/>
      <c r="BO338" s="591"/>
      <c r="BP338" s="591"/>
      <c r="BQ338" s="591"/>
      <c r="BR338" s="591"/>
      <c r="BS338" s="591"/>
      <c r="BT338" s="591"/>
      <c r="BU338" s="591"/>
      <c r="BV338" s="591"/>
      <c r="BW338" s="591"/>
      <c r="BX338" s="591"/>
      <c r="BY338" s="591"/>
      <c r="BZ338" s="591"/>
      <c r="CA338" s="591"/>
      <c r="CB338" s="591"/>
      <c r="CC338" s="591"/>
      <c r="CD338" s="591"/>
      <c r="CE338" s="591"/>
      <c r="CF338" s="591"/>
    </row>
    <row r="339" spans="1:84">
      <c r="A339" s="591"/>
      <c r="B339" s="591"/>
      <c r="C339" s="591"/>
      <c r="D339" s="591"/>
      <c r="E339" s="591"/>
      <c r="F339" s="591"/>
      <c r="G339" s="591"/>
      <c r="H339" s="591"/>
      <c r="I339" s="591"/>
      <c r="J339" s="591"/>
      <c r="K339" s="591"/>
      <c r="L339" s="591"/>
      <c r="M339" s="591"/>
      <c r="N339" s="591"/>
      <c r="O339" s="591"/>
      <c r="P339" s="591"/>
      <c r="Q339" s="591"/>
      <c r="R339" s="591"/>
      <c r="S339" s="591"/>
      <c r="T339" s="591"/>
      <c r="U339" s="591"/>
      <c r="V339" s="591"/>
      <c r="W339" s="591"/>
      <c r="X339" s="591"/>
      <c r="Y339" s="591"/>
      <c r="Z339" s="591"/>
      <c r="AA339" s="591"/>
      <c r="AB339" s="591"/>
      <c r="AC339" s="591"/>
      <c r="AD339" s="591"/>
      <c r="AE339" s="591"/>
      <c r="AF339" s="591"/>
      <c r="AG339" s="591"/>
      <c r="AH339" s="591"/>
      <c r="AI339" s="591"/>
      <c r="AJ339" s="591"/>
      <c r="AK339" s="591"/>
      <c r="AL339" s="591"/>
      <c r="AM339" s="591"/>
      <c r="AN339" s="591"/>
      <c r="AO339" s="591"/>
      <c r="AP339" s="591"/>
      <c r="AQ339" s="591"/>
      <c r="AR339" s="591"/>
      <c r="AS339" s="591"/>
      <c r="AT339" s="591"/>
      <c r="AU339" s="591"/>
      <c r="AV339" s="591"/>
      <c r="AW339" s="591"/>
      <c r="AX339" s="591"/>
      <c r="AY339" s="591"/>
      <c r="AZ339" s="591"/>
      <c r="BA339" s="591"/>
      <c r="BB339" s="591"/>
      <c r="BC339" s="591"/>
      <c r="BD339" s="591"/>
      <c r="BE339" s="591"/>
      <c r="BF339" s="591"/>
      <c r="BG339" s="591"/>
      <c r="BH339" s="591"/>
      <c r="BI339" s="591"/>
      <c r="BJ339" s="591"/>
      <c r="BK339" s="591"/>
      <c r="BL339" s="591"/>
      <c r="BM339" s="591"/>
      <c r="BN339" s="591"/>
      <c r="BO339" s="591"/>
      <c r="BP339" s="591"/>
      <c r="BQ339" s="591"/>
      <c r="BR339" s="591"/>
      <c r="BS339" s="591"/>
      <c r="BT339" s="591"/>
      <c r="BU339" s="591"/>
      <c r="BV339" s="591"/>
      <c r="BW339" s="591"/>
      <c r="BX339" s="591"/>
      <c r="BY339" s="591"/>
      <c r="BZ339" s="591"/>
      <c r="CA339" s="591"/>
      <c r="CB339" s="591"/>
      <c r="CC339" s="591"/>
      <c r="CD339" s="591"/>
      <c r="CE339" s="591"/>
      <c r="CF339" s="591"/>
    </row>
    <row r="340" spans="1:84">
      <c r="A340" s="591"/>
      <c r="B340" s="591"/>
      <c r="C340" s="591"/>
      <c r="D340" s="591"/>
      <c r="E340" s="591"/>
      <c r="F340" s="591"/>
      <c r="G340" s="591"/>
      <c r="H340" s="591"/>
      <c r="I340" s="591"/>
      <c r="J340" s="591"/>
      <c r="K340" s="591"/>
      <c r="L340" s="591"/>
      <c r="M340" s="591"/>
      <c r="N340" s="591"/>
      <c r="O340" s="591"/>
      <c r="P340" s="591"/>
      <c r="Q340" s="591"/>
      <c r="R340" s="591"/>
      <c r="S340" s="591"/>
      <c r="T340" s="591"/>
      <c r="U340" s="591"/>
      <c r="V340" s="591"/>
      <c r="W340" s="591"/>
      <c r="X340" s="591"/>
      <c r="Y340" s="591"/>
      <c r="Z340" s="591"/>
      <c r="AA340" s="591"/>
      <c r="AB340" s="591"/>
      <c r="AC340" s="591"/>
      <c r="AD340" s="591"/>
      <c r="AE340" s="591"/>
      <c r="AF340" s="591"/>
      <c r="AG340" s="591"/>
      <c r="AH340" s="591"/>
      <c r="AI340" s="591"/>
      <c r="AJ340" s="591"/>
      <c r="AK340" s="591"/>
      <c r="AL340" s="591"/>
      <c r="AM340" s="591"/>
      <c r="AN340" s="591"/>
      <c r="AO340" s="591"/>
      <c r="AP340" s="591"/>
      <c r="AQ340" s="591"/>
      <c r="AR340" s="591"/>
      <c r="AS340" s="591"/>
      <c r="AT340" s="591"/>
      <c r="AU340" s="591"/>
      <c r="AV340" s="591"/>
      <c r="AW340" s="591"/>
      <c r="AX340" s="591"/>
      <c r="AY340" s="591"/>
      <c r="AZ340" s="591"/>
      <c r="BA340" s="591"/>
      <c r="BB340" s="591"/>
      <c r="BC340" s="591"/>
      <c r="BD340" s="591"/>
      <c r="BE340" s="591"/>
      <c r="BF340" s="591"/>
      <c r="BG340" s="591"/>
      <c r="BH340" s="591"/>
      <c r="BI340" s="591"/>
      <c r="BJ340" s="591"/>
      <c r="BK340" s="591"/>
      <c r="BL340" s="591"/>
      <c r="BM340" s="591"/>
      <c r="BN340" s="591"/>
      <c r="BO340" s="591"/>
      <c r="BP340" s="591"/>
      <c r="BQ340" s="591"/>
      <c r="BR340" s="591"/>
      <c r="BS340" s="591"/>
      <c r="BT340" s="591"/>
      <c r="BU340" s="591"/>
      <c r="BV340" s="591"/>
      <c r="BW340" s="591"/>
      <c r="BX340" s="591"/>
      <c r="BY340" s="591"/>
      <c r="BZ340" s="591"/>
      <c r="CA340" s="591"/>
      <c r="CB340" s="591"/>
      <c r="CC340" s="591"/>
      <c r="CD340" s="591"/>
      <c r="CE340" s="591"/>
      <c r="CF340" s="591"/>
    </row>
    <row r="341" spans="1:84">
      <c r="A341" s="591"/>
      <c r="B341" s="591"/>
      <c r="C341" s="591"/>
      <c r="D341" s="591"/>
      <c r="E341" s="591"/>
      <c r="F341" s="591"/>
      <c r="G341" s="591"/>
      <c r="H341" s="591"/>
      <c r="I341" s="591"/>
      <c r="J341" s="591"/>
      <c r="K341" s="591"/>
      <c r="L341" s="591"/>
      <c r="M341" s="591"/>
      <c r="N341" s="591"/>
      <c r="O341" s="591"/>
      <c r="P341" s="591"/>
      <c r="Q341" s="591"/>
      <c r="R341" s="591"/>
      <c r="S341" s="591"/>
      <c r="T341" s="591"/>
      <c r="U341" s="591"/>
      <c r="V341" s="591"/>
      <c r="W341" s="591"/>
      <c r="X341" s="591"/>
      <c r="Y341" s="591"/>
      <c r="Z341" s="591"/>
      <c r="AA341" s="591"/>
      <c r="AB341" s="591"/>
      <c r="AC341" s="591"/>
      <c r="AD341" s="591"/>
      <c r="AE341" s="591"/>
      <c r="AF341" s="591"/>
      <c r="AG341" s="591"/>
      <c r="AH341" s="591"/>
      <c r="AI341" s="591"/>
      <c r="AJ341" s="591"/>
      <c r="AK341" s="591"/>
      <c r="AL341" s="591"/>
      <c r="AM341" s="591"/>
      <c r="AN341" s="591"/>
      <c r="AO341" s="591"/>
      <c r="AP341" s="591"/>
      <c r="AQ341" s="591"/>
      <c r="AR341" s="591"/>
      <c r="AS341" s="591"/>
      <c r="AT341" s="591"/>
      <c r="AU341" s="591"/>
      <c r="AV341" s="591"/>
      <c r="AW341" s="591"/>
      <c r="AX341" s="591"/>
      <c r="AY341" s="591"/>
      <c r="AZ341" s="591"/>
      <c r="BA341" s="591"/>
      <c r="BB341" s="591"/>
      <c r="BC341" s="591"/>
      <c r="BD341" s="591"/>
      <c r="BE341" s="591"/>
      <c r="BF341" s="591"/>
      <c r="BG341" s="591"/>
      <c r="BH341" s="591"/>
      <c r="BI341" s="591"/>
      <c r="BJ341" s="591"/>
      <c r="BK341" s="591"/>
      <c r="BL341" s="591"/>
      <c r="BM341" s="591"/>
      <c r="BN341" s="591"/>
      <c r="BO341" s="591"/>
      <c r="BP341" s="591"/>
      <c r="BQ341" s="591"/>
      <c r="BR341" s="591"/>
      <c r="BS341" s="591"/>
      <c r="BT341" s="591"/>
      <c r="BU341" s="591"/>
      <c r="BV341" s="591"/>
      <c r="BW341" s="591"/>
      <c r="BX341" s="591"/>
      <c r="BY341" s="591"/>
      <c r="BZ341" s="591"/>
      <c r="CA341" s="591"/>
      <c r="CB341" s="591"/>
      <c r="CC341" s="591"/>
      <c r="CD341" s="591"/>
      <c r="CE341" s="591"/>
      <c r="CF341" s="591"/>
    </row>
    <row r="342" spans="1:84">
      <c r="A342" s="591"/>
      <c r="B342" s="591"/>
      <c r="C342" s="591"/>
      <c r="D342" s="591"/>
      <c r="E342" s="591"/>
      <c r="F342" s="591"/>
      <c r="G342" s="591"/>
      <c r="H342" s="591"/>
      <c r="I342" s="591"/>
      <c r="J342" s="591"/>
      <c r="K342" s="591"/>
      <c r="L342" s="591"/>
      <c r="M342" s="591"/>
      <c r="N342" s="591"/>
      <c r="O342" s="591"/>
      <c r="P342" s="591"/>
      <c r="Q342" s="591"/>
      <c r="R342" s="591"/>
      <c r="S342" s="591"/>
      <c r="T342" s="591"/>
      <c r="U342" s="591"/>
      <c r="V342" s="591"/>
      <c r="W342" s="591"/>
      <c r="X342" s="591"/>
      <c r="Y342" s="591"/>
      <c r="Z342" s="591"/>
      <c r="AA342" s="591"/>
      <c r="AB342" s="591"/>
      <c r="AC342" s="591"/>
      <c r="AD342" s="591"/>
      <c r="AE342" s="591"/>
      <c r="AF342" s="591"/>
      <c r="AG342" s="591"/>
      <c r="AH342" s="591"/>
      <c r="AI342" s="591"/>
      <c r="AJ342" s="591"/>
      <c r="AK342" s="591"/>
      <c r="AL342" s="591"/>
      <c r="AM342" s="591"/>
      <c r="AN342" s="591"/>
      <c r="AO342" s="591"/>
      <c r="AP342" s="591"/>
      <c r="AQ342" s="591"/>
      <c r="AR342" s="591"/>
      <c r="AS342" s="591"/>
      <c r="AT342" s="591"/>
      <c r="AU342" s="591"/>
      <c r="AV342" s="591"/>
      <c r="AW342" s="591"/>
      <c r="AX342" s="591"/>
      <c r="AY342" s="591"/>
      <c r="AZ342" s="591"/>
      <c r="BA342" s="591"/>
      <c r="BB342" s="591"/>
      <c r="BC342" s="591"/>
      <c r="BD342" s="591"/>
      <c r="BE342" s="591"/>
      <c r="BF342" s="591"/>
      <c r="BG342" s="591"/>
      <c r="BH342" s="591"/>
      <c r="BI342" s="591"/>
      <c r="BJ342" s="591"/>
      <c r="BK342" s="591"/>
      <c r="BL342" s="591"/>
      <c r="BM342" s="591"/>
      <c r="BN342" s="591"/>
      <c r="BO342" s="591"/>
      <c r="BP342" s="591"/>
      <c r="BQ342" s="591"/>
      <c r="BR342" s="591"/>
      <c r="BS342" s="591"/>
      <c r="BT342" s="591"/>
      <c r="BU342" s="591"/>
      <c r="BV342" s="591"/>
      <c r="BW342" s="591"/>
      <c r="BX342" s="591"/>
      <c r="BY342" s="591"/>
      <c r="BZ342" s="591"/>
      <c r="CA342" s="591"/>
      <c r="CB342" s="591"/>
      <c r="CC342" s="591"/>
      <c r="CD342" s="591"/>
      <c r="CE342" s="591"/>
      <c r="CF342" s="591"/>
    </row>
    <row r="343" spans="1:84">
      <c r="A343" s="591"/>
      <c r="B343" s="591"/>
      <c r="C343" s="591"/>
      <c r="D343" s="591"/>
      <c r="E343" s="591"/>
      <c r="F343" s="591"/>
      <c r="G343" s="591"/>
      <c r="H343" s="591"/>
      <c r="I343" s="591"/>
      <c r="J343" s="591"/>
      <c r="K343" s="591"/>
      <c r="L343" s="591"/>
      <c r="M343" s="591"/>
      <c r="N343" s="591"/>
      <c r="O343" s="591"/>
      <c r="P343" s="591"/>
      <c r="Q343" s="591"/>
      <c r="R343" s="591"/>
      <c r="S343" s="591"/>
      <c r="T343" s="591"/>
      <c r="U343" s="591"/>
      <c r="V343" s="591"/>
      <c r="W343" s="591"/>
      <c r="X343" s="591"/>
      <c r="Y343" s="591"/>
      <c r="Z343" s="591"/>
      <c r="AA343" s="591"/>
      <c r="AB343" s="591"/>
      <c r="AC343" s="591"/>
      <c r="AD343" s="591"/>
      <c r="AE343" s="591"/>
      <c r="AF343" s="591"/>
      <c r="AG343" s="591"/>
      <c r="AH343" s="591"/>
      <c r="AI343" s="591"/>
      <c r="AJ343" s="591"/>
      <c r="AK343" s="591"/>
      <c r="AL343" s="591"/>
      <c r="AM343" s="591"/>
      <c r="AN343" s="591"/>
      <c r="AO343" s="591"/>
      <c r="AP343" s="591"/>
      <c r="AQ343" s="591"/>
      <c r="AR343" s="591"/>
      <c r="AS343" s="591"/>
      <c r="AT343" s="591"/>
      <c r="AU343" s="591"/>
      <c r="AV343" s="591"/>
      <c r="AW343" s="591"/>
      <c r="AX343" s="591"/>
      <c r="AY343" s="591"/>
      <c r="AZ343" s="591"/>
      <c r="BA343" s="591"/>
      <c r="BB343" s="591"/>
      <c r="BC343" s="591"/>
      <c r="BD343" s="591"/>
      <c r="BE343" s="591"/>
      <c r="BF343" s="591"/>
      <c r="BG343" s="591"/>
      <c r="BH343" s="591"/>
      <c r="BI343" s="591"/>
      <c r="BJ343" s="591"/>
      <c r="BK343" s="591"/>
      <c r="BL343" s="591"/>
      <c r="BM343" s="591"/>
      <c r="BN343" s="591"/>
      <c r="BO343" s="591"/>
      <c r="BP343" s="591"/>
      <c r="BQ343" s="591"/>
      <c r="BR343" s="591"/>
      <c r="BS343" s="591"/>
      <c r="BT343" s="591"/>
      <c r="BU343" s="591"/>
      <c r="BV343" s="591"/>
      <c r="BW343" s="591"/>
      <c r="BX343" s="591"/>
      <c r="BY343" s="591"/>
      <c r="BZ343" s="591"/>
      <c r="CA343" s="591"/>
      <c r="CB343" s="591"/>
      <c r="CC343" s="591"/>
      <c r="CD343" s="591"/>
      <c r="CE343" s="591"/>
      <c r="CF343" s="591"/>
    </row>
    <row r="344" spans="1:84">
      <c r="A344" s="591"/>
      <c r="B344" s="591"/>
      <c r="C344" s="591"/>
      <c r="D344" s="591"/>
      <c r="E344" s="591"/>
      <c r="F344" s="591"/>
      <c r="G344" s="591"/>
      <c r="H344" s="591"/>
      <c r="I344" s="591"/>
      <c r="J344" s="591"/>
      <c r="K344" s="591"/>
      <c r="L344" s="591"/>
      <c r="M344" s="591"/>
      <c r="N344" s="591"/>
      <c r="O344" s="591"/>
      <c r="P344" s="591"/>
      <c r="Q344" s="591"/>
      <c r="R344" s="591"/>
      <c r="S344" s="591"/>
      <c r="T344" s="591"/>
      <c r="U344" s="591"/>
      <c r="V344" s="591"/>
      <c r="W344" s="591"/>
      <c r="X344" s="591"/>
      <c r="Y344" s="591"/>
      <c r="Z344" s="591"/>
      <c r="AA344" s="591"/>
      <c r="AB344" s="591"/>
      <c r="AC344" s="591"/>
      <c r="AD344" s="591"/>
      <c r="AE344" s="591"/>
      <c r="AF344" s="591"/>
      <c r="AG344" s="591"/>
      <c r="AH344" s="591"/>
      <c r="AI344" s="591"/>
      <c r="AJ344" s="591"/>
      <c r="AK344" s="591"/>
      <c r="AL344" s="591"/>
      <c r="AM344" s="591"/>
      <c r="AN344" s="591"/>
      <c r="AO344" s="591"/>
      <c r="AP344" s="591"/>
      <c r="AQ344" s="591"/>
      <c r="AR344" s="591"/>
      <c r="AS344" s="591"/>
      <c r="AT344" s="591"/>
      <c r="AU344" s="591"/>
      <c r="AV344" s="591"/>
      <c r="AW344" s="591"/>
      <c r="AX344" s="591"/>
      <c r="AY344" s="591"/>
      <c r="AZ344" s="591"/>
      <c r="BA344" s="591"/>
      <c r="BB344" s="591"/>
      <c r="BC344" s="591"/>
      <c r="BD344" s="591"/>
      <c r="BE344" s="591"/>
      <c r="BF344" s="591"/>
      <c r="BG344" s="591"/>
      <c r="BH344" s="591"/>
      <c r="BI344" s="591"/>
      <c r="BJ344" s="591"/>
      <c r="BK344" s="591"/>
      <c r="BL344" s="591"/>
      <c r="BM344" s="591"/>
      <c r="BN344" s="591"/>
      <c r="BO344" s="591"/>
      <c r="BP344" s="591"/>
      <c r="BQ344" s="591"/>
      <c r="BR344" s="591"/>
      <c r="BS344" s="591"/>
      <c r="BT344" s="591"/>
      <c r="BU344" s="591"/>
      <c r="BV344" s="591"/>
      <c r="BW344" s="591"/>
      <c r="BX344" s="591"/>
      <c r="BY344" s="591"/>
      <c r="BZ344" s="591"/>
      <c r="CA344" s="591"/>
      <c r="CB344" s="591"/>
      <c r="CC344" s="591"/>
      <c r="CD344" s="591"/>
      <c r="CE344" s="591"/>
      <c r="CF344" s="591"/>
    </row>
    <row r="345" spans="1:84">
      <c r="A345" s="591"/>
      <c r="B345" s="591"/>
      <c r="C345" s="591"/>
      <c r="D345" s="591"/>
      <c r="E345" s="591"/>
      <c r="F345" s="591"/>
      <c r="G345" s="591"/>
      <c r="H345" s="591"/>
      <c r="I345" s="591"/>
      <c r="J345" s="591"/>
      <c r="K345" s="591"/>
      <c r="L345" s="591"/>
      <c r="M345" s="591"/>
      <c r="N345" s="591"/>
      <c r="O345" s="591"/>
      <c r="P345" s="591"/>
      <c r="Q345" s="591"/>
      <c r="R345" s="591"/>
      <c r="S345" s="591"/>
      <c r="T345" s="591"/>
      <c r="U345" s="591"/>
      <c r="V345" s="591"/>
      <c r="W345" s="591"/>
      <c r="X345" s="591"/>
      <c r="Y345" s="591"/>
      <c r="Z345" s="591"/>
      <c r="AA345" s="591"/>
      <c r="AB345" s="591"/>
      <c r="AC345" s="591"/>
      <c r="AD345" s="591"/>
      <c r="AE345" s="591"/>
      <c r="AF345" s="591"/>
      <c r="AG345" s="591"/>
      <c r="AH345" s="591"/>
      <c r="AI345" s="591"/>
      <c r="AJ345" s="591"/>
      <c r="AK345" s="591"/>
      <c r="AL345" s="591"/>
      <c r="AM345" s="591"/>
      <c r="AN345" s="591"/>
      <c r="AO345" s="591"/>
      <c r="AP345" s="591"/>
      <c r="AQ345" s="591"/>
      <c r="AR345" s="591"/>
      <c r="AS345" s="591"/>
      <c r="AT345" s="591"/>
      <c r="AU345" s="591"/>
      <c r="AV345" s="591"/>
      <c r="AW345" s="591"/>
      <c r="AX345" s="591"/>
      <c r="AY345" s="591"/>
      <c r="AZ345" s="591"/>
      <c r="BA345" s="591"/>
      <c r="BB345" s="591"/>
      <c r="BC345" s="591"/>
      <c r="BD345" s="591"/>
      <c r="BE345" s="591"/>
      <c r="BF345" s="591"/>
      <c r="BG345" s="591"/>
      <c r="BH345" s="591"/>
      <c r="BI345" s="591"/>
      <c r="BJ345" s="591"/>
      <c r="BK345" s="591"/>
      <c r="BL345" s="591"/>
      <c r="BM345" s="591"/>
      <c r="BN345" s="591"/>
      <c r="BO345" s="591"/>
      <c r="BP345" s="591"/>
      <c r="BQ345" s="591"/>
      <c r="BR345" s="591"/>
      <c r="BS345" s="591"/>
      <c r="BT345" s="591"/>
      <c r="BU345" s="591"/>
      <c r="BV345" s="591"/>
      <c r="BW345" s="591"/>
      <c r="BX345" s="591"/>
      <c r="BY345" s="591"/>
      <c r="BZ345" s="591"/>
      <c r="CA345" s="591"/>
      <c r="CB345" s="591"/>
      <c r="CC345" s="591"/>
      <c r="CD345" s="591"/>
      <c r="CE345" s="591"/>
      <c r="CF345" s="591"/>
    </row>
    <row r="346" spans="1:84">
      <c r="A346" s="591"/>
      <c r="B346" s="591"/>
      <c r="C346" s="591"/>
      <c r="D346" s="591"/>
      <c r="E346" s="591"/>
      <c r="F346" s="591"/>
      <c r="G346" s="591"/>
      <c r="H346" s="591"/>
      <c r="I346" s="591"/>
      <c r="J346" s="591"/>
      <c r="K346" s="591"/>
      <c r="L346" s="591"/>
      <c r="M346" s="591"/>
      <c r="N346" s="591"/>
      <c r="O346" s="591"/>
      <c r="P346" s="591"/>
      <c r="Q346" s="591"/>
      <c r="R346" s="591"/>
      <c r="S346" s="591"/>
      <c r="T346" s="591"/>
      <c r="U346" s="591"/>
      <c r="V346" s="591"/>
      <c r="W346" s="591"/>
      <c r="X346" s="591"/>
      <c r="Y346" s="591"/>
      <c r="Z346" s="591"/>
      <c r="AA346" s="591"/>
      <c r="AB346" s="591"/>
      <c r="AC346" s="591"/>
      <c r="AD346" s="591"/>
      <c r="AE346" s="591"/>
      <c r="AF346" s="591"/>
      <c r="AG346" s="591"/>
      <c r="AH346" s="591"/>
      <c r="AI346" s="591"/>
      <c r="AJ346" s="591"/>
      <c r="AK346" s="591"/>
      <c r="AL346" s="591"/>
      <c r="AM346" s="591"/>
      <c r="AN346" s="591"/>
      <c r="AO346" s="591"/>
      <c r="AP346" s="591"/>
      <c r="AQ346" s="591"/>
      <c r="AR346" s="591"/>
      <c r="AS346" s="591"/>
      <c r="AT346" s="591"/>
      <c r="AU346" s="591"/>
      <c r="AV346" s="591"/>
      <c r="AW346" s="591"/>
      <c r="AX346" s="591"/>
      <c r="AY346" s="591"/>
      <c r="AZ346" s="591"/>
      <c r="BA346" s="591"/>
      <c r="BB346" s="591"/>
      <c r="BC346" s="591"/>
      <c r="BD346" s="591"/>
      <c r="BE346" s="591"/>
      <c r="BF346" s="591"/>
      <c r="BG346" s="591"/>
      <c r="BH346" s="591"/>
      <c r="BI346" s="591"/>
      <c r="BJ346" s="591"/>
      <c r="BK346" s="591"/>
      <c r="BL346" s="591"/>
      <c r="BM346" s="591"/>
      <c r="BN346" s="591"/>
      <c r="BO346" s="591"/>
      <c r="BP346" s="591"/>
      <c r="BQ346" s="591"/>
      <c r="BR346" s="591"/>
      <c r="BS346" s="591"/>
      <c r="BT346" s="591"/>
      <c r="BU346" s="591"/>
      <c r="BV346" s="591"/>
      <c r="BW346" s="591"/>
      <c r="BX346" s="591"/>
      <c r="BY346" s="591"/>
      <c r="BZ346" s="591"/>
      <c r="CA346" s="591"/>
      <c r="CB346" s="591"/>
      <c r="CC346" s="591"/>
      <c r="CD346" s="591"/>
      <c r="CE346" s="591"/>
      <c r="CF346" s="591"/>
    </row>
    <row r="347" spans="1:84">
      <c r="A347" s="591"/>
      <c r="B347" s="591"/>
      <c r="C347" s="591"/>
      <c r="D347" s="591"/>
      <c r="E347" s="591"/>
      <c r="F347" s="591"/>
      <c r="G347" s="591"/>
      <c r="H347" s="591"/>
      <c r="I347" s="591"/>
      <c r="J347" s="591"/>
      <c r="K347" s="591"/>
      <c r="L347" s="591"/>
      <c r="M347" s="591"/>
      <c r="N347" s="591"/>
      <c r="O347" s="591"/>
      <c r="P347" s="591"/>
      <c r="Q347" s="591"/>
      <c r="R347" s="591"/>
      <c r="S347" s="591"/>
      <c r="T347" s="591"/>
      <c r="U347" s="591"/>
      <c r="V347" s="591"/>
      <c r="W347" s="591"/>
      <c r="X347" s="591"/>
      <c r="Y347" s="591"/>
      <c r="Z347" s="591"/>
      <c r="AA347" s="591"/>
      <c r="AB347" s="591"/>
      <c r="AC347" s="591"/>
      <c r="AD347" s="591"/>
      <c r="AE347" s="591"/>
      <c r="AF347" s="591"/>
      <c r="AG347" s="591"/>
      <c r="AH347" s="591"/>
      <c r="AI347" s="591"/>
      <c r="AJ347" s="591"/>
      <c r="AK347" s="591"/>
      <c r="AL347" s="591"/>
      <c r="AM347" s="591"/>
      <c r="AN347" s="591"/>
      <c r="AO347" s="591"/>
      <c r="AP347" s="591"/>
      <c r="AQ347" s="591"/>
      <c r="AR347" s="591"/>
      <c r="AS347" s="591"/>
      <c r="AT347" s="591"/>
      <c r="AU347" s="591"/>
      <c r="AV347" s="591"/>
      <c r="AW347" s="591"/>
      <c r="AX347" s="591"/>
      <c r="AY347" s="591"/>
      <c r="AZ347" s="591"/>
      <c r="BA347" s="591"/>
      <c r="BB347" s="591"/>
      <c r="BC347" s="591"/>
      <c r="BD347" s="591"/>
      <c r="BE347" s="591"/>
      <c r="BF347" s="591"/>
      <c r="BG347" s="591"/>
      <c r="BH347" s="591"/>
      <c r="BI347" s="591"/>
      <c r="BJ347" s="591"/>
      <c r="BK347" s="591"/>
      <c r="BL347" s="591"/>
      <c r="BM347" s="591"/>
      <c r="BN347" s="591"/>
      <c r="BO347" s="591"/>
      <c r="BP347" s="591"/>
      <c r="BQ347" s="591"/>
      <c r="BR347" s="591"/>
      <c r="BS347" s="591"/>
      <c r="BT347" s="591"/>
      <c r="BU347" s="591"/>
      <c r="BV347" s="591"/>
      <c r="BW347" s="591"/>
      <c r="BX347" s="591"/>
      <c r="BY347" s="591"/>
      <c r="BZ347" s="591"/>
      <c r="CA347" s="591"/>
      <c r="CB347" s="591"/>
      <c r="CC347" s="591"/>
      <c r="CD347" s="591"/>
      <c r="CE347" s="591"/>
      <c r="CF347" s="591"/>
    </row>
    <row r="348" spans="1:84">
      <c r="A348" s="591"/>
      <c r="B348" s="591"/>
      <c r="C348" s="591"/>
      <c r="D348" s="591"/>
      <c r="E348" s="591"/>
      <c r="F348" s="591"/>
      <c r="G348" s="591"/>
      <c r="H348" s="591"/>
      <c r="I348" s="591"/>
      <c r="J348" s="591"/>
      <c r="K348" s="591"/>
      <c r="L348" s="591"/>
      <c r="M348" s="591"/>
      <c r="N348" s="591"/>
      <c r="O348" s="591"/>
      <c r="P348" s="591"/>
      <c r="Q348" s="591"/>
      <c r="R348" s="591"/>
      <c r="S348" s="591"/>
      <c r="T348" s="591"/>
      <c r="U348" s="591"/>
      <c r="V348" s="591"/>
      <c r="W348" s="591"/>
      <c r="X348" s="591"/>
      <c r="Y348" s="591"/>
      <c r="Z348" s="591"/>
      <c r="AA348" s="591"/>
      <c r="AB348" s="591"/>
      <c r="AC348" s="591"/>
      <c r="AD348" s="591"/>
      <c r="AE348" s="591"/>
      <c r="AF348" s="591"/>
      <c r="AG348" s="591"/>
      <c r="AH348" s="591"/>
      <c r="AI348" s="591"/>
      <c r="AJ348" s="591"/>
      <c r="AK348" s="591"/>
      <c r="AL348" s="591"/>
      <c r="AM348" s="591"/>
      <c r="AN348" s="591"/>
      <c r="AO348" s="591"/>
      <c r="AP348" s="591"/>
      <c r="AQ348" s="591"/>
      <c r="AR348" s="591"/>
      <c r="AS348" s="591"/>
      <c r="AT348" s="591"/>
      <c r="AU348" s="591"/>
      <c r="AV348" s="591"/>
      <c r="AW348" s="591"/>
      <c r="AX348" s="591"/>
      <c r="AY348" s="591"/>
      <c r="AZ348" s="591"/>
      <c r="BA348" s="591"/>
      <c r="BB348" s="591"/>
      <c r="BC348" s="591"/>
      <c r="BD348" s="591"/>
      <c r="BE348" s="591"/>
      <c r="BF348" s="591"/>
      <c r="BG348" s="591"/>
      <c r="BH348" s="591"/>
      <c r="BI348" s="591"/>
      <c r="BJ348" s="591"/>
      <c r="BK348" s="591"/>
      <c r="BL348" s="591"/>
      <c r="BM348" s="591"/>
      <c r="BN348" s="591"/>
      <c r="BO348" s="591"/>
      <c r="BP348" s="591"/>
      <c r="BQ348" s="591"/>
      <c r="BR348" s="591"/>
      <c r="BS348" s="591"/>
      <c r="BT348" s="591"/>
      <c r="BU348" s="591"/>
      <c r="BV348" s="591"/>
      <c r="BW348" s="591"/>
      <c r="BX348" s="591"/>
      <c r="BY348" s="591"/>
      <c r="BZ348" s="591"/>
      <c r="CA348" s="591"/>
      <c r="CB348" s="591"/>
      <c r="CC348" s="591"/>
      <c r="CD348" s="591"/>
      <c r="CE348" s="591"/>
      <c r="CF348" s="591"/>
    </row>
    <row r="349" spans="1:84">
      <c r="A349" s="591"/>
      <c r="B349" s="591"/>
      <c r="C349" s="591"/>
      <c r="D349" s="591"/>
      <c r="E349" s="591"/>
      <c r="F349" s="591"/>
      <c r="G349" s="591"/>
      <c r="H349" s="591"/>
      <c r="I349" s="591"/>
      <c r="J349" s="591"/>
      <c r="K349" s="591"/>
      <c r="L349" s="591"/>
      <c r="M349" s="591"/>
      <c r="N349" s="591"/>
      <c r="O349" s="591"/>
      <c r="P349" s="591"/>
      <c r="Q349" s="591"/>
      <c r="R349" s="591"/>
      <c r="S349" s="591"/>
      <c r="T349" s="591"/>
      <c r="U349" s="591"/>
      <c r="V349" s="591"/>
      <c r="W349" s="591"/>
      <c r="X349" s="591"/>
      <c r="Y349" s="591"/>
      <c r="Z349" s="591"/>
      <c r="AA349" s="591"/>
      <c r="AB349" s="591"/>
      <c r="AC349" s="591"/>
      <c r="AD349" s="591"/>
      <c r="AE349" s="591"/>
      <c r="AF349" s="591"/>
      <c r="AG349" s="591"/>
      <c r="AH349" s="591"/>
      <c r="AI349" s="591"/>
      <c r="AJ349" s="591"/>
      <c r="AK349" s="591"/>
      <c r="AL349" s="591"/>
      <c r="AM349" s="591"/>
      <c r="AN349" s="591"/>
      <c r="AO349" s="591"/>
      <c r="AP349" s="591"/>
      <c r="AQ349" s="591"/>
      <c r="AR349" s="591"/>
      <c r="AS349" s="591"/>
      <c r="AT349" s="591"/>
      <c r="AU349" s="591"/>
      <c r="AV349" s="591"/>
      <c r="AW349" s="591"/>
      <c r="AX349" s="591"/>
      <c r="AY349" s="591"/>
      <c r="AZ349" s="591"/>
      <c r="BA349" s="591"/>
      <c r="BB349" s="591"/>
      <c r="BC349" s="591"/>
      <c r="BD349" s="591"/>
      <c r="BE349" s="591"/>
      <c r="BF349" s="591"/>
      <c r="BG349" s="591"/>
      <c r="BH349" s="591"/>
      <c r="BI349" s="591"/>
      <c r="BJ349" s="591"/>
      <c r="BK349" s="591"/>
      <c r="BL349" s="591"/>
      <c r="BM349" s="591"/>
      <c r="BN349" s="591"/>
      <c r="BO349" s="591"/>
      <c r="BP349" s="591"/>
      <c r="BQ349" s="591"/>
      <c r="BR349" s="591"/>
      <c r="BS349" s="591"/>
      <c r="BT349" s="591"/>
      <c r="BU349" s="591"/>
      <c r="BV349" s="591"/>
      <c r="BW349" s="591"/>
      <c r="BX349" s="591"/>
      <c r="BY349" s="591"/>
      <c r="BZ349" s="591"/>
      <c r="CA349" s="591"/>
      <c r="CB349" s="591"/>
      <c r="CC349" s="591"/>
      <c r="CD349" s="591"/>
      <c r="CE349" s="591"/>
      <c r="CF349" s="591"/>
    </row>
    <row r="350" spans="1:84">
      <c r="A350" s="591"/>
      <c r="B350" s="591"/>
      <c r="C350" s="591"/>
      <c r="D350" s="591"/>
      <c r="E350" s="591"/>
      <c r="F350" s="591"/>
      <c r="G350" s="591"/>
      <c r="H350" s="591"/>
      <c r="I350" s="591"/>
      <c r="J350" s="591"/>
      <c r="K350" s="591"/>
      <c r="L350" s="591"/>
      <c r="M350" s="591"/>
      <c r="N350" s="591"/>
      <c r="O350" s="591"/>
      <c r="P350" s="591"/>
      <c r="Q350" s="591"/>
      <c r="R350" s="591"/>
      <c r="S350" s="591"/>
      <c r="T350" s="591"/>
      <c r="U350" s="591"/>
      <c r="V350" s="591"/>
      <c r="W350" s="591"/>
      <c r="X350" s="591"/>
      <c r="Y350" s="591"/>
      <c r="Z350" s="591"/>
      <c r="AA350" s="591"/>
      <c r="AB350" s="591"/>
      <c r="AC350" s="591"/>
      <c r="AD350" s="591"/>
      <c r="AE350" s="591"/>
      <c r="AF350" s="591"/>
      <c r="AG350" s="591"/>
      <c r="AH350" s="591"/>
      <c r="AI350" s="591"/>
      <c r="AJ350" s="591"/>
      <c r="AK350" s="591"/>
      <c r="AL350" s="591"/>
      <c r="AM350" s="591"/>
      <c r="AN350" s="591"/>
      <c r="AO350" s="591"/>
      <c r="AP350" s="591"/>
      <c r="AQ350" s="591"/>
      <c r="AR350" s="591"/>
      <c r="AS350" s="591"/>
      <c r="AT350" s="591"/>
      <c r="AU350" s="591"/>
      <c r="AV350" s="591"/>
      <c r="AW350" s="591"/>
      <c r="AX350" s="591"/>
      <c r="AY350" s="591"/>
      <c r="AZ350" s="591"/>
      <c r="BA350" s="591"/>
      <c r="BB350" s="591"/>
      <c r="BC350" s="591"/>
      <c r="BD350" s="591"/>
      <c r="BE350" s="591"/>
      <c r="BF350" s="591"/>
      <c r="BG350" s="591"/>
      <c r="BH350" s="591"/>
      <c r="BI350" s="591"/>
      <c r="BJ350" s="591"/>
      <c r="BK350" s="591"/>
      <c r="BL350" s="591"/>
      <c r="BM350" s="591"/>
      <c r="BN350" s="591"/>
      <c r="BO350" s="591"/>
      <c r="BP350" s="591"/>
      <c r="BQ350" s="591"/>
      <c r="BR350" s="591"/>
      <c r="BS350" s="591"/>
      <c r="BT350" s="591"/>
      <c r="BU350" s="591"/>
      <c r="BV350" s="591"/>
      <c r="BW350" s="591"/>
      <c r="BX350" s="591"/>
      <c r="BY350" s="591"/>
      <c r="BZ350" s="591"/>
      <c r="CA350" s="591"/>
      <c r="CB350" s="591"/>
      <c r="CC350" s="591"/>
      <c r="CD350" s="591"/>
      <c r="CE350" s="591"/>
      <c r="CF350" s="591"/>
    </row>
    <row r="351" spans="1:84">
      <c r="A351" s="591"/>
      <c r="B351" s="591"/>
      <c r="C351" s="591"/>
      <c r="D351" s="591"/>
      <c r="E351" s="591"/>
      <c r="F351" s="591"/>
      <c r="G351" s="591"/>
      <c r="H351" s="591"/>
      <c r="I351" s="591"/>
      <c r="J351" s="591"/>
      <c r="K351" s="591"/>
      <c r="L351" s="591"/>
      <c r="M351" s="591"/>
      <c r="N351" s="591"/>
      <c r="O351" s="591"/>
      <c r="P351" s="591"/>
      <c r="Q351" s="591"/>
      <c r="R351" s="591"/>
      <c r="S351" s="591"/>
      <c r="T351" s="591"/>
      <c r="U351" s="591"/>
      <c r="V351" s="591"/>
      <c r="W351" s="591"/>
      <c r="X351" s="591"/>
      <c r="Y351" s="591"/>
      <c r="Z351" s="591"/>
      <c r="AA351" s="591"/>
      <c r="AB351" s="591"/>
      <c r="AC351" s="591"/>
      <c r="AD351" s="591"/>
      <c r="AE351" s="591"/>
      <c r="AF351" s="591"/>
      <c r="AG351" s="591"/>
      <c r="AH351" s="591"/>
      <c r="AI351" s="591"/>
      <c r="AJ351" s="591"/>
      <c r="AK351" s="591"/>
      <c r="AL351" s="591"/>
      <c r="AM351" s="591"/>
      <c r="AN351" s="591"/>
      <c r="AO351" s="591"/>
      <c r="AP351" s="591"/>
      <c r="AQ351" s="591"/>
      <c r="AR351" s="591"/>
      <c r="AS351" s="591"/>
      <c r="AT351" s="591"/>
      <c r="AU351" s="591"/>
      <c r="AV351" s="591"/>
      <c r="AW351" s="591"/>
      <c r="AX351" s="591"/>
      <c r="AY351" s="591"/>
      <c r="AZ351" s="591"/>
      <c r="BA351" s="591"/>
      <c r="BB351" s="591"/>
      <c r="BC351" s="591"/>
      <c r="BD351" s="591"/>
      <c r="BE351" s="591"/>
      <c r="BF351" s="591"/>
      <c r="BG351" s="591"/>
      <c r="BH351" s="591"/>
      <c r="BI351" s="591"/>
      <c r="BJ351" s="591"/>
      <c r="BK351" s="591"/>
      <c r="BL351" s="591"/>
      <c r="BM351" s="591"/>
      <c r="BN351" s="591"/>
      <c r="BO351" s="591"/>
      <c r="BP351" s="591"/>
      <c r="BQ351" s="591"/>
      <c r="BR351" s="591"/>
      <c r="BS351" s="591"/>
      <c r="BT351" s="591"/>
      <c r="BU351" s="591"/>
      <c r="BV351" s="591"/>
      <c r="BW351" s="591"/>
      <c r="BX351" s="591"/>
      <c r="BY351" s="591"/>
      <c r="BZ351" s="591"/>
      <c r="CA351" s="591"/>
      <c r="CB351" s="591"/>
      <c r="CC351" s="591"/>
      <c r="CD351" s="591"/>
      <c r="CE351" s="591"/>
      <c r="CF351" s="591"/>
    </row>
    <row r="352" spans="1:84">
      <c r="A352" s="591"/>
      <c r="B352" s="591"/>
      <c r="C352" s="591"/>
      <c r="D352" s="591"/>
      <c r="E352" s="591"/>
      <c r="F352" s="591"/>
      <c r="G352" s="591"/>
      <c r="H352" s="591"/>
      <c r="I352" s="591"/>
      <c r="J352" s="591"/>
      <c r="K352" s="591"/>
      <c r="L352" s="591"/>
      <c r="M352" s="591"/>
      <c r="N352" s="591"/>
      <c r="O352" s="591"/>
      <c r="P352" s="591"/>
      <c r="Q352" s="591"/>
      <c r="R352" s="591"/>
      <c r="S352" s="591"/>
      <c r="T352" s="591"/>
      <c r="U352" s="591"/>
      <c r="V352" s="591"/>
      <c r="W352" s="591"/>
      <c r="X352" s="591"/>
      <c r="Y352" s="591"/>
      <c r="Z352" s="591"/>
      <c r="AA352" s="591"/>
      <c r="AB352" s="591"/>
      <c r="AC352" s="591"/>
      <c r="AD352" s="591"/>
      <c r="AE352" s="591"/>
      <c r="AF352" s="591"/>
      <c r="AG352" s="591"/>
      <c r="AH352" s="591"/>
      <c r="AI352" s="591"/>
      <c r="AJ352" s="591"/>
      <c r="AK352" s="591"/>
      <c r="AL352" s="591"/>
      <c r="AM352" s="591"/>
      <c r="AN352" s="591"/>
      <c r="AO352" s="591"/>
      <c r="AP352" s="591"/>
      <c r="AQ352" s="591"/>
      <c r="AR352" s="591"/>
      <c r="AS352" s="591"/>
      <c r="AT352" s="591"/>
      <c r="AU352" s="591"/>
      <c r="AV352" s="591"/>
      <c r="AW352" s="591"/>
      <c r="AX352" s="591"/>
      <c r="AY352" s="591"/>
      <c r="AZ352" s="591"/>
      <c r="BA352" s="591"/>
      <c r="BB352" s="591"/>
      <c r="BC352" s="591"/>
      <c r="BD352" s="591"/>
      <c r="BE352" s="591"/>
      <c r="BF352" s="591"/>
      <c r="BG352" s="591"/>
      <c r="BH352" s="591"/>
      <c r="BI352" s="591"/>
      <c r="BJ352" s="591"/>
      <c r="BK352" s="591"/>
      <c r="BL352" s="591"/>
      <c r="BM352" s="591"/>
      <c r="BN352" s="591"/>
      <c r="BO352" s="591"/>
      <c r="BP352" s="591"/>
      <c r="BQ352" s="591"/>
      <c r="BR352" s="591"/>
      <c r="BS352" s="591"/>
      <c r="BT352" s="591"/>
      <c r="BU352" s="591"/>
      <c r="BV352" s="591"/>
      <c r="BW352" s="591"/>
      <c r="BX352" s="591"/>
      <c r="BY352" s="591"/>
      <c r="BZ352" s="591"/>
      <c r="CA352" s="591"/>
      <c r="CB352" s="591"/>
      <c r="CC352" s="591"/>
      <c r="CD352" s="591"/>
      <c r="CE352" s="591"/>
      <c r="CF352" s="591"/>
    </row>
    <row r="353" spans="1:84">
      <c r="A353" s="591"/>
      <c r="B353" s="591"/>
      <c r="C353" s="591"/>
      <c r="D353" s="591"/>
      <c r="E353" s="591"/>
      <c r="F353" s="591"/>
      <c r="G353" s="591"/>
      <c r="H353" s="591"/>
      <c r="I353" s="591"/>
      <c r="J353" s="591"/>
      <c r="K353" s="591"/>
      <c r="L353" s="591"/>
      <c r="M353" s="591"/>
      <c r="N353" s="591"/>
      <c r="O353" s="591"/>
      <c r="P353" s="591"/>
      <c r="Q353" s="591"/>
      <c r="R353" s="591"/>
      <c r="S353" s="591"/>
      <c r="T353" s="591"/>
      <c r="U353" s="591"/>
      <c r="V353" s="591"/>
      <c r="W353" s="591"/>
      <c r="X353" s="591"/>
      <c r="Y353" s="591"/>
      <c r="Z353" s="591"/>
      <c r="AA353" s="591"/>
      <c r="AB353" s="591"/>
      <c r="AC353" s="591"/>
      <c r="AD353" s="591"/>
      <c r="AE353" s="591"/>
      <c r="AF353" s="591"/>
      <c r="AG353" s="591"/>
      <c r="AH353" s="591"/>
      <c r="AI353" s="591"/>
      <c r="AJ353" s="591"/>
      <c r="AK353" s="591"/>
      <c r="AL353" s="591"/>
      <c r="AM353" s="591"/>
      <c r="AN353" s="591"/>
      <c r="AO353" s="591"/>
      <c r="AP353" s="591"/>
      <c r="AQ353" s="591"/>
      <c r="AR353" s="591"/>
      <c r="AS353" s="591"/>
      <c r="AT353" s="591"/>
      <c r="AU353" s="591"/>
      <c r="AV353" s="591"/>
      <c r="AW353" s="591"/>
      <c r="AX353" s="591"/>
      <c r="AY353" s="591"/>
      <c r="AZ353" s="591"/>
      <c r="BA353" s="591"/>
      <c r="BB353" s="591"/>
      <c r="BC353" s="591"/>
      <c r="BD353" s="591"/>
      <c r="BE353" s="591"/>
      <c r="BF353" s="591"/>
      <c r="BG353" s="591"/>
      <c r="BH353" s="591"/>
      <c r="BI353" s="591"/>
      <c r="BJ353" s="591"/>
      <c r="BK353" s="591"/>
      <c r="BL353" s="591"/>
      <c r="BM353" s="591"/>
      <c r="BN353" s="591"/>
      <c r="BO353" s="591"/>
      <c r="BP353" s="591"/>
      <c r="BQ353" s="591"/>
      <c r="BR353" s="591"/>
      <c r="BS353" s="591"/>
      <c r="BT353" s="591"/>
      <c r="BU353" s="591"/>
      <c r="BV353" s="591"/>
      <c r="BW353" s="591"/>
      <c r="BX353" s="591"/>
      <c r="BY353" s="591"/>
      <c r="BZ353" s="591"/>
      <c r="CA353" s="591"/>
      <c r="CB353" s="591"/>
      <c r="CC353" s="591"/>
      <c r="CD353" s="591"/>
      <c r="CE353" s="591"/>
      <c r="CF353" s="591"/>
    </row>
    <row r="354" spans="1:84">
      <c r="A354" s="591"/>
      <c r="B354" s="591"/>
      <c r="C354" s="591"/>
      <c r="D354" s="591"/>
      <c r="E354" s="591"/>
      <c r="F354" s="591"/>
      <c r="G354" s="591"/>
      <c r="H354" s="591"/>
      <c r="I354" s="591"/>
      <c r="J354" s="591"/>
      <c r="K354" s="591"/>
      <c r="L354" s="591"/>
      <c r="M354" s="591"/>
      <c r="N354" s="591"/>
      <c r="O354" s="591"/>
      <c r="P354" s="591"/>
      <c r="Q354" s="591"/>
      <c r="R354" s="591"/>
      <c r="S354" s="591"/>
      <c r="T354" s="591"/>
      <c r="U354" s="591"/>
      <c r="V354" s="591"/>
      <c r="W354" s="591"/>
      <c r="X354" s="591"/>
      <c r="Y354" s="591"/>
      <c r="Z354" s="591"/>
      <c r="AA354" s="591"/>
      <c r="AB354" s="591"/>
      <c r="AC354" s="591"/>
      <c r="AD354" s="591"/>
      <c r="AE354" s="591"/>
      <c r="AF354" s="591"/>
      <c r="AG354" s="591"/>
      <c r="AH354" s="591"/>
      <c r="AI354" s="591"/>
      <c r="AJ354" s="591"/>
      <c r="AK354" s="591"/>
      <c r="AL354" s="591"/>
      <c r="AM354" s="591"/>
      <c r="AN354" s="591"/>
      <c r="AO354" s="591"/>
      <c r="AP354" s="591"/>
      <c r="AQ354" s="591"/>
      <c r="AR354" s="591"/>
      <c r="AS354" s="591"/>
      <c r="AT354" s="591"/>
      <c r="AU354" s="591"/>
      <c r="AV354" s="591"/>
      <c r="AW354" s="591"/>
      <c r="AX354" s="591"/>
      <c r="AY354" s="591"/>
      <c r="AZ354" s="591"/>
      <c r="BA354" s="591"/>
      <c r="BB354" s="591"/>
      <c r="BC354" s="591"/>
      <c r="BD354" s="591"/>
      <c r="BE354" s="591"/>
      <c r="BF354" s="591"/>
      <c r="BG354" s="591"/>
      <c r="BH354" s="591"/>
      <c r="BI354" s="591"/>
      <c r="BJ354" s="591"/>
      <c r="BK354" s="591"/>
      <c r="BL354" s="591"/>
      <c r="BM354" s="591"/>
      <c r="BN354" s="591"/>
      <c r="BO354" s="591"/>
      <c r="BP354" s="591"/>
      <c r="BQ354" s="591"/>
      <c r="BR354" s="591"/>
      <c r="BS354" s="591"/>
      <c r="BT354" s="591"/>
      <c r="BU354" s="591"/>
      <c r="BV354" s="591"/>
      <c r="BW354" s="591"/>
      <c r="BX354" s="591"/>
      <c r="BY354" s="591"/>
      <c r="BZ354" s="591"/>
      <c r="CA354" s="591"/>
      <c r="CB354" s="591"/>
      <c r="CC354" s="591"/>
      <c r="CD354" s="591"/>
      <c r="CE354" s="591"/>
      <c r="CF354" s="591"/>
    </row>
    <row r="355" spans="1:84">
      <c r="A355" s="591"/>
      <c r="B355" s="591"/>
      <c r="C355" s="591"/>
      <c r="D355" s="591"/>
      <c r="E355" s="591"/>
      <c r="F355" s="591"/>
      <c r="G355" s="591"/>
      <c r="H355" s="591"/>
      <c r="I355" s="591"/>
      <c r="J355" s="591"/>
      <c r="K355" s="591"/>
      <c r="L355" s="591"/>
      <c r="M355" s="591"/>
      <c r="N355" s="591"/>
      <c r="O355" s="591"/>
      <c r="P355" s="591"/>
      <c r="Q355" s="591"/>
      <c r="R355" s="591"/>
      <c r="S355" s="591"/>
      <c r="T355" s="591"/>
      <c r="U355" s="591"/>
      <c r="V355" s="591"/>
      <c r="W355" s="591"/>
      <c r="X355" s="591"/>
      <c r="Y355" s="591"/>
      <c r="Z355" s="591"/>
      <c r="AA355" s="591"/>
      <c r="AB355" s="591"/>
      <c r="AC355" s="591"/>
      <c r="AD355" s="591"/>
      <c r="AE355" s="591"/>
      <c r="AF355" s="591"/>
      <c r="AG355" s="591"/>
      <c r="AH355" s="591"/>
      <c r="AI355" s="591"/>
      <c r="AJ355" s="591"/>
      <c r="AK355" s="591"/>
      <c r="AL355" s="591"/>
      <c r="AM355" s="591"/>
      <c r="AN355" s="591"/>
      <c r="AO355" s="591"/>
      <c r="AP355" s="591"/>
      <c r="AQ355" s="591"/>
      <c r="AR355" s="591"/>
      <c r="AS355" s="591"/>
      <c r="AT355" s="591"/>
      <c r="AU355" s="591"/>
      <c r="AV355" s="591"/>
      <c r="AW355" s="591"/>
      <c r="AX355" s="591"/>
      <c r="AY355" s="591"/>
      <c r="AZ355" s="591"/>
      <c r="BA355" s="591"/>
      <c r="BB355" s="591"/>
      <c r="BC355" s="591"/>
      <c r="BD355" s="591"/>
      <c r="BE355" s="591"/>
      <c r="BF355" s="591"/>
      <c r="BG355" s="591"/>
      <c r="BH355" s="591"/>
      <c r="BI355" s="591"/>
      <c r="BJ355" s="591"/>
      <c r="BK355" s="591"/>
      <c r="BL355" s="591"/>
      <c r="BM355" s="591"/>
      <c r="BN355" s="591"/>
      <c r="BO355" s="591"/>
      <c r="BP355" s="591"/>
      <c r="BQ355" s="591"/>
      <c r="BR355" s="591"/>
      <c r="BS355" s="591"/>
      <c r="BT355" s="591"/>
      <c r="BU355" s="591"/>
      <c r="BV355" s="591"/>
      <c r="BW355" s="591"/>
      <c r="BX355" s="591"/>
      <c r="BY355" s="591"/>
      <c r="BZ355" s="591"/>
      <c r="CA355" s="591"/>
      <c r="CB355" s="591"/>
      <c r="CC355" s="591"/>
      <c r="CD355" s="591"/>
      <c r="CE355" s="591"/>
      <c r="CF355" s="591"/>
    </row>
    <row r="356" spans="1:84">
      <c r="A356" s="591"/>
      <c r="B356" s="591"/>
      <c r="C356" s="591"/>
      <c r="D356" s="591"/>
      <c r="E356" s="591"/>
      <c r="F356" s="591"/>
      <c r="G356" s="591"/>
      <c r="H356" s="591"/>
      <c r="I356" s="591"/>
      <c r="J356" s="591"/>
      <c r="K356" s="591"/>
      <c r="L356" s="591"/>
      <c r="M356" s="591"/>
      <c r="N356" s="591"/>
      <c r="O356" s="591"/>
      <c r="P356" s="591"/>
      <c r="Q356" s="591"/>
      <c r="R356" s="591"/>
      <c r="S356" s="591"/>
      <c r="T356" s="591"/>
      <c r="U356" s="591"/>
      <c r="V356" s="591"/>
      <c r="W356" s="591"/>
      <c r="X356" s="591"/>
      <c r="Y356" s="591"/>
      <c r="Z356" s="591"/>
      <c r="AA356" s="591"/>
      <c r="AB356" s="591"/>
      <c r="AC356" s="591"/>
      <c r="AD356" s="591"/>
      <c r="AE356" s="591"/>
      <c r="AF356" s="591"/>
      <c r="AG356" s="591"/>
      <c r="AH356" s="591"/>
      <c r="AI356" s="591"/>
      <c r="AJ356" s="591"/>
      <c r="AK356" s="591"/>
      <c r="AL356" s="591"/>
      <c r="AM356" s="591"/>
      <c r="AN356" s="591"/>
      <c r="AO356" s="591"/>
      <c r="AP356" s="591"/>
      <c r="AQ356" s="591"/>
      <c r="AR356" s="591"/>
      <c r="AS356" s="591"/>
      <c r="AT356" s="591"/>
      <c r="AU356" s="591"/>
      <c r="AV356" s="591"/>
      <c r="AW356" s="591"/>
      <c r="AX356" s="591"/>
      <c r="AY356" s="591"/>
      <c r="AZ356" s="591"/>
      <c r="BA356" s="591"/>
      <c r="BB356" s="591"/>
      <c r="BC356" s="591"/>
      <c r="BD356" s="591"/>
      <c r="BE356" s="591"/>
      <c r="BF356" s="591"/>
      <c r="BG356" s="591"/>
      <c r="BH356" s="591"/>
      <c r="BI356" s="591"/>
      <c r="BJ356" s="591"/>
      <c r="BK356" s="591"/>
      <c r="BL356" s="591"/>
      <c r="BM356" s="591"/>
      <c r="BN356" s="591"/>
      <c r="BO356" s="591"/>
      <c r="BP356" s="591"/>
      <c r="BQ356" s="591"/>
      <c r="BR356" s="591"/>
      <c r="BS356" s="591"/>
      <c r="BT356" s="591"/>
      <c r="BU356" s="591"/>
      <c r="BV356" s="591"/>
      <c r="BW356" s="591"/>
      <c r="BX356" s="591"/>
      <c r="BY356" s="591"/>
      <c r="BZ356" s="591"/>
      <c r="CA356" s="591"/>
      <c r="CB356" s="591"/>
      <c r="CC356" s="591"/>
      <c r="CD356" s="591"/>
      <c r="CE356" s="591"/>
      <c r="CF356" s="591"/>
    </row>
    <row r="357" spans="1:84">
      <c r="A357" s="591"/>
      <c r="B357" s="591"/>
      <c r="C357" s="591"/>
      <c r="D357" s="591"/>
      <c r="E357" s="591"/>
      <c r="F357" s="591"/>
      <c r="G357" s="591"/>
      <c r="H357" s="591"/>
      <c r="I357" s="591"/>
      <c r="J357" s="591"/>
      <c r="K357" s="591"/>
      <c r="L357" s="591"/>
      <c r="M357" s="591"/>
      <c r="N357" s="591"/>
      <c r="O357" s="591"/>
      <c r="P357" s="591"/>
      <c r="Q357" s="591"/>
      <c r="R357" s="591"/>
      <c r="S357" s="591"/>
      <c r="T357" s="591"/>
      <c r="U357" s="591"/>
      <c r="V357" s="591"/>
      <c r="W357" s="591"/>
      <c r="X357" s="591"/>
      <c r="Y357" s="591"/>
      <c r="Z357" s="591"/>
      <c r="AA357" s="591"/>
      <c r="AB357" s="591"/>
      <c r="AC357" s="591"/>
      <c r="AD357" s="591"/>
      <c r="AE357" s="591"/>
      <c r="AF357" s="591"/>
      <c r="AG357" s="591"/>
      <c r="AH357" s="591"/>
      <c r="AI357" s="591"/>
      <c r="AJ357" s="591"/>
      <c r="AK357" s="591"/>
      <c r="AL357" s="591"/>
      <c r="AM357" s="591"/>
      <c r="AN357" s="591"/>
      <c r="AO357" s="591"/>
      <c r="AP357" s="591"/>
      <c r="AQ357" s="591"/>
      <c r="AR357" s="591"/>
      <c r="AS357" s="591"/>
      <c r="AT357" s="591"/>
      <c r="AU357" s="591"/>
      <c r="AV357" s="591"/>
      <c r="AW357" s="591"/>
      <c r="AX357" s="591"/>
      <c r="AY357" s="591"/>
      <c r="AZ357" s="591"/>
      <c r="BA357" s="591"/>
      <c r="BB357" s="591"/>
      <c r="BC357" s="591"/>
      <c r="BD357" s="591"/>
      <c r="BE357" s="591"/>
      <c r="BF357" s="591"/>
      <c r="BG357" s="591"/>
      <c r="BH357" s="591"/>
      <c r="BI357" s="591"/>
      <c r="BJ357" s="591"/>
      <c r="BK357" s="591"/>
      <c r="BL357" s="591"/>
      <c r="BM357" s="591"/>
      <c r="BN357" s="591"/>
      <c r="BO357" s="591"/>
      <c r="BP357" s="591"/>
      <c r="BQ357" s="591"/>
      <c r="BR357" s="591"/>
      <c r="BS357" s="591"/>
      <c r="BT357" s="591"/>
      <c r="BU357" s="591"/>
      <c r="BV357" s="591"/>
      <c r="BW357" s="591"/>
      <c r="BX357" s="591"/>
      <c r="BY357" s="591"/>
      <c r="BZ357" s="591"/>
      <c r="CA357" s="591"/>
      <c r="CB357" s="591"/>
      <c r="CC357" s="591"/>
      <c r="CD357" s="591"/>
      <c r="CE357" s="591"/>
      <c r="CF357" s="591"/>
    </row>
    <row r="358" spans="1:84">
      <c r="A358" s="591"/>
      <c r="B358" s="591"/>
      <c r="C358" s="591"/>
      <c r="D358" s="591"/>
      <c r="E358" s="591"/>
      <c r="F358" s="591"/>
      <c r="G358" s="591"/>
      <c r="H358" s="591"/>
      <c r="I358" s="591"/>
      <c r="J358" s="591"/>
      <c r="K358" s="591"/>
      <c r="L358" s="591"/>
      <c r="M358" s="591"/>
      <c r="N358" s="591"/>
      <c r="O358" s="591"/>
      <c r="P358" s="591"/>
      <c r="Q358" s="591"/>
      <c r="R358" s="591"/>
      <c r="S358" s="591"/>
      <c r="T358" s="591"/>
      <c r="U358" s="591"/>
      <c r="V358" s="591"/>
      <c r="W358" s="591"/>
      <c r="X358" s="591"/>
      <c r="Y358" s="591"/>
      <c r="Z358" s="591"/>
      <c r="AA358" s="591"/>
      <c r="AB358" s="591"/>
      <c r="AC358" s="591"/>
      <c r="AD358" s="591"/>
      <c r="AE358" s="591"/>
      <c r="AF358" s="591"/>
      <c r="AG358" s="591"/>
      <c r="AH358" s="591"/>
      <c r="AI358" s="591"/>
      <c r="AJ358" s="591"/>
      <c r="AK358" s="591"/>
      <c r="AL358" s="591"/>
      <c r="AM358" s="591"/>
      <c r="AN358" s="591"/>
      <c r="AO358" s="591"/>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1"/>
      <c r="BM358" s="591"/>
      <c r="BN358" s="591"/>
      <c r="BO358" s="591"/>
      <c r="BP358" s="591"/>
      <c r="BQ358" s="591"/>
      <c r="BR358" s="591"/>
      <c r="BS358" s="591"/>
      <c r="BT358" s="591"/>
      <c r="BU358" s="591"/>
      <c r="BV358" s="591"/>
      <c r="BW358" s="591"/>
      <c r="BX358" s="591"/>
      <c r="BY358" s="591"/>
      <c r="BZ358" s="591"/>
      <c r="CA358" s="591"/>
      <c r="CB358" s="591"/>
      <c r="CC358" s="591"/>
      <c r="CD358" s="591"/>
      <c r="CE358" s="591"/>
      <c r="CF358" s="591"/>
    </row>
    <row r="359" spans="1:84">
      <c r="A359" s="591"/>
      <c r="B359" s="591"/>
      <c r="C359" s="591"/>
      <c r="D359" s="591"/>
      <c r="E359" s="591"/>
      <c r="F359" s="591"/>
      <c r="G359" s="591"/>
      <c r="H359" s="591"/>
      <c r="I359" s="591"/>
      <c r="J359" s="591"/>
      <c r="K359" s="591"/>
      <c r="L359" s="591"/>
      <c r="M359" s="591"/>
      <c r="N359" s="591"/>
      <c r="O359" s="591"/>
      <c r="P359" s="591"/>
      <c r="Q359" s="591"/>
      <c r="R359" s="591"/>
      <c r="S359" s="591"/>
      <c r="T359" s="591"/>
      <c r="U359" s="591"/>
      <c r="V359" s="591"/>
      <c r="W359" s="591"/>
      <c r="X359" s="591"/>
      <c r="Y359" s="591"/>
      <c r="Z359" s="591"/>
      <c r="AA359" s="591"/>
      <c r="AB359" s="591"/>
      <c r="AC359" s="591"/>
      <c r="AD359" s="591"/>
      <c r="AE359" s="591"/>
      <c r="AF359" s="591"/>
      <c r="AG359" s="591"/>
      <c r="AH359" s="591"/>
      <c r="AI359" s="591"/>
      <c r="AJ359" s="591"/>
      <c r="AK359" s="591"/>
      <c r="AL359" s="591"/>
      <c r="AM359" s="591"/>
      <c r="AN359" s="591"/>
      <c r="AO359" s="591"/>
      <c r="AP359" s="591"/>
      <c r="AQ359" s="591"/>
      <c r="AR359" s="591"/>
      <c r="AS359" s="591"/>
      <c r="AT359" s="591"/>
      <c r="AU359" s="591"/>
      <c r="AV359" s="591"/>
      <c r="AW359" s="591"/>
      <c r="AX359" s="591"/>
      <c r="AY359" s="591"/>
      <c r="AZ359" s="591"/>
      <c r="BA359" s="591"/>
      <c r="BB359" s="591"/>
      <c r="BC359" s="591"/>
      <c r="BD359" s="591"/>
      <c r="BE359" s="591"/>
      <c r="BF359" s="591"/>
      <c r="BG359" s="591"/>
      <c r="BH359" s="591"/>
      <c r="BI359" s="591"/>
      <c r="BJ359" s="591"/>
      <c r="BK359" s="591"/>
      <c r="BL359" s="591"/>
      <c r="BM359" s="591"/>
      <c r="BN359" s="591"/>
      <c r="BO359" s="591"/>
      <c r="BP359" s="591"/>
      <c r="BQ359" s="591"/>
      <c r="BR359" s="591"/>
      <c r="BS359" s="591"/>
      <c r="BT359" s="591"/>
      <c r="BU359" s="591"/>
      <c r="BV359" s="591"/>
      <c r="BW359" s="591"/>
      <c r="BX359" s="591"/>
      <c r="BY359" s="591"/>
      <c r="BZ359" s="591"/>
      <c r="CA359" s="591"/>
      <c r="CB359" s="591"/>
      <c r="CC359" s="591"/>
      <c r="CD359" s="591"/>
      <c r="CE359" s="591"/>
      <c r="CF359" s="591"/>
    </row>
    <row r="360" spans="1:84">
      <c r="A360" s="591"/>
      <c r="B360" s="591"/>
      <c r="C360" s="591"/>
      <c r="D360" s="591"/>
      <c r="E360" s="591"/>
      <c r="F360" s="591"/>
      <c r="G360" s="591"/>
      <c r="H360" s="591"/>
      <c r="I360" s="591"/>
      <c r="J360" s="591"/>
      <c r="K360" s="591"/>
      <c r="L360" s="591"/>
      <c r="M360" s="591"/>
      <c r="N360" s="591"/>
      <c r="O360" s="591"/>
      <c r="P360" s="591"/>
      <c r="Q360" s="591"/>
      <c r="R360" s="591"/>
      <c r="S360" s="591"/>
      <c r="T360" s="591"/>
      <c r="U360" s="591"/>
      <c r="V360" s="591"/>
      <c r="W360" s="591"/>
      <c r="X360" s="591"/>
      <c r="Y360" s="591"/>
      <c r="Z360" s="591"/>
      <c r="AA360" s="591"/>
      <c r="AB360" s="591"/>
      <c r="AC360" s="591"/>
      <c r="AD360" s="591"/>
      <c r="AE360" s="591"/>
      <c r="AF360" s="591"/>
      <c r="AG360" s="591"/>
      <c r="AH360" s="591"/>
      <c r="AI360" s="591"/>
      <c r="AJ360" s="591"/>
      <c r="AK360" s="591"/>
      <c r="AL360" s="591"/>
      <c r="AM360" s="591"/>
      <c r="AN360" s="591"/>
      <c r="AO360" s="591"/>
      <c r="AP360" s="591"/>
      <c r="AQ360" s="591"/>
      <c r="AR360" s="591"/>
      <c r="AS360" s="591"/>
      <c r="AT360" s="591"/>
      <c r="AU360" s="591"/>
      <c r="AV360" s="591"/>
      <c r="AW360" s="591"/>
      <c r="AX360" s="591"/>
      <c r="AY360" s="591"/>
      <c r="AZ360" s="591"/>
      <c r="BA360" s="591"/>
      <c r="BB360" s="591"/>
      <c r="BC360" s="591"/>
      <c r="BD360" s="591"/>
      <c r="BE360" s="591"/>
      <c r="BF360" s="591"/>
      <c r="BG360" s="591"/>
      <c r="BH360" s="591"/>
      <c r="BI360" s="591"/>
      <c r="BJ360" s="591"/>
      <c r="BK360" s="591"/>
      <c r="BL360" s="591"/>
      <c r="BM360" s="591"/>
      <c r="BN360" s="591"/>
      <c r="BO360" s="591"/>
      <c r="BP360" s="591"/>
      <c r="BQ360" s="591"/>
      <c r="BR360" s="591"/>
      <c r="BS360" s="591"/>
      <c r="BT360" s="591"/>
      <c r="BU360" s="591"/>
      <c r="BV360" s="591"/>
      <c r="BW360" s="591"/>
      <c r="BX360" s="591"/>
      <c r="BY360" s="591"/>
      <c r="BZ360" s="591"/>
      <c r="CA360" s="591"/>
      <c r="CB360" s="591"/>
      <c r="CC360" s="591"/>
      <c r="CD360" s="591"/>
      <c r="CE360" s="591"/>
      <c r="CF360" s="591"/>
    </row>
    <row r="361" spans="1:84">
      <c r="A361" s="591"/>
      <c r="B361" s="591"/>
      <c r="C361" s="591"/>
      <c r="D361" s="591"/>
      <c r="E361" s="591"/>
      <c r="F361" s="591"/>
      <c r="G361" s="591"/>
      <c r="H361" s="591"/>
      <c r="I361" s="591"/>
      <c r="J361" s="591"/>
      <c r="K361" s="591"/>
      <c r="L361" s="591"/>
      <c r="M361" s="591"/>
      <c r="N361" s="591"/>
      <c r="O361" s="591"/>
      <c r="P361" s="591"/>
      <c r="Q361" s="591"/>
      <c r="R361" s="591"/>
      <c r="S361" s="591"/>
      <c r="T361" s="591"/>
      <c r="U361" s="591"/>
      <c r="V361" s="591"/>
      <c r="W361" s="591"/>
      <c r="X361" s="591"/>
      <c r="Y361" s="591"/>
      <c r="Z361" s="591"/>
      <c r="AA361" s="591"/>
      <c r="AB361" s="591"/>
      <c r="AC361" s="591"/>
      <c r="AD361" s="591"/>
      <c r="AE361" s="591"/>
      <c r="AF361" s="591"/>
      <c r="AG361" s="591"/>
      <c r="AH361" s="591"/>
      <c r="AI361" s="591"/>
      <c r="AJ361" s="591"/>
      <c r="AK361" s="591"/>
      <c r="AL361" s="591"/>
      <c r="AM361" s="591"/>
      <c r="AN361" s="591"/>
      <c r="AO361" s="591"/>
      <c r="AP361" s="591"/>
      <c r="AQ361" s="591"/>
      <c r="AR361" s="591"/>
      <c r="AS361" s="591"/>
      <c r="AT361" s="591"/>
      <c r="AU361" s="591"/>
      <c r="AV361" s="591"/>
      <c r="AW361" s="591"/>
      <c r="AX361" s="591"/>
      <c r="AY361" s="591"/>
      <c r="AZ361" s="591"/>
      <c r="BA361" s="591"/>
      <c r="BB361" s="591"/>
      <c r="BC361" s="591"/>
      <c r="BD361" s="591"/>
      <c r="BE361" s="591"/>
      <c r="BF361" s="591"/>
      <c r="BG361" s="591"/>
      <c r="BH361" s="591"/>
      <c r="BI361" s="591"/>
      <c r="BJ361" s="591"/>
      <c r="BK361" s="591"/>
      <c r="BL361" s="591"/>
      <c r="BM361" s="591"/>
      <c r="BN361" s="591"/>
      <c r="BO361" s="591"/>
      <c r="BP361" s="591"/>
      <c r="BQ361" s="591"/>
      <c r="BR361" s="591"/>
      <c r="BS361" s="591"/>
      <c r="BT361" s="591"/>
      <c r="BU361" s="591"/>
      <c r="BV361" s="591"/>
      <c r="BW361" s="591"/>
      <c r="BX361" s="591"/>
      <c r="BY361" s="591"/>
      <c r="BZ361" s="591"/>
      <c r="CA361" s="591"/>
      <c r="CB361" s="591"/>
      <c r="CC361" s="591"/>
      <c r="CD361" s="591"/>
      <c r="CE361" s="591"/>
      <c r="CF361" s="591"/>
    </row>
    <row r="362" spans="1:84">
      <c r="A362" s="591"/>
      <c r="B362" s="591"/>
      <c r="C362" s="591"/>
      <c r="D362" s="591"/>
      <c r="E362" s="591"/>
      <c r="F362" s="591"/>
      <c r="G362" s="591"/>
      <c r="H362" s="591"/>
      <c r="I362" s="591"/>
      <c r="J362" s="591"/>
      <c r="K362" s="591"/>
      <c r="L362" s="591"/>
      <c r="M362" s="591"/>
      <c r="N362" s="591"/>
      <c r="O362" s="591"/>
      <c r="P362" s="591"/>
      <c r="Q362" s="591"/>
      <c r="R362" s="591"/>
      <c r="S362" s="591"/>
      <c r="T362" s="591"/>
      <c r="U362" s="591"/>
      <c r="V362" s="591"/>
      <c r="W362" s="591"/>
      <c r="X362" s="591"/>
      <c r="Y362" s="591"/>
      <c r="Z362" s="591"/>
      <c r="AA362" s="591"/>
      <c r="AB362" s="591"/>
      <c r="AC362" s="591"/>
      <c r="AD362" s="591"/>
      <c r="AE362" s="591"/>
      <c r="AF362" s="591"/>
      <c r="AG362" s="591"/>
      <c r="AH362" s="591"/>
      <c r="AI362" s="591"/>
      <c r="AJ362" s="591"/>
      <c r="AK362" s="591"/>
      <c r="AL362" s="591"/>
      <c r="AM362" s="591"/>
      <c r="AN362" s="591"/>
      <c r="AO362" s="591"/>
      <c r="AP362" s="591"/>
      <c r="AQ362" s="591"/>
      <c r="AR362" s="591"/>
      <c r="AS362" s="591"/>
      <c r="AT362" s="591"/>
      <c r="AU362" s="591"/>
      <c r="AV362" s="591"/>
      <c r="AW362" s="591"/>
      <c r="AX362" s="591"/>
      <c r="AY362" s="591"/>
      <c r="AZ362" s="591"/>
      <c r="BA362" s="591"/>
      <c r="BB362" s="591"/>
      <c r="BC362" s="591"/>
      <c r="BD362" s="591"/>
      <c r="BE362" s="591"/>
      <c r="BF362" s="591"/>
      <c r="BG362" s="591"/>
      <c r="BH362" s="591"/>
      <c r="BI362" s="591"/>
      <c r="BJ362" s="591"/>
      <c r="BK362" s="591"/>
      <c r="BL362" s="591"/>
      <c r="BM362" s="591"/>
      <c r="BN362" s="591"/>
      <c r="BO362" s="591"/>
      <c r="BP362" s="591"/>
      <c r="BQ362" s="591"/>
      <c r="BR362" s="591"/>
      <c r="BS362" s="591"/>
      <c r="BT362" s="591"/>
      <c r="BU362" s="591"/>
      <c r="BV362" s="591"/>
      <c r="BW362" s="591"/>
      <c r="BX362" s="591"/>
      <c r="BY362" s="591"/>
      <c r="BZ362" s="591"/>
      <c r="CA362" s="591"/>
      <c r="CB362" s="591"/>
      <c r="CC362" s="591"/>
      <c r="CD362" s="591"/>
      <c r="CE362" s="591"/>
      <c r="CF362" s="591"/>
    </row>
    <row r="363" spans="1:84">
      <c r="A363" s="591"/>
      <c r="B363" s="591"/>
      <c r="C363" s="591"/>
      <c r="D363" s="591"/>
      <c r="E363" s="591"/>
      <c r="F363" s="591"/>
      <c r="G363" s="591"/>
      <c r="H363" s="591"/>
      <c r="I363" s="591"/>
      <c r="J363" s="591"/>
      <c r="K363" s="591"/>
      <c r="L363" s="591"/>
      <c r="M363" s="591"/>
      <c r="N363" s="591"/>
      <c r="O363" s="591"/>
      <c r="P363" s="591"/>
      <c r="Q363" s="591"/>
      <c r="R363" s="591"/>
      <c r="S363" s="591"/>
      <c r="T363" s="591"/>
      <c r="U363" s="591"/>
      <c r="V363" s="591"/>
      <c r="W363" s="591"/>
      <c r="X363" s="591"/>
      <c r="Y363" s="591"/>
      <c r="Z363" s="591"/>
      <c r="AA363" s="591"/>
      <c r="AB363" s="591"/>
      <c r="AC363" s="591"/>
      <c r="AD363" s="591"/>
      <c r="AE363" s="591"/>
      <c r="AF363" s="591"/>
      <c r="AG363" s="591"/>
      <c r="AH363" s="591"/>
      <c r="AI363" s="591"/>
      <c r="AJ363" s="591"/>
      <c r="AK363" s="591"/>
      <c r="AL363" s="591"/>
      <c r="AM363" s="591"/>
      <c r="AN363" s="591"/>
      <c r="AO363" s="591"/>
      <c r="AP363" s="591"/>
      <c r="AQ363" s="591"/>
      <c r="AR363" s="591"/>
      <c r="AS363" s="591"/>
      <c r="AT363" s="591"/>
      <c r="AU363" s="591"/>
      <c r="AV363" s="591"/>
      <c r="AW363" s="591"/>
      <c r="AX363" s="591"/>
      <c r="AY363" s="591"/>
      <c r="AZ363" s="591"/>
      <c r="BA363" s="591"/>
      <c r="BB363" s="591"/>
      <c r="BC363" s="591"/>
      <c r="BD363" s="591"/>
      <c r="BE363" s="591"/>
      <c r="BF363" s="591"/>
      <c r="BG363" s="591"/>
      <c r="BH363" s="591"/>
      <c r="BI363" s="591"/>
      <c r="BJ363" s="591"/>
      <c r="BK363" s="591"/>
      <c r="BL363" s="591"/>
      <c r="BM363" s="591"/>
      <c r="BN363" s="591"/>
      <c r="BO363" s="591"/>
      <c r="BP363" s="591"/>
      <c r="BQ363" s="591"/>
      <c r="BR363" s="591"/>
      <c r="BS363" s="591"/>
      <c r="BT363" s="591"/>
      <c r="BU363" s="591"/>
      <c r="BV363" s="591"/>
      <c r="BW363" s="591"/>
      <c r="BX363" s="591"/>
      <c r="BY363" s="591"/>
      <c r="BZ363" s="591"/>
      <c r="CA363" s="591"/>
      <c r="CB363" s="591"/>
      <c r="CC363" s="591"/>
      <c r="CD363" s="591"/>
      <c r="CE363" s="591"/>
      <c r="CF363" s="591"/>
    </row>
    <row r="364" spans="1:84">
      <c r="A364" s="591"/>
      <c r="B364" s="591"/>
      <c r="C364" s="591"/>
      <c r="D364" s="591"/>
      <c r="E364" s="591"/>
      <c r="F364" s="591"/>
      <c r="G364" s="591"/>
      <c r="H364" s="591"/>
      <c r="I364" s="591"/>
      <c r="J364" s="591"/>
      <c r="K364" s="591"/>
      <c r="L364" s="591"/>
      <c r="M364" s="591"/>
      <c r="N364" s="591"/>
      <c r="O364" s="591"/>
      <c r="P364" s="591"/>
      <c r="Q364" s="591"/>
      <c r="R364" s="591"/>
      <c r="S364" s="591"/>
      <c r="T364" s="591"/>
      <c r="U364" s="591"/>
      <c r="V364" s="591"/>
      <c r="W364" s="591"/>
      <c r="X364" s="591"/>
      <c r="Y364" s="591"/>
      <c r="Z364" s="591"/>
      <c r="AA364" s="591"/>
      <c r="AB364" s="591"/>
      <c r="AC364" s="591"/>
      <c r="AD364" s="591"/>
      <c r="AE364" s="591"/>
      <c r="AF364" s="591"/>
      <c r="AG364" s="591"/>
      <c r="AH364" s="591"/>
      <c r="AI364" s="591"/>
      <c r="AJ364" s="591"/>
      <c r="AK364" s="591"/>
      <c r="AL364" s="591"/>
      <c r="AM364" s="591"/>
      <c r="AN364" s="591"/>
      <c r="AO364" s="591"/>
      <c r="AP364" s="591"/>
      <c r="AQ364" s="591"/>
      <c r="AR364" s="591"/>
      <c r="AS364" s="591"/>
      <c r="AT364" s="591"/>
      <c r="AU364" s="591"/>
      <c r="AV364" s="591"/>
      <c r="AW364" s="591"/>
      <c r="AX364" s="591"/>
      <c r="AY364" s="591"/>
      <c r="AZ364" s="591"/>
      <c r="BA364" s="591"/>
      <c r="BB364" s="591"/>
      <c r="BC364" s="591"/>
      <c r="BD364" s="591"/>
      <c r="BE364" s="591"/>
      <c r="BF364" s="591"/>
      <c r="BG364" s="591"/>
      <c r="BH364" s="591"/>
      <c r="BI364" s="591"/>
      <c r="BJ364" s="591"/>
      <c r="BK364" s="591"/>
      <c r="BL364" s="591"/>
      <c r="BM364" s="591"/>
      <c r="BN364" s="591"/>
      <c r="BO364" s="591"/>
      <c r="BP364" s="591"/>
      <c r="BQ364" s="591"/>
      <c r="BR364" s="591"/>
      <c r="BS364" s="591"/>
      <c r="BT364" s="591"/>
      <c r="BU364" s="591"/>
      <c r="BV364" s="591"/>
      <c r="BW364" s="591"/>
      <c r="BX364" s="591"/>
      <c r="BY364" s="591"/>
      <c r="BZ364" s="591"/>
      <c r="CA364" s="591"/>
      <c r="CB364" s="591"/>
      <c r="CC364" s="591"/>
      <c r="CD364" s="591"/>
      <c r="CE364" s="591"/>
      <c r="CF364" s="591"/>
    </row>
    <row r="365" spans="1:84">
      <c r="A365" s="591"/>
      <c r="B365" s="591"/>
      <c r="C365" s="591"/>
      <c r="D365" s="591"/>
      <c r="E365" s="591"/>
      <c r="F365" s="591"/>
      <c r="G365" s="591"/>
      <c r="H365" s="591"/>
      <c r="I365" s="591"/>
      <c r="J365" s="591"/>
      <c r="K365" s="591"/>
      <c r="L365" s="591"/>
      <c r="M365" s="591"/>
      <c r="N365" s="591"/>
      <c r="O365" s="591"/>
      <c r="P365" s="591"/>
      <c r="Q365" s="591"/>
      <c r="R365" s="591"/>
      <c r="S365" s="591"/>
      <c r="T365" s="591"/>
      <c r="U365" s="591"/>
      <c r="V365" s="591"/>
      <c r="W365" s="591"/>
      <c r="X365" s="591"/>
      <c r="Y365" s="591"/>
      <c r="Z365" s="591"/>
      <c r="AA365" s="591"/>
      <c r="AB365" s="591"/>
      <c r="AC365" s="591"/>
      <c r="AD365" s="591"/>
      <c r="AE365" s="591"/>
      <c r="AF365" s="591"/>
      <c r="AG365" s="591"/>
      <c r="AH365" s="591"/>
      <c r="AI365" s="591"/>
      <c r="AJ365" s="591"/>
      <c r="AK365" s="591"/>
      <c r="AL365" s="591"/>
      <c r="AM365" s="591"/>
      <c r="AN365" s="591"/>
      <c r="AO365" s="591"/>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1"/>
      <c r="BM365" s="591"/>
      <c r="BN365" s="591"/>
      <c r="BO365" s="591"/>
      <c r="BP365" s="591"/>
      <c r="BQ365" s="591"/>
      <c r="BR365" s="591"/>
      <c r="BS365" s="591"/>
      <c r="BT365" s="591"/>
      <c r="BU365" s="591"/>
      <c r="BV365" s="591"/>
      <c r="BW365" s="591"/>
      <c r="BX365" s="591"/>
      <c r="BY365" s="591"/>
      <c r="BZ365" s="591"/>
      <c r="CA365" s="591"/>
      <c r="CB365" s="591"/>
      <c r="CC365" s="591"/>
      <c r="CD365" s="591"/>
      <c r="CE365" s="591"/>
      <c r="CF365" s="591"/>
    </row>
    <row r="366" spans="1:84">
      <c r="A366" s="591"/>
      <c r="B366" s="591"/>
      <c r="C366" s="591"/>
      <c r="D366" s="591"/>
      <c r="E366" s="591"/>
      <c r="F366" s="591"/>
      <c r="G366" s="591"/>
      <c r="H366" s="591"/>
      <c r="I366" s="591"/>
      <c r="J366" s="591"/>
      <c r="K366" s="591"/>
      <c r="L366" s="591"/>
      <c r="M366" s="591"/>
      <c r="N366" s="591"/>
      <c r="O366" s="591"/>
      <c r="P366" s="591"/>
      <c r="Q366" s="591"/>
      <c r="R366" s="591"/>
      <c r="S366" s="591"/>
      <c r="T366" s="591"/>
      <c r="U366" s="591"/>
      <c r="V366" s="591"/>
      <c r="W366" s="591"/>
      <c r="X366" s="591"/>
      <c r="Y366" s="591"/>
      <c r="Z366" s="591"/>
      <c r="AA366" s="591"/>
      <c r="AB366" s="591"/>
      <c r="AC366" s="591"/>
      <c r="AD366" s="591"/>
      <c r="AE366" s="591"/>
      <c r="AF366" s="591"/>
      <c r="AG366" s="591"/>
      <c r="AH366" s="591"/>
      <c r="AI366" s="591"/>
      <c r="AJ366" s="591"/>
      <c r="AK366" s="591"/>
      <c r="AL366" s="591"/>
      <c r="AM366" s="591"/>
      <c r="AN366" s="591"/>
      <c r="AO366" s="591"/>
      <c r="AP366" s="591"/>
      <c r="AQ366" s="591"/>
      <c r="AR366" s="591"/>
      <c r="AS366" s="591"/>
      <c r="AT366" s="591"/>
      <c r="AU366" s="591"/>
      <c r="AV366" s="591"/>
      <c r="AW366" s="591"/>
      <c r="AX366" s="591"/>
      <c r="AY366" s="591"/>
      <c r="AZ366" s="591"/>
      <c r="BA366" s="591"/>
      <c r="BB366" s="591"/>
      <c r="BC366" s="591"/>
      <c r="BD366" s="591"/>
      <c r="BE366" s="591"/>
      <c r="BF366" s="591"/>
      <c r="BG366" s="591"/>
      <c r="BH366" s="591"/>
      <c r="BI366" s="591"/>
      <c r="BJ366" s="591"/>
      <c r="BK366" s="591"/>
      <c r="BL366" s="591"/>
      <c r="BM366" s="591"/>
      <c r="BN366" s="591"/>
      <c r="BO366" s="591"/>
      <c r="BP366" s="591"/>
      <c r="BQ366" s="591"/>
      <c r="BR366" s="591"/>
      <c r="BS366" s="591"/>
      <c r="BT366" s="591"/>
      <c r="BU366" s="591"/>
      <c r="BV366" s="591"/>
      <c r="BW366" s="591"/>
      <c r="BX366" s="591"/>
      <c r="BY366" s="591"/>
      <c r="BZ366" s="591"/>
      <c r="CA366" s="591"/>
      <c r="CB366" s="591"/>
      <c r="CC366" s="591"/>
      <c r="CD366" s="591"/>
      <c r="CE366" s="591"/>
      <c r="CF366" s="591"/>
    </row>
    <row r="367" spans="1:84">
      <c r="A367" s="591"/>
      <c r="B367" s="591"/>
      <c r="C367" s="591"/>
      <c r="D367" s="591"/>
      <c r="E367" s="591"/>
      <c r="F367" s="591"/>
      <c r="G367" s="591"/>
      <c r="H367" s="591"/>
      <c r="I367" s="591"/>
      <c r="J367" s="591"/>
      <c r="K367" s="591"/>
      <c r="L367" s="591"/>
      <c r="M367" s="591"/>
      <c r="N367" s="591"/>
      <c r="O367" s="591"/>
      <c r="P367" s="591"/>
      <c r="Q367" s="591"/>
      <c r="R367" s="591"/>
      <c r="S367" s="591"/>
      <c r="T367" s="591"/>
      <c r="U367" s="591"/>
      <c r="V367" s="591"/>
      <c r="W367" s="591"/>
      <c r="X367" s="591"/>
      <c r="Y367" s="591"/>
      <c r="Z367" s="591"/>
      <c r="AA367" s="591"/>
      <c r="AB367" s="591"/>
      <c r="AC367" s="591"/>
      <c r="AD367" s="591"/>
      <c r="AE367" s="591"/>
      <c r="AF367" s="591"/>
      <c r="AG367" s="591"/>
      <c r="AH367" s="591"/>
      <c r="AI367" s="591"/>
      <c r="AJ367" s="591"/>
      <c r="AK367" s="591"/>
      <c r="AL367" s="591"/>
      <c r="AM367" s="591"/>
      <c r="AN367" s="591"/>
      <c r="AO367" s="591"/>
      <c r="AP367" s="591"/>
      <c r="AQ367" s="591"/>
      <c r="AR367" s="591"/>
      <c r="AS367" s="591"/>
      <c r="AT367" s="591"/>
      <c r="AU367" s="591"/>
      <c r="AV367" s="591"/>
      <c r="AW367" s="591"/>
      <c r="AX367" s="591"/>
      <c r="AY367" s="591"/>
      <c r="AZ367" s="591"/>
      <c r="BA367" s="591"/>
      <c r="BB367" s="591"/>
      <c r="BC367" s="591"/>
      <c r="BD367" s="591"/>
      <c r="BE367" s="591"/>
      <c r="BF367" s="591"/>
      <c r="BG367" s="591"/>
      <c r="BH367" s="591"/>
      <c r="BI367" s="591"/>
      <c r="BJ367" s="591"/>
      <c r="BK367" s="591"/>
      <c r="BL367" s="591"/>
      <c r="BM367" s="591"/>
      <c r="BN367" s="591"/>
      <c r="BO367" s="591"/>
      <c r="BP367" s="591"/>
      <c r="BQ367" s="591"/>
      <c r="BR367" s="591"/>
      <c r="BS367" s="591"/>
      <c r="BT367" s="591"/>
      <c r="BU367" s="591"/>
      <c r="BV367" s="591"/>
      <c r="BW367" s="591"/>
      <c r="BX367" s="591"/>
      <c r="BY367" s="591"/>
      <c r="BZ367" s="591"/>
      <c r="CA367" s="591"/>
      <c r="CB367" s="591"/>
      <c r="CC367" s="591"/>
      <c r="CD367" s="591"/>
      <c r="CE367" s="591"/>
      <c r="CF367" s="591"/>
    </row>
    <row r="368" spans="1:84">
      <c r="A368" s="591"/>
      <c r="B368" s="591"/>
      <c r="C368" s="591"/>
      <c r="D368" s="591"/>
      <c r="E368" s="591"/>
      <c r="F368" s="591"/>
      <c r="G368" s="591"/>
      <c r="H368" s="591"/>
      <c r="I368" s="591"/>
      <c r="J368" s="591"/>
      <c r="K368" s="591"/>
      <c r="L368" s="591"/>
      <c r="M368" s="591"/>
      <c r="N368" s="591"/>
      <c r="O368" s="591"/>
      <c r="P368" s="591"/>
      <c r="Q368" s="591"/>
      <c r="R368" s="591"/>
      <c r="S368" s="591"/>
      <c r="T368" s="591"/>
      <c r="U368" s="591"/>
      <c r="V368" s="591"/>
      <c r="W368" s="591"/>
      <c r="X368" s="591"/>
      <c r="Y368" s="591"/>
      <c r="Z368" s="591"/>
      <c r="AA368" s="591"/>
      <c r="AB368" s="591"/>
      <c r="AC368" s="591"/>
      <c r="AD368" s="591"/>
      <c r="AE368" s="591"/>
      <c r="AF368" s="591"/>
      <c r="AG368" s="591"/>
      <c r="AH368" s="591"/>
      <c r="AI368" s="591"/>
      <c r="AJ368" s="591"/>
      <c r="AK368" s="591"/>
      <c r="AL368" s="591"/>
      <c r="AM368" s="591"/>
      <c r="AN368" s="591"/>
      <c r="AO368" s="591"/>
      <c r="AP368" s="591"/>
      <c r="AQ368" s="591"/>
      <c r="AR368" s="591"/>
      <c r="AS368" s="591"/>
      <c r="AT368" s="591"/>
      <c r="AU368" s="591"/>
      <c r="AV368" s="591"/>
      <c r="AW368" s="591"/>
      <c r="AX368" s="591"/>
      <c r="AY368" s="591"/>
      <c r="AZ368" s="591"/>
      <c r="BA368" s="591"/>
      <c r="BB368" s="591"/>
      <c r="BC368" s="591"/>
      <c r="BD368" s="591"/>
      <c r="BE368" s="591"/>
      <c r="BF368" s="591"/>
      <c r="BG368" s="591"/>
      <c r="BH368" s="591"/>
      <c r="BI368" s="591"/>
      <c r="BJ368" s="591"/>
      <c r="BK368" s="591"/>
      <c r="BL368" s="591"/>
      <c r="BM368" s="591"/>
      <c r="BN368" s="591"/>
      <c r="BO368" s="591"/>
      <c r="BP368" s="591"/>
      <c r="BQ368" s="591"/>
      <c r="BR368" s="591"/>
      <c r="BS368" s="591"/>
      <c r="BT368" s="591"/>
      <c r="BU368" s="591"/>
      <c r="BV368" s="591"/>
      <c r="BW368" s="591"/>
      <c r="BX368" s="591"/>
      <c r="BY368" s="591"/>
      <c r="BZ368" s="591"/>
      <c r="CA368" s="591"/>
      <c r="CB368" s="591"/>
      <c r="CC368" s="591"/>
      <c r="CD368" s="591"/>
      <c r="CE368" s="591"/>
      <c r="CF368" s="591"/>
    </row>
    <row r="369" spans="1:84">
      <c r="A369" s="591"/>
      <c r="B369" s="591"/>
      <c r="C369" s="591"/>
      <c r="D369" s="591"/>
      <c r="E369" s="591"/>
      <c r="F369" s="591"/>
      <c r="G369" s="591"/>
      <c r="H369" s="591"/>
      <c r="I369" s="591"/>
      <c r="J369" s="591"/>
      <c r="K369" s="591"/>
      <c r="L369" s="591"/>
      <c r="M369" s="591"/>
      <c r="N369" s="591"/>
      <c r="O369" s="591"/>
      <c r="P369" s="591"/>
      <c r="Q369" s="591"/>
      <c r="R369" s="591"/>
      <c r="S369" s="591"/>
      <c r="T369" s="591"/>
      <c r="U369" s="591"/>
      <c r="V369" s="591"/>
      <c r="W369" s="591"/>
      <c r="X369" s="591"/>
      <c r="Y369" s="591"/>
      <c r="Z369" s="591"/>
      <c r="AA369" s="591"/>
      <c r="AB369" s="591"/>
      <c r="AC369" s="591"/>
      <c r="AD369" s="591"/>
      <c r="AE369" s="591"/>
      <c r="AF369" s="591"/>
      <c r="AG369" s="591"/>
      <c r="AH369" s="591"/>
      <c r="AI369" s="591"/>
      <c r="AJ369" s="591"/>
      <c r="AK369" s="591"/>
      <c r="AL369" s="591"/>
      <c r="AM369" s="591"/>
      <c r="AN369" s="591"/>
      <c r="AO369" s="591"/>
      <c r="AP369" s="591"/>
      <c r="AQ369" s="591"/>
      <c r="AR369" s="591"/>
      <c r="AS369" s="591"/>
      <c r="AT369" s="591"/>
      <c r="AU369" s="591"/>
      <c r="AV369" s="591"/>
      <c r="AW369" s="591"/>
      <c r="AX369" s="591"/>
      <c r="AY369" s="591"/>
      <c r="AZ369" s="591"/>
      <c r="BA369" s="591"/>
      <c r="BB369" s="591"/>
      <c r="BC369" s="591"/>
      <c r="BD369" s="591"/>
      <c r="BE369" s="591"/>
      <c r="BF369" s="591"/>
      <c r="BG369" s="591"/>
      <c r="BH369" s="591"/>
      <c r="BI369" s="591"/>
      <c r="BJ369" s="591"/>
      <c r="BK369" s="591"/>
      <c r="BL369" s="591"/>
      <c r="BM369" s="591"/>
      <c r="BN369" s="591"/>
      <c r="BO369" s="591"/>
      <c r="BP369" s="591"/>
      <c r="BQ369" s="591"/>
      <c r="BR369" s="591"/>
      <c r="BS369" s="591"/>
      <c r="BT369" s="591"/>
      <c r="BU369" s="591"/>
      <c r="BV369" s="591"/>
      <c r="BW369" s="591"/>
      <c r="BX369" s="591"/>
      <c r="BY369" s="591"/>
      <c r="BZ369" s="591"/>
      <c r="CA369" s="591"/>
      <c r="CB369" s="591"/>
      <c r="CC369" s="591"/>
      <c r="CD369" s="591"/>
      <c r="CE369" s="591"/>
      <c r="CF369" s="591"/>
    </row>
    <row r="370" spans="1:84">
      <c r="A370" s="591"/>
      <c r="B370" s="591"/>
      <c r="C370" s="591"/>
      <c r="D370" s="591"/>
      <c r="E370" s="591"/>
      <c r="F370" s="591"/>
      <c r="G370" s="591"/>
      <c r="H370" s="591"/>
      <c r="I370" s="591"/>
      <c r="J370" s="591"/>
      <c r="K370" s="591"/>
      <c r="L370" s="591"/>
      <c r="M370" s="591"/>
      <c r="N370" s="591"/>
      <c r="O370" s="591"/>
      <c r="P370" s="591"/>
      <c r="Q370" s="591"/>
      <c r="R370" s="591"/>
      <c r="S370" s="591"/>
      <c r="T370" s="591"/>
      <c r="U370" s="591"/>
      <c r="V370" s="591"/>
      <c r="W370" s="591"/>
      <c r="X370" s="591"/>
      <c r="Y370" s="591"/>
      <c r="Z370" s="591"/>
      <c r="AA370" s="591"/>
      <c r="AB370" s="591"/>
      <c r="AC370" s="591"/>
      <c r="AD370" s="591"/>
      <c r="AE370" s="591"/>
      <c r="AF370" s="591"/>
      <c r="AG370" s="591"/>
      <c r="AH370" s="591"/>
      <c r="AI370" s="591"/>
      <c r="AJ370" s="591"/>
      <c r="AK370" s="591"/>
      <c r="AL370" s="591"/>
      <c r="AM370" s="591"/>
      <c r="AN370" s="591"/>
      <c r="AO370" s="591"/>
      <c r="AP370" s="591"/>
      <c r="AQ370" s="591"/>
      <c r="AR370" s="591"/>
      <c r="AS370" s="591"/>
      <c r="AT370" s="591"/>
      <c r="AU370" s="591"/>
      <c r="AV370" s="591"/>
      <c r="AW370" s="591"/>
      <c r="AX370" s="591"/>
      <c r="AY370" s="591"/>
      <c r="AZ370" s="591"/>
      <c r="BA370" s="591"/>
      <c r="BB370" s="591"/>
      <c r="BC370" s="591"/>
      <c r="BD370" s="591"/>
      <c r="BE370" s="591"/>
      <c r="BF370" s="591"/>
      <c r="BG370" s="591"/>
      <c r="BH370" s="591"/>
      <c r="BI370" s="591"/>
      <c r="BJ370" s="591"/>
      <c r="BK370" s="591"/>
      <c r="BL370" s="591"/>
      <c r="BM370" s="591"/>
      <c r="BN370" s="591"/>
      <c r="BO370" s="591"/>
      <c r="BP370" s="591"/>
      <c r="BQ370" s="591"/>
      <c r="BR370" s="591"/>
      <c r="BS370" s="591"/>
      <c r="BT370" s="591"/>
      <c r="BU370" s="591"/>
      <c r="BV370" s="591"/>
      <c r="BW370" s="591"/>
      <c r="BX370" s="591"/>
      <c r="BY370" s="591"/>
      <c r="BZ370" s="591"/>
      <c r="CA370" s="591"/>
      <c r="CB370" s="591"/>
      <c r="CC370" s="591"/>
      <c r="CD370" s="591"/>
      <c r="CE370" s="591"/>
      <c r="CF370" s="591"/>
    </row>
    <row r="371" spans="1:84">
      <c r="A371" s="591"/>
      <c r="B371" s="591"/>
      <c r="C371" s="591"/>
      <c r="D371" s="591"/>
      <c r="E371" s="591"/>
      <c r="F371" s="591"/>
      <c r="G371" s="591"/>
      <c r="H371" s="591"/>
      <c r="I371" s="591"/>
      <c r="J371" s="591"/>
      <c r="K371" s="591"/>
      <c r="L371" s="591"/>
      <c r="M371" s="591"/>
      <c r="N371" s="591"/>
      <c r="O371" s="591"/>
      <c r="P371" s="591"/>
      <c r="Q371" s="591"/>
      <c r="R371" s="591"/>
      <c r="S371" s="591"/>
      <c r="T371" s="591"/>
      <c r="U371" s="591"/>
      <c r="V371" s="591"/>
      <c r="W371" s="591"/>
      <c r="X371" s="591"/>
      <c r="Y371" s="591"/>
      <c r="Z371" s="591"/>
      <c r="AA371" s="591"/>
      <c r="AB371" s="591"/>
      <c r="AC371" s="591"/>
      <c r="AD371" s="591"/>
      <c r="AE371" s="591"/>
      <c r="AF371" s="591"/>
      <c r="AG371" s="591"/>
      <c r="AH371" s="591"/>
      <c r="AI371" s="591"/>
      <c r="AJ371" s="591"/>
      <c r="AK371" s="591"/>
      <c r="AL371" s="591"/>
      <c r="AM371" s="591"/>
      <c r="AN371" s="591"/>
      <c r="AO371" s="591"/>
      <c r="AP371" s="591"/>
      <c r="AQ371" s="591"/>
      <c r="AR371" s="591"/>
      <c r="AS371" s="591"/>
      <c r="AT371" s="591"/>
      <c r="AU371" s="591"/>
      <c r="AV371" s="591"/>
      <c r="AW371" s="591"/>
      <c r="AX371" s="591"/>
      <c r="AY371" s="591"/>
      <c r="AZ371" s="591"/>
      <c r="BA371" s="591"/>
      <c r="BB371" s="591"/>
      <c r="BC371" s="591"/>
      <c r="BD371" s="591"/>
      <c r="BE371" s="591"/>
      <c r="BF371" s="591"/>
      <c r="BG371" s="591"/>
      <c r="BH371" s="591"/>
      <c r="BI371" s="591"/>
      <c r="BJ371" s="591"/>
      <c r="BK371" s="591"/>
      <c r="BL371" s="591"/>
      <c r="BM371" s="591"/>
      <c r="BN371" s="591"/>
      <c r="BO371" s="591"/>
      <c r="BP371" s="591"/>
      <c r="BQ371" s="591"/>
      <c r="BR371" s="591"/>
      <c r="BS371" s="591"/>
      <c r="BT371" s="591"/>
      <c r="BU371" s="591"/>
      <c r="BV371" s="591"/>
      <c r="BW371" s="591"/>
      <c r="BX371" s="591"/>
      <c r="BY371" s="591"/>
      <c r="BZ371" s="591"/>
      <c r="CA371" s="591"/>
      <c r="CB371" s="591"/>
      <c r="CC371" s="591"/>
      <c r="CD371" s="591"/>
      <c r="CE371" s="591"/>
      <c r="CF371" s="591"/>
    </row>
  </sheetData>
  <mergeCells count="1">
    <mergeCell ref="B27:H27"/>
  </mergeCells>
  <pageMargins left="0.7" right="0.7" top="0.75" bottom="0.75" header="0.3" footer="0.3"/>
  <pageSetup scale="9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U115"/>
  <sheetViews>
    <sheetView showGridLines="0" view="pageBreakPreview" zoomScale="85" zoomScaleNormal="85" zoomScaleSheetLayoutView="85" workbookViewId="0">
      <pane xSplit="2" ySplit="6" topLeftCell="C58" activePane="bottomRight" state="frozen"/>
      <selection activeCell="Q27" sqref="Q27"/>
      <selection pane="topRight" activeCell="Q27" sqref="Q27"/>
      <selection pane="bottomLeft" activeCell="Q27" sqref="Q27"/>
      <selection pane="bottomRight" activeCell="Q27" sqref="Q27"/>
    </sheetView>
  </sheetViews>
  <sheetFormatPr defaultRowHeight="12.75"/>
  <cols>
    <col min="1" max="1" width="19" style="292" customWidth="1"/>
    <col min="2" max="2" width="22.42578125" style="292" customWidth="1"/>
    <col min="3" max="4" width="14.85546875" style="290" customWidth="1"/>
    <col min="5" max="6" width="14.85546875" style="292" customWidth="1"/>
    <col min="7" max="7" width="13.5703125" style="290" customWidth="1"/>
    <col min="8" max="8" width="0.5703125" style="290" customWidth="1"/>
    <col min="9" max="9" width="14.140625" style="290" customWidth="1"/>
    <col min="10" max="10" width="14.42578125" style="290" customWidth="1"/>
    <col min="11" max="11" width="10.7109375" style="291" customWidth="1"/>
    <col min="12" max="12" width="0.5703125" style="291" customWidth="1"/>
    <col min="13" max="13" width="9.5703125" style="290" customWidth="1"/>
    <col min="14" max="14" width="0.5703125" style="290" customWidth="1"/>
    <col min="15" max="15" width="9.5703125" style="371" customWidth="1"/>
    <col min="16" max="16" width="0.5703125" style="290" customWidth="1"/>
    <col min="17" max="17" width="11.140625" style="496" customWidth="1"/>
    <col min="18" max="18" width="8.28515625" style="290" customWidth="1"/>
    <col min="19" max="19" width="12.5703125" style="290" customWidth="1"/>
    <col min="20" max="20" width="13.42578125" style="290" customWidth="1"/>
    <col min="21" max="16384" width="9.140625" style="290"/>
  </cols>
  <sheetData>
    <row r="1" spans="1:19" ht="10.5" customHeight="1">
      <c r="A1" s="341" t="s">
        <v>910</v>
      </c>
      <c r="B1" s="308"/>
      <c r="C1" s="342" t="s">
        <v>909</v>
      </c>
      <c r="D1" s="327"/>
      <c r="E1" s="308"/>
      <c r="F1" s="308"/>
      <c r="G1" s="303"/>
      <c r="H1" s="303"/>
      <c r="I1" s="303"/>
      <c r="J1" s="303"/>
      <c r="K1" s="290"/>
      <c r="L1" s="290"/>
    </row>
    <row r="2" spans="1:19" ht="10.5" customHeight="1">
      <c r="A2" s="341" t="s">
        <v>908</v>
      </c>
      <c r="B2" s="308"/>
      <c r="C2" s="327"/>
      <c r="D2" s="327"/>
      <c r="E2" s="340"/>
      <c r="F2" s="323"/>
      <c r="G2" s="303"/>
      <c r="H2" s="303"/>
      <c r="I2" s="303"/>
      <c r="J2" s="303"/>
      <c r="K2" s="290"/>
      <c r="L2" s="290"/>
      <c r="M2" s="303"/>
    </row>
    <row r="3" spans="1:19" ht="10.5" customHeight="1">
      <c r="A3" s="339">
        <v>2017</v>
      </c>
      <c r="B3" s="308"/>
      <c r="C3" s="327"/>
      <c r="D3" s="327"/>
      <c r="E3" s="338"/>
      <c r="F3" s="308"/>
      <c r="G3" s="303"/>
      <c r="H3" s="303"/>
      <c r="I3" s="303"/>
      <c r="J3" s="303"/>
      <c r="K3" s="290"/>
      <c r="L3" s="292"/>
    </row>
    <row r="4" spans="1:19" ht="12" customHeight="1">
      <c r="A4" s="308"/>
      <c r="B4" s="330"/>
      <c r="C4" s="1483" t="s">
        <v>907</v>
      </c>
      <c r="D4" s="1483" t="s">
        <v>906</v>
      </c>
      <c r="E4" s="1484" t="s">
        <v>907</v>
      </c>
      <c r="F4" s="1484" t="s">
        <v>906</v>
      </c>
      <c r="G4" s="1485" t="s">
        <v>26</v>
      </c>
      <c r="H4" s="303"/>
      <c r="I4" s="1486" t="s">
        <v>907</v>
      </c>
      <c r="J4" s="1486" t="s">
        <v>906</v>
      </c>
      <c r="K4" s="336" t="s">
        <v>905</v>
      </c>
      <c r="L4" s="335"/>
      <c r="M4" s="358" t="s">
        <v>1028</v>
      </c>
      <c r="N4" s="405"/>
      <c r="O4" s="1664" t="s">
        <v>1030</v>
      </c>
      <c r="P4" s="405"/>
      <c r="Q4" s="337" t="s">
        <v>1377</v>
      </c>
      <c r="R4" s="1663" t="s">
        <v>1029</v>
      </c>
      <c r="S4" s="1663"/>
    </row>
    <row r="5" spans="1:19" ht="12" customHeight="1">
      <c r="A5" s="334" t="s">
        <v>904</v>
      </c>
      <c r="B5" s="330" t="s">
        <v>903</v>
      </c>
      <c r="C5" s="333" t="s">
        <v>902</v>
      </c>
      <c r="D5" s="333" t="s">
        <v>902</v>
      </c>
      <c r="E5" s="332" t="s">
        <v>87</v>
      </c>
      <c r="F5" s="332" t="s">
        <v>87</v>
      </c>
      <c r="G5" s="332" t="s">
        <v>87</v>
      </c>
      <c r="H5" s="303"/>
      <c r="I5" s="331" t="s">
        <v>901</v>
      </c>
      <c r="J5" s="331" t="s">
        <v>901</v>
      </c>
      <c r="K5" s="331" t="s">
        <v>900</v>
      </c>
      <c r="L5" s="330"/>
      <c r="M5" s="550">
        <f>'LG - Packer,RO'!J6+M6</f>
        <v>0.14180179125211698</v>
      </c>
      <c r="N5" s="406"/>
      <c r="O5" s="1664"/>
      <c r="P5" s="406"/>
      <c r="Q5" s="333" t="s">
        <v>902</v>
      </c>
      <c r="R5" s="358" t="s">
        <v>1031</v>
      </c>
      <c r="S5" s="358" t="s">
        <v>1032</v>
      </c>
    </row>
    <row r="6" spans="1:19" ht="12" customHeight="1">
      <c r="K6" s="1410"/>
      <c r="L6" s="1411" t="s">
        <v>2100</v>
      </c>
      <c r="M6" s="1412">
        <f>'Whitman Reg - Price Out'!I6</f>
        <v>4.8999999999999998E-3</v>
      </c>
    </row>
    <row r="7" spans="1:19" s="303" customFormat="1" ht="12" customHeight="1">
      <c r="B7" s="308"/>
      <c r="C7" s="327"/>
      <c r="D7" s="327"/>
      <c r="E7" s="308"/>
      <c r="F7" s="308"/>
      <c r="K7" s="290"/>
      <c r="L7" s="290"/>
      <c r="O7" s="369"/>
    </row>
    <row r="8" spans="1:19" s="303" customFormat="1" ht="12" customHeight="1">
      <c r="C8" s="327"/>
      <c r="D8" s="327"/>
      <c r="E8" s="308"/>
      <c r="F8" s="308"/>
      <c r="K8" s="290"/>
      <c r="L8" s="290"/>
      <c r="O8" s="369"/>
    </row>
    <row r="9" spans="1:19" s="303" customFormat="1" ht="12" customHeight="1">
      <c r="A9" s="328" t="s">
        <v>899</v>
      </c>
      <c r="B9" s="328" t="s">
        <v>899</v>
      </c>
      <c r="C9" s="327"/>
      <c r="D9" s="327"/>
      <c r="E9" s="308"/>
      <c r="F9" s="308"/>
      <c r="K9" s="290"/>
      <c r="L9" s="290"/>
      <c r="O9" s="369"/>
    </row>
    <row r="10" spans="1:19" s="303" customFormat="1" ht="12" customHeight="1">
      <c r="A10" s="328"/>
      <c r="B10" s="328"/>
      <c r="C10" s="327"/>
      <c r="D10" s="327"/>
      <c r="E10" s="308"/>
      <c r="F10" s="308"/>
      <c r="K10" s="290"/>
      <c r="L10" s="290"/>
      <c r="O10" s="369"/>
    </row>
    <row r="11" spans="1:19" s="303" customFormat="1" ht="12" customHeight="1">
      <c r="A11" s="324" t="s">
        <v>898</v>
      </c>
      <c r="B11" s="324" t="s">
        <v>898</v>
      </c>
      <c r="C11" s="305"/>
      <c r="D11" s="305"/>
      <c r="E11" s="310"/>
      <c r="F11" s="310"/>
      <c r="G11" s="307"/>
      <c r="I11" s="304"/>
      <c r="J11" s="304"/>
      <c r="K11" s="290"/>
      <c r="L11" s="290"/>
      <c r="O11" s="369"/>
    </row>
    <row r="12" spans="1:19" s="303" customFormat="1" ht="12" customHeight="1">
      <c r="A12" s="290" t="s">
        <v>897</v>
      </c>
      <c r="B12" s="290" t="s">
        <v>896</v>
      </c>
      <c r="C12" s="305">
        <f>IFERROR(VLOOKUP(A12,'[44]Spokane Jan-Apr Rates'!$F$2:$H$147,3,FALSE),0)/2</f>
        <v>15.21</v>
      </c>
      <c r="D12" s="305">
        <f>IFERROR(VLOOKUP(A12,'[44]SPOKANE RATES 2017'!$D$4:$E$77,2,FALSE),0)/2</f>
        <v>15.34</v>
      </c>
      <c r="E12" s="310">
        <f>IFERROR(VLOOKUP(A12,'[44]REV by Area 2017'!$Q$6:$T$78,2,FALSE),0)</f>
        <v>281.39</v>
      </c>
      <c r="F12" s="310">
        <f>IFERROR(VLOOKUP(A12,'[44]REV by Area 2017'!$Q$6:$T$78,3,FALSE),0)</f>
        <v>655.41000000000008</v>
      </c>
      <c r="G12" s="307">
        <f t="shared" ref="G12:G30" si="0">SUM(E12:F12)</f>
        <v>936.80000000000007</v>
      </c>
      <c r="I12" s="304">
        <f>(E12/C12)</f>
        <v>18.500328731097959</v>
      </c>
      <c r="J12" s="304">
        <f>F12/D12</f>
        <v>42.725554106910046</v>
      </c>
      <c r="K12" s="300">
        <f>(J12+I12)/12</f>
        <v>5.1021569031673337</v>
      </c>
      <c r="L12" s="300"/>
      <c r="M12" s="307">
        <f>$M$5*Q12</f>
        <v>2.1695674061573897</v>
      </c>
      <c r="O12" s="369">
        <f t="shared" ref="O12:O31" si="1">K12*SUM(M12:M12)*12</f>
        <v>132.83367981855326</v>
      </c>
      <c r="Q12" s="494">
        <f>'Rate Sheet'!B86</f>
        <v>15.3</v>
      </c>
      <c r="R12" s="323">
        <f>+Q12+SUM(M12:M12)</f>
        <v>17.469567406157392</v>
      </c>
      <c r="S12" s="363">
        <f t="shared" ref="S12:S31" si="2">G12+O12</f>
        <v>1069.6336798185534</v>
      </c>
    </row>
    <row r="13" spans="1:19" s="303" customFormat="1" ht="12" customHeight="1">
      <c r="A13" s="290" t="s">
        <v>895</v>
      </c>
      <c r="B13" s="290" t="s">
        <v>894</v>
      </c>
      <c r="C13" s="305">
        <f>IFERROR(VLOOKUP(A13,'[44]Spokane Jan-Apr Rates'!$F$2:$H$147,3,FALSE),0)/2</f>
        <v>11.86</v>
      </c>
      <c r="D13" s="305">
        <f>IFERROR(VLOOKUP(A13,'[44]SPOKANE RATES 2017'!$D$4:$E$77,2,FALSE),0)/2</f>
        <v>11.91</v>
      </c>
      <c r="E13" s="310">
        <f>IFERROR(VLOOKUP(A13,'[44]REV by Area 2017'!$Q$6:$T$78,2,FALSE),0)</f>
        <v>296.5</v>
      </c>
      <c r="F13" s="310">
        <f>IFERROR(VLOOKUP(A13,'[44]REV by Area 2017'!$Q$6:$T$78,3,FALSE),0)</f>
        <v>1035.8699999999999</v>
      </c>
      <c r="G13" s="307">
        <f t="shared" si="0"/>
        <v>1332.37</v>
      </c>
      <c r="I13" s="304">
        <f t="shared" ref="I13:I31" si="3">(E13/C13)</f>
        <v>25</v>
      </c>
      <c r="J13" s="304">
        <f t="shared" ref="J13:J31" si="4">F13/D13</f>
        <v>86.974811083123413</v>
      </c>
      <c r="K13" s="300">
        <f t="shared" ref="K13:K31" si="5">(J13+I13)/12</f>
        <v>9.3312342569269511</v>
      </c>
      <c r="L13" s="300"/>
      <c r="M13" s="307">
        <f t="shared" ref="M13:M31" si="6">$M$5*Q13</f>
        <v>1.686023297987671</v>
      </c>
      <c r="O13" s="369">
        <f t="shared" si="1"/>
        <v>188.79214027391416</v>
      </c>
      <c r="Q13" s="494">
        <f>'Rate Sheet'!B95</f>
        <v>11.89</v>
      </c>
      <c r="R13" s="323">
        <f>+Q13+SUM(M13:M13)</f>
        <v>13.576023297987671</v>
      </c>
      <c r="S13" s="363">
        <f t="shared" si="2"/>
        <v>1521.162140273914</v>
      </c>
    </row>
    <row r="14" spans="1:19" s="303" customFormat="1" ht="12" customHeight="1">
      <c r="A14" s="290" t="s">
        <v>893</v>
      </c>
      <c r="B14" s="290" t="s">
        <v>892</v>
      </c>
      <c r="C14" s="305">
        <f>IFERROR(VLOOKUP(A14,'[44]Spokane Jan-Apr Rates'!$F$2:$H$147,3,FALSE),0)/2</f>
        <v>18.670000000000002</v>
      </c>
      <c r="D14" s="305">
        <f>IFERROR(VLOOKUP(A14,'[44]SPOKANE RATES 2017'!$D$4:$E$77,2,FALSE),0)/2</f>
        <v>18.89</v>
      </c>
      <c r="E14" s="310">
        <f>IFERROR(VLOOKUP(A14,'[44]REV by Area 2017'!$Q$6:$T$78,2,FALSE),0)</f>
        <v>24791.43</v>
      </c>
      <c r="F14" s="310">
        <f>IFERROR(VLOOKUP(A14,'[44]REV by Area 2017'!$Q$6:$T$78,3,FALSE),0)</f>
        <v>76170.959999999992</v>
      </c>
      <c r="G14" s="307">
        <f t="shared" si="0"/>
        <v>100962.38999999998</v>
      </c>
      <c r="I14" s="304">
        <f t="shared" si="3"/>
        <v>1327.8752008569897</v>
      </c>
      <c r="J14" s="304">
        <f t="shared" si="4"/>
        <v>4032.3430386447849</v>
      </c>
      <c r="K14" s="300">
        <f t="shared" si="5"/>
        <v>446.68485329181453</v>
      </c>
      <c r="L14" s="300"/>
      <c r="M14" s="307">
        <f t="shared" si="6"/>
        <v>2.6687097113648415</v>
      </c>
      <c r="O14" s="369">
        <f t="shared" si="1"/>
        <v>14304.866470793339</v>
      </c>
      <c r="Q14" s="494">
        <f>'Rate Sheet'!B87</f>
        <v>18.82</v>
      </c>
      <c r="R14" s="323">
        <f t="shared" ref="R14:R31" si="7">+Q14+SUM(M14:M14)</f>
        <v>21.488709711364841</v>
      </c>
      <c r="S14" s="363">
        <f t="shared" si="2"/>
        <v>115267.25647079332</v>
      </c>
    </row>
    <row r="15" spans="1:19" s="303" customFormat="1" ht="12" customHeight="1">
      <c r="A15" s="290" t="s">
        <v>891</v>
      </c>
      <c r="B15" s="290" t="s">
        <v>890</v>
      </c>
      <c r="C15" s="305">
        <f>IFERROR(VLOOKUP(A15,'[44]Spokane Jan-Apr Rates'!$F$2:$H$147,3,FALSE),0)/2</f>
        <v>26.36</v>
      </c>
      <c r="D15" s="305">
        <f>IFERROR(VLOOKUP(A15,'[44]SPOKANE RATES 2017'!$D$4:$E$77,2,FALSE),0)/2</f>
        <v>26.69</v>
      </c>
      <c r="E15" s="310">
        <f>IFERROR(VLOOKUP(A15,'[44]REV by Area 2017'!$Q$6:$T$78,2,FALSE),0)</f>
        <v>10165.075000000001</v>
      </c>
      <c r="F15" s="310">
        <f>IFERROR(VLOOKUP(A15,'[44]REV by Area 2017'!$Q$6:$T$78,3,FALSE),0)</f>
        <v>31622.990000000005</v>
      </c>
      <c r="G15" s="307">
        <f t="shared" si="0"/>
        <v>41788.065000000002</v>
      </c>
      <c r="I15" s="304">
        <f t="shared" si="3"/>
        <v>385.62500000000006</v>
      </c>
      <c r="J15" s="304">
        <f t="shared" si="4"/>
        <v>1184.8254027725741</v>
      </c>
      <c r="K15" s="300">
        <f t="shared" si="5"/>
        <v>130.87086689771451</v>
      </c>
      <c r="L15" s="300"/>
      <c r="M15" s="307">
        <f t="shared" si="6"/>
        <v>3.7690916114812691</v>
      </c>
      <c r="O15" s="369">
        <f t="shared" si="1"/>
        <v>5919.1714393374896</v>
      </c>
      <c r="Q15" s="494">
        <f>'Rate Sheet'!B88</f>
        <v>26.58</v>
      </c>
      <c r="R15" s="323">
        <f t="shared" si="7"/>
        <v>30.349091611481267</v>
      </c>
      <c r="S15" s="363">
        <f t="shared" si="2"/>
        <v>47707.236439337488</v>
      </c>
    </row>
    <row r="16" spans="1:19" s="303" customFormat="1" ht="12" customHeight="1">
      <c r="A16" s="290" t="s">
        <v>889</v>
      </c>
      <c r="B16" s="290" t="s">
        <v>888</v>
      </c>
      <c r="C16" s="305">
        <f>IFERROR(VLOOKUP(A16,'[44]Spokane Jan-Apr Rates'!$F$2:$H$147,3,FALSE),0)/2</f>
        <v>37.61</v>
      </c>
      <c r="D16" s="305">
        <f>IFERROR(VLOOKUP(A16,'[44]SPOKANE RATES 2017'!$D$4:$E$77,2,FALSE),0)/2</f>
        <v>38.1</v>
      </c>
      <c r="E16" s="310">
        <f>IFERROR(VLOOKUP(A16,'[44]REV by Area 2017'!$Q$6:$T$78,2,FALSE),0)</f>
        <v>112.83</v>
      </c>
      <c r="F16" s="310">
        <f>IFERROR(VLOOKUP(A16,'[44]REV by Area 2017'!$Q$6:$T$78,3,FALSE),0)</f>
        <v>418.61</v>
      </c>
      <c r="G16" s="307">
        <f t="shared" si="0"/>
        <v>531.44000000000005</v>
      </c>
      <c r="I16" s="304">
        <f t="shared" si="3"/>
        <v>3</v>
      </c>
      <c r="J16" s="304">
        <f t="shared" si="4"/>
        <v>10.987139107611549</v>
      </c>
      <c r="K16" s="300">
        <f t="shared" si="5"/>
        <v>1.1655949256342957</v>
      </c>
      <c r="L16" s="300"/>
      <c r="M16" s="307">
        <f t="shared" si="6"/>
        <v>5.3799599601053174</v>
      </c>
      <c r="O16" s="369">
        <f t="shared" si="1"/>
        <v>75.250248355373344</v>
      </c>
      <c r="Q16" s="494">
        <f>'Rate Sheet'!B89</f>
        <v>37.94</v>
      </c>
      <c r="R16" s="323">
        <f t="shared" si="7"/>
        <v>43.319959960105315</v>
      </c>
      <c r="S16" s="363">
        <f t="shared" si="2"/>
        <v>606.69024835537334</v>
      </c>
    </row>
    <row r="17" spans="1:19" s="303" customFormat="1" ht="12" customHeight="1">
      <c r="A17" s="290" t="s">
        <v>887</v>
      </c>
      <c r="B17" s="290" t="s">
        <v>886</v>
      </c>
      <c r="C17" s="305">
        <f>IFERROR(VLOOKUP(A17,'[44]Spokane Jan-Apr Rates'!$F$2:$H$147,3,FALSE),0)/2</f>
        <v>28.13</v>
      </c>
      <c r="D17" s="305">
        <f>IFERROR(VLOOKUP(A17,'[44]SPOKANE RATES 2017'!$D$4:$E$77,2,FALSE),0)/2</f>
        <v>28.43</v>
      </c>
      <c r="E17" s="310">
        <f>IFERROR(VLOOKUP(A17,'[44]REV by Area 2017'!$Q$6:$T$78,2,FALSE),0)</f>
        <v>24227.340000000004</v>
      </c>
      <c r="F17" s="310">
        <f>IFERROR(VLOOKUP(A17,'[44]REV by Area 2017'!$Q$6:$T$78,3,FALSE),0)</f>
        <v>73789.289999999994</v>
      </c>
      <c r="G17" s="307">
        <f t="shared" si="0"/>
        <v>98016.63</v>
      </c>
      <c r="I17" s="304">
        <f t="shared" si="3"/>
        <v>861.26341983647364</v>
      </c>
      <c r="J17" s="304">
        <f t="shared" si="4"/>
        <v>2595.4727400633133</v>
      </c>
      <c r="K17" s="300">
        <f t="shared" si="5"/>
        <v>288.06134665831559</v>
      </c>
      <c r="L17" s="300"/>
      <c r="M17" s="307">
        <f t="shared" si="6"/>
        <v>4.0172447461724738</v>
      </c>
      <c r="O17" s="369">
        <f t="shared" si="1"/>
        <v>13886.555177261833</v>
      </c>
      <c r="Q17" s="494">
        <f>'Rate Sheet'!$B$93</f>
        <v>28.33</v>
      </c>
      <c r="R17" s="323">
        <f t="shared" si="7"/>
        <v>32.347244746172471</v>
      </c>
      <c r="S17" s="363">
        <f t="shared" si="2"/>
        <v>111903.18517726184</v>
      </c>
    </row>
    <row r="18" spans="1:19" s="303" customFormat="1" ht="12" customHeight="1">
      <c r="A18" s="290" t="s">
        <v>885</v>
      </c>
      <c r="B18" s="290" t="s">
        <v>884</v>
      </c>
      <c r="C18" s="305">
        <f>IFERROR(VLOOKUP(A18,'[44]Spokane Jan-Apr Rates'!$F$2:$H$147,3,FALSE),0)/2</f>
        <v>53.36</v>
      </c>
      <c r="D18" s="305">
        <f>IFERROR(VLOOKUP(A18,'[44]SPOKANE RATES 2017'!$D$4:$E$77,2,FALSE),0)/2</f>
        <v>56.86</v>
      </c>
      <c r="E18" s="310">
        <f>IFERROR(VLOOKUP(A18,'[44]REV by Area 2017'!$Q$6:$T$78,2,FALSE),0)</f>
        <v>160.07999999999998</v>
      </c>
      <c r="F18" s="310">
        <f>IFERROR(VLOOKUP(A18,'[44]REV by Area 2017'!$Q$6:$T$78,3,FALSE),0)</f>
        <v>511.74000000000007</v>
      </c>
      <c r="G18" s="307">
        <f t="shared" si="0"/>
        <v>671.82</v>
      </c>
      <c r="I18" s="304">
        <f t="shared" si="3"/>
        <v>2.9999999999999996</v>
      </c>
      <c r="J18" s="304">
        <f t="shared" si="4"/>
        <v>9.0000000000000018</v>
      </c>
      <c r="K18" s="300">
        <f t="shared" si="5"/>
        <v>1.0000000000000002</v>
      </c>
      <c r="L18" s="300"/>
      <c r="M18" s="307">
        <f t="shared" si="6"/>
        <v>8.0344894923449477</v>
      </c>
      <c r="O18" s="369">
        <f t="shared" si="1"/>
        <v>96.413873908139394</v>
      </c>
      <c r="Q18" s="494">
        <f>'Rate Sheet'!$B$93*2</f>
        <v>56.66</v>
      </c>
      <c r="R18" s="323">
        <f t="shared" si="7"/>
        <v>64.694489492344943</v>
      </c>
      <c r="S18" s="363">
        <f t="shared" si="2"/>
        <v>768.23387390813946</v>
      </c>
    </row>
    <row r="19" spans="1:19" s="303" customFormat="1" ht="12" customHeight="1">
      <c r="A19" s="290" t="s">
        <v>883</v>
      </c>
      <c r="B19" s="290" t="s">
        <v>882</v>
      </c>
      <c r="C19" s="305">
        <f>IFERROR(VLOOKUP(A19,'[44]Spokane Jan-Apr Rates'!$F$2:$H$147,3,FALSE),0)/2</f>
        <v>35.130000000000003</v>
      </c>
      <c r="D19" s="305">
        <f>IFERROR(VLOOKUP(A19,'[44]SPOKANE RATES 2017'!$D$4:$E$77,2,FALSE),0)/2</f>
        <v>35.57</v>
      </c>
      <c r="E19" s="310">
        <f>IFERROR(VLOOKUP(A19,'[44]REV by Area 2017'!$Q$6:$T$78,2,FALSE),0)+26.02</f>
        <v>30928.81</v>
      </c>
      <c r="F19" s="310">
        <f>IFERROR(VLOOKUP(A19,'[44]REV by Area 2017'!$Q$6:$T$78,3,FALSE),0)</f>
        <v>104773.01500000001</v>
      </c>
      <c r="G19" s="307">
        <f t="shared" si="0"/>
        <v>135701.82500000001</v>
      </c>
      <c r="I19" s="304">
        <f t="shared" si="3"/>
        <v>880.41019072018219</v>
      </c>
      <c r="J19" s="304">
        <f t="shared" si="4"/>
        <v>2945.5444194545971</v>
      </c>
      <c r="K19" s="300">
        <f t="shared" si="5"/>
        <v>318.82955084789825</v>
      </c>
      <c r="L19" s="300"/>
      <c r="M19" s="307">
        <f t="shared" si="6"/>
        <v>5.0240374640625047</v>
      </c>
      <c r="O19" s="369">
        <f t="shared" si="1"/>
        <v>19221.739297320746</v>
      </c>
      <c r="Q19" s="494">
        <f>'Rate Sheet'!$B$94</f>
        <v>35.43</v>
      </c>
      <c r="R19" s="323">
        <f t="shared" si="7"/>
        <v>40.454037464062502</v>
      </c>
      <c r="S19" s="363">
        <f t="shared" si="2"/>
        <v>154923.56429732076</v>
      </c>
    </row>
    <row r="20" spans="1:19" s="303" customFormat="1" ht="12" customHeight="1">
      <c r="A20" s="290" t="s">
        <v>881</v>
      </c>
      <c r="B20" s="290" t="s">
        <v>880</v>
      </c>
      <c r="C20" s="305">
        <f>IFERROR(VLOOKUP(A20,'[44]Spokane Jan-Apr Rates'!$F$2:$H$147,3,FALSE),0)/2</f>
        <v>70.260000000000005</v>
      </c>
      <c r="D20" s="305">
        <f>IFERROR(VLOOKUP(A20,'[44]SPOKANE RATES 2017'!$D$4:$E$77,2,FALSE),0)/2</f>
        <v>71.14</v>
      </c>
      <c r="E20" s="310">
        <f>IFERROR(VLOOKUP(A20,'[44]REV by Area 2017'!$Q$6:$T$78,2,FALSE),0)</f>
        <v>474.255</v>
      </c>
      <c r="F20" s="310">
        <f>IFERROR(VLOOKUP(A20,'[44]REV by Area 2017'!$Q$6:$T$78,3,FALSE),0)</f>
        <v>2274.0650000000001</v>
      </c>
      <c r="G20" s="307">
        <f t="shared" si="0"/>
        <v>2748.32</v>
      </c>
      <c r="I20" s="304">
        <f t="shared" si="3"/>
        <v>6.7499999999999991</v>
      </c>
      <c r="J20" s="304">
        <f t="shared" si="4"/>
        <v>31.966052853528254</v>
      </c>
      <c r="K20" s="300">
        <f t="shared" si="5"/>
        <v>3.226337737794021</v>
      </c>
      <c r="L20" s="300"/>
      <c r="M20" s="307">
        <f t="shared" si="6"/>
        <v>10.048074928125009</v>
      </c>
      <c r="O20" s="369">
        <f t="shared" si="1"/>
        <v>389.0217999935</v>
      </c>
      <c r="Q20" s="494">
        <f>'Rate Sheet'!$B$94*2</f>
        <v>70.86</v>
      </c>
      <c r="R20" s="323">
        <f t="shared" si="7"/>
        <v>80.908074928125004</v>
      </c>
      <c r="S20" s="363">
        <f t="shared" si="2"/>
        <v>3137.3417999935</v>
      </c>
    </row>
    <row r="21" spans="1:19" s="303" customFormat="1" ht="12" customHeight="1">
      <c r="A21" s="290" t="s">
        <v>879</v>
      </c>
      <c r="B21" s="290" t="s">
        <v>878</v>
      </c>
      <c r="C21" s="305">
        <f>IFERROR(VLOOKUP(A21,'[44]Spokane Jan-Apr Rates'!$F$2:$H$147,3,FALSE),0)/2</f>
        <v>99.96</v>
      </c>
      <c r="D21" s="305">
        <f>IFERROR(VLOOKUP(A21,'[44]SPOKANE RATES 2017'!$D$4:$E$77,2,FALSE),0)/2</f>
        <v>106.71</v>
      </c>
      <c r="E21" s="310">
        <f>IFERROR(VLOOKUP(A21,'[44]REV by Area 2017'!$Q$6:$T$78,2,FALSE),0)</f>
        <v>299.88</v>
      </c>
      <c r="F21" s="310">
        <f>IFERROR(VLOOKUP(A21,'[44]REV by Area 2017'!$Q$6:$T$78,3,FALSE),0)</f>
        <v>953.6400000000001</v>
      </c>
      <c r="G21" s="307">
        <f t="shared" si="0"/>
        <v>1253.52</v>
      </c>
      <c r="I21" s="304">
        <f t="shared" si="3"/>
        <v>3</v>
      </c>
      <c r="J21" s="304">
        <f t="shared" si="4"/>
        <v>8.9367444475681772</v>
      </c>
      <c r="K21" s="300">
        <f t="shared" si="5"/>
        <v>0.9947287039640148</v>
      </c>
      <c r="L21" s="300"/>
      <c r="M21" s="307">
        <f t="shared" si="6"/>
        <v>15.072112392187512</v>
      </c>
      <c r="O21" s="369">
        <f t="shared" si="1"/>
        <v>179.9119539105678</v>
      </c>
      <c r="Q21" s="494">
        <f>'Rate Sheet'!$B$94*3</f>
        <v>106.28999999999999</v>
      </c>
      <c r="R21" s="323">
        <f>+Q21+SUM(M21:M21)</f>
        <v>121.3621123921875</v>
      </c>
      <c r="S21" s="363">
        <f t="shared" si="2"/>
        <v>1433.4319539105677</v>
      </c>
    </row>
    <row r="22" spans="1:19" s="303" customFormat="1" ht="12" customHeight="1">
      <c r="A22" s="290" t="s">
        <v>877</v>
      </c>
      <c r="B22" s="290" t="s">
        <v>876</v>
      </c>
      <c r="C22" s="305">
        <f>IFERROR(VLOOKUP(A22,'[44]Spokane Jan-Apr Rates'!$F$2:$H$147,3,FALSE),0)</f>
        <v>13.01</v>
      </c>
      <c r="D22" s="305">
        <f>IFERROR(VLOOKUP(A22,'[44]SPOKANE RATES 2017'!$D$4:$E$78,2,FALSE),0)</f>
        <v>13.06</v>
      </c>
      <c r="E22" s="310">
        <f>IFERROR(VLOOKUP(A22,'[44]REV by Area 2017'!$Q$6:$T$78,2,FALSE),0)</f>
        <v>0</v>
      </c>
      <c r="F22" s="310">
        <f>IFERROR(VLOOKUP(A22,'[44]REV by Area 2017'!$Q$6:$T$78,3,FALSE),0)</f>
        <v>0</v>
      </c>
      <c r="G22" s="307">
        <f t="shared" si="0"/>
        <v>0</v>
      </c>
      <c r="I22" s="304">
        <f t="shared" si="3"/>
        <v>0</v>
      </c>
      <c r="J22" s="304">
        <f t="shared" si="4"/>
        <v>0</v>
      </c>
      <c r="K22" s="300">
        <f t="shared" si="5"/>
        <v>0</v>
      </c>
      <c r="L22" s="300"/>
      <c r="M22" s="307">
        <f t="shared" si="6"/>
        <v>1.8490953579276053</v>
      </c>
      <c r="O22" s="369">
        <f t="shared" si="1"/>
        <v>0</v>
      </c>
      <c r="Q22" s="494">
        <f>'Rate Sheet'!B107</f>
        <v>13.04</v>
      </c>
      <c r="R22" s="323">
        <f t="shared" si="7"/>
        <v>14.889095357927605</v>
      </c>
      <c r="S22" s="363">
        <f t="shared" si="2"/>
        <v>0</v>
      </c>
    </row>
    <row r="23" spans="1:19" s="303" customFormat="1" ht="12" customHeight="1">
      <c r="A23" s="290" t="s">
        <v>875</v>
      </c>
      <c r="B23" s="290" t="s">
        <v>874</v>
      </c>
      <c r="C23" s="305">
        <f>IFERROR(VLOOKUP(A23,'[44]Spokane Jan-Apr Rates'!$F$2:$H$147,3,FALSE),0)</f>
        <v>4.4400000000000004</v>
      </c>
      <c r="D23" s="305">
        <f>IFERROR(VLOOKUP(A23,'[44]SPOKANE RATES 2017'!$D$4:$E$78,2,FALSE),0)</f>
        <v>4.49</v>
      </c>
      <c r="E23" s="310">
        <f>IFERROR(VLOOKUP(A23,'[44]REV by Area 2017'!$Q$6:$T$78,2,FALSE),0)</f>
        <v>848.96</v>
      </c>
      <c r="F23" s="310">
        <f>IFERROR(VLOOKUP(A23,'[44]REV by Area 2017'!$Q$6:$T$78,3,FALSE),0)</f>
        <v>4598.93</v>
      </c>
      <c r="G23" s="307">
        <f t="shared" si="0"/>
        <v>5447.89</v>
      </c>
      <c r="I23" s="304">
        <f t="shared" si="3"/>
        <v>191.2072072072072</v>
      </c>
      <c r="J23" s="304">
        <f t="shared" si="4"/>
        <v>1024.260579064588</v>
      </c>
      <c r="K23" s="300">
        <f t="shared" si="5"/>
        <v>101.28898218931626</v>
      </c>
      <c r="L23" s="300"/>
      <c r="M23" s="307">
        <f t="shared" si="6"/>
        <v>0.63385400689696281</v>
      </c>
      <c r="O23" s="369">
        <f t="shared" si="1"/>
        <v>770.42912658255841</v>
      </c>
      <c r="Q23" s="494">
        <f>'Rate Sheet'!B105</f>
        <v>4.47</v>
      </c>
      <c r="R23" s="323">
        <f t="shared" si="7"/>
        <v>5.1038540068969622</v>
      </c>
      <c r="S23" s="363">
        <f t="shared" si="2"/>
        <v>6218.319126582559</v>
      </c>
    </row>
    <row r="24" spans="1:19" s="303" customFormat="1" ht="12" customHeight="1">
      <c r="A24" s="290" t="s">
        <v>873</v>
      </c>
      <c r="B24" s="290" t="s">
        <v>872</v>
      </c>
      <c r="C24" s="305">
        <f>IFERROR(VLOOKUP(A24,'[44]Spokane Jan-Apr Rates'!$F$2:$H$147,3,FALSE),0)</f>
        <v>22.61</v>
      </c>
      <c r="D24" s="305">
        <f>IFERROR(VLOOKUP(A24,'[44]SPOKANE RATES 2017'!$D$4:$E$78,2,FALSE),0)</f>
        <v>22.8</v>
      </c>
      <c r="E24" s="310">
        <f>IFERROR(VLOOKUP(A24,'[44]REV by Area 2017'!$Q$6:$T$78,2,FALSE),0)</f>
        <v>22.61</v>
      </c>
      <c r="F24" s="310">
        <f>IFERROR(VLOOKUP(A24,'[44]REV by Area 2017'!$Q$6:$T$78,3,FALSE),0)</f>
        <v>45.6</v>
      </c>
      <c r="G24" s="307">
        <f t="shared" si="0"/>
        <v>68.210000000000008</v>
      </c>
      <c r="I24" s="304">
        <f t="shared" si="3"/>
        <v>1</v>
      </c>
      <c r="J24" s="304">
        <f t="shared" si="4"/>
        <v>2</v>
      </c>
      <c r="K24" s="300">
        <f t="shared" si="5"/>
        <v>0.25</v>
      </c>
      <c r="L24" s="300"/>
      <c r="M24" s="307">
        <f t="shared" si="6"/>
        <v>3.2245727330731397</v>
      </c>
      <c r="O24" s="369">
        <f t="shared" si="1"/>
        <v>9.6737181992194188</v>
      </c>
      <c r="Q24" s="494">
        <f>'Rate Sheet'!B126</f>
        <v>22.74</v>
      </c>
      <c r="R24" s="323">
        <f t="shared" si="7"/>
        <v>25.964572733073137</v>
      </c>
      <c r="S24" s="363">
        <f t="shared" si="2"/>
        <v>77.88371819921943</v>
      </c>
    </row>
    <row r="25" spans="1:19" s="308" customFormat="1" ht="12" customHeight="1">
      <c r="A25" s="290" t="s">
        <v>871</v>
      </c>
      <c r="B25" s="290" t="s">
        <v>870</v>
      </c>
      <c r="C25" s="305">
        <f>IFERROR(VLOOKUP(A25,'[44]Spokane Jan-Apr Rates'!$F$2:$H$147,3,FALSE),0)</f>
        <v>22.61</v>
      </c>
      <c r="D25" s="305">
        <f>IFERROR(VLOOKUP(A25,'[44]SPOKANE RATES 2017'!$D$4:$E$78,2,FALSE),0)</f>
        <v>22.8</v>
      </c>
      <c r="E25" s="310">
        <f>IFERROR(VLOOKUP(A25,'[44]REV by Area 2017'!$Q$6:$T$78,2,FALSE),0)</f>
        <v>0</v>
      </c>
      <c r="F25" s="310">
        <f>IFERROR(VLOOKUP(A25,'[44]REV by Area 2017'!$Q$6:$T$78,3,FALSE),0)</f>
        <v>182.4</v>
      </c>
      <c r="G25" s="307">
        <f t="shared" si="0"/>
        <v>182.4</v>
      </c>
      <c r="I25" s="304">
        <f t="shared" si="3"/>
        <v>0</v>
      </c>
      <c r="J25" s="304">
        <f t="shared" si="4"/>
        <v>8</v>
      </c>
      <c r="K25" s="300">
        <f t="shared" si="5"/>
        <v>0.66666666666666663</v>
      </c>
      <c r="L25" s="300"/>
      <c r="M25" s="307">
        <f t="shared" si="6"/>
        <v>3.2245727330731397</v>
      </c>
      <c r="O25" s="369">
        <f t="shared" si="1"/>
        <v>25.796581864585114</v>
      </c>
      <c r="Q25" s="375">
        <f>'Rate Sheet'!B124</f>
        <v>22.74</v>
      </c>
      <c r="R25" s="323">
        <f t="shared" si="7"/>
        <v>25.964572733073137</v>
      </c>
      <c r="S25" s="363">
        <f t="shared" si="2"/>
        <v>208.19658186458511</v>
      </c>
    </row>
    <row r="26" spans="1:19" s="308" customFormat="1" ht="12" customHeight="1">
      <c r="A26" s="290" t="s">
        <v>869</v>
      </c>
      <c r="B26" s="290" t="s">
        <v>868</v>
      </c>
      <c r="C26" s="305">
        <f>IFERROR(VLOOKUP(A26,'[44]Spokane Jan-Apr Rates'!$F$2:$H$147,3,FALSE),0)</f>
        <v>4.4400000000000004</v>
      </c>
      <c r="D26" s="305">
        <f>IFERROR(VLOOKUP(A26,'[44]SPOKANE RATES 2017'!$D$4:$E$78,2,FALSE),0)</f>
        <v>4.49</v>
      </c>
      <c r="E26" s="310">
        <f>IFERROR(VLOOKUP(A26,'[44]REV by Area 2017'!$Q$6:$T$78,2,FALSE),0)</f>
        <v>4.4400000000000004</v>
      </c>
      <c r="F26" s="310">
        <f>IFERROR(VLOOKUP(A26,'[44]REV by Area 2017'!$Q$6:$T$78,3,FALSE),0)</f>
        <v>89.47</v>
      </c>
      <c r="G26" s="307">
        <f t="shared" si="0"/>
        <v>93.91</v>
      </c>
      <c r="I26" s="304">
        <f t="shared" si="3"/>
        <v>1</v>
      </c>
      <c r="J26" s="304">
        <f t="shared" si="4"/>
        <v>19.926503340757236</v>
      </c>
      <c r="K26" s="300">
        <f t="shared" si="5"/>
        <v>1.7438752783964364</v>
      </c>
      <c r="L26" s="300"/>
      <c r="M26" s="307">
        <f t="shared" si="6"/>
        <v>0.63385400689696281</v>
      </c>
      <c r="O26" s="369">
        <f t="shared" si="1"/>
        <v>13.264347992881653</v>
      </c>
      <c r="Q26" s="375">
        <f>'Rate Sheet'!B30</f>
        <v>4.47</v>
      </c>
      <c r="R26" s="323">
        <f t="shared" si="7"/>
        <v>5.1038540068969622</v>
      </c>
      <c r="S26" s="363">
        <f t="shared" si="2"/>
        <v>107.17434799288165</v>
      </c>
    </row>
    <row r="27" spans="1:19" s="303" customFormat="1" ht="12" customHeight="1">
      <c r="A27" s="290" t="s">
        <v>867</v>
      </c>
      <c r="B27" s="290" t="s">
        <v>866</v>
      </c>
      <c r="C27" s="305">
        <f>IFERROR(VLOOKUP(A27,'[44]Spokane Jan-Apr Rates'!$F$2:$H$147,3,FALSE),0)</f>
        <v>4.4400000000000004</v>
      </c>
      <c r="D27" s="305">
        <f>IFERROR(VLOOKUP(A27,'[44]SPOKANE RATES 2017'!$D$4:$E$78,2,FALSE),0)</f>
        <v>4.49</v>
      </c>
      <c r="E27" s="310">
        <f>IFERROR(VLOOKUP(A27,'[44]REV by Area 2017'!$Q$6:$T$78,2,FALSE),0)</f>
        <v>13.32</v>
      </c>
      <c r="F27" s="310">
        <f>IFERROR(VLOOKUP(A27,'[44]REV by Area 2017'!$Q$6:$T$78,3,FALSE),0)</f>
        <v>35.920000000000009</v>
      </c>
      <c r="G27" s="307">
        <f t="shared" si="0"/>
        <v>49.240000000000009</v>
      </c>
      <c r="I27" s="304">
        <f t="shared" si="3"/>
        <v>3</v>
      </c>
      <c r="J27" s="304">
        <f t="shared" si="4"/>
        <v>8.0000000000000018</v>
      </c>
      <c r="K27" s="300">
        <f t="shared" si="5"/>
        <v>0.91666666666666685</v>
      </c>
      <c r="L27" s="300"/>
      <c r="M27" s="307">
        <f t="shared" si="6"/>
        <v>0.63385400689696281</v>
      </c>
      <c r="O27" s="369">
        <f t="shared" si="1"/>
        <v>6.9723940758665917</v>
      </c>
      <c r="Q27" s="494">
        <f>'Rate Sheet'!B30</f>
        <v>4.47</v>
      </c>
      <c r="R27" s="323">
        <f t="shared" si="7"/>
        <v>5.1038540068969622</v>
      </c>
      <c r="S27" s="363">
        <f t="shared" si="2"/>
        <v>56.212394075866598</v>
      </c>
    </row>
    <row r="28" spans="1:19" s="303" customFormat="1" ht="12" customHeight="1">
      <c r="A28" s="290" t="s">
        <v>865</v>
      </c>
      <c r="B28" s="290" t="s">
        <v>864</v>
      </c>
      <c r="C28" s="305">
        <f>D28</f>
        <v>6.97</v>
      </c>
      <c r="D28" s="305">
        <f>IFERROR(VLOOKUP(A28,'[44]RATES by Area 2017'!$E$6:$F$119,2,FALSE),0)/2</f>
        <v>6.97</v>
      </c>
      <c r="E28" s="310">
        <f>IFERROR(VLOOKUP(A28,'[44]REV by Area 2017'!$Q$6:$T$78,2,FALSE),0)</f>
        <v>864.28</v>
      </c>
      <c r="F28" s="310">
        <f>IFERROR(VLOOKUP(A28,'[44]REV by Area 2017'!$Q$6:$T$78,3,FALSE),0)</f>
        <v>2143.27</v>
      </c>
      <c r="G28" s="307">
        <f t="shared" si="0"/>
        <v>3007.55</v>
      </c>
      <c r="I28" s="304">
        <f t="shared" si="3"/>
        <v>124</v>
      </c>
      <c r="J28" s="304">
        <f t="shared" si="4"/>
        <v>307.49928263988522</v>
      </c>
      <c r="K28" s="300">
        <f t="shared" si="5"/>
        <v>35.958273553323771</v>
      </c>
      <c r="L28" s="300"/>
      <c r="M28" s="307">
        <f t="shared" si="6"/>
        <v>0.98854282735588317</v>
      </c>
      <c r="O28" s="369">
        <f t="shared" si="1"/>
        <v>426.55552086286752</v>
      </c>
      <c r="Q28" s="354">
        <f>'Rate Sheet'!B53*References!B11</f>
        <v>6.9713000000000003</v>
      </c>
      <c r="R28" s="323">
        <f t="shared" si="7"/>
        <v>7.9598428273558834</v>
      </c>
      <c r="S28" s="363">
        <f t="shared" si="2"/>
        <v>3434.1055208628677</v>
      </c>
    </row>
    <row r="29" spans="1:19" s="303" customFormat="1" ht="12" customHeight="1">
      <c r="A29" s="290" t="s">
        <v>863</v>
      </c>
      <c r="B29" s="292" t="s">
        <v>862</v>
      </c>
      <c r="C29" s="305">
        <f>D29</f>
        <v>8.4700000000000006</v>
      </c>
      <c r="D29" s="305">
        <f>IFERROR(VLOOKUP(A29,'[44]RATES by Area 2017'!$E$6:$F$119,2,FALSE),0)</f>
        <v>8.4700000000000006</v>
      </c>
      <c r="E29" s="310">
        <f>IFERROR(VLOOKUP(A29,'[44]REV by Area 2017'!$Q$6:$T$78,2,FALSE),0)</f>
        <v>0</v>
      </c>
      <c r="F29" s="310">
        <f>IFERROR(VLOOKUP(A29,'[44]REV by Area 2017'!$Q$6:$T$78,3,FALSE),0)</f>
        <v>0</v>
      </c>
      <c r="G29" s="307">
        <f t="shared" si="0"/>
        <v>0</v>
      </c>
      <c r="I29" s="304">
        <f t="shared" si="3"/>
        <v>0</v>
      </c>
      <c r="J29" s="304">
        <f t="shared" si="4"/>
        <v>0</v>
      </c>
      <c r="K29" s="300">
        <f t="shared" si="5"/>
        <v>0</v>
      </c>
      <c r="L29" s="300"/>
      <c r="M29" s="307">
        <f t="shared" si="6"/>
        <v>1.2010611719054309</v>
      </c>
      <c r="O29" s="369">
        <f t="shared" si="1"/>
        <v>0</v>
      </c>
      <c r="Q29" s="494">
        <f>'Rate Sheet'!B39</f>
        <v>8.4700000000000006</v>
      </c>
      <c r="R29" s="323">
        <f t="shared" si="7"/>
        <v>9.671061171905432</v>
      </c>
      <c r="S29" s="363">
        <f t="shared" si="2"/>
        <v>0</v>
      </c>
    </row>
    <row r="30" spans="1:19" s="308" customFormat="1" ht="12" customHeight="1">
      <c r="A30" s="290" t="s">
        <v>861</v>
      </c>
      <c r="B30" s="290" t="s">
        <v>860</v>
      </c>
      <c r="C30" s="305">
        <f>D30</f>
        <v>23.04</v>
      </c>
      <c r="D30" s="305">
        <f>IFERROR(VLOOKUP(A30,'[44]RATES by Area 2017'!$E$6:$F$119,2,FALSE),0)</f>
        <v>23.04</v>
      </c>
      <c r="E30" s="310">
        <f>IFERROR(VLOOKUP(A30,'[44]REV by Area 2017'!$Q$6:$T$78,2,FALSE),0)</f>
        <v>23.04</v>
      </c>
      <c r="F30" s="310">
        <f>IFERROR(VLOOKUP(A30,'[44]REV by Area 2017'!$Q$6:$T$78,3,FALSE),0)</f>
        <v>46.08</v>
      </c>
      <c r="G30" s="307">
        <f t="shared" si="0"/>
        <v>69.12</v>
      </c>
      <c r="I30" s="304">
        <f t="shared" si="3"/>
        <v>1</v>
      </c>
      <c r="J30" s="304">
        <f t="shared" si="4"/>
        <v>2</v>
      </c>
      <c r="K30" s="300">
        <f t="shared" si="5"/>
        <v>0.25</v>
      </c>
      <c r="L30" s="300"/>
      <c r="M30" s="307">
        <f t="shared" si="6"/>
        <v>3.2671132704487751</v>
      </c>
      <c r="O30" s="369">
        <f t="shared" si="1"/>
        <v>9.8013398113463257</v>
      </c>
      <c r="Q30" s="375">
        <f>'Rate Sheet'!B18</f>
        <v>23.04</v>
      </c>
      <c r="R30" s="323">
        <f t="shared" si="7"/>
        <v>26.307113270448774</v>
      </c>
      <c r="S30" s="363">
        <f t="shared" si="2"/>
        <v>78.921339811346328</v>
      </c>
    </row>
    <row r="31" spans="1:19" s="308" customFormat="1" ht="12" customHeight="1">
      <c r="A31" s="290" t="s">
        <v>859</v>
      </c>
      <c r="B31" s="290" t="s">
        <v>858</v>
      </c>
      <c r="C31" s="305">
        <f>D31</f>
        <v>13.83</v>
      </c>
      <c r="D31" s="305">
        <f>IFERROR(VLOOKUP(A31,'[44]RATES by Area 2017'!$E$6:$F$119,2,FALSE),0)</f>
        <v>13.83</v>
      </c>
      <c r="E31" s="310">
        <f>IFERROR(VLOOKUP(A31,'[44]REV by Area 2017'!$Q$6:$T$78,2,FALSE),0)</f>
        <v>41.49</v>
      </c>
      <c r="F31" s="310">
        <f>IFERROR(VLOOKUP(A31,'[44]REV by Area 2017'!$Q$6:$T$78,3,FALSE),0)</f>
        <v>207.45000000000002</v>
      </c>
      <c r="G31" s="307">
        <f>SUM(E31:F31)</f>
        <v>248.94000000000003</v>
      </c>
      <c r="I31" s="304">
        <f t="shared" si="3"/>
        <v>3</v>
      </c>
      <c r="J31" s="304">
        <f t="shared" si="4"/>
        <v>15.000000000000002</v>
      </c>
      <c r="K31" s="300">
        <f t="shared" si="5"/>
        <v>1.5</v>
      </c>
      <c r="L31" s="300"/>
      <c r="M31" s="307">
        <f t="shared" si="6"/>
        <v>1.9611187730167778</v>
      </c>
      <c r="O31" s="369">
        <f t="shared" si="1"/>
        <v>35.300137914301999</v>
      </c>
      <c r="Q31" s="375">
        <f>'Rate Sheet'!B13</f>
        <v>13.83</v>
      </c>
      <c r="R31" s="323">
        <f t="shared" si="7"/>
        <v>15.791118773016779</v>
      </c>
      <c r="S31" s="363">
        <f t="shared" si="2"/>
        <v>284.24013791430201</v>
      </c>
    </row>
    <row r="32" spans="1:19" s="303" customFormat="1" ht="12" customHeight="1" thickBot="1">
      <c r="A32" s="309"/>
      <c r="B32" s="309"/>
      <c r="C32" s="305"/>
      <c r="D32" s="305"/>
      <c r="E32" s="310"/>
      <c r="F32" s="310"/>
      <c r="G32" s="307"/>
      <c r="I32" s="304"/>
      <c r="J32" s="304"/>
      <c r="K32" s="300"/>
      <c r="L32" s="300"/>
      <c r="O32" s="369"/>
    </row>
    <row r="33" spans="1:19" s="308" customFormat="1" ht="12" customHeight="1" thickBot="1">
      <c r="A33" s="302"/>
      <c r="B33" s="306" t="s">
        <v>857</v>
      </c>
      <c r="C33" s="305"/>
      <c r="D33" s="305"/>
      <c r="E33" s="298">
        <f>SUM(E12:E32)</f>
        <v>93555.73000000004</v>
      </c>
      <c r="F33" s="298">
        <f>SUM(F12:F32)</f>
        <v>299554.71000000002</v>
      </c>
      <c r="G33" s="298">
        <f>SUM(E33:F33)</f>
        <v>393110.44000000006</v>
      </c>
      <c r="I33" s="304"/>
      <c r="J33" s="304"/>
      <c r="K33" s="325">
        <f>SUM(K12:K21)</f>
        <v>1205.2666702232293</v>
      </c>
      <c r="L33" s="326"/>
      <c r="O33" s="404">
        <f>SUM(O12:O31)</f>
        <v>55692.349248277074</v>
      </c>
      <c r="R33" s="493"/>
      <c r="S33" s="485">
        <f>SUM(S12:S31)</f>
        <v>448802.78924827708</v>
      </c>
    </row>
    <row r="34" spans="1:19" s="303" customFormat="1" ht="12" customHeight="1">
      <c r="C34" s="305"/>
      <c r="D34" s="305"/>
      <c r="E34" s="308"/>
      <c r="F34" s="308"/>
      <c r="G34" s="307"/>
      <c r="I34" s="304"/>
      <c r="J34" s="304"/>
      <c r="K34" s="300"/>
      <c r="L34" s="300"/>
      <c r="O34" s="369"/>
    </row>
    <row r="35" spans="1:19" ht="12" customHeight="1">
      <c r="A35" s="321" t="s">
        <v>856</v>
      </c>
      <c r="B35" s="321" t="s">
        <v>856</v>
      </c>
      <c r="I35" s="300"/>
      <c r="J35" s="300"/>
      <c r="K35" s="300"/>
      <c r="L35" s="300"/>
    </row>
    <row r="36" spans="1:19" ht="12" customHeight="1">
      <c r="A36" s="321"/>
      <c r="B36" s="321"/>
      <c r="I36" s="300"/>
      <c r="J36" s="300"/>
      <c r="K36" s="300"/>
      <c r="L36" s="300"/>
    </row>
    <row r="37" spans="1:19" s="303" customFormat="1">
      <c r="A37" s="324" t="s">
        <v>855</v>
      </c>
      <c r="B37" s="324" t="s">
        <v>855</v>
      </c>
      <c r="C37" s="305"/>
      <c r="D37" s="305"/>
      <c r="E37" s="308"/>
      <c r="F37" s="308"/>
      <c r="G37" s="307"/>
      <c r="I37" s="304"/>
      <c r="J37" s="304"/>
      <c r="K37" s="300"/>
      <c r="L37" s="300"/>
      <c r="O37" s="369"/>
    </row>
    <row r="38" spans="1:19" s="303" customFormat="1" ht="12" customHeight="1">
      <c r="A38" s="290" t="s">
        <v>854</v>
      </c>
      <c r="B38" s="290" t="s">
        <v>853</v>
      </c>
      <c r="C38" s="305">
        <f>IFERROR(VLOOKUP(A38,'[44]Spokane Jan-Apr Rates'!$F$2:$H$147,3,FALSE),0)</f>
        <v>76.08</v>
      </c>
      <c r="D38" s="305">
        <f>IFERROR(VLOOKUP(A38,'[44]SPOKANE RATES 2017'!$D$4:$E$78,2,FALSE),0)</f>
        <v>77.2</v>
      </c>
      <c r="E38" s="310">
        <f>IFERROR(VLOOKUP(A38,'[44]REV by Area 2017'!$Q$6:$T$78,2,FALSE),0)</f>
        <v>6048.36</v>
      </c>
      <c r="F38" s="310">
        <f>IFERROR(VLOOKUP(A38,'[44]REV by Area 2017'!$Q$6:$T$78,3,FALSE),0)</f>
        <v>18354.300000000003</v>
      </c>
      <c r="G38" s="307">
        <f t="shared" ref="G38:G78" si="8">SUM(E38:F38)</f>
        <v>24402.660000000003</v>
      </c>
      <c r="I38" s="304">
        <f t="shared" ref="I38" si="9">(E38/C38)</f>
        <v>79.5</v>
      </c>
      <c r="J38" s="304">
        <f t="shared" ref="J38" si="10">F38/D38</f>
        <v>237.75000000000003</v>
      </c>
      <c r="K38" s="300">
        <f t="shared" ref="K38" si="11">(J38+I38)/12</f>
        <v>26.4375</v>
      </c>
      <c r="L38" s="300"/>
      <c r="M38" s="307">
        <f t="shared" ref="M38:M78" si="12">$M$5*Q38</f>
        <v>10.898531171159581</v>
      </c>
      <c r="O38" s="369">
        <f t="shared" ref="O38:O78" si="13">K38*SUM(M38:M38)*12</f>
        <v>3457.5590140503773</v>
      </c>
      <c r="Q38" s="494">
        <f>'Rate Sheet'!B262*References!B11</f>
        <v>76.857500000000002</v>
      </c>
      <c r="R38" s="363">
        <f>+Q38+SUM(M38:M38)</f>
        <v>87.756031171159577</v>
      </c>
      <c r="S38" s="363">
        <f t="shared" ref="S38:S78" si="14">G38+O38</f>
        <v>27860.219014050381</v>
      </c>
    </row>
    <row r="39" spans="1:19" s="303" customFormat="1" ht="12" customHeight="1">
      <c r="A39" s="290" t="s">
        <v>852</v>
      </c>
      <c r="B39" s="292" t="s">
        <v>851</v>
      </c>
      <c r="C39" s="305">
        <f>IFERROR(VLOOKUP(A39,'[44]Spokane Jan-Apr Rates'!$F$2:$H$147,3,FALSE),0)</f>
        <v>17.57</v>
      </c>
      <c r="D39" s="305">
        <f>IFERROR(VLOOKUP(A39,'[44]SPOKANE RATES 2017'!$D$4:$E$78,2,FALSE),0)</f>
        <v>17.829999999999998</v>
      </c>
      <c r="E39" s="310">
        <f>IFERROR(VLOOKUP(A39,'[44]REV by Area 2017'!$Q$6:$T$78,2,FALSE),0)</f>
        <v>52.71</v>
      </c>
      <c r="F39" s="310">
        <f>IFERROR(VLOOKUP(A39,'[44]REV by Area 2017'!$Q$6:$T$78,3,FALSE),0)</f>
        <v>53.489999999999995</v>
      </c>
      <c r="G39" s="307">
        <f t="shared" si="8"/>
        <v>106.19999999999999</v>
      </c>
      <c r="I39" s="304">
        <f t="shared" ref="I39:I68" si="15">(E39/C39)</f>
        <v>3</v>
      </c>
      <c r="J39" s="304">
        <f t="shared" ref="J39:J68" si="16">F39/D39</f>
        <v>3</v>
      </c>
      <c r="K39" s="300">
        <f t="shared" ref="K39:K68" si="17">(J39+I39)/12</f>
        <v>0.5</v>
      </c>
      <c r="L39" s="300"/>
      <c r="M39" s="307">
        <f t="shared" si="12"/>
        <v>2.5169817947250763</v>
      </c>
      <c r="O39" s="369">
        <f t="shared" si="13"/>
        <v>15.101890768350458</v>
      </c>
      <c r="Q39" s="494">
        <f>'Rate Sheet'!B262</f>
        <v>17.75</v>
      </c>
      <c r="R39" s="363">
        <f t="shared" ref="R39:R78" si="18">+Q39+SUM(M39:M39)</f>
        <v>20.266981794725076</v>
      </c>
      <c r="S39" s="363">
        <f t="shared" si="14"/>
        <v>121.30189076835045</v>
      </c>
    </row>
    <row r="40" spans="1:19" s="303" customFormat="1" ht="12" customHeight="1">
      <c r="A40" s="290" t="s">
        <v>850</v>
      </c>
      <c r="B40" s="290" t="s">
        <v>849</v>
      </c>
      <c r="C40" s="305">
        <f>IFERROR(VLOOKUP(A40,'[44]Spokane Jan-Apr Rates'!$F$2:$H$147,3,FALSE),0)</f>
        <v>114.01</v>
      </c>
      <c r="D40" s="305">
        <f>IFERROR(VLOOKUP(A40,'[44]SPOKANE RATES 2017'!$D$4:$E$78,2,FALSE),0)</f>
        <v>115.61</v>
      </c>
      <c r="E40" s="310">
        <f>IFERROR(VLOOKUP(A40,'[44]REV by Area 2017'!$Q$6:$T$78,2,FALSE),0)</f>
        <v>3534.3099999999995</v>
      </c>
      <c r="F40" s="310">
        <f>IFERROR(VLOOKUP(A40,'[44]REV by Area 2017'!$Q$6:$T$78,3,FALSE),0)</f>
        <v>12919.41</v>
      </c>
      <c r="G40" s="307">
        <f t="shared" si="8"/>
        <v>16453.72</v>
      </c>
      <c r="I40" s="304">
        <f t="shared" si="15"/>
        <v>30.999999999999993</v>
      </c>
      <c r="J40" s="304">
        <f t="shared" si="16"/>
        <v>111.74993512671914</v>
      </c>
      <c r="K40" s="300">
        <f t="shared" si="17"/>
        <v>11.895827927226593</v>
      </c>
      <c r="L40" s="300"/>
      <c r="M40" s="307">
        <f t="shared" si="12"/>
        <v>16.320166677713896</v>
      </c>
      <c r="O40" s="369">
        <f t="shared" si="13"/>
        <v>2329.7027345009019</v>
      </c>
      <c r="Q40" s="307">
        <f>'Rate Sheet'!B263*References!B11</f>
        <v>115.09139999999999</v>
      </c>
      <c r="R40" s="363">
        <f t="shared" si="18"/>
        <v>131.41156667771389</v>
      </c>
      <c r="S40" s="363">
        <f t="shared" si="14"/>
        <v>18783.422734500902</v>
      </c>
    </row>
    <row r="41" spans="1:19" s="303" customFormat="1" ht="12" customHeight="1">
      <c r="A41" s="290" t="s">
        <v>848</v>
      </c>
      <c r="B41" s="290" t="s">
        <v>847</v>
      </c>
      <c r="C41" s="305">
        <f>IFERROR(VLOOKUP(A41,'[44]Spokane Jan-Apr Rates'!$F$2:$H$147,3,FALSE),0)</f>
        <v>228.02</v>
      </c>
      <c r="D41" s="305">
        <f>IFERROR(VLOOKUP(A41,'[44]SPOKANE RATES 2017'!$D$4:$E$78,2,FALSE),0)</f>
        <v>231.22</v>
      </c>
      <c r="E41" s="310">
        <f>IFERROR(VLOOKUP(A41,'[44]REV by Area 2017'!$Q$6:$T$78,2,FALSE),0)</f>
        <v>0</v>
      </c>
      <c r="F41" s="310">
        <f>IFERROR(VLOOKUP(A41,'[44]REV by Area 2017'!$Q$6:$T$78,3,FALSE),0)</f>
        <v>867.07999999999993</v>
      </c>
      <c r="G41" s="307">
        <f t="shared" si="8"/>
        <v>867.07999999999993</v>
      </c>
      <c r="I41" s="304">
        <f t="shared" si="15"/>
        <v>0</v>
      </c>
      <c r="J41" s="304">
        <f t="shared" si="16"/>
        <v>3.7500216244269522</v>
      </c>
      <c r="K41" s="300">
        <f t="shared" si="17"/>
        <v>0.31250180203557937</v>
      </c>
      <c r="L41" s="300"/>
      <c r="M41" s="307">
        <f t="shared" si="12"/>
        <v>32.640333355427792</v>
      </c>
      <c r="O41" s="369">
        <f t="shared" si="13"/>
        <v>122.40195591135856</v>
      </c>
      <c r="Q41" s="307">
        <f>'Rate Sheet'!B263*References!C11</f>
        <v>230.18279999999999</v>
      </c>
      <c r="R41" s="363">
        <f t="shared" si="18"/>
        <v>262.82313335542779</v>
      </c>
      <c r="S41" s="363">
        <f t="shared" si="14"/>
        <v>989.48195591135845</v>
      </c>
    </row>
    <row r="42" spans="1:19" s="303" customFormat="1" ht="12" customHeight="1">
      <c r="A42" s="290" t="s">
        <v>846</v>
      </c>
      <c r="B42" s="290" t="s">
        <v>845</v>
      </c>
      <c r="C42" s="305">
        <f>IFERROR(VLOOKUP(A42,'[44]Spokane Jan-Apr Rates'!$F$2:$H$147,3,FALSE),0)</f>
        <v>342.03</v>
      </c>
      <c r="D42" s="305">
        <f>IFERROR(VLOOKUP(A42,'[44]SPOKANE RATES 2017'!$D$4:$E$78,2,FALSE),0)</f>
        <v>346.83</v>
      </c>
      <c r="E42" s="310">
        <f>IFERROR(VLOOKUP(A42,'[44]REV by Area 2017'!$Q$6:$T$78,2,FALSE),0)</f>
        <v>85.51</v>
      </c>
      <c r="F42" s="310">
        <f>IFERROR(VLOOKUP(A42,'[44]REV by Area 2017'!$Q$6:$T$78,3,FALSE),0)</f>
        <v>1127.2</v>
      </c>
      <c r="G42" s="307">
        <f t="shared" si="8"/>
        <v>1212.71</v>
      </c>
      <c r="I42" s="304">
        <f t="shared" si="15"/>
        <v>0.25000730930035381</v>
      </c>
      <c r="J42" s="304">
        <f t="shared" si="16"/>
        <v>3.2500072081423177</v>
      </c>
      <c r="K42" s="300">
        <f t="shared" si="17"/>
        <v>0.29166787645355596</v>
      </c>
      <c r="L42" s="300"/>
      <c r="M42" s="307">
        <f t="shared" si="12"/>
        <v>48.960500033141692</v>
      </c>
      <c r="O42" s="369">
        <f t="shared" si="13"/>
        <v>171.36246089724833</v>
      </c>
      <c r="Q42" s="307">
        <f>'Rate Sheet'!B263*References!D11</f>
        <v>345.27420000000001</v>
      </c>
      <c r="R42" s="363">
        <f t="shared" si="18"/>
        <v>394.23470003314168</v>
      </c>
      <c r="S42" s="363">
        <f t="shared" si="14"/>
        <v>1384.0724608972484</v>
      </c>
    </row>
    <row r="43" spans="1:19" s="303" customFormat="1" ht="12" customHeight="1">
      <c r="A43" s="290" t="s">
        <v>844</v>
      </c>
      <c r="B43" s="290" t="s">
        <v>843</v>
      </c>
      <c r="C43" s="305">
        <f>IFERROR(VLOOKUP(A43,'[44]Spokane Jan-Apr Rates'!$F$2:$H$147,3,FALSE),0)</f>
        <v>151.59</v>
      </c>
      <c r="D43" s="305">
        <f>IFERROR(VLOOKUP(A43,'[44]SPOKANE RATES 2017'!$D$4:$E$78,2,FALSE),0)</f>
        <v>153.66999999999999</v>
      </c>
      <c r="E43" s="310">
        <f>IFERROR(VLOOKUP(A43,'[44]REV by Area 2017'!$Q$6:$T$78,2,FALSE),0)</f>
        <v>4547.7</v>
      </c>
      <c r="F43" s="310">
        <f>IFERROR(VLOOKUP(A43,'[44]REV by Area 2017'!$Q$6:$T$78,3,FALSE),0)</f>
        <v>12370.44</v>
      </c>
      <c r="G43" s="307">
        <f t="shared" si="8"/>
        <v>16918.14</v>
      </c>
      <c r="I43" s="304">
        <f t="shared" si="15"/>
        <v>29.999999999999996</v>
      </c>
      <c r="J43" s="304">
        <f t="shared" si="16"/>
        <v>80.500032537255166</v>
      </c>
      <c r="K43" s="300">
        <f t="shared" si="17"/>
        <v>9.2083360447712632</v>
      </c>
      <c r="L43" s="300"/>
      <c r="M43" s="307">
        <f t="shared" si="12"/>
        <v>21.692682043778476</v>
      </c>
      <c r="O43" s="369">
        <f t="shared" si="13"/>
        <v>2397.0420716578524</v>
      </c>
      <c r="Q43" s="494">
        <f>'Rate Sheet'!B264*References!B11</f>
        <v>152.97889999999998</v>
      </c>
      <c r="R43" s="363">
        <f t="shared" si="18"/>
        <v>174.67158204377847</v>
      </c>
      <c r="S43" s="363">
        <f t="shared" si="14"/>
        <v>19315.182071657851</v>
      </c>
    </row>
    <row r="44" spans="1:19" s="303" customFormat="1" ht="12" customHeight="1">
      <c r="A44" s="290" t="s">
        <v>842</v>
      </c>
      <c r="B44" s="290" t="s">
        <v>841</v>
      </c>
      <c r="C44" s="305">
        <f>IFERROR(VLOOKUP(A44,'[44]Spokane Jan-Apr Rates'!$F$2:$H$147,3,FALSE),0)</f>
        <v>212.86</v>
      </c>
      <c r="D44" s="305">
        <f>IFERROR(VLOOKUP(A44,'[44]SPOKANE RATES 2017'!$D$4:$E$78,2,FALSE),0)</f>
        <v>215.89</v>
      </c>
      <c r="E44" s="310">
        <f>IFERROR(VLOOKUP(A44,'[44]REV by Area 2017'!$Q$6:$T$78,2,FALSE),0)</f>
        <v>1915.7400000000002</v>
      </c>
      <c r="F44" s="310">
        <f>IFERROR(VLOOKUP(A44,'[44]REV by Area 2017'!$Q$6:$T$78,3,FALSE),0)</f>
        <v>6692.5899999999983</v>
      </c>
      <c r="G44" s="307">
        <f t="shared" si="8"/>
        <v>8608.3299999999981</v>
      </c>
      <c r="I44" s="304">
        <f t="shared" si="15"/>
        <v>9</v>
      </c>
      <c r="J44" s="304">
        <f t="shared" si="16"/>
        <v>30.999999999999993</v>
      </c>
      <c r="K44" s="300">
        <f t="shared" si="17"/>
        <v>3.3333333333333326</v>
      </c>
      <c r="L44" s="300"/>
      <c r="M44" s="307">
        <f t="shared" si="12"/>
        <v>30.47290715631831</v>
      </c>
      <c r="O44" s="369">
        <f t="shared" si="13"/>
        <v>1218.9162862527321</v>
      </c>
      <c r="Q44" s="307">
        <f>'Rate Sheet'!B265*References!B11</f>
        <v>214.89790000000002</v>
      </c>
      <c r="R44" s="363">
        <f t="shared" si="18"/>
        <v>245.37080715631834</v>
      </c>
      <c r="S44" s="363">
        <f t="shared" si="14"/>
        <v>9827.24628625273</v>
      </c>
    </row>
    <row r="45" spans="1:19" s="303" customFormat="1" ht="12" customHeight="1">
      <c r="A45" s="290" t="s">
        <v>840</v>
      </c>
      <c r="B45" s="290" t="s">
        <v>839</v>
      </c>
      <c r="C45" s="305">
        <f>IFERROR(VLOOKUP(A45,'[44]Spokane Jan-Apr Rates'!$F$2:$H$147,3,FALSE),0)</f>
        <v>425.72</v>
      </c>
      <c r="D45" s="305">
        <f>IFERROR(VLOOKUP(A45,'[44]SPOKANE RATES 2017'!$D$4:$E$78,2,FALSE),0)</f>
        <v>431.78</v>
      </c>
      <c r="E45" s="310">
        <f>IFERROR(VLOOKUP(A45,'[44]REV by Area 2017'!$Q$6:$T$78,2,FALSE),0)</f>
        <v>1809.3100000000002</v>
      </c>
      <c r="F45" s="310">
        <f>IFERROR(VLOOKUP(A45,'[44]REV by Area 2017'!$Q$6:$T$78,3,FALSE),0)</f>
        <v>3886.0199999999986</v>
      </c>
      <c r="G45" s="307">
        <f t="shared" si="8"/>
        <v>5695.329999999999</v>
      </c>
      <c r="I45" s="304">
        <f t="shared" si="15"/>
        <v>4.25</v>
      </c>
      <c r="J45" s="304">
        <f t="shared" si="16"/>
        <v>8.9999999999999982</v>
      </c>
      <c r="K45" s="300">
        <f t="shared" si="17"/>
        <v>1.1041666666666665</v>
      </c>
      <c r="L45" s="300"/>
      <c r="M45" s="307">
        <f t="shared" si="12"/>
        <v>60.945814312636621</v>
      </c>
      <c r="O45" s="369">
        <f t="shared" si="13"/>
        <v>807.53203964243505</v>
      </c>
      <c r="Q45" s="307">
        <f>'Rate Sheet'!B265*References!C11</f>
        <v>429.79580000000004</v>
      </c>
      <c r="R45" s="363">
        <f t="shared" si="18"/>
        <v>490.74161431263667</v>
      </c>
      <c r="S45" s="363">
        <f t="shared" si="14"/>
        <v>6502.862039642434</v>
      </c>
    </row>
    <row r="46" spans="1:19" s="303" customFormat="1" ht="12" customHeight="1">
      <c r="A46" s="290" t="s">
        <v>838</v>
      </c>
      <c r="B46" s="290" t="s">
        <v>837</v>
      </c>
      <c r="C46" s="305">
        <f>IFERROR(VLOOKUP(A46,'[44]Spokane Jan-Apr Rates'!$F$2:$H$147,3,FALSE),0)</f>
        <v>281.93</v>
      </c>
      <c r="D46" s="305">
        <f>IFERROR(VLOOKUP(A46,'[44]SPOKANE RATES 2017'!$D$4:$E$78,2,FALSE),0)</f>
        <v>285.87</v>
      </c>
      <c r="E46" s="310">
        <f>IFERROR(VLOOKUP(A46,'[44]REV by Area 2017'!$Q$6:$T$78,2,FALSE),0)</f>
        <v>4228.9500000000007</v>
      </c>
      <c r="F46" s="310">
        <f>IFERROR(VLOOKUP(A46,'[44]REV by Area 2017'!$Q$6:$T$78,3,FALSE),0)</f>
        <v>14507.9</v>
      </c>
      <c r="G46" s="307">
        <f t="shared" si="8"/>
        <v>18736.849999999999</v>
      </c>
      <c r="I46" s="304">
        <f t="shared" si="15"/>
        <v>15.000000000000002</v>
      </c>
      <c r="J46" s="304">
        <f t="shared" si="16"/>
        <v>50.749991254766151</v>
      </c>
      <c r="K46" s="300">
        <f t="shared" si="17"/>
        <v>5.4791659378971795</v>
      </c>
      <c r="L46" s="300"/>
      <c r="M46" s="307">
        <f t="shared" si="12"/>
        <v>74.766993842935335</v>
      </c>
      <c r="O46" s="369">
        <f t="shared" si="13"/>
        <v>4915.9291913181532</v>
      </c>
      <c r="Q46" s="307">
        <f>'Rate Sheet'!B275*References!B11</f>
        <v>527.26409999999998</v>
      </c>
      <c r="R46" s="363">
        <f t="shared" si="18"/>
        <v>602.03109384293532</v>
      </c>
      <c r="S46" s="363">
        <f t="shared" si="14"/>
        <v>23652.77919131815</v>
      </c>
    </row>
    <row r="47" spans="1:19" s="303" customFormat="1" ht="12" customHeight="1">
      <c r="A47" s="290" t="s">
        <v>836</v>
      </c>
      <c r="B47" s="290" t="s">
        <v>835</v>
      </c>
      <c r="C47" s="305">
        <f>IFERROR(VLOOKUP(A47,'[44]Spokane Jan-Apr Rates'!$F$2:$H$147,3,FALSE),0)</f>
        <v>563.86</v>
      </c>
      <c r="D47" s="305">
        <f>IFERROR(VLOOKUP(A47,'[44]SPOKANE RATES 2017'!$D$4:$E$78,2,FALSE),0)</f>
        <v>571.74</v>
      </c>
      <c r="E47" s="310">
        <f>IFERROR(VLOOKUP(A47,'[44]REV by Area 2017'!$Q$6:$T$78,2,FALSE),0)</f>
        <v>2678.34</v>
      </c>
      <c r="F47" s="310">
        <f>IFERROR(VLOOKUP(A47,'[44]REV by Area 2017'!$Q$6:$T$78,3,FALSE),0)</f>
        <v>10291.319999999998</v>
      </c>
      <c r="G47" s="307">
        <f t="shared" si="8"/>
        <v>12969.659999999998</v>
      </c>
      <c r="I47" s="304">
        <f t="shared" si="15"/>
        <v>4.7500088674493668</v>
      </c>
      <c r="J47" s="304">
        <f t="shared" si="16"/>
        <v>17.999999999999996</v>
      </c>
      <c r="K47" s="300">
        <f t="shared" si="17"/>
        <v>1.8958340722874469</v>
      </c>
      <c r="L47" s="300"/>
      <c r="M47" s="307">
        <f t="shared" si="12"/>
        <v>80.716670859754288</v>
      </c>
      <c r="O47" s="369">
        <f t="shared" si="13"/>
        <v>1836.3049778104014</v>
      </c>
      <c r="Q47" s="307">
        <f>'Rate Sheet'!B266*References!C11</f>
        <v>569.22180000000003</v>
      </c>
      <c r="R47" s="363">
        <f t="shared" si="18"/>
        <v>649.93847085975426</v>
      </c>
      <c r="S47" s="363">
        <f t="shared" si="14"/>
        <v>14805.964977810399</v>
      </c>
    </row>
    <row r="48" spans="1:19" s="303" customFormat="1" ht="12" customHeight="1">
      <c r="A48" s="290" t="s">
        <v>834</v>
      </c>
      <c r="B48" s="290" t="s">
        <v>833</v>
      </c>
      <c r="C48" s="305">
        <f>IFERROR(VLOOKUP(A48,'[44]Spokane Jan-Apr Rates'!$F$2:$H$147,3,FALSE),0)</f>
        <v>818.2</v>
      </c>
      <c r="D48" s="305">
        <f>IFERROR(VLOOKUP(A48,'[44]SPOKANE RATES 2017'!$D$4:$E$78,2,FALSE),0)</f>
        <v>829.02</v>
      </c>
      <c r="E48" s="310">
        <f>IFERROR(VLOOKUP(A48,'[44]REV by Area 2017'!$Q$6:$T$78,2,FALSE),0)</f>
        <v>2454.6000000000004</v>
      </c>
      <c r="F48" s="310">
        <f>IFERROR(VLOOKUP(A48,'[44]REV by Area 2017'!$Q$6:$T$78,3,FALSE),0)</f>
        <v>7461.1800000000021</v>
      </c>
      <c r="G48" s="307">
        <f t="shared" si="8"/>
        <v>9915.7800000000025</v>
      </c>
      <c r="I48" s="304">
        <f t="shared" si="15"/>
        <v>3.0000000000000004</v>
      </c>
      <c r="J48" s="304">
        <f t="shared" si="16"/>
        <v>9.0000000000000036</v>
      </c>
      <c r="K48" s="300">
        <f t="shared" si="17"/>
        <v>1.0000000000000002</v>
      </c>
      <c r="L48" s="300"/>
      <c r="M48" s="307">
        <f t="shared" si="12"/>
        <v>117.06557482215695</v>
      </c>
      <c r="O48" s="369">
        <f t="shared" si="13"/>
        <v>1404.7868978658837</v>
      </c>
      <c r="Q48" s="307">
        <f>'Rate Sheet'!B267*References!C11</f>
        <v>825.55780000000004</v>
      </c>
      <c r="R48" s="363">
        <f t="shared" si="18"/>
        <v>942.62337482215696</v>
      </c>
      <c r="S48" s="363">
        <f t="shared" si="14"/>
        <v>11320.566897865887</v>
      </c>
    </row>
    <row r="49" spans="1:19" s="303" customFormat="1" ht="12" customHeight="1">
      <c r="A49" s="292" t="s">
        <v>832</v>
      </c>
      <c r="B49" s="292" t="s">
        <v>831</v>
      </c>
      <c r="C49" s="305">
        <f>IFERROR(VLOOKUP(A49,'[44]Spokane Jan-Apr Rates'!$F$2:$H$147,3,FALSE),0)</f>
        <v>21.53</v>
      </c>
      <c r="D49" s="305">
        <f>IFERROR(VLOOKUP(A49,'[44]SPOKANE RATES 2017'!$D$4:$E$78,2,FALSE),0)</f>
        <v>21.79</v>
      </c>
      <c r="E49" s="310">
        <f>IFERROR(VLOOKUP(A49,'[44]REV by Area 2017'!$Q$6:$T$78,2,FALSE),0)</f>
        <v>0</v>
      </c>
      <c r="F49" s="310">
        <f>IFERROR(VLOOKUP(A49,'[44]REV by Area 2017'!$Q$6:$T$78,3,FALSE),0)</f>
        <v>0</v>
      </c>
      <c r="G49" s="323">
        <f t="shared" si="8"/>
        <v>0</v>
      </c>
      <c r="I49" s="304">
        <f t="shared" si="15"/>
        <v>0</v>
      </c>
      <c r="J49" s="304">
        <f t="shared" si="16"/>
        <v>0</v>
      </c>
      <c r="K49" s="300">
        <f t="shared" si="17"/>
        <v>0</v>
      </c>
      <c r="L49" s="300"/>
      <c r="M49" s="307">
        <f t="shared" si="12"/>
        <v>3.0785168880834597</v>
      </c>
      <c r="O49" s="369">
        <f t="shared" si="13"/>
        <v>0</v>
      </c>
      <c r="Q49" s="494">
        <f>'Rate Sheet'!B284</f>
        <v>21.71</v>
      </c>
      <c r="R49" s="363">
        <f t="shared" si="18"/>
        <v>24.788516888083461</v>
      </c>
      <c r="S49" s="363">
        <f t="shared" si="14"/>
        <v>0</v>
      </c>
    </row>
    <row r="50" spans="1:19" s="303" customFormat="1" ht="12" customHeight="1">
      <c r="A50" s="292" t="s">
        <v>830</v>
      </c>
      <c r="B50" s="292" t="s">
        <v>829</v>
      </c>
      <c r="C50" s="305">
        <f>IFERROR(VLOOKUP(A50,'[44]Spokane Jan-Apr Rates'!$F$2:$H$147,3,FALSE),0)</f>
        <v>32.409999999999997</v>
      </c>
      <c r="D50" s="305">
        <f>IFERROR(VLOOKUP(A50,'[44]SPOKANE RATES 2017'!$D$4:$E$78,2,FALSE),0)</f>
        <v>32.78</v>
      </c>
      <c r="E50" s="310">
        <f>IFERROR(VLOOKUP(A50,'[44]REV by Area 2017'!$Q$6:$T$78,2,FALSE),0)</f>
        <v>0</v>
      </c>
      <c r="F50" s="310">
        <f>IFERROR(VLOOKUP(A50,'[44]REV by Area 2017'!$Q$6:$T$78,3,FALSE),0)</f>
        <v>32.78</v>
      </c>
      <c r="G50" s="323">
        <f t="shared" si="8"/>
        <v>32.78</v>
      </c>
      <c r="I50" s="304">
        <f t="shared" si="15"/>
        <v>0</v>
      </c>
      <c r="J50" s="304">
        <f t="shared" si="16"/>
        <v>1</v>
      </c>
      <c r="K50" s="300">
        <f t="shared" si="17"/>
        <v>8.3333333333333329E-2</v>
      </c>
      <c r="L50" s="300"/>
      <c r="M50" s="307">
        <f t="shared" si="12"/>
        <v>4.6312465022941396</v>
      </c>
      <c r="O50" s="369">
        <f t="shared" si="13"/>
        <v>4.6312465022941396</v>
      </c>
      <c r="Q50" s="494">
        <f>'Rate Sheet'!B285</f>
        <v>32.659999999999997</v>
      </c>
      <c r="R50" s="363">
        <f t="shared" si="18"/>
        <v>37.291246502294136</v>
      </c>
      <c r="S50" s="363">
        <f t="shared" si="14"/>
        <v>37.411246502294141</v>
      </c>
    </row>
    <row r="51" spans="1:19" s="303" customFormat="1" ht="12" customHeight="1">
      <c r="A51" s="292" t="s">
        <v>828</v>
      </c>
      <c r="B51" s="292" t="s">
        <v>827</v>
      </c>
      <c r="C51" s="305">
        <f>IFERROR(VLOOKUP(A51,'[44]Spokane Jan-Apr Rates'!$F$2:$H$147,3,FALSE),0)</f>
        <v>41.53</v>
      </c>
      <c r="D51" s="305">
        <f>IFERROR(VLOOKUP(A51,'[44]SPOKANE RATES 2017'!$D$4:$E$78,2,FALSE),0)</f>
        <v>42.01</v>
      </c>
      <c r="E51" s="310">
        <f>IFERROR(VLOOKUP(A51,'[44]REV by Area 2017'!$Q$6:$T$78,2,FALSE),0)</f>
        <v>41.53</v>
      </c>
      <c r="F51" s="310">
        <f>IFERROR(VLOOKUP(A51,'[44]REV by Area 2017'!$Q$6:$T$78,3,FALSE),0)</f>
        <v>42.01</v>
      </c>
      <c r="G51" s="323">
        <f t="shared" si="8"/>
        <v>83.539999999999992</v>
      </c>
      <c r="I51" s="304">
        <f t="shared" si="15"/>
        <v>1</v>
      </c>
      <c r="J51" s="304">
        <f t="shared" si="16"/>
        <v>1</v>
      </c>
      <c r="K51" s="300">
        <f t="shared" si="17"/>
        <v>0.16666666666666666</v>
      </c>
      <c r="L51" s="300"/>
      <c r="M51" s="307">
        <f t="shared" si="12"/>
        <v>5.9344049639010956</v>
      </c>
      <c r="O51" s="369">
        <f t="shared" si="13"/>
        <v>11.868809927802191</v>
      </c>
      <c r="Q51" s="494">
        <f>'Rate Sheet'!B286</f>
        <v>41.85</v>
      </c>
      <c r="R51" s="363">
        <f t="shared" si="18"/>
        <v>47.784404963901096</v>
      </c>
      <c r="S51" s="363">
        <f t="shared" si="14"/>
        <v>95.408809927802182</v>
      </c>
    </row>
    <row r="52" spans="1:19" s="303" customFormat="1" ht="12" customHeight="1">
      <c r="A52" s="292" t="s">
        <v>826</v>
      </c>
      <c r="B52" s="292" t="s">
        <v>825</v>
      </c>
      <c r="C52" s="305">
        <f>IFERROR(VLOOKUP(A52,'[44]Spokane Jan-Apr Rates'!$F$2:$H$147,3,FALSE),0)</f>
        <v>58.44</v>
      </c>
      <c r="D52" s="305">
        <f>IFERROR(VLOOKUP(A52,'[44]SPOKANE RATES 2017'!$D$4:$E$78,2,FALSE),0)</f>
        <v>59.14</v>
      </c>
      <c r="E52" s="310">
        <f>IFERROR(VLOOKUP(A52,'[44]REV by Area 2017'!$Q$6:$T$78,2,FALSE),0)</f>
        <v>0</v>
      </c>
      <c r="F52" s="310">
        <f>IFERROR(VLOOKUP(A52,'[44]REV by Area 2017'!$Q$6:$T$78,3,FALSE),0)</f>
        <v>118.28</v>
      </c>
      <c r="G52" s="323">
        <f t="shared" si="8"/>
        <v>118.28</v>
      </c>
      <c r="I52" s="304">
        <f t="shared" si="15"/>
        <v>0</v>
      </c>
      <c r="J52" s="304">
        <f t="shared" si="16"/>
        <v>2</v>
      </c>
      <c r="K52" s="300">
        <f t="shared" si="17"/>
        <v>0.16666666666666666</v>
      </c>
      <c r="L52" s="300"/>
      <c r="M52" s="307">
        <f t="shared" si="12"/>
        <v>8.3535435226622106</v>
      </c>
      <c r="O52" s="369">
        <f t="shared" si="13"/>
        <v>16.707087045324421</v>
      </c>
      <c r="Q52" s="494">
        <f>'Rate Sheet'!B287</f>
        <v>58.91</v>
      </c>
      <c r="R52" s="363">
        <f t="shared" si="18"/>
        <v>67.263543522662204</v>
      </c>
      <c r="S52" s="363">
        <f t="shared" si="14"/>
        <v>134.98708704532442</v>
      </c>
    </row>
    <row r="53" spans="1:19" s="303" customFormat="1" ht="12" customHeight="1">
      <c r="A53" s="292" t="s">
        <v>824</v>
      </c>
      <c r="B53" s="292" t="s">
        <v>823</v>
      </c>
      <c r="C53" s="305">
        <f>IFERROR(VLOOKUP(A53,'[44]Spokane Jan-Apr Rates'!$F$2:$H$147,3,FALSE),0)</f>
        <v>78</v>
      </c>
      <c r="D53" s="305">
        <f>IFERROR(VLOOKUP(A53,'[44]SPOKANE RATES 2017'!$D$4:$E$78,2,FALSE),0)</f>
        <v>78.91</v>
      </c>
      <c r="E53" s="310">
        <f>IFERROR(VLOOKUP(A53,'[44]REV by Area 2017'!$Q$6:$T$78,2,FALSE),0)</f>
        <v>156</v>
      </c>
      <c r="F53" s="310">
        <f>IFERROR(VLOOKUP(A53,'[44]REV by Area 2017'!$Q$6:$T$78,3,FALSE),0)</f>
        <v>1183.6499999999999</v>
      </c>
      <c r="G53" s="323">
        <f t="shared" si="8"/>
        <v>1339.6499999999999</v>
      </c>
      <c r="I53" s="304">
        <f t="shared" si="15"/>
        <v>2</v>
      </c>
      <c r="J53" s="304">
        <f t="shared" si="16"/>
        <v>14.999999999999998</v>
      </c>
      <c r="K53" s="300">
        <f t="shared" si="17"/>
        <v>1.4166666666666667</v>
      </c>
      <c r="L53" s="300"/>
      <c r="M53" s="307">
        <f t="shared" si="12"/>
        <v>11.148456828241438</v>
      </c>
      <c r="O53" s="369">
        <f t="shared" si="13"/>
        <v>189.52376608010445</v>
      </c>
      <c r="Q53" s="375">
        <f>'Rate Sheet'!B288</f>
        <v>78.62</v>
      </c>
      <c r="R53" s="363">
        <f t="shared" si="18"/>
        <v>89.76845682824144</v>
      </c>
      <c r="S53" s="363">
        <f t="shared" si="14"/>
        <v>1529.1737660801043</v>
      </c>
    </row>
    <row r="54" spans="1:19" s="303" customFormat="1" ht="12" customHeight="1">
      <c r="A54" s="290" t="s">
        <v>822</v>
      </c>
      <c r="B54" s="290" t="s">
        <v>821</v>
      </c>
      <c r="C54" s="305">
        <f>IFERROR(VLOOKUP(A54,'[44]Spokane Jan-Apr Rates'!$F$2:$H$147,3,FALSE),0)</f>
        <v>19.12</v>
      </c>
      <c r="D54" s="305">
        <f>IFERROR(VLOOKUP(A54,'[44]SPOKANE RATES 2017'!$D$4:$E$78,2,FALSE),0)</f>
        <v>19.309999999999999</v>
      </c>
      <c r="E54" s="310">
        <f>IFERROR(VLOOKUP(A54,'[44]REV by Area 2017'!$Q$6:$T$78,2,FALSE),0)</f>
        <v>573.6</v>
      </c>
      <c r="F54" s="310">
        <f>IFERROR(VLOOKUP(A54,'[44]REV by Area 2017'!$Q$6:$T$78,3,FALSE),0)</f>
        <v>1716.0899999999997</v>
      </c>
      <c r="G54" s="307">
        <f t="shared" si="8"/>
        <v>2289.6899999999996</v>
      </c>
      <c r="I54" s="304">
        <f t="shared" si="15"/>
        <v>30</v>
      </c>
      <c r="J54" s="304">
        <f t="shared" si="16"/>
        <v>88.870533402382179</v>
      </c>
      <c r="K54" s="300">
        <f t="shared" si="17"/>
        <v>9.9058777835318477</v>
      </c>
      <c r="L54" s="300"/>
      <c r="M54" s="307">
        <f t="shared" si="12"/>
        <v>2.732520517428294</v>
      </c>
      <c r="O54" s="369">
        <f t="shared" si="13"/>
        <v>324.81617143965462</v>
      </c>
      <c r="Q54" s="375">
        <f>'Rate Sheet'!B329</f>
        <v>19.27</v>
      </c>
      <c r="R54" s="363">
        <f t="shared" si="18"/>
        <v>22.002520517428295</v>
      </c>
      <c r="S54" s="363">
        <f t="shared" si="14"/>
        <v>2614.5061714396543</v>
      </c>
    </row>
    <row r="55" spans="1:19" s="303" customFormat="1" ht="12" customHeight="1">
      <c r="A55" s="290" t="s">
        <v>820</v>
      </c>
      <c r="B55" s="290" t="s">
        <v>819</v>
      </c>
      <c r="C55" s="305">
        <f>IFERROR(VLOOKUP(A55,'[44]Spokane Jan-Apr Rates'!$F$2:$H$147,3,FALSE),0)</f>
        <v>36.72</v>
      </c>
      <c r="D55" s="305">
        <f>IFERROR(VLOOKUP(A55,'[44]SPOKANE RATES 2017'!$D$4:$E$78,2,FALSE),0)</f>
        <v>37.06</v>
      </c>
      <c r="E55" s="310">
        <f>IFERROR(VLOOKUP(A55,'[44]REV by Area 2017'!$Q$6:$T$78,2,FALSE),0)</f>
        <v>55.08</v>
      </c>
      <c r="F55" s="310">
        <f>IFERROR(VLOOKUP(A55,'[44]REV by Area 2017'!$Q$6:$T$78,3,FALSE),0)</f>
        <v>333.54</v>
      </c>
      <c r="G55" s="307">
        <f t="shared" si="8"/>
        <v>388.62</v>
      </c>
      <c r="I55" s="304">
        <f t="shared" si="15"/>
        <v>1.5</v>
      </c>
      <c r="J55" s="304">
        <f t="shared" si="16"/>
        <v>9</v>
      </c>
      <c r="K55" s="300">
        <f t="shared" si="17"/>
        <v>0.875</v>
      </c>
      <c r="L55" s="300"/>
      <c r="M55" s="307">
        <f t="shared" si="12"/>
        <v>5.2435749972790315</v>
      </c>
      <c r="O55" s="369">
        <f t="shared" si="13"/>
        <v>55.057537471429825</v>
      </c>
      <c r="Q55" s="375">
        <f>'Rate Sheet'!B326*References!C11</f>
        <v>36.978199999999994</v>
      </c>
      <c r="R55" s="363">
        <f t="shared" si="18"/>
        <v>42.221774997279027</v>
      </c>
      <c r="S55" s="363">
        <f t="shared" si="14"/>
        <v>443.67753747142984</v>
      </c>
    </row>
    <row r="56" spans="1:19" s="303" customFormat="1" ht="12" customHeight="1">
      <c r="A56" s="290" t="s">
        <v>818</v>
      </c>
      <c r="B56" s="290" t="s">
        <v>817</v>
      </c>
      <c r="C56" s="305">
        <f>IFERROR(VLOOKUP(A56,'[44]Spokane Jan-Apr Rates'!$F$2:$H$147,3,FALSE),0)</f>
        <v>35.9</v>
      </c>
      <c r="D56" s="305">
        <f>IFERROR(VLOOKUP(A56,'[44]SPOKANE RATES 2017'!$D$4:$E$78,2,FALSE),0)</f>
        <v>36.200000000000003</v>
      </c>
      <c r="E56" s="310">
        <f>IFERROR(VLOOKUP(A56,'[44]REV by Area 2017'!$Q$6:$T$78,2,FALSE),0)</f>
        <v>457.73</v>
      </c>
      <c r="F56" s="310">
        <f>IFERROR(VLOOKUP(A56,'[44]REV by Area 2017'!$Q$6:$T$78,3,FALSE),0)</f>
        <v>1303.1999999999998</v>
      </c>
      <c r="G56" s="307">
        <f t="shared" si="8"/>
        <v>1760.9299999999998</v>
      </c>
      <c r="I56" s="304">
        <f t="shared" si="15"/>
        <v>12.750139275766017</v>
      </c>
      <c r="J56" s="304">
        <f t="shared" si="16"/>
        <v>35.999999999999993</v>
      </c>
      <c r="K56" s="300">
        <f t="shared" si="17"/>
        <v>4.0625116063138345</v>
      </c>
      <c r="L56" s="300"/>
      <c r="M56" s="307">
        <f t="shared" si="12"/>
        <v>5.1162086283763806</v>
      </c>
      <c r="O56" s="369">
        <f t="shared" si="13"/>
        <v>249.41588319722439</v>
      </c>
      <c r="Q56" s="375">
        <f>'Rate Sheet'!B333</f>
        <v>36.08</v>
      </c>
      <c r="R56" s="363">
        <f t="shared" si="18"/>
        <v>41.196208628376382</v>
      </c>
      <c r="S56" s="363">
        <f t="shared" si="14"/>
        <v>2010.3458831972243</v>
      </c>
    </row>
    <row r="57" spans="1:19" s="303" customFormat="1" ht="12" customHeight="1">
      <c r="A57" s="290" t="s">
        <v>816</v>
      </c>
      <c r="B57" s="290" t="s">
        <v>815</v>
      </c>
      <c r="C57" s="305">
        <f>IFERROR(VLOOKUP(A57,'[44]Spokane Jan-Apr Rates'!$F$2:$H$147,3,FALSE),0)</f>
        <v>44.06</v>
      </c>
      <c r="D57" s="305">
        <f>IFERROR(VLOOKUP(A57,'[44]SPOKANE RATES 2017'!$D$4:$E$78,2,FALSE),0)</f>
        <v>44.5</v>
      </c>
      <c r="E57" s="310">
        <f>IFERROR(VLOOKUP(A57,'[44]REV by Area 2017'!$Q$6:$T$78,2,FALSE),0)</f>
        <v>782.07</v>
      </c>
      <c r="F57" s="310">
        <f>IFERROR(VLOOKUP(A57,'[44]REV by Area 2017'!$Q$6:$T$78,3,FALSE),0)</f>
        <v>2403</v>
      </c>
      <c r="G57" s="307">
        <f t="shared" si="8"/>
        <v>3185.07</v>
      </c>
      <c r="I57" s="304">
        <f t="shared" si="15"/>
        <v>17.75011348161598</v>
      </c>
      <c r="J57" s="304">
        <f t="shared" si="16"/>
        <v>54</v>
      </c>
      <c r="K57" s="300">
        <f t="shared" si="17"/>
        <v>5.9791761234679983</v>
      </c>
      <c r="L57" s="300"/>
      <c r="M57" s="307">
        <f t="shared" si="12"/>
        <v>6.2917454778564297</v>
      </c>
      <c r="O57" s="369">
        <f t="shared" si="13"/>
        <v>451.43345203364299</v>
      </c>
      <c r="Q57" s="375">
        <f>'Rate Sheet'!B337</f>
        <v>44.37</v>
      </c>
      <c r="R57" s="363">
        <f t="shared" si="18"/>
        <v>50.661745477856428</v>
      </c>
      <c r="S57" s="363">
        <f t="shared" si="14"/>
        <v>3636.503452033643</v>
      </c>
    </row>
    <row r="58" spans="1:19" s="303" customFormat="1" ht="12" customHeight="1">
      <c r="A58" s="290" t="s">
        <v>814</v>
      </c>
      <c r="B58" s="290" t="s">
        <v>813</v>
      </c>
      <c r="C58" s="305">
        <f>IFERROR(VLOOKUP(A58,'[44]Spokane Jan-Apr Rates'!$F$2:$H$147,3,FALSE),0)</f>
        <v>88.08</v>
      </c>
      <c r="D58" s="305">
        <f>IFERROR(VLOOKUP(A58,'[44]SPOKANE RATES 2017'!$D$4:$E$78,2,FALSE),0)</f>
        <v>88.94</v>
      </c>
      <c r="E58" s="310">
        <f>IFERROR(VLOOKUP(A58,'[44]REV by Area 2017'!$Q$6:$T$78,2,FALSE),0)</f>
        <v>264.24</v>
      </c>
      <c r="F58" s="310">
        <f>IFERROR(VLOOKUP(A58,'[44]REV by Area 2017'!$Q$6:$T$78,3,FALSE),0)</f>
        <v>800.46</v>
      </c>
      <c r="G58" s="307">
        <f t="shared" si="8"/>
        <v>1064.7</v>
      </c>
      <c r="I58" s="304">
        <f t="shared" si="15"/>
        <v>3</v>
      </c>
      <c r="J58" s="304">
        <f t="shared" si="16"/>
        <v>9</v>
      </c>
      <c r="K58" s="300">
        <f t="shared" si="17"/>
        <v>1</v>
      </c>
      <c r="L58" s="300"/>
      <c r="M58" s="307">
        <f t="shared" si="12"/>
        <v>12.574755965371729</v>
      </c>
      <c r="O58" s="369">
        <f t="shared" si="13"/>
        <v>150.89707158446075</v>
      </c>
      <c r="Q58" s="323">
        <f>'Rate Sheet'!B335*References!C11</f>
        <v>88.678399999999996</v>
      </c>
      <c r="R58" s="363">
        <f t="shared" si="18"/>
        <v>101.25315596537172</v>
      </c>
      <c r="S58" s="363">
        <f t="shared" si="14"/>
        <v>1215.5970715844608</v>
      </c>
    </row>
    <row r="59" spans="1:19" s="303" customFormat="1" ht="12" customHeight="1">
      <c r="A59" s="290" t="s">
        <v>812</v>
      </c>
      <c r="B59" s="290" t="s">
        <v>811</v>
      </c>
      <c r="C59" s="305">
        <f>IFERROR(VLOOKUP(A59,'[44]Spokane Jan-Apr Rates'!$F$2:$H$147,3,FALSE),0)</f>
        <v>13.01</v>
      </c>
      <c r="D59" s="305">
        <f>IFERROR(VLOOKUP(A59,'[44]SPOKANE RATES 2017'!$D$4:$E$78,2,FALSE),0)</f>
        <v>13.06</v>
      </c>
      <c r="E59" s="310">
        <f>IFERROR(VLOOKUP(A59,'[44]REV by Area 2017'!$Q$6:$T$78,2,FALSE),0)</f>
        <v>0</v>
      </c>
      <c r="F59" s="310">
        <f>IFERROR(VLOOKUP(A59,'[44]REV by Area 2017'!$Q$6:$T$78,3,FALSE),0)</f>
        <v>26.12</v>
      </c>
      <c r="G59" s="307">
        <f t="shared" si="8"/>
        <v>26.12</v>
      </c>
      <c r="I59" s="304">
        <f t="shared" si="15"/>
        <v>0</v>
      </c>
      <c r="J59" s="304">
        <f t="shared" si="16"/>
        <v>2</v>
      </c>
      <c r="K59" s="300">
        <f t="shared" si="17"/>
        <v>0.16666666666666666</v>
      </c>
      <c r="L59" s="300"/>
      <c r="M59" s="307">
        <f t="shared" si="12"/>
        <v>1.8490953579276053</v>
      </c>
      <c r="O59" s="369">
        <f t="shared" si="13"/>
        <v>3.6981907158552101</v>
      </c>
      <c r="Q59" s="375">
        <f>'Rate Sheet'!B107</f>
        <v>13.04</v>
      </c>
      <c r="R59" s="363">
        <f t="shared" si="18"/>
        <v>14.889095357927605</v>
      </c>
      <c r="S59" s="363">
        <f t="shared" si="14"/>
        <v>29.818190715855209</v>
      </c>
    </row>
    <row r="60" spans="1:19" s="303" customFormat="1" ht="12" customHeight="1">
      <c r="A60" s="290" t="s">
        <v>810</v>
      </c>
      <c r="B60" s="290" t="s">
        <v>809</v>
      </c>
      <c r="C60" s="305">
        <f>IFERROR(VLOOKUP(A60,'[44]Spokane Jan-Apr Rates'!$F$2:$H$147,3,FALSE),0)</f>
        <v>47.24</v>
      </c>
      <c r="D60" s="305">
        <f>IFERROR(VLOOKUP(A60,'[44]SPOKANE RATES 2017'!$D$4:$E$78,2,FALSE),0)</f>
        <v>47.5</v>
      </c>
      <c r="E60" s="310">
        <f>IFERROR(VLOOKUP(A60,'[44]REV by Area 2017'!$Q$6:$T$78,2,FALSE),0)</f>
        <v>0</v>
      </c>
      <c r="F60" s="310">
        <f>IFERROR(VLOOKUP(A60,'[44]REV by Area 2017'!$Q$6:$T$78,3,FALSE),0)</f>
        <v>0</v>
      </c>
      <c r="G60" s="307">
        <f t="shared" si="8"/>
        <v>0</v>
      </c>
      <c r="I60" s="304">
        <f t="shared" si="15"/>
        <v>0</v>
      </c>
      <c r="J60" s="304">
        <f t="shared" si="16"/>
        <v>0</v>
      </c>
      <c r="K60" s="300">
        <f t="shared" si="17"/>
        <v>0</v>
      </c>
      <c r="L60" s="300"/>
      <c r="M60" s="307">
        <f t="shared" si="12"/>
        <v>6.7242409411753874</v>
      </c>
      <c r="O60" s="369">
        <f t="shared" si="13"/>
        <v>0</v>
      </c>
      <c r="Q60" s="494">
        <f>'Rate Sheet'!B271</f>
        <v>47.42</v>
      </c>
      <c r="R60" s="363">
        <f t="shared" si="18"/>
        <v>54.14424094117539</v>
      </c>
      <c r="S60" s="363">
        <f t="shared" si="14"/>
        <v>0</v>
      </c>
    </row>
    <row r="61" spans="1:19" s="303" customFormat="1" ht="12" customHeight="1">
      <c r="A61" s="290" t="s">
        <v>808</v>
      </c>
      <c r="B61" s="290" t="s">
        <v>807</v>
      </c>
      <c r="C61" s="305">
        <f>IFERROR(VLOOKUP(A61,'[44]Spokane Jan-Apr Rates'!$F$2:$H$147,3,FALSE),0)</f>
        <v>67.13</v>
      </c>
      <c r="D61" s="305">
        <f>IFERROR(VLOOKUP(A61,'[44]SPOKANE RATES 2017'!$D$4:$E$78,2,FALSE),0)</f>
        <v>67.5</v>
      </c>
      <c r="E61" s="310">
        <f>IFERROR(VLOOKUP(A61,'[44]REV by Area 2017'!$Q$6:$T$78,2,FALSE),0)</f>
        <v>268.52</v>
      </c>
      <c r="F61" s="310">
        <f>IFERROR(VLOOKUP(A61,'[44]REV by Area 2017'!$Q$6:$T$78,3,FALSE),0)</f>
        <v>472.5</v>
      </c>
      <c r="G61" s="307">
        <f t="shared" si="8"/>
        <v>741.02</v>
      </c>
      <c r="I61" s="304">
        <f t="shared" si="15"/>
        <v>4</v>
      </c>
      <c r="J61" s="304">
        <f t="shared" si="16"/>
        <v>7</v>
      </c>
      <c r="K61" s="300">
        <f t="shared" si="17"/>
        <v>0.91666666666666663</v>
      </c>
      <c r="L61" s="300"/>
      <c r="M61" s="307">
        <f t="shared" si="12"/>
        <v>9.5546046945676419</v>
      </c>
      <c r="O61" s="369">
        <f t="shared" si="13"/>
        <v>105.10065164024405</v>
      </c>
      <c r="Q61" s="494">
        <f>'Rate Sheet'!B272</f>
        <v>67.38</v>
      </c>
      <c r="R61" s="363">
        <f t="shared" si="18"/>
        <v>76.934604694567639</v>
      </c>
      <c r="S61" s="363">
        <f t="shared" si="14"/>
        <v>846.12065164024398</v>
      </c>
    </row>
    <row r="62" spans="1:19" s="303" customFormat="1" ht="12" customHeight="1">
      <c r="A62" s="290" t="s">
        <v>806</v>
      </c>
      <c r="B62" s="290" t="s">
        <v>805</v>
      </c>
      <c r="C62" s="305">
        <f>IFERROR(VLOOKUP(A62,'[44]Spokane Jan-Apr Rates'!$F$2:$H$147,3,FALSE),0)</f>
        <v>4.24</v>
      </c>
      <c r="D62" s="305">
        <f>IFERROR(VLOOKUP(A62,'[44]SPOKANE RATES 2017'!$D$4:$E$78,2,FALSE),0)</f>
        <v>4.49</v>
      </c>
      <c r="E62" s="310">
        <f>IFERROR(VLOOKUP(A62,'[44]REV by Area 2017'!$Q$6:$T$78,2,FALSE),0)</f>
        <v>686.88</v>
      </c>
      <c r="F62" s="310">
        <f>IFERROR(VLOOKUP(A62,'[44]REV by Area 2017'!$Q$6:$T$78,3,FALSE),0)</f>
        <v>2044.9700000000005</v>
      </c>
      <c r="G62" s="307">
        <f t="shared" si="8"/>
        <v>2731.8500000000004</v>
      </c>
      <c r="I62" s="304">
        <f t="shared" si="15"/>
        <v>162</v>
      </c>
      <c r="J62" s="304">
        <f t="shared" si="16"/>
        <v>455.4498886414255</v>
      </c>
      <c r="K62" s="300">
        <f t="shared" si="17"/>
        <v>51.454157386785461</v>
      </c>
      <c r="L62" s="300"/>
      <c r="M62" s="307">
        <f t="shared" si="12"/>
        <v>0.63385400689696281</v>
      </c>
      <c r="O62" s="369">
        <f t="shared" si="13"/>
        <v>391.37308597345111</v>
      </c>
      <c r="Q62" s="494">
        <f>'Rate Sheet'!B105</f>
        <v>4.47</v>
      </c>
      <c r="R62" s="363">
        <f t="shared" si="18"/>
        <v>5.1038540068969622</v>
      </c>
      <c r="S62" s="363">
        <f t="shared" si="14"/>
        <v>3123.2230859734514</v>
      </c>
    </row>
    <row r="63" spans="1:19" s="303" customFormat="1" ht="12" customHeight="1">
      <c r="A63" s="290" t="s">
        <v>804</v>
      </c>
      <c r="B63" s="290" t="s">
        <v>803</v>
      </c>
      <c r="C63" s="305">
        <f>IFERROR(VLOOKUP(A63,'[44]Spokane Jan-Apr Rates'!$F$2:$H$147,3,FALSE),0)</f>
        <v>22.61</v>
      </c>
      <c r="D63" s="305">
        <f>IFERROR(VLOOKUP(A63,'[44]SPOKANE RATES 2017'!$D$4:$E$78,2,FALSE),0)</f>
        <v>22.8</v>
      </c>
      <c r="E63" s="310">
        <f>IFERROR(VLOOKUP(A63,'[44]REV by Area 2017'!$Q$6:$T$78,2,FALSE),0)</f>
        <v>0</v>
      </c>
      <c r="F63" s="310">
        <f>IFERROR(VLOOKUP(A63,'[44]REV by Area 2017'!$Q$6:$T$78,3,FALSE),0)</f>
        <v>182.40000000000003</v>
      </c>
      <c r="G63" s="307">
        <f t="shared" si="8"/>
        <v>182.40000000000003</v>
      </c>
      <c r="I63" s="304">
        <f t="shared" si="15"/>
        <v>0</v>
      </c>
      <c r="J63" s="304">
        <f t="shared" si="16"/>
        <v>8.0000000000000018</v>
      </c>
      <c r="K63" s="300">
        <f t="shared" si="17"/>
        <v>0.66666666666666685</v>
      </c>
      <c r="L63" s="300"/>
      <c r="M63" s="307">
        <f t="shared" si="12"/>
        <v>3.2245727330731397</v>
      </c>
      <c r="O63" s="369">
        <f t="shared" si="13"/>
        <v>25.796581864585129</v>
      </c>
      <c r="Q63" s="494">
        <f>'Rate Sheet'!B126</f>
        <v>22.74</v>
      </c>
      <c r="R63" s="363">
        <f t="shared" si="18"/>
        <v>25.964572733073137</v>
      </c>
      <c r="S63" s="363">
        <f t="shared" si="14"/>
        <v>208.19658186458517</v>
      </c>
    </row>
    <row r="64" spans="1:19" s="303" customFormat="1" ht="12" customHeight="1">
      <c r="A64" s="290" t="s">
        <v>802</v>
      </c>
      <c r="B64" s="290" t="s">
        <v>801</v>
      </c>
      <c r="C64" s="305">
        <v>12.81</v>
      </c>
      <c r="D64" s="305">
        <f>IFERROR(VLOOKUP(A64,'[44]RATES by Area 2017'!$E$6:$F$119,2,FALSE),0)</f>
        <v>12.81</v>
      </c>
      <c r="E64" s="310">
        <f>IFERROR(VLOOKUP(A64,'[44]REV by Area 2017'!$Q$6:$T$78,2,FALSE),0)</f>
        <v>406.71</v>
      </c>
      <c r="F64" s="310">
        <f>IFERROR(VLOOKUP(A64,'[44]REV by Area 2017'!$Q$6:$T$78,3,FALSE),0)</f>
        <v>1652.2700000000002</v>
      </c>
      <c r="G64" s="307">
        <f t="shared" si="8"/>
        <v>2058.98</v>
      </c>
      <c r="I64" s="304">
        <f t="shared" si="15"/>
        <v>31.74941451990632</v>
      </c>
      <c r="J64" s="304">
        <f t="shared" si="16"/>
        <v>128.98282591725217</v>
      </c>
      <c r="K64" s="300">
        <f t="shared" si="17"/>
        <v>13.394353369763207</v>
      </c>
      <c r="L64" s="300"/>
      <c r="M64" s="307">
        <f t="shared" si="12"/>
        <v>1.8164809459396185</v>
      </c>
      <c r="O64" s="369">
        <f t="shared" si="13"/>
        <v>291.96705215228383</v>
      </c>
      <c r="Q64" s="494">
        <f>'Rate Sheet'!B254</f>
        <v>12.81</v>
      </c>
      <c r="R64" s="363">
        <f t="shared" si="18"/>
        <v>14.626480945939619</v>
      </c>
      <c r="S64" s="363">
        <f t="shared" si="14"/>
        <v>2350.947052152284</v>
      </c>
    </row>
    <row r="65" spans="1:21" s="303" customFormat="1" ht="12" customHeight="1">
      <c r="A65" s="290" t="s">
        <v>800</v>
      </c>
      <c r="B65" s="290" t="s">
        <v>799</v>
      </c>
      <c r="C65" s="305">
        <v>25.86</v>
      </c>
      <c r="D65" s="305">
        <f>IFERROR(VLOOKUP(A65,'[44]RATES by Area 2017'!$E$6:$F$119,2,FALSE),0)</f>
        <v>25.86</v>
      </c>
      <c r="E65" s="310">
        <f>IFERROR(VLOOKUP(A65,'[44]REV by Area 2017'!$Q$6:$T$78,2,FALSE),0)</f>
        <v>0</v>
      </c>
      <c r="F65" s="310">
        <f>IFERROR(VLOOKUP(A65,'[44]REV by Area 2017'!$Q$6:$T$78,3,FALSE),0)</f>
        <v>8.6199999999999992</v>
      </c>
      <c r="G65" s="307">
        <f t="shared" si="8"/>
        <v>8.6199999999999992</v>
      </c>
      <c r="I65" s="304">
        <f t="shared" si="15"/>
        <v>0</v>
      </c>
      <c r="J65" s="304">
        <f t="shared" si="16"/>
        <v>0.33333333333333331</v>
      </c>
      <c r="K65" s="300">
        <f t="shared" si="17"/>
        <v>2.7777777777777776E-2</v>
      </c>
      <c r="L65" s="300"/>
      <c r="M65" s="307">
        <f t="shared" si="12"/>
        <v>3.6669943217797449</v>
      </c>
      <c r="O65" s="369">
        <f t="shared" si="13"/>
        <v>1.2223314405932482</v>
      </c>
      <c r="Q65" s="494">
        <f>'Rate Sheet'!B299</f>
        <v>25.86</v>
      </c>
      <c r="R65" s="363">
        <f t="shared" si="18"/>
        <v>29.526994321779746</v>
      </c>
      <c r="S65" s="363">
        <f t="shared" si="14"/>
        <v>9.8423314405932469</v>
      </c>
    </row>
    <row r="66" spans="1:21" s="303" customFormat="1" ht="12" customHeight="1">
      <c r="A66" s="290" t="s">
        <v>798</v>
      </c>
      <c r="B66" s="290" t="s">
        <v>797</v>
      </c>
      <c r="C66" s="305">
        <v>10.66</v>
      </c>
      <c r="D66" s="305">
        <f>IFERROR(VLOOKUP(A66,'[44]RATES by Area 2017'!$E$6:$F$119,2,FALSE),0)</f>
        <v>10.66</v>
      </c>
      <c r="E66" s="310">
        <f>IFERROR(VLOOKUP(A66,'[44]REV by Area 2017'!$Q$6:$T$78,2,FALSE),0)</f>
        <v>850.1400000000001</v>
      </c>
      <c r="F66" s="310">
        <f>IFERROR(VLOOKUP(A66,'[44]REV by Area 2017'!$Q$6:$T$78,3,FALSE),0)</f>
        <v>2534.4200000000005</v>
      </c>
      <c r="G66" s="307">
        <f t="shared" si="8"/>
        <v>3384.5600000000004</v>
      </c>
      <c r="I66" s="304">
        <f t="shared" si="15"/>
        <v>79.75046904315198</v>
      </c>
      <c r="J66" s="304">
        <f t="shared" si="16"/>
        <v>237.75046904315201</v>
      </c>
      <c r="K66" s="300">
        <f t="shared" si="17"/>
        <v>26.458411507192</v>
      </c>
      <c r="L66" s="300"/>
      <c r="M66" s="307">
        <f t="shared" si="12"/>
        <v>1.511607094747567</v>
      </c>
      <c r="O66" s="369">
        <f t="shared" si="13"/>
        <v>479.93667060026519</v>
      </c>
      <c r="Q66" s="494">
        <f>'Rate Sheet'!B253</f>
        <v>10.66</v>
      </c>
      <c r="R66" s="363">
        <f t="shared" si="18"/>
        <v>12.171607094747568</v>
      </c>
      <c r="S66" s="363">
        <f t="shared" si="14"/>
        <v>3864.4966706002656</v>
      </c>
    </row>
    <row r="67" spans="1:21" s="303" customFormat="1" ht="12" customHeight="1">
      <c r="A67" s="290" t="s">
        <v>796</v>
      </c>
      <c r="B67" s="290" t="s">
        <v>795</v>
      </c>
      <c r="C67" s="305">
        <v>23.51</v>
      </c>
      <c r="D67" s="305">
        <f>IFERROR(VLOOKUP(A67,'[44]RATES by Area 2017'!$E$6:$F$119,2,FALSE),0)</f>
        <v>23.51</v>
      </c>
      <c r="E67" s="310">
        <f>IFERROR(VLOOKUP(A67,'[44]REV by Area 2017'!$Q$6:$T$78,2,FALSE),0)</f>
        <v>0</v>
      </c>
      <c r="F67" s="310">
        <f>IFERROR(VLOOKUP(A67,'[44]REV by Area 2017'!$Q$6:$T$78,3,FALSE),0)</f>
        <v>0</v>
      </c>
      <c r="G67" s="307">
        <f t="shared" si="8"/>
        <v>0</v>
      </c>
      <c r="I67" s="304">
        <f t="shared" si="15"/>
        <v>0</v>
      </c>
      <c r="J67" s="304">
        <f t="shared" si="16"/>
        <v>0</v>
      </c>
      <c r="K67" s="300">
        <f t="shared" si="17"/>
        <v>0</v>
      </c>
      <c r="L67" s="300"/>
      <c r="M67" s="307">
        <f t="shared" si="12"/>
        <v>3.3337601123372704</v>
      </c>
      <c r="O67" s="369">
        <f t="shared" si="13"/>
        <v>0</v>
      </c>
      <c r="Q67" s="494">
        <f>'Rate Sheet'!B298</f>
        <v>23.51</v>
      </c>
      <c r="R67" s="363">
        <f t="shared" si="18"/>
        <v>26.843760112337272</v>
      </c>
      <c r="S67" s="363">
        <f t="shared" si="14"/>
        <v>0</v>
      </c>
    </row>
    <row r="68" spans="1:21" s="303" customFormat="1" ht="12" customHeight="1">
      <c r="A68" s="290" t="s">
        <v>794</v>
      </c>
      <c r="B68" s="290" t="s">
        <v>793</v>
      </c>
      <c r="C68" s="305">
        <v>17.59</v>
      </c>
      <c r="D68" s="305">
        <f>IFERROR(VLOOKUP(A68,'[44]RATES by Area 2017'!$E$6:$F$119,2,FALSE),0)</f>
        <v>17.59</v>
      </c>
      <c r="E68" s="310">
        <f>IFERROR(VLOOKUP(A68,'[44]REV by Area 2017'!$Q$6:$T$78,2,FALSE),0)</f>
        <v>527.70000000000005</v>
      </c>
      <c r="F68" s="310">
        <f>IFERROR(VLOOKUP(A68,'[44]REV by Area 2017'!$Q$6:$T$78,3,FALSE),0)</f>
        <v>1416</v>
      </c>
      <c r="G68" s="307">
        <f t="shared" si="8"/>
        <v>1943.7</v>
      </c>
      <c r="I68" s="304">
        <f t="shared" si="15"/>
        <v>30.000000000000004</v>
      </c>
      <c r="J68" s="304">
        <f t="shared" si="16"/>
        <v>80.500284252416151</v>
      </c>
      <c r="K68" s="300">
        <f t="shared" si="17"/>
        <v>9.2083570210346792</v>
      </c>
      <c r="L68" s="300"/>
      <c r="M68" s="307">
        <f t="shared" si="12"/>
        <v>2.4942935081247377</v>
      </c>
      <c r="O68" s="369">
        <f t="shared" si="13"/>
        <v>275.6201416567398</v>
      </c>
      <c r="Q68" s="494">
        <f>'Rate Sheet'!B255</f>
        <v>17.59</v>
      </c>
      <c r="R68" s="363">
        <f t="shared" si="18"/>
        <v>20.084293508124738</v>
      </c>
      <c r="S68" s="363">
        <f t="shared" si="14"/>
        <v>2219.3201416567399</v>
      </c>
    </row>
    <row r="69" spans="1:21" s="303" customFormat="1" ht="12" customHeight="1">
      <c r="A69" s="290" t="s">
        <v>792</v>
      </c>
      <c r="B69" s="290" t="s">
        <v>791</v>
      </c>
      <c r="C69" s="305">
        <v>35.26</v>
      </c>
      <c r="D69" s="305">
        <f>IFERROR(VLOOKUP(A69,'[44]RATES by Area 2017'!$E$6:$F$119,2,FALSE),0)</f>
        <v>35.26</v>
      </c>
      <c r="E69" s="310">
        <f>IFERROR(VLOOKUP(A69,'[44]REV by Area 2017'!$Q$6:$T$78,2,FALSE),0)</f>
        <v>11.75</v>
      </c>
      <c r="F69" s="310">
        <f>IFERROR(VLOOKUP(A69,'[44]REV by Area 2017'!$Q$6:$T$78,3,FALSE),0)</f>
        <v>32.909999999999997</v>
      </c>
      <c r="G69" s="307">
        <f t="shared" si="8"/>
        <v>44.66</v>
      </c>
      <c r="I69" s="304">
        <f t="shared" ref="I69:I78" si="19">(E69/C69)</f>
        <v>0.33323879750425411</v>
      </c>
      <c r="J69" s="304">
        <f t="shared" ref="J69:J78" si="20">F69/D69</f>
        <v>0.93335224049914911</v>
      </c>
      <c r="K69" s="300">
        <f t="shared" ref="K69:K78" si="21">(J69+I69)/12</f>
        <v>0.10554925316695025</v>
      </c>
      <c r="L69" s="300"/>
      <c r="M69" s="307">
        <f t="shared" si="12"/>
        <v>4.9999311595496447</v>
      </c>
      <c r="O69" s="369">
        <f t="shared" si="13"/>
        <v>6.3328679973195436</v>
      </c>
      <c r="Q69" s="494">
        <f>'Rate Sheet'!B300</f>
        <v>35.26</v>
      </c>
      <c r="R69" s="363">
        <f t="shared" si="18"/>
        <v>40.259931159549645</v>
      </c>
      <c r="S69" s="363">
        <f t="shared" si="14"/>
        <v>50.992867997319543</v>
      </c>
    </row>
    <row r="70" spans="1:21" s="303" customFormat="1" ht="12" customHeight="1">
      <c r="A70" s="290" t="s">
        <v>790</v>
      </c>
      <c r="B70" s="290" t="s">
        <v>789</v>
      </c>
      <c r="C70" s="305">
        <v>21.71</v>
      </c>
      <c r="D70" s="305">
        <f>IFERROR(VLOOKUP(A70,'[44]RATES by Area 2017'!$E$6:$F$119,2,FALSE),0)</f>
        <v>21.71</v>
      </c>
      <c r="E70" s="310">
        <f>IFERROR(VLOOKUP(A70,'[44]REV by Area 2017'!$Q$6:$T$78,2,FALSE),0)</f>
        <v>379.93</v>
      </c>
      <c r="F70" s="310">
        <f>IFERROR(VLOOKUP(A70,'[44]REV by Area 2017'!$Q$6:$T$78,3,FALSE),0)</f>
        <v>1063.79</v>
      </c>
      <c r="G70" s="307">
        <f t="shared" si="8"/>
        <v>1443.72</v>
      </c>
      <c r="I70" s="304">
        <f t="shared" si="19"/>
        <v>17.500230308613542</v>
      </c>
      <c r="J70" s="304">
        <f t="shared" si="20"/>
        <v>48.999999999999993</v>
      </c>
      <c r="K70" s="300">
        <f t="shared" si="21"/>
        <v>5.5416858590511282</v>
      </c>
      <c r="L70" s="300"/>
      <c r="M70" s="307">
        <f t="shared" si="12"/>
        <v>3.0785168880834597</v>
      </c>
      <c r="O70" s="369">
        <f t="shared" si="13"/>
        <v>204.72208206650629</v>
      </c>
      <c r="Q70" s="494">
        <f>'Rate Sheet'!B256</f>
        <v>21.71</v>
      </c>
      <c r="R70" s="363">
        <f t="shared" si="18"/>
        <v>24.788516888083461</v>
      </c>
      <c r="S70" s="363">
        <f t="shared" si="14"/>
        <v>1648.4420820665064</v>
      </c>
    </row>
    <row r="71" spans="1:21" s="303" customFormat="1" ht="12" customHeight="1">
      <c r="A71" s="290" t="s">
        <v>788</v>
      </c>
      <c r="B71" s="290" t="s">
        <v>787</v>
      </c>
      <c r="C71" s="305">
        <v>42.3</v>
      </c>
      <c r="D71" s="305">
        <f>IFERROR(VLOOKUP(A71,'[44]RATES by Area 2017'!$E$6:$F$119,2,FALSE),0)</f>
        <v>42.3</v>
      </c>
      <c r="E71" s="310">
        <f>IFERROR(VLOOKUP(A71,'[44]REV by Area 2017'!$Q$6:$T$78,2,FALSE),0)</f>
        <v>0</v>
      </c>
      <c r="F71" s="310">
        <f>IFERROR(VLOOKUP(A71,'[44]REV by Area 2017'!$Q$6:$T$78,3,FALSE),0)</f>
        <v>49.35</v>
      </c>
      <c r="G71" s="307">
        <f t="shared" si="8"/>
        <v>49.35</v>
      </c>
      <c r="I71" s="304">
        <f t="shared" si="19"/>
        <v>0</v>
      </c>
      <c r="J71" s="304">
        <f t="shared" si="20"/>
        <v>1.1666666666666667</v>
      </c>
      <c r="K71" s="300">
        <f t="shared" si="21"/>
        <v>9.7222222222222224E-2</v>
      </c>
      <c r="L71" s="300"/>
      <c r="M71" s="307">
        <f t="shared" si="12"/>
        <v>5.9982157699645473</v>
      </c>
      <c r="O71" s="369">
        <f t="shared" si="13"/>
        <v>6.9979183982919722</v>
      </c>
      <c r="Q71" s="494">
        <f>'Rate Sheet'!B301</f>
        <v>42.3</v>
      </c>
      <c r="R71" s="363">
        <f t="shared" si="18"/>
        <v>48.298215769964543</v>
      </c>
      <c r="S71" s="363">
        <f t="shared" si="14"/>
        <v>56.347918398291974</v>
      </c>
    </row>
    <row r="72" spans="1:21" s="308" customFormat="1" ht="12" customHeight="1">
      <c r="A72" s="290" t="s">
        <v>786</v>
      </c>
      <c r="B72" s="290" t="s">
        <v>785</v>
      </c>
      <c r="C72" s="305">
        <v>24.58</v>
      </c>
      <c r="D72" s="305">
        <f>IFERROR(VLOOKUP(A72,'[44]RATES by Area 2017'!$E$6:$F$119,2,FALSE),0)</f>
        <v>24.58</v>
      </c>
      <c r="E72" s="310">
        <f>IFERROR(VLOOKUP(A72,'[44]REV by Area 2017'!$Q$6:$T$78,2,FALSE),0)</f>
        <v>602.22</v>
      </c>
      <c r="F72" s="310">
        <f>IFERROR(VLOOKUP(A72,'[44]REV by Area 2017'!$Q$6:$T$78,3,FALSE),0)</f>
        <v>2132.3200000000002</v>
      </c>
      <c r="G72" s="307">
        <f t="shared" si="8"/>
        <v>2734.54</v>
      </c>
      <c r="I72" s="304">
        <f t="shared" si="19"/>
        <v>24.500406834825064</v>
      </c>
      <c r="J72" s="304">
        <f t="shared" si="20"/>
        <v>86.75020341741255</v>
      </c>
      <c r="K72" s="300">
        <f t="shared" si="21"/>
        <v>9.2708841876864678</v>
      </c>
      <c r="L72" s="300"/>
      <c r="M72" s="307">
        <f t="shared" si="12"/>
        <v>3.4854880289770351</v>
      </c>
      <c r="O72" s="369">
        <f t="shared" si="13"/>
        <v>387.76267025056404</v>
      </c>
      <c r="Q72" s="375">
        <f>'Rate Sheet'!B257</f>
        <v>24.58</v>
      </c>
      <c r="R72" s="363">
        <f t="shared" si="18"/>
        <v>28.065488028977033</v>
      </c>
      <c r="S72" s="363">
        <f t="shared" si="14"/>
        <v>3122.302670250564</v>
      </c>
    </row>
    <row r="73" spans="1:21" s="303" customFormat="1" ht="12" customHeight="1">
      <c r="A73" s="290" t="s">
        <v>784</v>
      </c>
      <c r="B73" s="290" t="s">
        <v>783</v>
      </c>
      <c r="C73" s="305">
        <v>47.01</v>
      </c>
      <c r="D73" s="305">
        <f>IFERROR(VLOOKUP(A73,'[44]RATES by Area 2017'!$E$6:$F$119,2,FALSE),0)</f>
        <v>47.01</v>
      </c>
      <c r="E73" s="310">
        <f>IFERROR(VLOOKUP(A73,'[44]REV by Area 2017'!$Q$6:$T$78,2,FALSE),0)</f>
        <v>47.01</v>
      </c>
      <c r="F73" s="310">
        <f>IFERROR(VLOOKUP(A73,'[44]REV by Area 2017'!$Q$6:$T$78,3,FALSE),0)</f>
        <v>488.9</v>
      </c>
      <c r="G73" s="307">
        <f t="shared" si="8"/>
        <v>535.91</v>
      </c>
      <c r="I73" s="304">
        <f t="shared" si="19"/>
        <v>1</v>
      </c>
      <c r="J73" s="304">
        <f t="shared" si="20"/>
        <v>10.399914911720911</v>
      </c>
      <c r="K73" s="300">
        <f t="shared" si="21"/>
        <v>0.94999290931007596</v>
      </c>
      <c r="L73" s="300"/>
      <c r="M73" s="307">
        <f t="shared" si="12"/>
        <v>6.6661022067620186</v>
      </c>
      <c r="O73" s="369">
        <f t="shared" si="13"/>
        <v>75.992997949922014</v>
      </c>
      <c r="Q73" s="494">
        <f>'Rate Sheet'!B302</f>
        <v>47.01</v>
      </c>
      <c r="R73" s="363">
        <f t="shared" si="18"/>
        <v>53.676102206762017</v>
      </c>
      <c r="S73" s="363">
        <f t="shared" si="14"/>
        <v>611.902997949922</v>
      </c>
    </row>
    <row r="74" spans="1:21" s="303" customFormat="1" ht="12" customHeight="1">
      <c r="A74" s="290" t="s">
        <v>782</v>
      </c>
      <c r="B74" s="290" t="s">
        <v>781</v>
      </c>
      <c r="C74" s="305">
        <v>32.56</v>
      </c>
      <c r="D74" s="305">
        <f>IFERROR(VLOOKUP(A74,'[44]RATES by Area 2017'!$E$6:$F$119,2,FALSE),0)</f>
        <v>32.56</v>
      </c>
      <c r="E74" s="310">
        <f>IFERROR(VLOOKUP(A74,'[44]REV by Area 2017'!$Q$6:$T$78,2,FALSE),0)</f>
        <v>195.36</v>
      </c>
      <c r="F74" s="310">
        <f>IFERROR(VLOOKUP(A74,'[44]REV by Area 2017'!$Q$6:$T$78,3,FALSE),0)</f>
        <v>586.08000000000004</v>
      </c>
      <c r="G74" s="307">
        <f t="shared" si="8"/>
        <v>781.44</v>
      </c>
      <c r="I74" s="304">
        <f t="shared" si="19"/>
        <v>6</v>
      </c>
      <c r="J74" s="304">
        <f t="shared" si="20"/>
        <v>18</v>
      </c>
      <c r="K74" s="300">
        <f t="shared" si="21"/>
        <v>2</v>
      </c>
      <c r="L74" s="300"/>
      <c r="M74" s="307">
        <f t="shared" si="12"/>
        <v>4.6170663231689293</v>
      </c>
      <c r="O74" s="369">
        <f t="shared" si="13"/>
        <v>110.8095917560543</v>
      </c>
      <c r="Q74" s="494">
        <f>'Rate Sheet'!B258</f>
        <v>32.56</v>
      </c>
      <c r="R74" s="363">
        <f t="shared" si="18"/>
        <v>37.17706632316893</v>
      </c>
      <c r="S74" s="363">
        <f t="shared" si="14"/>
        <v>892.24959175605431</v>
      </c>
    </row>
    <row r="75" spans="1:21" s="303" customFormat="1" ht="12" customHeight="1">
      <c r="A75" s="290" t="s">
        <v>780</v>
      </c>
      <c r="B75" s="290" t="s">
        <v>779</v>
      </c>
      <c r="C75" s="305">
        <v>54.65</v>
      </c>
      <c r="D75" s="305">
        <f>IFERROR(VLOOKUP(A75,'[44]RATES by Area 2017'!$E$6:$F$119,2,FALSE),0)</f>
        <v>54.65</v>
      </c>
      <c r="E75" s="310">
        <f>IFERROR(VLOOKUP(A75,'[44]REV by Area 2017'!$Q$6:$T$78,2,FALSE),0)</f>
        <v>54.65</v>
      </c>
      <c r="F75" s="310">
        <f>IFERROR(VLOOKUP(A75,'[44]REV by Area 2017'!$Q$6:$T$78,3,FALSE),0)</f>
        <v>437.2</v>
      </c>
      <c r="G75" s="307">
        <f t="shared" si="8"/>
        <v>491.84999999999997</v>
      </c>
      <c r="I75" s="304">
        <f t="shared" si="19"/>
        <v>1</v>
      </c>
      <c r="J75" s="304">
        <f t="shared" si="20"/>
        <v>8</v>
      </c>
      <c r="K75" s="300">
        <f t="shared" si="21"/>
        <v>0.75</v>
      </c>
      <c r="L75" s="300"/>
      <c r="M75" s="307">
        <f t="shared" si="12"/>
        <v>7.7494678919281927</v>
      </c>
      <c r="O75" s="369">
        <f t="shared" si="13"/>
        <v>69.745211027353747</v>
      </c>
      <c r="Q75" s="494">
        <f>'Rate Sheet'!B221</f>
        <v>54.65</v>
      </c>
      <c r="R75" s="363">
        <f t="shared" si="18"/>
        <v>62.39946789192819</v>
      </c>
      <c r="S75" s="363">
        <f t="shared" si="14"/>
        <v>561.59521102735368</v>
      </c>
    </row>
    <row r="76" spans="1:21" s="303" customFormat="1" ht="12" customHeight="1">
      <c r="A76" s="290" t="s">
        <v>778</v>
      </c>
      <c r="B76" s="290" t="s">
        <v>777</v>
      </c>
      <c r="C76" s="305">
        <v>3.64</v>
      </c>
      <c r="D76" s="305">
        <f>IFERROR(VLOOKUP(A76,'[44]RATES by Area 2017'!$E$6:$F$119,2,FALSE),0)</f>
        <v>3.64</v>
      </c>
      <c r="E76" s="310">
        <f>IFERROR(VLOOKUP(A76,'[44]REV by Area 2017'!$Q$6:$T$78,2,FALSE),0)</f>
        <v>10.92</v>
      </c>
      <c r="F76" s="310">
        <f>IFERROR(VLOOKUP(A76,'[44]REV by Area 2017'!$Q$6:$T$78,3,FALSE),0)</f>
        <v>32.76</v>
      </c>
      <c r="G76" s="307">
        <f t="shared" si="8"/>
        <v>43.68</v>
      </c>
      <c r="I76" s="304">
        <f t="shared" si="19"/>
        <v>3</v>
      </c>
      <c r="J76" s="304">
        <f t="shared" si="20"/>
        <v>9</v>
      </c>
      <c r="K76" s="300">
        <f t="shared" si="21"/>
        <v>1</v>
      </c>
      <c r="L76" s="300"/>
      <c r="M76" s="307">
        <f t="shared" si="12"/>
        <v>0.51576147514219983</v>
      </c>
      <c r="O76" s="369">
        <f t="shared" si="13"/>
        <v>6.1891377017063984</v>
      </c>
      <c r="Q76" s="307">
        <f>'Rate Sheet'!B49*References!B11</f>
        <v>3.6372</v>
      </c>
      <c r="R76" s="363">
        <f t="shared" si="18"/>
        <v>4.1529614751421997</v>
      </c>
      <c r="S76" s="363">
        <f t="shared" si="14"/>
        <v>49.8691377017064</v>
      </c>
    </row>
    <row r="77" spans="1:21" s="303" customFormat="1" ht="12" customHeight="1">
      <c r="A77" s="290" t="s">
        <v>776</v>
      </c>
      <c r="B77" s="290" t="s">
        <v>775</v>
      </c>
      <c r="C77" s="305">
        <v>6.97</v>
      </c>
      <c r="D77" s="305">
        <f>IFERROR(VLOOKUP(A77,'[44]RATES by Area 2017'!$E$6:$F$119,2,FALSE),0)</f>
        <v>6.97</v>
      </c>
      <c r="E77" s="310">
        <f>IFERROR(VLOOKUP(A77,'[44]REV by Area 2017'!$Q$6:$T$78,2,FALSE),0)</f>
        <v>20.91</v>
      </c>
      <c r="F77" s="310">
        <f>IFERROR(VLOOKUP(A77,'[44]REV by Area 2017'!$Q$6:$T$78,3,FALSE),0)</f>
        <v>62.73</v>
      </c>
      <c r="G77" s="307">
        <f t="shared" si="8"/>
        <v>83.64</v>
      </c>
      <c r="I77" s="304">
        <f t="shared" si="19"/>
        <v>3</v>
      </c>
      <c r="J77" s="304">
        <f t="shared" si="20"/>
        <v>9</v>
      </c>
      <c r="K77" s="300">
        <f t="shared" si="21"/>
        <v>1</v>
      </c>
      <c r="L77" s="300"/>
      <c r="M77" s="307">
        <f t="shared" si="12"/>
        <v>0.98854282735588317</v>
      </c>
      <c r="O77" s="369">
        <f t="shared" si="13"/>
        <v>11.862513928270598</v>
      </c>
      <c r="Q77" s="307">
        <f>'Rate Sheet'!B53*References!B11</f>
        <v>6.9713000000000003</v>
      </c>
      <c r="R77" s="363">
        <f t="shared" si="18"/>
        <v>7.9598428273558834</v>
      </c>
      <c r="S77" s="363">
        <f t="shared" si="14"/>
        <v>95.502513928270602</v>
      </c>
      <c r="U77" s="307"/>
    </row>
    <row r="78" spans="1:21" s="303" customFormat="1" ht="12" customHeight="1">
      <c r="A78" s="290" t="s">
        <v>774</v>
      </c>
      <c r="B78" s="290" t="s">
        <v>773</v>
      </c>
      <c r="C78" s="305">
        <v>13.83</v>
      </c>
      <c r="D78" s="305">
        <f>IFERROR(VLOOKUP(A78,'[44]RATES by Area 2017'!$E$6:$F$119,2,FALSE),0)</f>
        <v>13.83</v>
      </c>
      <c r="E78" s="310">
        <f>IFERROR(VLOOKUP(A78,'[44]REV by Area 2017'!$Q$6:$T$78,2,FALSE),0)</f>
        <v>0</v>
      </c>
      <c r="F78" s="310">
        <f>IFERROR(VLOOKUP(A78,'[44]REV by Area 2017'!$Q$6:$T$78,3,FALSE),0)</f>
        <v>0</v>
      </c>
      <c r="G78" s="307">
        <f t="shared" si="8"/>
        <v>0</v>
      </c>
      <c r="I78" s="304">
        <f t="shared" si="19"/>
        <v>0</v>
      </c>
      <c r="J78" s="304">
        <f t="shared" si="20"/>
        <v>0</v>
      </c>
      <c r="K78" s="300">
        <f t="shared" si="21"/>
        <v>0</v>
      </c>
      <c r="L78" s="300"/>
      <c r="M78" s="307">
        <f t="shared" si="12"/>
        <v>1.9611187730167778</v>
      </c>
      <c r="O78" s="369">
        <f t="shared" si="13"/>
        <v>0</v>
      </c>
      <c r="Q78" s="494">
        <f>'Rate Sheet'!B13</f>
        <v>13.83</v>
      </c>
      <c r="R78" s="363">
        <f t="shared" si="18"/>
        <v>15.791118773016779</v>
      </c>
      <c r="S78" s="363">
        <f t="shared" si="14"/>
        <v>0</v>
      </c>
    </row>
    <row r="79" spans="1:21" s="303" customFormat="1" ht="12" customHeight="1" thickBot="1">
      <c r="A79" s="322"/>
      <c r="B79" s="322"/>
      <c r="C79" s="305"/>
      <c r="D79" s="305"/>
      <c r="E79" s="310"/>
      <c r="F79" s="310"/>
      <c r="G79" s="307"/>
      <c r="I79" s="304"/>
      <c r="J79" s="304"/>
      <c r="K79" s="300"/>
      <c r="L79" s="300"/>
      <c r="O79" s="369"/>
    </row>
    <row r="80" spans="1:21" s="303" customFormat="1" ht="12" customHeight="1" thickBot="1">
      <c r="A80" s="322"/>
      <c r="B80" s="299" t="s">
        <v>772</v>
      </c>
      <c r="C80" s="305"/>
      <c r="D80" s="305"/>
      <c r="E80" s="298">
        <f>SUM(E38:E79)</f>
        <v>33748.480000000003</v>
      </c>
      <c r="F80" s="298">
        <f>SUM(F38:F79)</f>
        <v>109687.27999999996</v>
      </c>
      <c r="G80" s="298">
        <f>SUM(G38:G79)</f>
        <v>143435.76</v>
      </c>
      <c r="I80" s="304"/>
      <c r="J80" s="304"/>
      <c r="K80" s="318">
        <f>SUM(K38:K58)</f>
        <v>85.114232507318619</v>
      </c>
      <c r="L80" s="317"/>
      <c r="O80" s="389">
        <f>SUM(O38:O78)</f>
        <v>22586.120243077632</v>
      </c>
      <c r="R80" s="388"/>
      <c r="S80" s="459">
        <f>SUM(S38:S78)</f>
        <v>166021.88024307767</v>
      </c>
    </row>
    <row r="81" spans="1:19" ht="12" customHeight="1">
      <c r="A81" s="308"/>
      <c r="B81" s="308"/>
      <c r="I81" s="300"/>
      <c r="J81" s="300"/>
      <c r="K81" s="300"/>
      <c r="L81" s="300"/>
    </row>
    <row r="82" spans="1:19" ht="12" customHeight="1">
      <c r="A82" s="321" t="s">
        <v>771</v>
      </c>
      <c r="B82" s="321" t="s">
        <v>771</v>
      </c>
      <c r="I82" s="300"/>
      <c r="J82" s="300"/>
      <c r="K82" s="300"/>
      <c r="L82" s="300"/>
    </row>
    <row r="83" spans="1:19" ht="12" customHeight="1">
      <c r="A83" s="320"/>
      <c r="B83" s="320"/>
      <c r="I83" s="300"/>
      <c r="J83" s="300"/>
      <c r="K83" s="300"/>
      <c r="L83" s="300"/>
    </row>
    <row r="84" spans="1:19" ht="12" customHeight="1">
      <c r="A84" s="314" t="s">
        <v>770</v>
      </c>
      <c r="B84" s="314" t="s">
        <v>770</v>
      </c>
      <c r="I84" s="300"/>
      <c r="J84" s="300"/>
      <c r="K84" s="300"/>
      <c r="L84" s="300"/>
    </row>
    <row r="85" spans="1:19" ht="12" customHeight="1">
      <c r="A85" s="290" t="s">
        <v>769</v>
      </c>
      <c r="B85" s="290" t="s">
        <v>768</v>
      </c>
      <c r="C85" s="305">
        <v>258.64</v>
      </c>
      <c r="D85" s="305">
        <f>IFERROR(VLOOKUP(A85,'[44]RATES by Area 2017'!$E$6:$F$119,2,FALSE),0)</f>
        <v>258.64</v>
      </c>
      <c r="E85" s="310">
        <f>IFERROR(VLOOKUP(A85,'[44]REV by Area 2017'!$Q$6:$T$78,2,FALSE),0)</f>
        <v>1753.4499999999998</v>
      </c>
      <c r="F85" s="310">
        <f>IFERROR(VLOOKUP(A85,'[44]REV by Area 2017'!$Q$6:$T$78,3,FALSE),0)</f>
        <v>4857.1299999999992</v>
      </c>
      <c r="G85" s="307">
        <f t="shared" ref="G85:G92" si="22">SUM(E85:F85)</f>
        <v>6610.579999999999</v>
      </c>
      <c r="H85" s="319"/>
      <c r="I85" s="304">
        <f>(E85/C85)</f>
        <v>6.7795004639653573</v>
      </c>
      <c r="J85" s="304">
        <f>F85/D85</f>
        <v>18.779500463965356</v>
      </c>
      <c r="K85" s="300">
        <f>(J85+I85)/12</f>
        <v>2.1299167439942259</v>
      </c>
      <c r="L85" s="300"/>
      <c r="M85" s="307">
        <f t="shared" ref="M85:M92" si="23">$M$5*Q85</f>
        <v>36.675615289447535</v>
      </c>
      <c r="O85" s="369">
        <f t="shared" ref="O85:O92" si="24">K85*SUM(M85:M85)*12</f>
        <v>937.39208521541946</v>
      </c>
      <c r="Q85" s="454">
        <f>'Rate Sheet'!B459</f>
        <v>258.64</v>
      </c>
      <c r="R85" s="363">
        <f t="shared" ref="R85:R92" si="25">+D85+SUM(M85:M85)</f>
        <v>295.31561528944752</v>
      </c>
      <c r="S85" s="363">
        <f t="shared" ref="S85:S92" si="26">G85+O85</f>
        <v>7547.9720852154187</v>
      </c>
    </row>
    <row r="86" spans="1:19" ht="12" customHeight="1">
      <c r="A86" s="290" t="s">
        <v>767</v>
      </c>
      <c r="B86" s="290" t="s">
        <v>766</v>
      </c>
      <c r="C86" s="305">
        <v>240.22</v>
      </c>
      <c r="D86" s="305">
        <f>C86</f>
        <v>240.22</v>
      </c>
      <c r="E86" s="310">
        <f>IFERROR(VLOOKUP(A86,'[44]REV by Area 2017'!$Q$6:$T$78,2,FALSE),0)</f>
        <v>1293.2</v>
      </c>
      <c r="F86" s="310">
        <f>IFERROR(VLOOKUP(A86,'[44]REV by Area 2017'!$Q$6:$T$78,3,FALSE),0)</f>
        <v>6983.28</v>
      </c>
      <c r="G86" s="307">
        <f t="shared" si="22"/>
        <v>8276.48</v>
      </c>
      <c r="I86" s="304">
        <f t="shared" ref="I86:I92" si="27">(E86/C86)</f>
        <v>5.3833985513279492</v>
      </c>
      <c r="J86" s="304">
        <f t="shared" ref="J86:J92" si="28">F86/D86</f>
        <v>29.070352177170925</v>
      </c>
      <c r="K86" s="300">
        <f t="shared" ref="K86:K92" si="29">(J86+I86)/12</f>
        <v>2.8711458940415731</v>
      </c>
      <c r="L86" s="300"/>
      <c r="M86" s="307">
        <f t="shared" si="23"/>
        <v>31.691282326935625</v>
      </c>
      <c r="O86" s="369">
        <f t="shared" si="24"/>
        <v>1091.8835415587218</v>
      </c>
      <c r="Q86" s="484">
        <f>'Rate Sheet'!B418</f>
        <v>223.49</v>
      </c>
      <c r="R86" s="363">
        <f t="shared" si="25"/>
        <v>271.91128232693563</v>
      </c>
      <c r="S86" s="363">
        <f t="shared" si="26"/>
        <v>9368.3635415587214</v>
      </c>
    </row>
    <row r="87" spans="1:19" ht="12" customHeight="1">
      <c r="A87" s="290" t="s">
        <v>765</v>
      </c>
      <c r="B87" s="290" t="s">
        <v>764</v>
      </c>
      <c r="C87" s="305">
        <v>356.68</v>
      </c>
      <c r="D87" s="305">
        <f>IFERROR(VLOOKUP(A87,'[44]RATES by Area 2017'!$E$6:$F$119,2,FALSE),0)</f>
        <v>356.68</v>
      </c>
      <c r="E87" s="310">
        <f>IFERROR(VLOOKUP(A87,'[44]REV by Area 2017'!$Q$6:$T$78,2,FALSE),0)</f>
        <v>713.36</v>
      </c>
      <c r="F87" s="310">
        <f>IFERROR(VLOOKUP(A87,'[44]REV by Area 2017'!$Q$6:$T$78,3,FALSE),0)</f>
        <v>5706.88</v>
      </c>
      <c r="G87" s="307">
        <f t="shared" si="22"/>
        <v>6420.24</v>
      </c>
      <c r="I87" s="304">
        <f t="shared" si="27"/>
        <v>2</v>
      </c>
      <c r="J87" s="304">
        <f t="shared" si="28"/>
        <v>16</v>
      </c>
      <c r="K87" s="300">
        <f t="shared" si="29"/>
        <v>1.5</v>
      </c>
      <c r="L87" s="300"/>
      <c r="M87" s="307">
        <f t="shared" si="23"/>
        <v>50.577862903805084</v>
      </c>
      <c r="O87" s="369">
        <f t="shared" si="24"/>
        <v>910.40153226849156</v>
      </c>
      <c r="Q87" s="484">
        <f>'Rate Sheet'!B483</f>
        <v>356.68</v>
      </c>
      <c r="R87" s="363">
        <f t="shared" si="25"/>
        <v>407.25786290380506</v>
      </c>
      <c r="S87" s="363">
        <f t="shared" si="26"/>
        <v>7330.6415322684916</v>
      </c>
    </row>
    <row r="88" spans="1:19" ht="12" customHeight="1">
      <c r="A88" s="290" t="s">
        <v>763</v>
      </c>
      <c r="B88" s="290" t="s">
        <v>762</v>
      </c>
      <c r="C88" s="305">
        <v>223.51</v>
      </c>
      <c r="D88" s="305">
        <f>IFERROR(VLOOKUP(A88,'[44]RATES by Area 2017'!$E$6:$F$119,2,FALSE),0)</f>
        <v>223.51</v>
      </c>
      <c r="E88" s="310">
        <f>IFERROR(VLOOKUP(A88,'[44]REV by Area 2017'!$Q$6:$T$78,2,FALSE),0)</f>
        <v>223.51</v>
      </c>
      <c r="F88" s="310">
        <f>IFERROR(VLOOKUP(A88,'[44]REV by Area 2017'!$Q$6:$T$78,3,FALSE),0)</f>
        <v>1341.06</v>
      </c>
      <c r="G88" s="307">
        <f t="shared" si="22"/>
        <v>1564.57</v>
      </c>
      <c r="I88" s="304">
        <f t="shared" si="27"/>
        <v>1</v>
      </c>
      <c r="J88" s="304">
        <f t="shared" si="28"/>
        <v>6</v>
      </c>
      <c r="K88" s="300">
        <f t="shared" si="29"/>
        <v>0.58333333333333337</v>
      </c>
      <c r="L88" s="300"/>
      <c r="M88" s="307">
        <f t="shared" si="23"/>
        <v>31.694118362760666</v>
      </c>
      <c r="O88" s="369">
        <f t="shared" si="24"/>
        <v>221.85882853932469</v>
      </c>
      <c r="Q88" s="454">
        <f>'Rate Sheet'!B511</f>
        <v>223.51</v>
      </c>
      <c r="R88" s="363">
        <f t="shared" si="25"/>
        <v>255.20411836276065</v>
      </c>
      <c r="S88" s="363">
        <f t="shared" si="26"/>
        <v>1786.4288285393245</v>
      </c>
    </row>
    <row r="89" spans="1:19" ht="12" customHeight="1">
      <c r="A89" s="290" t="s">
        <v>761</v>
      </c>
      <c r="B89" s="290" t="s">
        <v>760</v>
      </c>
      <c r="C89" s="305">
        <v>101.52</v>
      </c>
      <c r="D89" s="305">
        <f>IFERROR(VLOOKUP(A89,'[44]RATES by Area 2017'!$E$6:$F$119,2,FALSE),0)</f>
        <v>101.52</v>
      </c>
      <c r="E89" s="310">
        <f>IFERROR(VLOOKUP(A89,'[44]REV by Area 2017'!$Q$6:$T$78,2,FALSE),0)</f>
        <v>358.70000000000005</v>
      </c>
      <c r="F89" s="310">
        <f>IFERROR(VLOOKUP(A89,'[44]REV by Area 2017'!$Q$6:$T$78,3,FALSE),0)</f>
        <v>1986.4</v>
      </c>
      <c r="G89" s="307">
        <f t="shared" si="22"/>
        <v>2345.1000000000004</v>
      </c>
      <c r="I89" s="304">
        <f t="shared" si="27"/>
        <v>3.5332939322301029</v>
      </c>
      <c r="J89" s="304">
        <f t="shared" si="28"/>
        <v>19.566587864460207</v>
      </c>
      <c r="K89" s="300">
        <f t="shared" si="29"/>
        <v>1.9249901497241924</v>
      </c>
      <c r="L89" s="300"/>
      <c r="M89" s="307">
        <f t="shared" si="23"/>
        <v>14.395717847914915</v>
      </c>
      <c r="O89" s="369">
        <f t="shared" si="24"/>
        <v>332.53938066533954</v>
      </c>
      <c r="Q89" s="454">
        <f>'Rate Sheet'!B498</f>
        <v>101.52</v>
      </c>
      <c r="R89" s="363">
        <f t="shared" si="25"/>
        <v>115.91571784791491</v>
      </c>
      <c r="S89" s="363">
        <f t="shared" si="26"/>
        <v>2677.63938066534</v>
      </c>
    </row>
    <row r="90" spans="1:19" ht="12" customHeight="1">
      <c r="A90" s="290" t="s">
        <v>759</v>
      </c>
      <c r="B90" s="290" t="s">
        <v>758</v>
      </c>
      <c r="C90" s="305">
        <v>126.82</v>
      </c>
      <c r="D90" s="305">
        <f>IFERROR(VLOOKUP(A90,'[44]RATES by Area 2017'!$E$6:$F$119,2,FALSE),0)</f>
        <v>126.82</v>
      </c>
      <c r="E90" s="310">
        <f>IFERROR(VLOOKUP(A90,'[44]REV by Area 2017'!$Q$6:$T$78,2,FALSE),0)</f>
        <v>71.87</v>
      </c>
      <c r="F90" s="310">
        <f>IFERROR(VLOOKUP(A90,'[44]REV by Area 2017'!$Q$6:$T$78,3,FALSE),0)</f>
        <v>1077.99</v>
      </c>
      <c r="G90" s="307">
        <f t="shared" si="22"/>
        <v>1149.8600000000001</v>
      </c>
      <c r="I90" s="304">
        <f t="shared" si="27"/>
        <v>0.56670872102192094</v>
      </c>
      <c r="J90" s="304">
        <f t="shared" si="28"/>
        <v>8.5001577038322029</v>
      </c>
      <c r="K90" s="300">
        <f t="shared" si="29"/>
        <v>0.75557220207117703</v>
      </c>
      <c r="L90" s="300"/>
      <c r="M90" s="307">
        <f t="shared" si="23"/>
        <v>17.983303166593473</v>
      </c>
      <c r="O90" s="369">
        <f t="shared" si="24"/>
        <v>163.05220768915922</v>
      </c>
      <c r="Q90" s="454">
        <f>'Rate Sheet'!B501</f>
        <v>126.82</v>
      </c>
      <c r="R90" s="363">
        <f t="shared" si="25"/>
        <v>144.80330316659348</v>
      </c>
      <c r="S90" s="363">
        <f t="shared" si="26"/>
        <v>1312.9122076891595</v>
      </c>
    </row>
    <row r="91" spans="1:19" ht="12" customHeight="1">
      <c r="A91" s="290" t="s">
        <v>757</v>
      </c>
      <c r="B91" s="290" t="s">
        <v>756</v>
      </c>
      <c r="C91" s="305">
        <v>76.48</v>
      </c>
      <c r="D91" s="305">
        <f>IFERROR(VLOOKUP(A91,'[44]RATES by Area 2017'!$E$6:$F$119,2,FALSE),0)</f>
        <v>76.48</v>
      </c>
      <c r="E91" s="310">
        <f>IFERROR(VLOOKUP(A91,'[44]REV by Area 2017'!$Q$6:$T$78,2,FALSE),0)</f>
        <v>305.92</v>
      </c>
      <c r="F91" s="310">
        <f>IFERROR(VLOOKUP(A91,'[44]REV by Area 2017'!$Q$6:$T$78,3,FALSE),0)</f>
        <v>1603.9700000000003</v>
      </c>
      <c r="G91" s="307">
        <f t="shared" si="22"/>
        <v>1909.8900000000003</v>
      </c>
      <c r="I91" s="304">
        <f t="shared" si="27"/>
        <v>4</v>
      </c>
      <c r="J91" s="304">
        <f t="shared" si="28"/>
        <v>20.97241108786611</v>
      </c>
      <c r="K91" s="300">
        <f t="shared" si="29"/>
        <v>2.0810342573221758</v>
      </c>
      <c r="L91" s="300"/>
      <c r="M91" s="307">
        <f t="shared" si="23"/>
        <v>10.845000994961907</v>
      </c>
      <c r="O91" s="369">
        <f t="shared" si="24"/>
        <v>270.82582309450572</v>
      </c>
      <c r="Q91" s="454">
        <f>'Rate Sheet'!B474</f>
        <v>76.48</v>
      </c>
      <c r="R91" s="363">
        <f t="shared" si="25"/>
        <v>87.325000994961911</v>
      </c>
      <c r="S91" s="363">
        <f t="shared" si="26"/>
        <v>2180.715823094506</v>
      </c>
    </row>
    <row r="92" spans="1:19" ht="12" customHeight="1">
      <c r="A92" s="290" t="s">
        <v>755</v>
      </c>
      <c r="B92" s="290" t="s">
        <v>754</v>
      </c>
      <c r="C92" s="305">
        <v>5.54</v>
      </c>
      <c r="D92" s="305">
        <f>IFERROR(VLOOKUP(A92,'[44]RATES by Area 2017'!$E$6:$F$119,2,FALSE),0)</f>
        <v>5.54</v>
      </c>
      <c r="E92" s="310">
        <f>IFERROR(VLOOKUP(A92,'[44]REV by Area 2017'!$Q$6:$T$78,2,FALSE),0)</f>
        <v>1069.22</v>
      </c>
      <c r="F92" s="310">
        <f>IFERROR(VLOOKUP(A92,'[44]REV by Area 2017'!$Q$6:$T$78,3,FALSE),0)</f>
        <v>7013.64</v>
      </c>
      <c r="G92" s="307">
        <f t="shared" si="22"/>
        <v>8082.8600000000006</v>
      </c>
      <c r="I92" s="304">
        <f t="shared" si="27"/>
        <v>193</v>
      </c>
      <c r="J92" s="304">
        <f t="shared" si="28"/>
        <v>1266</v>
      </c>
      <c r="K92" s="300">
        <f t="shared" si="29"/>
        <v>121.58333333333333</v>
      </c>
      <c r="L92" s="300"/>
      <c r="M92" s="307">
        <f t="shared" si="23"/>
        <v>0.78558192353672807</v>
      </c>
      <c r="O92" s="369">
        <f t="shared" si="24"/>
        <v>1146.1640264400862</v>
      </c>
      <c r="Q92" s="454">
        <f>'Rate Sheet'!B525</f>
        <v>5.54</v>
      </c>
      <c r="R92" s="363">
        <f t="shared" si="25"/>
        <v>6.3255819235367277</v>
      </c>
      <c r="S92" s="363">
        <f t="shared" si="26"/>
        <v>9229.0240264400873</v>
      </c>
    </row>
    <row r="93" spans="1:19" ht="12" customHeight="1" thickBot="1">
      <c r="A93" s="302"/>
      <c r="B93" s="302"/>
      <c r="D93" s="292"/>
      <c r="I93" s="300"/>
      <c r="J93" s="300"/>
      <c r="K93" s="300"/>
      <c r="L93" s="300"/>
    </row>
    <row r="94" spans="1:19" ht="12" customHeight="1" thickBot="1">
      <c r="A94" s="302"/>
      <c r="B94" s="301" t="s">
        <v>753</v>
      </c>
      <c r="D94" s="292"/>
      <c r="E94" s="298">
        <f>SUM(E85:E93)</f>
        <v>5789.23</v>
      </c>
      <c r="F94" s="298">
        <f>SUM(F85:F93)</f>
        <v>30570.350000000006</v>
      </c>
      <c r="G94" s="298">
        <f>SUM(G85:G93)</f>
        <v>36359.579999999994</v>
      </c>
      <c r="I94" s="300"/>
      <c r="J94" s="300"/>
      <c r="K94" s="318">
        <f>SUM(K85:K88)</f>
        <v>7.0843959713691325</v>
      </c>
      <c r="L94" s="317"/>
      <c r="O94" s="458">
        <f>SUM(O85:O92)</f>
        <v>5074.1174254710486</v>
      </c>
      <c r="P94" s="231"/>
      <c r="Q94" s="497"/>
      <c r="R94" s="468"/>
      <c r="S94" s="492">
        <f>SUM(S85:S92)</f>
        <v>41433.697425471044</v>
      </c>
    </row>
    <row r="95" spans="1:19" ht="12" customHeight="1">
      <c r="A95" s="302"/>
      <c r="B95" s="301"/>
      <c r="D95" s="292"/>
      <c r="E95" s="312"/>
      <c r="F95" s="312"/>
      <c r="G95" s="312"/>
      <c r="I95" s="300"/>
      <c r="J95" s="300"/>
      <c r="K95" s="300"/>
      <c r="L95" s="300"/>
      <c r="O95" s="403"/>
    </row>
    <row r="96" spans="1:19" s="303" customFormat="1" ht="12" customHeight="1">
      <c r="A96" s="316" t="s">
        <v>752</v>
      </c>
      <c r="B96" s="316" t="s">
        <v>751</v>
      </c>
      <c r="C96" s="315"/>
      <c r="D96" s="327"/>
      <c r="E96" s="310"/>
      <c r="F96" s="310"/>
      <c r="I96" s="304"/>
      <c r="J96" s="304"/>
      <c r="K96" s="304"/>
      <c r="L96" s="304"/>
      <c r="O96" s="388"/>
    </row>
    <row r="97" spans="1:15" s="303" customFormat="1" ht="12" customHeight="1">
      <c r="A97" s="233" t="s">
        <v>750</v>
      </c>
      <c r="B97" s="233" t="s">
        <v>749</v>
      </c>
      <c r="C97" s="305">
        <f>IFERROR(VLOOKUP(A97,'[44]Spokane Jan-Apr Rates'!$F$2:$H$147,3,FALSE),0)</f>
        <v>0</v>
      </c>
      <c r="D97" s="305">
        <f>IFERROR(VLOOKUP(A97,'[44]RATES by Area 2017'!$E$6:$F$119,2,FALSE),0)</f>
        <v>0</v>
      </c>
      <c r="E97" s="310">
        <f>IFERROR(VLOOKUP(A97,'[44]REV by Area 2017'!$Q$6:$T$78,2,FALSE),0)</f>
        <v>1100</v>
      </c>
      <c r="F97" s="310">
        <f>IFERROR(VLOOKUP(A97,'[44]REV by Area 2017'!$Q$6:$T$78,3,FALSE),0)</f>
        <v>3075</v>
      </c>
      <c r="G97" s="307">
        <f>SUM(E97:F97)</f>
        <v>4175</v>
      </c>
      <c r="I97" s="304"/>
      <c r="J97" s="304"/>
      <c r="K97" s="300"/>
      <c r="L97" s="304"/>
      <c r="O97" s="369"/>
    </row>
    <row r="98" spans="1:15" s="303" customFormat="1" ht="12" customHeight="1">
      <c r="A98" s="290"/>
      <c r="B98" s="290"/>
      <c r="C98" s="305"/>
      <c r="D98" s="305"/>
      <c r="E98" s="310"/>
      <c r="F98" s="310"/>
      <c r="I98" s="304"/>
      <c r="J98" s="304"/>
      <c r="K98" s="304"/>
      <c r="L98" s="304"/>
      <c r="O98" s="369"/>
    </row>
    <row r="99" spans="1:15" s="303" customFormat="1" ht="12" customHeight="1">
      <c r="A99" s="290"/>
      <c r="B99" s="306" t="s">
        <v>748</v>
      </c>
      <c r="C99" s="305"/>
      <c r="D99" s="305"/>
      <c r="E99" s="298">
        <f>SUM(E97:E98)</f>
        <v>1100</v>
      </c>
      <c r="F99" s="298">
        <f>SUM(F97:F98)</f>
        <v>3075</v>
      </c>
      <c r="G99" s="298">
        <f>SUM(G97:G98)</f>
        <v>4175</v>
      </c>
      <c r="I99" s="304"/>
      <c r="J99" s="304"/>
      <c r="K99" s="304"/>
      <c r="L99" s="304"/>
      <c r="O99" s="369"/>
    </row>
    <row r="100" spans="1:15" ht="12" customHeight="1">
      <c r="A100" s="302"/>
      <c r="B100" s="302"/>
      <c r="D100" s="292"/>
      <c r="I100" s="300"/>
      <c r="J100" s="300"/>
      <c r="K100" s="300"/>
      <c r="L100" s="300"/>
    </row>
    <row r="101" spans="1:15" ht="12" customHeight="1">
      <c r="A101" s="314" t="s">
        <v>747</v>
      </c>
      <c r="B101" s="314" t="s">
        <v>747</v>
      </c>
      <c r="D101" s="292"/>
      <c r="I101" s="300"/>
      <c r="J101" s="300"/>
      <c r="K101" s="300"/>
      <c r="L101" s="300"/>
    </row>
    <row r="102" spans="1:15" ht="12" customHeight="1">
      <c r="A102" s="292" t="s">
        <v>746</v>
      </c>
      <c r="B102" s="292" t="s">
        <v>745</v>
      </c>
      <c r="C102" s="305">
        <f>IFERROR(VLOOKUP(A102,'[44]Spokane Jan-Apr Rates'!$F$2:$H$147,3,FALSE),0)</f>
        <v>0</v>
      </c>
      <c r="D102" s="305">
        <f>IFERROR(VLOOKUP(A102,'[44]SPOKANE RATES 2017'!$D$4:$E$78,2,FALSE),0)</f>
        <v>104.5</v>
      </c>
      <c r="E102" s="310">
        <f>IFERROR(VLOOKUP(A102,'[44]REV by Area 2017'!$Q$6:$T$78,2,FALSE),0)</f>
        <v>7502.9500000000007</v>
      </c>
      <c r="F102" s="310">
        <f>IFERROR(VLOOKUP(A102,'[44]REV by Area 2017'!$Q$6:$T$78,3,FALSE),0)</f>
        <v>28617.379999999997</v>
      </c>
      <c r="G102" s="307">
        <f>SUM(E102:F102)</f>
        <v>36120.33</v>
      </c>
      <c r="I102" s="300"/>
      <c r="J102" s="300"/>
      <c r="K102" s="300"/>
      <c r="L102" s="300"/>
    </row>
    <row r="103" spans="1:15" ht="12" customHeight="1">
      <c r="D103" s="292"/>
      <c r="G103" s="313"/>
      <c r="I103" s="300"/>
      <c r="J103" s="300"/>
      <c r="K103" s="300"/>
      <c r="L103" s="300"/>
    </row>
    <row r="104" spans="1:15" ht="12" customHeight="1">
      <c r="A104" s="302"/>
      <c r="B104" s="301" t="s">
        <v>744</v>
      </c>
      <c r="D104" s="292"/>
      <c r="E104" s="298">
        <f>SUM(E102:E103)</f>
        <v>7502.9500000000007</v>
      </c>
      <c r="F104" s="298">
        <f>SUM(F102:F103)</f>
        <v>28617.379999999997</v>
      </c>
      <c r="G104" s="298">
        <f>SUM(G102:G103)</f>
        <v>36120.33</v>
      </c>
      <c r="I104" s="300"/>
      <c r="J104" s="300"/>
      <c r="K104" s="300"/>
      <c r="L104" s="300"/>
    </row>
    <row r="105" spans="1:15" ht="12" customHeight="1">
      <c r="A105" s="302"/>
      <c r="B105" s="301"/>
      <c r="D105" s="292"/>
      <c r="E105" s="312"/>
      <c r="F105" s="312"/>
      <c r="G105" s="312"/>
      <c r="I105" s="300"/>
      <c r="J105" s="300"/>
      <c r="K105" s="300"/>
      <c r="L105" s="300"/>
    </row>
    <row r="106" spans="1:15" s="303" customFormat="1" ht="12" customHeight="1">
      <c r="A106" s="311" t="s">
        <v>743</v>
      </c>
      <c r="B106" s="311" t="s">
        <v>743</v>
      </c>
      <c r="C106" s="305"/>
      <c r="D106" s="305"/>
      <c r="E106" s="308"/>
      <c r="F106" s="308"/>
      <c r="G106" s="307"/>
      <c r="I106" s="304"/>
      <c r="J106" s="304"/>
      <c r="K106" s="300"/>
      <c r="L106" s="300"/>
      <c r="O106" s="369"/>
    </row>
    <row r="107" spans="1:15" s="303" customFormat="1" ht="12" customHeight="1">
      <c r="A107" s="290" t="s">
        <v>742</v>
      </c>
      <c r="B107" s="290" t="s">
        <v>741</v>
      </c>
      <c r="C107" s="305">
        <f>IFERROR(VLOOKUP(A107,'[44]Spokane Jan-Apr Rates'!$F$2:$H$147,3,FALSE),0)</f>
        <v>0</v>
      </c>
      <c r="D107" s="305">
        <f>IFERROR(VLOOKUP(A107,'[44]RATES by Area 2017'!$E$6:$F$119,2,FALSE),0)</f>
        <v>0</v>
      </c>
      <c r="E107" s="310">
        <f>IFERROR(VLOOKUP(A107,'[44]REV by Area 2017'!$Q$6:$T$78,2,FALSE),0)</f>
        <v>179.14</v>
      </c>
      <c r="F107" s="310">
        <f>IFERROR(VLOOKUP(A107,'[44]REV by Area 2017'!$Q$6:$T$78,3,FALSE),0)</f>
        <v>617.83999999999992</v>
      </c>
      <c r="G107" s="307">
        <f>SUM(E107:F107)</f>
        <v>796.9799999999999</v>
      </c>
      <c r="I107" s="304"/>
      <c r="J107" s="304"/>
      <c r="K107" s="300"/>
      <c r="L107" s="300"/>
      <c r="O107" s="369"/>
    </row>
    <row r="108" spans="1:15" s="303" customFormat="1" ht="12" customHeight="1">
      <c r="A108" s="290" t="s">
        <v>740</v>
      </c>
      <c r="B108" s="290" t="s">
        <v>739</v>
      </c>
      <c r="C108" s="305">
        <f>IFERROR(VLOOKUP(A108,'[44]Spokane Jan-Apr Rates'!$F$2:$H$147,3,FALSE),0)</f>
        <v>0</v>
      </c>
      <c r="D108" s="305">
        <f>IFERROR(VLOOKUP(A108,'[44]RATES by Area 2017'!$E$6:$F$119,2,FALSE),0)</f>
        <v>19.010000000000002</v>
      </c>
      <c r="E108" s="310">
        <f>IFERROR(VLOOKUP(A108,'[44]REV by Area 2017'!$Q$6:$T$78,2,FALSE),0)</f>
        <v>0</v>
      </c>
      <c r="F108" s="310">
        <f>IFERROR(VLOOKUP(A108,'[44]REV by Area 2017'!$Q$6:$T$78,3,FALSE),0)</f>
        <v>19.010000000000002</v>
      </c>
      <c r="G108" s="307">
        <f>SUM(E108:F108)</f>
        <v>19.010000000000002</v>
      </c>
      <c r="I108" s="304"/>
      <c r="J108" s="304"/>
      <c r="K108" s="300"/>
      <c r="L108" s="300"/>
      <c r="O108" s="369"/>
    </row>
    <row r="109" spans="1:15" s="303" customFormat="1" ht="12" customHeight="1">
      <c r="A109" s="309"/>
      <c r="B109" s="309"/>
      <c r="C109" s="305"/>
      <c r="D109" s="305"/>
      <c r="E109" s="308"/>
      <c r="F109" s="308"/>
      <c r="G109" s="307"/>
      <c r="I109" s="304"/>
      <c r="J109" s="304"/>
      <c r="K109" s="300"/>
      <c r="L109" s="300"/>
      <c r="O109" s="369"/>
    </row>
    <row r="110" spans="1:15" s="303" customFormat="1" ht="12" customHeight="1">
      <c r="A110" s="229"/>
      <c r="B110" s="306" t="s">
        <v>738</v>
      </c>
      <c r="C110" s="305"/>
      <c r="D110" s="305"/>
      <c r="E110" s="298">
        <f>SUM(E107:E108)</f>
        <v>179.14</v>
      </c>
      <c r="F110" s="298">
        <f>SUM(F107:F108)</f>
        <v>636.84999999999991</v>
      </c>
      <c r="G110" s="298">
        <f>SUM(G107:G108)</f>
        <v>815.9899999999999</v>
      </c>
      <c r="I110" s="304"/>
      <c r="J110" s="304"/>
      <c r="K110" s="300"/>
      <c r="L110" s="300"/>
      <c r="O110" s="369"/>
    </row>
    <row r="111" spans="1:15" ht="12" customHeight="1">
      <c r="A111" s="302"/>
      <c r="B111" s="301"/>
      <c r="I111" s="300"/>
      <c r="J111" s="300"/>
      <c r="K111" s="300"/>
      <c r="L111" s="300"/>
    </row>
    <row r="112" spans="1:15" ht="12" customHeight="1">
      <c r="A112" s="297"/>
      <c r="B112" s="299" t="s">
        <v>737</v>
      </c>
      <c r="E112" s="298">
        <f>SUM(E33,E80,E94,E99,E104,E110)</f>
        <v>141875.53000000009</v>
      </c>
      <c r="F112" s="298">
        <f>SUM(F33,F80,F94,F99,F104,F110)</f>
        <v>472141.56999999995</v>
      </c>
      <c r="G112" s="298">
        <f>SUM(G33,G80,G94,G99,G104,G110)</f>
        <v>614017.1</v>
      </c>
    </row>
    <row r="113" spans="1:9">
      <c r="A113" s="297"/>
      <c r="B113" s="297"/>
    </row>
    <row r="114" spans="1:9">
      <c r="D114" s="295"/>
      <c r="E114" s="296"/>
      <c r="F114" s="296"/>
      <c r="G114" s="296"/>
    </row>
    <row r="115" spans="1:9">
      <c r="D115" s="295"/>
      <c r="E115" s="294"/>
      <c r="F115" s="294"/>
      <c r="G115" s="294"/>
      <c r="I115" s="293"/>
    </row>
  </sheetData>
  <mergeCells count="2">
    <mergeCell ref="R4:S4"/>
    <mergeCell ref="O4:O5"/>
  </mergeCells>
  <pageMargins left="0.25" right="0.25" top="0.75" bottom="0.75" header="0.3" footer="0.3"/>
  <pageSetup scale="64"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S175"/>
  <sheetViews>
    <sheetView showGridLines="0" view="pageBreakPreview" zoomScaleNormal="100" zoomScaleSheetLayoutView="100" workbookViewId="0">
      <pane ySplit="6" topLeftCell="A107" activePane="bottomLeft" state="frozen"/>
      <selection activeCell="Q27" sqref="Q27"/>
      <selection pane="bottomLeft" activeCell="Q27" sqref="Q27"/>
    </sheetView>
  </sheetViews>
  <sheetFormatPr defaultRowHeight="12.75"/>
  <cols>
    <col min="1" max="1" width="22.7109375" style="292" customWidth="1"/>
    <col min="2" max="2" width="23.5703125" style="292" customWidth="1"/>
    <col min="3" max="3" width="10" style="290" customWidth="1"/>
    <col min="4" max="4" width="13.7109375" style="290" customWidth="1"/>
    <col min="5" max="5" width="1.140625" style="290" customWidth="1"/>
    <col min="6" max="6" width="10" style="290" customWidth="1"/>
    <col min="7" max="7" width="11.85546875" style="290" customWidth="1"/>
    <col min="8" max="8" width="1.140625" style="290" customWidth="1"/>
    <col min="9" max="9" width="15" style="290" customWidth="1"/>
    <col min="10" max="10" width="8.140625" style="290" customWidth="1"/>
    <col min="11" max="11" width="10.140625" style="496" customWidth="1"/>
    <col min="12" max="12" width="1.140625" style="290" customWidth="1"/>
    <col min="13" max="13" width="11.140625" style="371" customWidth="1"/>
    <col min="14" max="14" width="1.140625" style="371" customWidth="1"/>
    <col min="15" max="15" width="13.42578125" style="1432" customWidth="1"/>
    <col min="16" max="16" width="13.42578125" style="371" customWidth="1"/>
    <col min="17" max="16384" width="9.140625" style="290"/>
  </cols>
  <sheetData>
    <row r="1" spans="1:16" ht="12" customHeight="1">
      <c r="A1" s="341" t="s">
        <v>910</v>
      </c>
      <c r="B1" s="308"/>
      <c r="C1" s="342" t="s">
        <v>1027</v>
      </c>
      <c r="D1" s="303"/>
      <c r="E1" s="303"/>
      <c r="F1" s="303"/>
    </row>
    <row r="2" spans="1:16" ht="12" customHeight="1">
      <c r="A2" s="341" t="s">
        <v>1026</v>
      </c>
      <c r="B2" s="308"/>
      <c r="C2" s="327"/>
      <c r="D2" s="355"/>
      <c r="E2" s="303"/>
      <c r="F2" s="303"/>
      <c r="I2" s="303"/>
      <c r="O2" s="1441">
        <f>M170</f>
        <v>-260.96880137245171</v>
      </c>
      <c r="P2" s="1413" t="s">
        <v>2101</v>
      </c>
    </row>
    <row r="3" spans="1:16" ht="12" customHeight="1">
      <c r="A3" s="585">
        <f>'Spokane Reg - Price out'!A3</f>
        <v>2017</v>
      </c>
      <c r="B3" s="308"/>
      <c r="C3" s="327"/>
      <c r="D3" s="354"/>
      <c r="E3" s="303"/>
      <c r="F3" s="303"/>
      <c r="O3" s="1432">
        <v>-261</v>
      </c>
    </row>
    <row r="4" spans="1:16" ht="28.5" customHeight="1">
      <c r="A4" s="308"/>
      <c r="B4" s="330"/>
      <c r="C4" s="353">
        <v>2017</v>
      </c>
      <c r="D4" s="352">
        <v>2017</v>
      </c>
      <c r="E4" s="303"/>
      <c r="F4" s="351">
        <v>2017</v>
      </c>
      <c r="G4" s="351" t="s">
        <v>1025</v>
      </c>
      <c r="I4" s="358" t="s">
        <v>1028</v>
      </c>
      <c r="J4" s="329" t="s">
        <v>328</v>
      </c>
      <c r="K4" s="358" t="s">
        <v>330</v>
      </c>
      <c r="L4" s="452"/>
      <c r="M4" s="1664" t="s">
        <v>1030</v>
      </c>
      <c r="N4" s="372"/>
      <c r="O4" s="1665" t="s">
        <v>1029</v>
      </c>
      <c r="P4" s="1665"/>
    </row>
    <row r="5" spans="1:16" ht="12" customHeight="1">
      <c r="A5" s="334" t="s">
        <v>904</v>
      </c>
      <c r="B5" s="330" t="s">
        <v>903</v>
      </c>
      <c r="C5" s="333" t="s">
        <v>902</v>
      </c>
      <c r="D5" s="332" t="s">
        <v>87</v>
      </c>
      <c r="E5" s="303"/>
      <c r="F5" s="331" t="s">
        <v>901</v>
      </c>
      <c r="G5" s="331" t="s">
        <v>900</v>
      </c>
      <c r="I5" s="550">
        <f>'LG - Packer,RO'!J6+I6</f>
        <v>0.14180179125211698</v>
      </c>
      <c r="J5" s="550">
        <f>'LG - Recycle'!J7</f>
        <v>0</v>
      </c>
      <c r="K5" s="1464">
        <f>'LG - Med Waste'!J6</f>
        <v>0.72954912708871378</v>
      </c>
      <c r="L5" s="453"/>
      <c r="M5" s="1664"/>
      <c r="N5" s="359"/>
      <c r="O5" s="1433" t="s">
        <v>1031</v>
      </c>
      <c r="P5" s="373" t="s">
        <v>1032</v>
      </c>
    </row>
    <row r="6" spans="1:16" ht="12" customHeight="1">
      <c r="G6" s="1410"/>
      <c r="H6" s="1411" t="s">
        <v>2100</v>
      </c>
      <c r="I6" s="1412">
        <v>4.8999999999999998E-3</v>
      </c>
      <c r="J6" s="1410"/>
      <c r="K6" s="1410"/>
    </row>
    <row r="7" spans="1:16" s="303" customFormat="1" ht="7.5" customHeight="1">
      <c r="B7" s="308"/>
      <c r="C7" s="327"/>
      <c r="H7" s="290"/>
      <c r="M7" s="369"/>
      <c r="N7" s="369"/>
      <c r="O7" s="1434"/>
      <c r="P7" s="369"/>
    </row>
    <row r="8" spans="1:16" s="303" customFormat="1" ht="7.5" customHeight="1">
      <c r="C8" s="327"/>
      <c r="H8" s="290"/>
      <c r="M8" s="369"/>
      <c r="N8" s="369"/>
      <c r="O8" s="1434"/>
      <c r="P8" s="369"/>
    </row>
    <row r="9" spans="1:16" s="303" customFormat="1" ht="12" customHeight="1">
      <c r="A9" s="328" t="s">
        <v>899</v>
      </c>
      <c r="B9" s="328" t="s">
        <v>899</v>
      </c>
      <c r="C9" s="327"/>
      <c r="H9" s="290"/>
      <c r="M9" s="369"/>
      <c r="N9" s="369"/>
      <c r="O9" s="1434"/>
      <c r="P9" s="369"/>
    </row>
    <row r="10" spans="1:16" s="303" customFormat="1" ht="7.5" customHeight="1">
      <c r="A10" s="328"/>
      <c r="B10" s="328"/>
      <c r="C10" s="327"/>
      <c r="M10" s="369"/>
      <c r="N10" s="369"/>
      <c r="O10" s="1434"/>
      <c r="P10" s="369"/>
    </row>
    <row r="11" spans="1:16" s="303" customFormat="1" ht="12" customHeight="1">
      <c r="A11" s="324" t="s">
        <v>898</v>
      </c>
      <c r="B11" s="324" t="s">
        <v>898</v>
      </c>
      <c r="C11" s="305"/>
      <c r="D11" s="304"/>
      <c r="F11" s="304"/>
      <c r="M11" s="369"/>
      <c r="N11" s="369"/>
      <c r="O11" s="1434"/>
      <c r="P11" s="369"/>
    </row>
    <row r="12" spans="1:16" s="303" customFormat="1" ht="12" customHeight="1">
      <c r="A12" s="290" t="s">
        <v>897</v>
      </c>
      <c r="B12" s="290" t="s">
        <v>896</v>
      </c>
      <c r="C12" s="305">
        <f>IFERROR(VLOOKUP(A12,'[44]RATES by Area 2017'!$H$6:$I$128,2,FALSE),0)/2</f>
        <v>14.27</v>
      </c>
      <c r="D12" s="344">
        <f>IFERROR(VLOOKUP(A12,'[44]REV by Area 2017'!$V$6:$W$132,2,FALSE),0)</f>
        <v>3692.7450000000003</v>
      </c>
      <c r="F12" s="304">
        <f t="shared" ref="F12:F36" si="0">IFERROR(D12/C12,0)</f>
        <v>258.77680448493345</v>
      </c>
      <c r="G12" s="304">
        <f t="shared" ref="G12:G36" si="1">F12/12</f>
        <v>21.564733707077789</v>
      </c>
      <c r="H12" s="304"/>
      <c r="I12" s="307">
        <f>$I$5*C12</f>
        <v>2.0235115611677092</v>
      </c>
      <c r="M12" s="369">
        <f t="shared" ref="M12:M36" si="2">G12*SUM(I12:J12)*12</f>
        <v>523.6378556372988</v>
      </c>
      <c r="N12" s="369"/>
      <c r="O12" s="1434">
        <f t="shared" ref="O12:O36" si="3">+C12+SUM(I12:J12)</f>
        <v>16.293511561167708</v>
      </c>
      <c r="P12" s="369">
        <f>D12+M12</f>
        <v>4216.3828556372991</v>
      </c>
    </row>
    <row r="13" spans="1:16" s="303" customFormat="1" ht="12" customHeight="1">
      <c r="A13" s="290" t="s">
        <v>895</v>
      </c>
      <c r="B13" s="290" t="s">
        <v>894</v>
      </c>
      <c r="C13" s="305">
        <f>IFERROR(VLOOKUP(A13,'[44]RATES by Area 2017'!$H$6:$I$128,2,FALSE),0)/2</f>
        <v>11.46</v>
      </c>
      <c r="D13" s="344">
        <f>IFERROR(VLOOKUP(A13,'[44]REV by Area 2017'!$V$6:$W$132,2,FALSE),0)</f>
        <v>5895.31</v>
      </c>
      <c r="F13" s="304">
        <f t="shared" si="0"/>
        <v>514.42495636998251</v>
      </c>
      <c r="G13" s="304">
        <f t="shared" si="1"/>
        <v>42.868746364165212</v>
      </c>
      <c r="H13" s="304"/>
      <c r="I13" s="307">
        <f t="shared" ref="I13:I31" si="4">$I$5*C13</f>
        <v>1.6250485277492606</v>
      </c>
      <c r="M13" s="369">
        <f t="shared" si="2"/>
        <v>835.96551798651763</v>
      </c>
      <c r="N13" s="369"/>
      <c r="O13" s="1434">
        <f t="shared" si="3"/>
        <v>13.085048527749262</v>
      </c>
      <c r="P13" s="369">
        <f t="shared" ref="P13:P36" si="5">D13+M13</f>
        <v>6731.275517986518</v>
      </c>
    </row>
    <row r="14" spans="1:16" s="303" customFormat="1" ht="12" customHeight="1">
      <c r="A14" s="290" t="s">
        <v>893</v>
      </c>
      <c r="B14" s="290" t="s">
        <v>892</v>
      </c>
      <c r="C14" s="305">
        <f>IFERROR(VLOOKUP(A14,'[44]RATES by Area 2017'!$H$6:$I$128,2,FALSE),0)/2</f>
        <v>18.2</v>
      </c>
      <c r="D14" s="344">
        <f>IFERROR(VLOOKUP(A14,'[44]REV by Area 2017'!$V$6:$W$132,2,FALSE),0)</f>
        <v>211713.65</v>
      </c>
      <c r="F14" s="304">
        <f t="shared" si="0"/>
        <v>11632.618131868132</v>
      </c>
      <c r="G14" s="304">
        <f t="shared" si="1"/>
        <v>969.38484432234429</v>
      </c>
      <c r="H14" s="304"/>
      <c r="I14" s="307">
        <f t="shared" si="4"/>
        <v>2.5807926007885289</v>
      </c>
      <c r="M14" s="369">
        <f t="shared" si="2"/>
        <v>30021.374802523751</v>
      </c>
      <c r="N14" s="369"/>
      <c r="O14" s="1434">
        <f t="shared" si="3"/>
        <v>20.78079260078853</v>
      </c>
      <c r="P14" s="369">
        <f t="shared" si="5"/>
        <v>241735.02480252375</v>
      </c>
    </row>
    <row r="15" spans="1:16" s="303" customFormat="1" ht="12" customHeight="1">
      <c r="A15" s="290" t="s">
        <v>891</v>
      </c>
      <c r="B15" s="290" t="s">
        <v>890</v>
      </c>
      <c r="C15" s="305">
        <f>IFERROR(VLOOKUP(A15,'[44]RATES by Area 2017'!$H$6:$I$128,2,FALSE),0)/2</f>
        <v>24.19</v>
      </c>
      <c r="D15" s="344">
        <f>IFERROR(VLOOKUP(A15,'[44]REV by Area 2017'!$V$6:$W$132,2,FALSE),0)</f>
        <v>48301.590000000004</v>
      </c>
      <c r="F15" s="304">
        <f t="shared" si="0"/>
        <v>1996.7585779247624</v>
      </c>
      <c r="G15" s="304">
        <f t="shared" si="1"/>
        <v>166.39654816039686</v>
      </c>
      <c r="H15" s="304"/>
      <c r="I15" s="307">
        <f t="shared" si="4"/>
        <v>3.43018533038871</v>
      </c>
      <c r="M15" s="369">
        <f t="shared" si="2"/>
        <v>6849.2519823253424</v>
      </c>
      <c r="N15" s="369"/>
      <c r="O15" s="1434">
        <f t="shared" si="3"/>
        <v>27.620185330388711</v>
      </c>
      <c r="P15" s="369">
        <f t="shared" si="5"/>
        <v>55150.84198232535</v>
      </c>
    </row>
    <row r="16" spans="1:16" s="303" customFormat="1" ht="12" customHeight="1">
      <c r="A16" s="290" t="s">
        <v>889</v>
      </c>
      <c r="B16" s="290" t="s">
        <v>888</v>
      </c>
      <c r="C16" s="305">
        <f>IFERROR(VLOOKUP(A16,'[44]RATES by Area 2017'!$H$6:$I$128,2,FALSE),0)/2</f>
        <v>32.11</v>
      </c>
      <c r="D16" s="344">
        <f>IFERROR(VLOOKUP(A16,'[44]REV by Area 2017'!$V$6:$W$132,2,FALSE),0)</f>
        <v>4294.05</v>
      </c>
      <c r="F16" s="304">
        <f t="shared" si="0"/>
        <v>133.72936779819372</v>
      </c>
      <c r="G16" s="304">
        <f t="shared" si="1"/>
        <v>11.144113983182811</v>
      </c>
      <c r="H16" s="304"/>
      <c r="I16" s="307">
        <f t="shared" si="4"/>
        <v>4.5532555171054758</v>
      </c>
      <c r="M16" s="369">
        <f t="shared" si="2"/>
        <v>608.90398172615301</v>
      </c>
      <c r="N16" s="369"/>
      <c r="O16" s="1434">
        <f t="shared" si="3"/>
        <v>36.663255517105476</v>
      </c>
      <c r="P16" s="369">
        <f t="shared" si="5"/>
        <v>4902.953981726153</v>
      </c>
    </row>
    <row r="17" spans="1:16" s="303" customFormat="1" ht="12" customHeight="1">
      <c r="A17" s="290" t="s">
        <v>1024</v>
      </c>
      <c r="B17" s="290" t="s">
        <v>1023</v>
      </c>
      <c r="C17" s="305">
        <f>IFERROR(VLOOKUP(A17,'[44]RATES by Area 2017'!$H$6:$I$128,2,FALSE),0)/2</f>
        <v>41.93</v>
      </c>
      <c r="D17" s="344">
        <f>IFERROR(VLOOKUP(A17,'[44]REV by Area 2017'!$V$6:$W$132,2,FALSE),0)</f>
        <v>502.88500000000005</v>
      </c>
      <c r="F17" s="304">
        <f t="shared" si="0"/>
        <v>11.993441450035775</v>
      </c>
      <c r="G17" s="304">
        <f t="shared" si="1"/>
        <v>0.99945345416964793</v>
      </c>
      <c r="H17" s="304"/>
      <c r="I17" s="307">
        <f t="shared" si="4"/>
        <v>5.9457491072012649</v>
      </c>
      <c r="M17" s="369">
        <f t="shared" si="2"/>
        <v>71.309993793820851</v>
      </c>
      <c r="N17" s="369"/>
      <c r="O17" s="1434">
        <f t="shared" si="3"/>
        <v>47.875749107201266</v>
      </c>
      <c r="P17" s="369">
        <f t="shared" si="5"/>
        <v>574.19499379382091</v>
      </c>
    </row>
    <row r="18" spans="1:16" s="303" customFormat="1" ht="12" customHeight="1">
      <c r="A18" s="290" t="s">
        <v>887</v>
      </c>
      <c r="B18" s="290" t="s">
        <v>886</v>
      </c>
      <c r="C18" s="305">
        <f>IFERROR(VLOOKUP(A18,'[44]RATES by Area 2017'!$H$6:$I$128,2,FALSE),0)/2</f>
        <v>25.91</v>
      </c>
      <c r="D18" s="344">
        <f>IFERROR(VLOOKUP(A18,'[44]REV by Area 2017'!$V$6:$W$132,2,FALSE),0)</f>
        <v>270469.49500000005</v>
      </c>
      <c r="F18" s="304">
        <f t="shared" si="0"/>
        <v>10438.807217290623</v>
      </c>
      <c r="G18" s="304">
        <f t="shared" si="1"/>
        <v>869.90060144088523</v>
      </c>
      <c r="H18" s="304"/>
      <c r="I18" s="307">
        <f t="shared" si="4"/>
        <v>3.674084411342351</v>
      </c>
      <c r="M18" s="369">
        <f t="shared" si="2"/>
        <v>38353.058870055502</v>
      </c>
      <c r="N18" s="369"/>
      <c r="O18" s="1434">
        <f t="shared" si="3"/>
        <v>29.584084411342353</v>
      </c>
      <c r="P18" s="369">
        <f t="shared" si="5"/>
        <v>308822.55387005553</v>
      </c>
    </row>
    <row r="19" spans="1:16" s="303" customFormat="1" ht="12" customHeight="1">
      <c r="A19" s="290" t="s">
        <v>885</v>
      </c>
      <c r="B19" s="290" t="s">
        <v>884</v>
      </c>
      <c r="C19" s="305">
        <f>IFERROR(VLOOKUP(A19,'[44]RATES by Area 2017'!$H$6:$I$128,2,FALSE),0)/2</f>
        <v>51.82</v>
      </c>
      <c r="D19" s="344">
        <f>IFERROR(VLOOKUP(A19,'[44]REV by Area 2017'!$V$6:$W$132,2,FALSE),0)</f>
        <v>3080.11</v>
      </c>
      <c r="F19" s="304">
        <f t="shared" si="0"/>
        <v>59.438633732149754</v>
      </c>
      <c r="G19" s="304">
        <f t="shared" si="1"/>
        <v>4.9532194776791458</v>
      </c>
      <c r="H19" s="304"/>
      <c r="I19" s="307">
        <f t="shared" si="4"/>
        <v>7.348168822684702</v>
      </c>
      <c r="M19" s="369">
        <f t="shared" si="2"/>
        <v>436.76511525355801</v>
      </c>
      <c r="N19" s="369"/>
      <c r="O19" s="1434">
        <f t="shared" si="3"/>
        <v>59.168168822684706</v>
      </c>
      <c r="P19" s="369">
        <f t="shared" si="5"/>
        <v>3516.8751152535583</v>
      </c>
    </row>
    <row r="20" spans="1:16" s="303" customFormat="1" ht="12" customHeight="1">
      <c r="A20" s="290" t="s">
        <v>1022</v>
      </c>
      <c r="B20" s="290" t="s">
        <v>1021</v>
      </c>
      <c r="C20" s="305">
        <f>IFERROR(VLOOKUP(A20,'[44]RATES by Area 2017'!$H$6:$I$128,2,FALSE),0)/2</f>
        <v>77.73</v>
      </c>
      <c r="D20" s="344">
        <f>IFERROR(VLOOKUP(A20,'[44]REV by Area 2017'!$V$6:$W$132,2,FALSE),0)</f>
        <v>1860.7500000000002</v>
      </c>
      <c r="F20" s="304">
        <f t="shared" si="0"/>
        <v>23.93863373214975</v>
      </c>
      <c r="G20" s="304">
        <f t="shared" si="1"/>
        <v>1.9948861443458126</v>
      </c>
      <c r="H20" s="304"/>
      <c r="I20" s="307">
        <f t="shared" si="4"/>
        <v>11.022253234027053</v>
      </c>
      <c r="M20" s="369">
        <f t="shared" si="2"/>
        <v>263.85768307237669</v>
      </c>
      <c r="N20" s="369"/>
      <c r="O20" s="1434">
        <f t="shared" si="3"/>
        <v>88.752253234027052</v>
      </c>
      <c r="P20" s="369">
        <f t="shared" si="5"/>
        <v>2124.6076830723769</v>
      </c>
    </row>
    <row r="21" spans="1:16" s="303" customFormat="1" ht="12" customHeight="1">
      <c r="A21" s="290" t="s">
        <v>883</v>
      </c>
      <c r="B21" s="290" t="s">
        <v>882</v>
      </c>
      <c r="C21" s="305">
        <f>IFERROR(VLOOKUP(A21,'[44]RATES by Area 2017'!$H$6:$I$128,2,FALSE),0)/2</f>
        <v>32.06</v>
      </c>
      <c r="D21" s="344">
        <f>IFERROR(VLOOKUP(A21,'[44]REV by Area 2017'!$V$6:$W$132,2,FALSE),0)</f>
        <v>480282.98</v>
      </c>
      <c r="F21" s="304">
        <f t="shared" si="0"/>
        <v>14980.754210854646</v>
      </c>
      <c r="G21" s="304">
        <f t="shared" si="1"/>
        <v>1248.3961842378872</v>
      </c>
      <c r="H21" s="304"/>
      <c r="I21" s="307">
        <f t="shared" si="4"/>
        <v>4.5461654275428707</v>
      </c>
      <c r="M21" s="369">
        <f t="shared" si="2"/>
        <v>68104.986871904664</v>
      </c>
      <c r="N21" s="369"/>
      <c r="O21" s="1434">
        <f t="shared" si="3"/>
        <v>36.606165427542877</v>
      </c>
      <c r="P21" s="369">
        <f t="shared" si="5"/>
        <v>548387.96687190467</v>
      </c>
    </row>
    <row r="22" spans="1:16" s="303" customFormat="1" ht="12" customHeight="1">
      <c r="A22" s="290" t="s">
        <v>881</v>
      </c>
      <c r="B22" s="290" t="s">
        <v>880</v>
      </c>
      <c r="C22" s="305">
        <f>IFERROR(VLOOKUP(A22,'[44]RATES by Area 2017'!$H$6:$I$128,2,FALSE),0)/2</f>
        <v>64.12</v>
      </c>
      <c r="D22" s="344">
        <f>IFERROR(VLOOKUP(A22,'[44]REV by Area 2017'!$V$6:$W$132,2,FALSE),0)</f>
        <v>9665.31</v>
      </c>
      <c r="F22" s="304">
        <f t="shared" si="0"/>
        <v>150.73783530879598</v>
      </c>
      <c r="G22" s="304">
        <f t="shared" si="1"/>
        <v>12.561486275732998</v>
      </c>
      <c r="H22" s="304"/>
      <c r="I22" s="307">
        <f t="shared" si="4"/>
        <v>9.0923308550857413</v>
      </c>
      <c r="M22" s="369">
        <f t="shared" si="2"/>
        <v>1370.5582710069984</v>
      </c>
      <c r="N22" s="369"/>
      <c r="O22" s="1434">
        <f t="shared" si="3"/>
        <v>73.212330855085753</v>
      </c>
      <c r="P22" s="369">
        <f t="shared" si="5"/>
        <v>11035.868271006999</v>
      </c>
    </row>
    <row r="23" spans="1:16" s="303" customFormat="1" ht="12" customHeight="1">
      <c r="A23" s="290" t="s">
        <v>877</v>
      </c>
      <c r="B23" s="290" t="s">
        <v>876</v>
      </c>
      <c r="C23" s="305">
        <f>IFERROR(VLOOKUP(A23,'[44]RATES by Area 2017'!$H$6:$I$128,2,FALSE),0)</f>
        <v>12.61</v>
      </c>
      <c r="D23" s="344">
        <f>IFERROR(VLOOKUP(A23,'[44]REV by Area 2017'!$V$6:$W$132,2,FALSE),0)</f>
        <v>176.54</v>
      </c>
      <c r="F23" s="304">
        <f t="shared" si="0"/>
        <v>14</v>
      </c>
      <c r="G23" s="304">
        <f t="shared" si="1"/>
        <v>1.1666666666666667</v>
      </c>
      <c r="H23" s="304"/>
      <c r="I23" s="307">
        <f t="shared" si="4"/>
        <v>1.788120587689195</v>
      </c>
      <c r="M23" s="369">
        <f t="shared" si="2"/>
        <v>25.033688227648732</v>
      </c>
      <c r="N23" s="369"/>
      <c r="O23" s="1434">
        <f t="shared" si="3"/>
        <v>14.398120587689194</v>
      </c>
      <c r="P23" s="369">
        <f t="shared" si="5"/>
        <v>201.57368822764872</v>
      </c>
    </row>
    <row r="24" spans="1:16" s="303" customFormat="1" ht="12" customHeight="1">
      <c r="A24" s="290" t="s">
        <v>1020</v>
      </c>
      <c r="B24" s="290" t="s">
        <v>1019</v>
      </c>
      <c r="C24" s="305">
        <f>IFERROR(VLOOKUP(A24,'[44]RATES by Area 2017'!$H$6:$I$128,2,FALSE),0)</f>
        <v>12.61</v>
      </c>
      <c r="D24" s="344">
        <f>IFERROR(VLOOKUP(A24,'[44]REV by Area 2017'!$V$6:$W$132,2,FALSE),0)</f>
        <v>214.37</v>
      </c>
      <c r="F24" s="304">
        <f t="shared" si="0"/>
        <v>17</v>
      </c>
      <c r="G24" s="304">
        <f t="shared" si="1"/>
        <v>1.4166666666666667</v>
      </c>
      <c r="I24" s="307">
        <f t="shared" si="4"/>
        <v>1.788120587689195</v>
      </c>
      <c r="M24" s="369">
        <f t="shared" si="2"/>
        <v>30.398049990716316</v>
      </c>
      <c r="N24" s="369"/>
      <c r="O24" s="1434">
        <f t="shared" si="3"/>
        <v>14.398120587689194</v>
      </c>
      <c r="P24" s="369">
        <f t="shared" si="5"/>
        <v>244.76804999071632</v>
      </c>
    </row>
    <row r="25" spans="1:16" s="308" customFormat="1" ht="12" customHeight="1">
      <c r="A25" s="290" t="s">
        <v>875</v>
      </c>
      <c r="B25" s="290" t="s">
        <v>874</v>
      </c>
      <c r="C25" s="305">
        <f>IFERROR(VLOOKUP(A25,'[44]RATES by Area 2017'!$H$6:$I$128,2,FALSE),0)</f>
        <v>4.16</v>
      </c>
      <c r="D25" s="344">
        <f>IFERROR(VLOOKUP(A25,'[44]REV by Area 2017'!$V$6:$W$132,2,FALSE),0)</f>
        <v>16949.2</v>
      </c>
      <c r="F25" s="304">
        <f t="shared" si="0"/>
        <v>4074.3269230769233</v>
      </c>
      <c r="G25" s="304">
        <f t="shared" si="1"/>
        <v>339.52724358974359</v>
      </c>
      <c r="I25" s="307">
        <f t="shared" si="4"/>
        <v>0.58989545160880663</v>
      </c>
      <c r="M25" s="369">
        <f t="shared" si="2"/>
        <v>2403.4269202903811</v>
      </c>
      <c r="N25" s="370"/>
      <c r="O25" s="1434">
        <f t="shared" si="3"/>
        <v>4.7498954516088068</v>
      </c>
      <c r="P25" s="369">
        <f t="shared" si="5"/>
        <v>19352.626920290382</v>
      </c>
    </row>
    <row r="26" spans="1:16" s="308" customFormat="1" ht="12" customHeight="1">
      <c r="A26" s="290" t="s">
        <v>873</v>
      </c>
      <c r="B26" s="290" t="s">
        <v>872</v>
      </c>
      <c r="C26" s="305">
        <f>IFERROR(VLOOKUP(A26,'[44]RATES by Area 2017'!$H$6:$I$128,2,FALSE),0)</f>
        <v>20.78</v>
      </c>
      <c r="D26" s="344">
        <f>IFERROR(VLOOKUP(A26,'[44]REV by Area 2017'!$V$6:$W$132,2,FALSE),0)</f>
        <v>1308.7500000000002</v>
      </c>
      <c r="F26" s="304">
        <f t="shared" si="0"/>
        <v>62.981231953801739</v>
      </c>
      <c r="G26" s="304">
        <f t="shared" si="1"/>
        <v>5.2484359961501452</v>
      </c>
      <c r="I26" s="307">
        <f t="shared" si="4"/>
        <v>2.9466412222189908</v>
      </c>
      <c r="M26" s="369">
        <f t="shared" si="2"/>
        <v>185.58309430120812</v>
      </c>
      <c r="N26" s="370"/>
      <c r="O26" s="1434">
        <f t="shared" si="3"/>
        <v>23.726641222218991</v>
      </c>
      <c r="P26" s="369">
        <f t="shared" si="5"/>
        <v>1494.3330943012083</v>
      </c>
    </row>
    <row r="27" spans="1:16" s="303" customFormat="1" ht="12" customHeight="1">
      <c r="A27" s="290" t="s">
        <v>869</v>
      </c>
      <c r="B27" s="290" t="s">
        <v>868</v>
      </c>
      <c r="C27" s="305">
        <f>IFERROR(VLOOKUP(A27,'[44]RATES by Area 2017'!$H$6:$I$128,2,FALSE),0)</f>
        <v>4.16</v>
      </c>
      <c r="D27" s="344">
        <f>IFERROR(VLOOKUP(A27,'[44]REV by Area 2017'!$V$6:$W$132,2,FALSE),0)</f>
        <v>166.42</v>
      </c>
      <c r="F27" s="304">
        <f t="shared" si="0"/>
        <v>40.004807692307686</v>
      </c>
      <c r="G27" s="304">
        <f t="shared" si="1"/>
        <v>3.333733974358974</v>
      </c>
      <c r="I27" s="307">
        <f t="shared" si="4"/>
        <v>0.58989545160880663</v>
      </c>
      <c r="M27" s="369">
        <f t="shared" si="2"/>
        <v>23.598654100177306</v>
      </c>
      <c r="N27" s="369"/>
      <c r="O27" s="1434">
        <f t="shared" si="3"/>
        <v>4.7498954516088068</v>
      </c>
      <c r="P27" s="369">
        <f t="shared" si="5"/>
        <v>190.01865410017729</v>
      </c>
    </row>
    <row r="28" spans="1:16" s="303" customFormat="1" ht="12" customHeight="1">
      <c r="A28" s="290" t="s">
        <v>867</v>
      </c>
      <c r="B28" s="290" t="s">
        <v>866</v>
      </c>
      <c r="C28" s="305">
        <f>IFERROR(VLOOKUP(A28,'[44]RATES by Area 2017'!$H$6:$I$128,2,FALSE),0)</f>
        <v>4.16</v>
      </c>
      <c r="D28" s="344">
        <f>IFERROR(VLOOKUP(A28,'[44]REV by Area 2017'!$V$6:$W$132,2,FALSE),0)</f>
        <v>95.64</v>
      </c>
      <c r="F28" s="304">
        <f t="shared" si="0"/>
        <v>22.990384615384613</v>
      </c>
      <c r="G28" s="304">
        <f t="shared" si="1"/>
        <v>1.9158653846153844</v>
      </c>
      <c r="I28" s="307">
        <f t="shared" si="4"/>
        <v>0.58989545160880663</v>
      </c>
      <c r="M28" s="369">
        <f t="shared" si="2"/>
        <v>13.561923315352466</v>
      </c>
      <c r="N28" s="369"/>
      <c r="O28" s="1434">
        <f t="shared" si="3"/>
        <v>4.7498954516088068</v>
      </c>
      <c r="P28" s="369">
        <f t="shared" si="5"/>
        <v>109.20192331535247</v>
      </c>
    </row>
    <row r="29" spans="1:16" s="303" customFormat="1" ht="12" customHeight="1">
      <c r="A29" s="290" t="s">
        <v>871</v>
      </c>
      <c r="B29" s="290" t="s">
        <v>870</v>
      </c>
      <c r="C29" s="305">
        <f>IFERROR(VLOOKUP(A29,'[44]RATES by Area 2017'!$H$6:$I$128,2,FALSE),0)</f>
        <v>20.78</v>
      </c>
      <c r="D29" s="344">
        <f>IFERROR(VLOOKUP(A29,'[44]REV by Area 2017'!$V$6:$W$132,2,FALSE),0)</f>
        <v>259.59000000000003</v>
      </c>
      <c r="F29" s="304">
        <f t="shared" si="0"/>
        <v>12.492300288739173</v>
      </c>
      <c r="G29" s="304">
        <f t="shared" si="1"/>
        <v>1.0410250240615977</v>
      </c>
      <c r="I29" s="307">
        <f t="shared" si="4"/>
        <v>2.9466412222189908</v>
      </c>
      <c r="M29" s="369">
        <f t="shared" si="2"/>
        <v>36.810326991137046</v>
      </c>
      <c r="N29" s="369"/>
      <c r="O29" s="1434">
        <f t="shared" si="3"/>
        <v>23.726641222218991</v>
      </c>
      <c r="P29" s="369">
        <f t="shared" si="5"/>
        <v>296.40032699113709</v>
      </c>
    </row>
    <row r="30" spans="1:16" s="303" customFormat="1" ht="12" customHeight="1">
      <c r="A30" s="350" t="s">
        <v>863</v>
      </c>
      <c r="B30" s="290" t="s">
        <v>862</v>
      </c>
      <c r="C30" s="305">
        <f>IFERROR(VLOOKUP(A30,'[44]RATES by Area 2017'!$H$6:$I$128,2,FALSE),0)</f>
        <v>8.4700000000000006</v>
      </c>
      <c r="D30" s="344">
        <f>IFERROR(VLOOKUP(A30,'[44]REV by Area 2017'!$V$6:$W$132,2,FALSE),0)</f>
        <v>16.940000000000001</v>
      </c>
      <c r="F30" s="304">
        <f t="shared" si="0"/>
        <v>2</v>
      </c>
      <c r="G30" s="304">
        <f t="shared" si="1"/>
        <v>0.16666666666666666</v>
      </c>
      <c r="I30" s="307">
        <f t="shared" si="4"/>
        <v>1.2010611719054309</v>
      </c>
      <c r="J30" s="308"/>
      <c r="K30" s="308"/>
      <c r="L30" s="308"/>
      <c r="M30" s="369">
        <f t="shared" si="2"/>
        <v>2.4021223438108619</v>
      </c>
      <c r="N30" s="370"/>
      <c r="O30" s="1434">
        <f t="shared" si="3"/>
        <v>9.671061171905432</v>
      </c>
      <c r="P30" s="369">
        <f t="shared" si="5"/>
        <v>19.342122343810864</v>
      </c>
    </row>
    <row r="31" spans="1:16" s="308" customFormat="1" ht="12" customHeight="1">
      <c r="A31" s="290" t="s">
        <v>1018</v>
      </c>
      <c r="B31" s="290" t="s">
        <v>1017</v>
      </c>
      <c r="C31" s="305">
        <f>IFERROR(VLOOKUP(A31,'[44]RATES by Area 2017'!$H$6:$I$128,2,FALSE),0)/2</f>
        <v>3.64</v>
      </c>
      <c r="D31" s="344">
        <f>IFERROR(VLOOKUP(A31,'[44]REV by Area 2017'!$V$6:$W$132,2,FALSE),0)</f>
        <v>86.800000000000011</v>
      </c>
      <c r="F31" s="304">
        <f t="shared" si="0"/>
        <v>23.846153846153847</v>
      </c>
      <c r="G31" s="304">
        <f t="shared" si="1"/>
        <v>1.9871794871794872</v>
      </c>
      <c r="I31" s="307">
        <f t="shared" si="4"/>
        <v>0.5161585201577058</v>
      </c>
      <c r="M31" s="369">
        <f t="shared" si="2"/>
        <v>12.308395480683753</v>
      </c>
      <c r="N31" s="370"/>
      <c r="O31" s="1434">
        <f t="shared" si="3"/>
        <v>4.1561585201577058</v>
      </c>
      <c r="P31" s="369">
        <f t="shared" si="5"/>
        <v>99.108395480683768</v>
      </c>
    </row>
    <row r="32" spans="1:16" s="308" customFormat="1" ht="12" customHeight="1">
      <c r="A32" s="290" t="s">
        <v>865</v>
      </c>
      <c r="B32" s="290" t="s">
        <v>864</v>
      </c>
      <c r="C32" s="305">
        <f>IFERROR(VLOOKUP(A32,'[44]RATES by Area 2017'!$H$6:$I$128,2,FALSE),0)/2</f>
        <v>6.97</v>
      </c>
      <c r="D32" s="344">
        <f>IFERROR(VLOOKUP(A32,'[44]REV by Area 2017'!$V$6:$W$132,2,FALSE),0)</f>
        <v>5602.1400000000021</v>
      </c>
      <c r="F32" s="304">
        <f t="shared" si="0"/>
        <v>803.75035868005773</v>
      </c>
      <c r="G32" s="304">
        <f t="shared" si="1"/>
        <v>66.979196556671482</v>
      </c>
      <c r="I32" s="307">
        <f t="shared" ref="I32:I36" si="6">$I$5*C32</f>
        <v>0.98835848502725532</v>
      </c>
      <c r="M32" s="369">
        <f t="shared" si="2"/>
        <v>794.39348684513493</v>
      </c>
      <c r="N32" s="370"/>
      <c r="O32" s="1434">
        <f t="shared" si="3"/>
        <v>7.9583584850272553</v>
      </c>
      <c r="P32" s="369">
        <f t="shared" si="5"/>
        <v>6396.5334868451373</v>
      </c>
    </row>
    <row r="33" spans="1:16" s="308" customFormat="1" ht="12" customHeight="1">
      <c r="A33" s="290" t="s">
        <v>1016</v>
      </c>
      <c r="B33" s="290" t="s">
        <v>1015</v>
      </c>
      <c r="C33" s="305">
        <f>IFERROR(VLOOKUP(A33,'[44]RATES by Area 2017'!$H$6:$I$128,2,FALSE),0)/2</f>
        <v>3.64</v>
      </c>
      <c r="D33" s="344">
        <f>IFERROR(VLOOKUP(A33,'[44]REV by Area 2017'!$V$6:$W$132,2,FALSE),0)</f>
        <v>0</v>
      </c>
      <c r="F33" s="304">
        <f t="shared" si="0"/>
        <v>0</v>
      </c>
      <c r="G33" s="304">
        <f t="shared" si="1"/>
        <v>0</v>
      </c>
      <c r="I33" s="307">
        <f t="shared" si="6"/>
        <v>0.5161585201577058</v>
      </c>
      <c r="M33" s="369">
        <f t="shared" si="2"/>
        <v>0</v>
      </c>
      <c r="N33" s="370"/>
      <c r="O33" s="1434">
        <f t="shared" si="3"/>
        <v>4.1561585201577058</v>
      </c>
      <c r="P33" s="369">
        <f t="shared" si="5"/>
        <v>0</v>
      </c>
    </row>
    <row r="34" spans="1:16" s="308" customFormat="1" ht="12" customHeight="1">
      <c r="A34" s="290" t="s">
        <v>861</v>
      </c>
      <c r="B34" s="290" t="s">
        <v>860</v>
      </c>
      <c r="C34" s="305">
        <f>IFERROR(VLOOKUP(A34,'[44]RATES by Area 2017'!$H$6:$I$128,2,FALSE),0)</f>
        <v>23.04</v>
      </c>
      <c r="D34" s="344">
        <f>IFERROR(VLOOKUP(A34,'[44]REV by Area 2017'!$V$6:$W$132,2,FALSE),0)</f>
        <v>322.56</v>
      </c>
      <c r="F34" s="304">
        <f t="shared" si="0"/>
        <v>14</v>
      </c>
      <c r="G34" s="304">
        <f t="shared" si="1"/>
        <v>1.1666666666666667</v>
      </c>
      <c r="I34" s="307">
        <f t="shared" si="6"/>
        <v>3.2671132704487751</v>
      </c>
      <c r="M34" s="369">
        <f t="shared" si="2"/>
        <v>45.739585786282852</v>
      </c>
      <c r="N34" s="370"/>
      <c r="O34" s="1434">
        <f t="shared" si="3"/>
        <v>26.307113270448774</v>
      </c>
      <c r="P34" s="369">
        <f t="shared" si="5"/>
        <v>368.29958578628288</v>
      </c>
    </row>
    <row r="35" spans="1:16" s="303" customFormat="1" ht="12" customHeight="1">
      <c r="A35" s="290" t="s">
        <v>859</v>
      </c>
      <c r="B35" s="290" t="s">
        <v>858</v>
      </c>
      <c r="C35" s="305">
        <f>IFERROR(VLOOKUP(A35,'[44]RATES by Area 2017'!$H$6:$I$128,2,FALSE),0)</f>
        <v>13.83</v>
      </c>
      <c r="D35" s="344">
        <f>IFERROR(VLOOKUP(A35,'[44]REV by Area 2017'!$V$6:$W$132,2,FALSE),0)</f>
        <v>1244.7</v>
      </c>
      <c r="F35" s="304">
        <f t="shared" si="0"/>
        <v>90</v>
      </c>
      <c r="G35" s="304">
        <f t="shared" si="1"/>
        <v>7.5</v>
      </c>
      <c r="I35" s="307">
        <f t="shared" si="6"/>
        <v>1.9611187730167778</v>
      </c>
      <c r="J35" s="308"/>
      <c r="K35" s="308"/>
      <c r="L35" s="308"/>
      <c r="M35" s="369">
        <f t="shared" si="2"/>
        <v>176.50068957151001</v>
      </c>
      <c r="N35" s="370"/>
      <c r="O35" s="1434">
        <f t="shared" si="3"/>
        <v>15.791118773016779</v>
      </c>
      <c r="P35" s="369">
        <f t="shared" si="5"/>
        <v>1421.2006895715101</v>
      </c>
    </row>
    <row r="36" spans="1:16" s="303" customFormat="1" ht="12" customHeight="1">
      <c r="A36" s="290" t="s">
        <v>1014</v>
      </c>
      <c r="B36" s="290" t="s">
        <v>1013</v>
      </c>
      <c r="C36" s="305">
        <f>IFERROR(VLOOKUP(A36,'[44]RATES by Area 2017'!$H$6:$I$128,2,FALSE),0)</f>
        <v>107.53</v>
      </c>
      <c r="D36" s="344">
        <f>IFERROR(VLOOKUP(A36,'[44]REV by Area 2017'!$V$6:$W$132,2,FALSE),0)</f>
        <v>0</v>
      </c>
      <c r="F36" s="304">
        <f t="shared" si="0"/>
        <v>0</v>
      </c>
      <c r="G36" s="304">
        <f t="shared" si="1"/>
        <v>0</v>
      </c>
      <c r="I36" s="307">
        <f t="shared" si="6"/>
        <v>15.247946613340138</v>
      </c>
      <c r="J36" s="308"/>
      <c r="K36" s="308"/>
      <c r="L36" s="308"/>
      <c r="M36" s="369">
        <f t="shared" si="2"/>
        <v>0</v>
      </c>
      <c r="N36" s="370"/>
      <c r="O36" s="1434">
        <f t="shared" si="3"/>
        <v>122.77794661334013</v>
      </c>
      <c r="P36" s="369">
        <f t="shared" si="5"/>
        <v>0</v>
      </c>
    </row>
    <row r="37" spans="1:16" s="303" customFormat="1" ht="7.5" customHeight="1" thickBot="1">
      <c r="A37" s="309"/>
      <c r="B37" s="309"/>
      <c r="C37" s="305"/>
      <c r="D37" s="304"/>
      <c r="M37" s="369"/>
      <c r="N37" s="369"/>
      <c r="O37" s="1434"/>
      <c r="P37" s="369"/>
    </row>
    <row r="38" spans="1:16" s="308" customFormat="1" ht="12" customHeight="1" thickBot="1">
      <c r="A38" s="302"/>
      <c r="B38" s="306" t="s">
        <v>857</v>
      </c>
      <c r="C38" s="305"/>
      <c r="D38" s="298">
        <f>SUM(D12:D37)</f>
        <v>1066202.5249999999</v>
      </c>
      <c r="F38" s="364"/>
      <c r="G38" s="346">
        <f>SUM(G12:G22)</f>
        <v>3350.164817567867</v>
      </c>
      <c r="I38" s="302"/>
      <c r="M38" s="368">
        <f>SUM(M12:M37)</f>
        <v>151189.42788252997</v>
      </c>
      <c r="N38" s="370"/>
      <c r="O38" s="1435"/>
      <c r="P38" s="368">
        <f>SUM(P12:P37)</f>
        <v>1217391.9528825302</v>
      </c>
    </row>
    <row r="39" spans="1:16" s="303" customFormat="1" ht="7.5" customHeight="1">
      <c r="A39" s="328"/>
      <c r="B39" s="311"/>
      <c r="C39" s="305"/>
      <c r="D39" s="349"/>
      <c r="F39" s="304"/>
      <c r="M39" s="369"/>
      <c r="N39" s="369"/>
      <c r="O39" s="1434"/>
      <c r="P39" s="369"/>
    </row>
    <row r="40" spans="1:16" s="303" customFormat="1" ht="12" customHeight="1">
      <c r="A40" s="324" t="s">
        <v>1012</v>
      </c>
      <c r="B40" s="324" t="s">
        <v>1012</v>
      </c>
      <c r="C40" s="305"/>
      <c r="D40" s="349"/>
      <c r="F40" s="304"/>
      <c r="I40" s="290"/>
      <c r="J40" s="290"/>
      <c r="K40" s="496"/>
      <c r="L40" s="290"/>
      <c r="M40" s="371"/>
      <c r="N40" s="371"/>
      <c r="O40" s="1432"/>
      <c r="P40" s="371"/>
    </row>
    <row r="41" spans="1:16" s="303" customFormat="1" ht="12" customHeight="1">
      <c r="A41" s="292" t="s">
        <v>1011</v>
      </c>
      <c r="B41" s="292" t="s">
        <v>1010</v>
      </c>
      <c r="C41" s="305">
        <f>IFERROR(VLOOKUP(A41,'[44]RATES by Area 2017'!$H$6:$I$128,2,FALSE),0)/2</f>
        <v>9.98</v>
      </c>
      <c r="D41" s="344">
        <f>IFERROR(VLOOKUP(A41,'[44]REV by Area 2017'!$V$6:$W$132,2,FALSE),0)</f>
        <v>4815.3600000000006</v>
      </c>
      <c r="F41" s="304">
        <f>IFERROR(D41/C41,0)</f>
        <v>482.50100200400806</v>
      </c>
      <c r="G41" s="304">
        <f>F41/12</f>
        <v>40.208416833667336</v>
      </c>
      <c r="H41" s="304"/>
      <c r="I41" s="307"/>
      <c r="J41" s="323">
        <f>J5*C41</f>
        <v>0</v>
      </c>
      <c r="K41" s="323">
        <f>K5*D41</f>
        <v>3513.0416846179091</v>
      </c>
      <c r="L41" s="308"/>
      <c r="M41" s="369">
        <f>G41*SUM(I41:J41)*12</f>
        <v>0</v>
      </c>
      <c r="N41" s="370"/>
      <c r="O41" s="1434">
        <f>+C41+SUM(I41:J41)</f>
        <v>9.98</v>
      </c>
      <c r="P41" s="369">
        <f t="shared" ref="P41" si="7">D41+M41</f>
        <v>4815.3600000000006</v>
      </c>
    </row>
    <row r="42" spans="1:16" s="303" customFormat="1" ht="7.5" customHeight="1" thickBot="1">
      <c r="A42" s="348"/>
      <c r="B42" s="290"/>
      <c r="C42" s="305"/>
      <c r="D42" s="304"/>
      <c r="F42" s="304"/>
      <c r="M42" s="369"/>
      <c r="N42" s="369"/>
      <c r="O42" s="1434"/>
      <c r="P42" s="369"/>
    </row>
    <row r="43" spans="1:16" s="308" customFormat="1" ht="12" customHeight="1" thickBot="1">
      <c r="A43" s="302"/>
      <c r="B43" s="306" t="s">
        <v>1009</v>
      </c>
      <c r="C43" s="305"/>
      <c r="D43" s="298">
        <f>SUM(D41:D42)</f>
        <v>4815.3600000000006</v>
      </c>
      <c r="F43" s="364"/>
      <c r="G43" s="346">
        <f>SUM(G41)</f>
        <v>40.208416833667336</v>
      </c>
      <c r="I43" s="366"/>
      <c r="M43" s="357">
        <f>SUM(M41)</f>
        <v>0</v>
      </c>
      <c r="N43" s="370"/>
      <c r="O43" s="1436"/>
      <c r="P43" s="357">
        <f>SUM(P41)</f>
        <v>4815.3600000000006</v>
      </c>
    </row>
    <row r="44" spans="1:16" s="308" customFormat="1" ht="6.75" customHeight="1">
      <c r="A44" s="229"/>
      <c r="B44" s="229"/>
      <c r="C44" s="305"/>
      <c r="D44" s="344"/>
      <c r="F44" s="304"/>
      <c r="I44" s="307"/>
      <c r="M44" s="369"/>
      <c r="N44" s="370"/>
      <c r="O44" s="1434"/>
      <c r="P44" s="369"/>
    </row>
    <row r="45" spans="1:16" s="303" customFormat="1" ht="6.75" customHeight="1">
      <c r="C45" s="305"/>
      <c r="F45" s="304"/>
      <c r="I45" s="307"/>
      <c r="J45" s="308"/>
      <c r="K45" s="308"/>
      <c r="L45" s="308"/>
      <c r="M45" s="369"/>
      <c r="N45" s="370"/>
      <c r="O45" s="1434"/>
      <c r="P45" s="369"/>
    </row>
    <row r="46" spans="1:16" ht="12" customHeight="1">
      <c r="A46" s="321" t="s">
        <v>856</v>
      </c>
      <c r="B46" s="321" t="s">
        <v>856</v>
      </c>
      <c r="I46" s="307"/>
      <c r="J46" s="308"/>
      <c r="K46" s="308"/>
      <c r="L46" s="308"/>
      <c r="M46" s="369"/>
      <c r="N46" s="370"/>
      <c r="O46" s="1434"/>
      <c r="P46" s="369"/>
    </row>
    <row r="47" spans="1:16" ht="6.75" customHeight="1">
      <c r="A47" s="321"/>
      <c r="B47" s="321"/>
      <c r="I47" s="307"/>
      <c r="J47" s="308"/>
      <c r="K47" s="308"/>
      <c r="L47" s="308"/>
      <c r="M47" s="369"/>
      <c r="N47" s="370"/>
      <c r="O47" s="1434"/>
      <c r="P47" s="369"/>
    </row>
    <row r="48" spans="1:16" s="303" customFormat="1" ht="12" customHeight="1">
      <c r="A48" s="324" t="s">
        <v>855</v>
      </c>
      <c r="B48" s="324" t="s">
        <v>855</v>
      </c>
      <c r="C48" s="305"/>
      <c r="F48" s="304"/>
      <c r="I48" s="307"/>
      <c r="J48" s="308"/>
      <c r="K48" s="308"/>
      <c r="L48" s="308"/>
      <c r="M48" s="369"/>
      <c r="N48" s="370"/>
      <c r="O48" s="1434"/>
      <c r="P48" s="369"/>
    </row>
    <row r="49" spans="1:16" s="303" customFormat="1" ht="12" customHeight="1">
      <c r="A49" s="290" t="s">
        <v>854</v>
      </c>
      <c r="B49" s="290" t="s">
        <v>853</v>
      </c>
      <c r="C49" s="305">
        <f>IFERROR(VLOOKUP(A49,'[44]RATES by Area 2017'!$H$6:$I$128,2,FALSE),0)</f>
        <v>68.25</v>
      </c>
      <c r="D49" s="344">
        <f>IFERROR(VLOOKUP(A49,'[44]REV by Area 2017'!$V$6:$W$132,2,FALSE),0)</f>
        <v>209582.46000000002</v>
      </c>
      <c r="F49" s="304">
        <f t="shared" ref="F49:F94" si="8">IFERROR(D49/C49,0)</f>
        <v>3070.805274725275</v>
      </c>
      <c r="G49" s="304">
        <f t="shared" ref="G49:G112" si="9">F49/12</f>
        <v>255.90043956043959</v>
      </c>
      <c r="H49" s="304"/>
      <c r="I49" s="307">
        <f t="shared" ref="I49" si="10">$I$5*C49</f>
        <v>9.6779722529569838</v>
      </c>
      <c r="J49" s="308"/>
      <c r="K49" s="308"/>
      <c r="L49" s="308"/>
      <c r="M49" s="369">
        <f t="shared" ref="M49:M80" si="11">G49*SUM(I49:J49)*12</f>
        <v>29719.16824302516</v>
      </c>
      <c r="N49" s="370"/>
      <c r="O49" s="1434">
        <f t="shared" ref="O49:O80" si="12">+C49+SUM(I49:J49)</f>
        <v>77.927972252956977</v>
      </c>
      <c r="P49" s="369">
        <f>D49+M49</f>
        <v>239301.62824302519</v>
      </c>
    </row>
    <row r="50" spans="1:16" s="303" customFormat="1" ht="12" customHeight="1">
      <c r="A50" s="290" t="s">
        <v>852</v>
      </c>
      <c r="B50" s="290" t="s">
        <v>851</v>
      </c>
      <c r="C50" s="305">
        <f>IFERROR(VLOOKUP(A50,'[44]RATES by Area 2017'!$H$6:$I$128,2,FALSE),0)</f>
        <v>15.75</v>
      </c>
      <c r="D50" s="344">
        <f>IFERROR(VLOOKUP(A50,'[44]REV by Area 2017'!$V$6:$W$132,2,FALSE),0)</f>
        <v>189</v>
      </c>
      <c r="F50" s="304">
        <f t="shared" si="8"/>
        <v>12</v>
      </c>
      <c r="G50" s="304">
        <f t="shared" si="9"/>
        <v>1</v>
      </c>
      <c r="H50" s="304"/>
      <c r="I50" s="307">
        <f t="shared" ref="I50:I68" si="13">$I$5*C50</f>
        <v>2.2333782122208423</v>
      </c>
      <c r="J50" s="308"/>
      <c r="K50" s="308"/>
      <c r="L50" s="308"/>
      <c r="M50" s="369">
        <f t="shared" si="11"/>
        <v>26.80053854665011</v>
      </c>
      <c r="N50" s="370"/>
      <c r="O50" s="1434">
        <f t="shared" si="12"/>
        <v>17.983378212220842</v>
      </c>
      <c r="P50" s="369">
        <f t="shared" ref="P50:P113" si="14">D50+M50</f>
        <v>215.8005385466501</v>
      </c>
    </row>
    <row r="51" spans="1:16" s="303" customFormat="1" ht="12" customHeight="1">
      <c r="A51" s="290" t="s">
        <v>1008</v>
      </c>
      <c r="B51" s="290" t="s">
        <v>1007</v>
      </c>
      <c r="C51" s="305">
        <f>IFERROR(VLOOKUP(A51,'[44]RATES by Area 2017'!$H$6:$I$128,2,FALSE),0)</f>
        <v>136.5</v>
      </c>
      <c r="D51" s="344">
        <f>IFERROR(VLOOKUP(A51,'[44]REV by Area 2017'!$V$6:$W$132,2,FALSE),0)</f>
        <v>1365</v>
      </c>
      <c r="F51" s="304">
        <f t="shared" si="8"/>
        <v>10</v>
      </c>
      <c r="G51" s="304">
        <f t="shared" si="9"/>
        <v>0.83333333333333337</v>
      </c>
      <c r="H51" s="304"/>
      <c r="I51" s="307">
        <f t="shared" si="13"/>
        <v>19.355944505913968</v>
      </c>
      <c r="J51" s="308"/>
      <c r="K51" s="308"/>
      <c r="L51" s="308"/>
      <c r="M51" s="369">
        <f t="shared" si="11"/>
        <v>193.5594450591397</v>
      </c>
      <c r="N51" s="370"/>
      <c r="O51" s="1434">
        <f t="shared" si="12"/>
        <v>155.85594450591395</v>
      </c>
      <c r="P51" s="369">
        <f t="shared" si="14"/>
        <v>1558.5594450591398</v>
      </c>
    </row>
    <row r="52" spans="1:16" s="303" customFormat="1" ht="12" customHeight="1">
      <c r="A52" s="290" t="s">
        <v>1006</v>
      </c>
      <c r="B52" s="290" t="s">
        <v>1005</v>
      </c>
      <c r="C52" s="305">
        <f>IFERROR(VLOOKUP(A52,'[44]RATES by Area 2017'!$H$6:$I$128,2,FALSE),0)</f>
        <v>204.74</v>
      </c>
      <c r="D52" s="344">
        <f>IFERROR(VLOOKUP(A52,'[44]REV by Area 2017'!$V$6:$W$132,2,FALSE),0)</f>
        <v>2456.88</v>
      </c>
      <c r="F52" s="304">
        <f t="shared" si="8"/>
        <v>12</v>
      </c>
      <c r="G52" s="304">
        <f t="shared" si="9"/>
        <v>1</v>
      </c>
      <c r="H52" s="304"/>
      <c r="I52" s="307">
        <f t="shared" si="13"/>
        <v>29.032498740958431</v>
      </c>
      <c r="J52" s="308"/>
      <c r="K52" s="308"/>
      <c r="L52" s="308"/>
      <c r="M52" s="369">
        <f t="shared" si="11"/>
        <v>348.38998489150117</v>
      </c>
      <c r="N52" s="370"/>
      <c r="O52" s="1434">
        <f t="shared" si="12"/>
        <v>233.77249874095844</v>
      </c>
      <c r="P52" s="369">
        <f t="shared" si="14"/>
        <v>2805.2699848915013</v>
      </c>
    </row>
    <row r="53" spans="1:16" s="303" customFormat="1" ht="12" customHeight="1">
      <c r="A53" s="290" t="s">
        <v>1004</v>
      </c>
      <c r="B53" s="290" t="s">
        <v>1003</v>
      </c>
      <c r="C53" s="305">
        <f>IFERROR(VLOOKUP(A53,'[44]RATES by Area 2017'!$H$6:$I$128,2,FALSE),0)</f>
        <v>23.74</v>
      </c>
      <c r="D53" s="344">
        <f>IFERROR(VLOOKUP(A53,'[44]REV by Area 2017'!$V$6:$W$132,2,FALSE),0)</f>
        <v>1424.4000000000003</v>
      </c>
      <c r="F53" s="304">
        <f t="shared" si="8"/>
        <v>60.000000000000014</v>
      </c>
      <c r="G53" s="304">
        <f t="shared" si="9"/>
        <v>5.0000000000000009</v>
      </c>
      <c r="H53" s="304"/>
      <c r="I53" s="307">
        <f t="shared" si="13"/>
        <v>3.366374524325257</v>
      </c>
      <c r="J53" s="308"/>
      <c r="K53" s="308"/>
      <c r="L53" s="308"/>
      <c r="M53" s="369">
        <f t="shared" si="11"/>
        <v>201.98247145951547</v>
      </c>
      <c r="N53" s="370"/>
      <c r="O53" s="1434">
        <f t="shared" si="12"/>
        <v>27.106374524325254</v>
      </c>
      <c r="P53" s="369">
        <f t="shared" si="14"/>
        <v>1626.3824714595157</v>
      </c>
    </row>
    <row r="54" spans="1:16" s="303" customFormat="1" ht="12" customHeight="1">
      <c r="A54" s="290" t="s">
        <v>850</v>
      </c>
      <c r="B54" s="290" t="s">
        <v>849</v>
      </c>
      <c r="C54" s="305">
        <f>IFERROR(VLOOKUP(A54,'[44]RATES by Area 2017'!$H$6:$I$128,2,FALSE),0)</f>
        <v>102.86</v>
      </c>
      <c r="D54" s="344">
        <f>IFERROR(VLOOKUP(A54,'[44]REV by Area 2017'!$V$6:$W$132,2,FALSE),0)</f>
        <v>110860.82999999999</v>
      </c>
      <c r="F54" s="304">
        <f t="shared" si="8"/>
        <v>1077.7836865642621</v>
      </c>
      <c r="G54" s="304">
        <f t="shared" si="9"/>
        <v>89.815307213688513</v>
      </c>
      <c r="H54" s="304"/>
      <c r="I54" s="307">
        <f t="shared" si="13"/>
        <v>14.585732248192752</v>
      </c>
      <c r="J54" s="308"/>
      <c r="K54" s="308"/>
      <c r="L54" s="308"/>
      <c r="M54" s="369">
        <f t="shared" si="11"/>
        <v>15720.264273696428</v>
      </c>
      <c r="N54" s="370"/>
      <c r="O54" s="1434">
        <f t="shared" si="12"/>
        <v>117.44573224819275</v>
      </c>
      <c r="P54" s="369">
        <f t="shared" si="14"/>
        <v>126581.09427369642</v>
      </c>
    </row>
    <row r="55" spans="1:16" s="303" customFormat="1" ht="12" customHeight="1">
      <c r="A55" s="290" t="s">
        <v>848</v>
      </c>
      <c r="B55" s="290" t="s">
        <v>847</v>
      </c>
      <c r="C55" s="305">
        <f>IFERROR(VLOOKUP(A55,'[44]RATES by Area 2017'!$H$6:$I$128,2,FALSE),0)</f>
        <v>205.73</v>
      </c>
      <c r="D55" s="344">
        <f>IFERROR(VLOOKUP(A55,'[44]REV by Area 2017'!$V$6:$W$132,2,FALSE),0)</f>
        <v>3394.5499999999997</v>
      </c>
      <c r="F55" s="304">
        <f t="shared" si="8"/>
        <v>16.500024303699021</v>
      </c>
      <c r="G55" s="304">
        <f t="shared" si="9"/>
        <v>1.3750020253082518</v>
      </c>
      <c r="H55" s="304"/>
      <c r="I55" s="307">
        <f t="shared" si="13"/>
        <v>29.172882514298024</v>
      </c>
      <c r="J55" s="308"/>
      <c r="K55" s="308"/>
      <c r="L55" s="308"/>
      <c r="M55" s="369">
        <f t="shared" si="11"/>
        <v>481.35327049487358</v>
      </c>
      <c r="N55" s="370"/>
      <c r="O55" s="1434">
        <f t="shared" si="12"/>
        <v>234.90288251429803</v>
      </c>
      <c r="P55" s="369">
        <f t="shared" si="14"/>
        <v>3875.9032704948731</v>
      </c>
    </row>
    <row r="56" spans="1:16" s="303" customFormat="1" ht="12" customHeight="1">
      <c r="A56" s="290" t="s">
        <v>846</v>
      </c>
      <c r="B56" s="290" t="s">
        <v>845</v>
      </c>
      <c r="C56" s="305">
        <f>IFERROR(VLOOKUP(A56,'[44]RATES by Area 2017'!$H$6:$I$128,2,FALSE),0)</f>
        <v>308.58999999999997</v>
      </c>
      <c r="D56" s="344">
        <f>IFERROR(VLOOKUP(A56,'[44]REV by Area 2017'!$V$6:$W$132,2,FALSE),0)</f>
        <v>3085.9</v>
      </c>
      <c r="F56" s="304">
        <f t="shared" si="8"/>
        <v>10.000000000000002</v>
      </c>
      <c r="G56" s="304">
        <f t="shared" si="9"/>
        <v>0.83333333333333348</v>
      </c>
      <c r="H56" s="304"/>
      <c r="I56" s="307">
        <f t="shared" si="13"/>
        <v>43.758614762490772</v>
      </c>
      <c r="J56" s="308"/>
      <c r="K56" s="308"/>
      <c r="L56" s="308"/>
      <c r="M56" s="369">
        <f t="shared" si="11"/>
        <v>437.58614762490782</v>
      </c>
      <c r="N56" s="370"/>
      <c r="O56" s="1434">
        <f t="shared" si="12"/>
        <v>352.34861476249074</v>
      </c>
      <c r="P56" s="369">
        <f t="shared" si="14"/>
        <v>3523.486147624908</v>
      </c>
    </row>
    <row r="57" spans="1:16" s="303" customFormat="1" ht="12" customHeight="1">
      <c r="A57" s="290" t="s">
        <v>1002</v>
      </c>
      <c r="B57" s="290" t="s">
        <v>1001</v>
      </c>
      <c r="C57" s="305">
        <f>IFERROR(VLOOKUP(A57,'[44]RATES by Area 2017'!$H$6:$I$128,2,FALSE),0)</f>
        <v>205.73</v>
      </c>
      <c r="D57" s="344">
        <f>IFERROR(VLOOKUP(A57,'[44]REV by Area 2017'!$V$6:$W$132,2,FALSE),0)</f>
        <v>16458.400000000005</v>
      </c>
      <c r="F57" s="304">
        <f t="shared" si="8"/>
        <v>80.000000000000028</v>
      </c>
      <c r="G57" s="304">
        <f t="shared" si="9"/>
        <v>6.6666666666666687</v>
      </c>
      <c r="H57" s="304"/>
      <c r="I57" s="307">
        <f t="shared" si="13"/>
        <v>29.172882514298024</v>
      </c>
      <c r="J57" s="308"/>
      <c r="K57" s="308"/>
      <c r="L57" s="308"/>
      <c r="M57" s="369">
        <f t="shared" si="11"/>
        <v>2333.8306011438426</v>
      </c>
      <c r="N57" s="370"/>
      <c r="O57" s="1434">
        <f t="shared" si="12"/>
        <v>234.90288251429803</v>
      </c>
      <c r="P57" s="369">
        <f t="shared" si="14"/>
        <v>18792.230601143849</v>
      </c>
    </row>
    <row r="58" spans="1:16" s="308" customFormat="1" ht="12" customHeight="1">
      <c r="A58" s="290" t="s">
        <v>1000</v>
      </c>
      <c r="B58" s="290" t="s">
        <v>999</v>
      </c>
      <c r="C58" s="305">
        <f>IFERROR(VLOOKUP(A58,'[44]RATES by Area 2017'!$H$6:$I$128,2,FALSE),0)</f>
        <v>308.58999999999997</v>
      </c>
      <c r="D58" s="344">
        <f>IFERROR(VLOOKUP(A58,'[44]REV by Area 2017'!$V$6:$W$132,2,FALSE),0)</f>
        <v>7406.1600000000008</v>
      </c>
      <c r="F58" s="304">
        <f t="shared" si="8"/>
        <v>24.000000000000004</v>
      </c>
      <c r="G58" s="304">
        <f t="shared" si="9"/>
        <v>2.0000000000000004</v>
      </c>
      <c r="H58" s="310"/>
      <c r="I58" s="307">
        <f t="shared" si="13"/>
        <v>43.758614762490772</v>
      </c>
      <c r="M58" s="369">
        <f t="shared" si="11"/>
        <v>1050.2067542997788</v>
      </c>
      <c r="N58" s="370"/>
      <c r="O58" s="1434">
        <f t="shared" si="12"/>
        <v>352.34861476249074</v>
      </c>
      <c r="P58" s="369">
        <f t="shared" si="14"/>
        <v>8456.3667542997791</v>
      </c>
    </row>
    <row r="59" spans="1:16" s="303" customFormat="1" ht="12" customHeight="1">
      <c r="A59" s="290" t="s">
        <v>998</v>
      </c>
      <c r="B59" s="290" t="s">
        <v>997</v>
      </c>
      <c r="C59" s="305">
        <f>IFERROR(VLOOKUP(A59,'[44]RATES by Area 2017'!$H$6:$I$128,2,FALSE),0)</f>
        <v>31.64</v>
      </c>
      <c r="D59" s="344">
        <f>IFERROR(VLOOKUP(A59,'[44]REV by Area 2017'!$V$6:$W$132,2,FALSE),0)</f>
        <v>1139.04</v>
      </c>
      <c r="F59" s="304">
        <f t="shared" si="8"/>
        <v>36</v>
      </c>
      <c r="G59" s="304">
        <f t="shared" si="9"/>
        <v>3</v>
      </c>
      <c r="H59" s="304"/>
      <c r="I59" s="307">
        <f t="shared" si="13"/>
        <v>4.4866086752169814</v>
      </c>
      <c r="J59" s="308"/>
      <c r="K59" s="308"/>
      <c r="L59" s="308"/>
      <c r="M59" s="369">
        <f t="shared" si="11"/>
        <v>161.51791230781134</v>
      </c>
      <c r="N59" s="370"/>
      <c r="O59" s="1434">
        <f t="shared" si="12"/>
        <v>36.126608675216985</v>
      </c>
      <c r="P59" s="369">
        <f t="shared" si="14"/>
        <v>1300.5579123078114</v>
      </c>
    </row>
    <row r="60" spans="1:16" s="303" customFormat="1" ht="12" customHeight="1">
      <c r="A60" s="290" t="s">
        <v>844</v>
      </c>
      <c r="B60" s="290" t="s">
        <v>843</v>
      </c>
      <c r="C60" s="305">
        <f>IFERROR(VLOOKUP(A60,'[44]RATES by Area 2017'!$H$6:$I$128,2,FALSE),0)</f>
        <v>137.13</v>
      </c>
      <c r="D60" s="344">
        <f>IFERROR(VLOOKUP(A60,'[44]REV by Area 2017'!$V$6:$W$132,2,FALSE),0)</f>
        <v>90947.27</v>
      </c>
      <c r="F60" s="304">
        <f t="shared" si="8"/>
        <v>663.21935389776127</v>
      </c>
      <c r="G60" s="304">
        <f t="shared" si="9"/>
        <v>55.268279491480108</v>
      </c>
      <c r="H60" s="304"/>
      <c r="I60" s="307">
        <f t="shared" si="13"/>
        <v>19.445279634402802</v>
      </c>
      <c r="J60" s="308"/>
      <c r="K60" s="308"/>
      <c r="L60" s="308"/>
      <c r="M60" s="369">
        <f t="shared" si="11"/>
        <v>12896.485795489922</v>
      </c>
      <c r="N60" s="370"/>
      <c r="O60" s="1434">
        <f t="shared" si="12"/>
        <v>156.57527963440279</v>
      </c>
      <c r="P60" s="369">
        <f t="shared" si="14"/>
        <v>103843.75579548992</v>
      </c>
    </row>
    <row r="61" spans="1:16" s="303" customFormat="1" ht="12" customHeight="1">
      <c r="A61" s="290" t="s">
        <v>996</v>
      </c>
      <c r="B61" s="290" t="s">
        <v>995</v>
      </c>
      <c r="C61" s="305">
        <f>IFERROR(VLOOKUP(A61,'[44]RATES by Area 2017'!$H$6:$I$128,2,FALSE),0)</f>
        <v>274.25</v>
      </c>
      <c r="D61" s="344">
        <f>IFERROR(VLOOKUP(A61,'[44]REV by Area 2017'!$V$6:$W$132,2,FALSE),0)</f>
        <v>6582</v>
      </c>
      <c r="F61" s="304">
        <f t="shared" si="8"/>
        <v>24</v>
      </c>
      <c r="G61" s="304">
        <f t="shared" si="9"/>
        <v>2</v>
      </c>
      <c r="H61" s="304"/>
      <c r="I61" s="307">
        <f t="shared" si="13"/>
        <v>38.889141250893083</v>
      </c>
      <c r="J61" s="308"/>
      <c r="K61" s="308"/>
      <c r="L61" s="308"/>
      <c r="M61" s="369">
        <f t="shared" si="11"/>
        <v>933.33939002143393</v>
      </c>
      <c r="N61" s="370"/>
      <c r="O61" s="1434">
        <f t="shared" si="12"/>
        <v>313.13914125089309</v>
      </c>
      <c r="P61" s="369">
        <f t="shared" si="14"/>
        <v>7515.3393900214342</v>
      </c>
    </row>
    <row r="62" spans="1:16" s="303" customFormat="1" ht="12" customHeight="1">
      <c r="A62" s="290" t="s">
        <v>994</v>
      </c>
      <c r="B62" s="290" t="s">
        <v>993</v>
      </c>
      <c r="C62" s="305">
        <f>IFERROR(VLOOKUP(A62,'[44]RATES by Area 2017'!$H$6:$I$128,2,FALSE),0)</f>
        <v>411.38</v>
      </c>
      <c r="D62" s="344">
        <f>IFERROR(VLOOKUP(A62,'[44]REV by Area 2017'!$V$6:$W$132,2,FALSE),0)</f>
        <v>9873.1200000000008</v>
      </c>
      <c r="F62" s="304">
        <f t="shared" si="8"/>
        <v>24.000000000000004</v>
      </c>
      <c r="G62" s="304">
        <f t="shared" si="9"/>
        <v>2.0000000000000004</v>
      </c>
      <c r="H62" s="304"/>
      <c r="I62" s="307">
        <f t="shared" si="13"/>
        <v>58.334420885295884</v>
      </c>
      <c r="J62" s="308"/>
      <c r="K62" s="308"/>
      <c r="L62" s="308"/>
      <c r="M62" s="369">
        <f t="shared" si="11"/>
        <v>1400.0261012471015</v>
      </c>
      <c r="N62" s="370"/>
      <c r="O62" s="1434">
        <f t="shared" si="12"/>
        <v>469.71442088529591</v>
      </c>
      <c r="P62" s="369">
        <f t="shared" si="14"/>
        <v>11273.146101247103</v>
      </c>
    </row>
    <row r="63" spans="1:16" s="303" customFormat="1" ht="12" customHeight="1">
      <c r="A63" s="290" t="s">
        <v>842</v>
      </c>
      <c r="B63" s="290" t="s">
        <v>841</v>
      </c>
      <c r="C63" s="305">
        <f>IFERROR(VLOOKUP(A63,'[44]RATES by Area 2017'!$H$6:$I$128,2,FALSE),0)</f>
        <v>193.92</v>
      </c>
      <c r="D63" s="344">
        <f>IFERROR(VLOOKUP(A63,'[44]REV by Area 2017'!$V$6:$W$132,2,FALSE),0)</f>
        <v>68647.680000000008</v>
      </c>
      <c r="F63" s="304">
        <f t="shared" si="8"/>
        <v>354.00000000000006</v>
      </c>
      <c r="G63" s="304">
        <f t="shared" si="9"/>
        <v>29.500000000000004</v>
      </c>
      <c r="H63" s="304"/>
      <c r="I63" s="307">
        <f t="shared" si="13"/>
        <v>27.498203359610521</v>
      </c>
      <c r="J63" s="308"/>
      <c r="K63" s="308"/>
      <c r="L63" s="308"/>
      <c r="M63" s="369">
        <f t="shared" si="11"/>
        <v>9734.3639893021245</v>
      </c>
      <c r="N63" s="370"/>
      <c r="O63" s="1434">
        <f t="shared" si="12"/>
        <v>221.41820335961052</v>
      </c>
      <c r="P63" s="369">
        <f t="shared" si="14"/>
        <v>78382.043989302125</v>
      </c>
    </row>
    <row r="64" spans="1:16" s="303" customFormat="1" ht="12" customHeight="1">
      <c r="A64" s="290" t="s">
        <v>840</v>
      </c>
      <c r="B64" s="290" t="s">
        <v>839</v>
      </c>
      <c r="C64" s="305">
        <f>IFERROR(VLOOKUP(A64,'[44]RATES by Area 2017'!$H$6:$I$128,2,FALSE),0)</f>
        <v>387.83</v>
      </c>
      <c r="D64" s="344">
        <f>IFERROR(VLOOKUP(A64,'[44]REV by Area 2017'!$V$6:$W$132,2,FALSE),0)</f>
        <v>6787.0199999999995</v>
      </c>
      <c r="F64" s="304">
        <f t="shared" si="8"/>
        <v>17.499987107753398</v>
      </c>
      <c r="G64" s="304">
        <f t="shared" si="9"/>
        <v>1.4583322589794498</v>
      </c>
      <c r="H64" s="304"/>
      <c r="I64" s="307">
        <f t="shared" si="13"/>
        <v>54.994988701308522</v>
      </c>
      <c r="J64" s="308"/>
      <c r="K64" s="308"/>
      <c r="L64" s="308"/>
      <c r="M64" s="369">
        <f t="shared" si="11"/>
        <v>962.4115932639429</v>
      </c>
      <c r="N64" s="370"/>
      <c r="O64" s="1434">
        <f t="shared" si="12"/>
        <v>442.82498870130848</v>
      </c>
      <c r="P64" s="369">
        <f t="shared" si="14"/>
        <v>7749.431593263942</v>
      </c>
    </row>
    <row r="65" spans="1:16" s="303" customFormat="1" ht="12" customHeight="1">
      <c r="A65" s="290" t="s">
        <v>992</v>
      </c>
      <c r="B65" s="290" t="s">
        <v>991</v>
      </c>
      <c r="C65" s="305">
        <f>IFERROR(VLOOKUP(A65,'[44]RATES by Area 2017'!$H$6:$I$128,2,FALSE),0)</f>
        <v>387.83</v>
      </c>
      <c r="D65" s="344">
        <f>IFERROR(VLOOKUP(A65,'[44]REV by Area 2017'!$V$6:$W$132,2,FALSE),0)</f>
        <v>23269.800000000003</v>
      </c>
      <c r="F65" s="304">
        <f t="shared" si="8"/>
        <v>60.000000000000007</v>
      </c>
      <c r="G65" s="304">
        <f t="shared" si="9"/>
        <v>5.0000000000000009</v>
      </c>
      <c r="H65" s="304"/>
      <c r="I65" s="307">
        <f t="shared" si="13"/>
        <v>54.994988701308522</v>
      </c>
      <c r="J65" s="308"/>
      <c r="K65" s="308"/>
      <c r="L65" s="308"/>
      <c r="M65" s="369">
        <f t="shared" si="11"/>
        <v>3299.6993220785121</v>
      </c>
      <c r="N65" s="370"/>
      <c r="O65" s="1434">
        <f t="shared" si="12"/>
        <v>442.82498870130848</v>
      </c>
      <c r="P65" s="369">
        <f t="shared" si="14"/>
        <v>26569.499322078515</v>
      </c>
    </row>
    <row r="66" spans="1:16" s="303" customFormat="1" ht="12" customHeight="1">
      <c r="A66" s="290" t="s">
        <v>990</v>
      </c>
      <c r="B66" s="290" t="s">
        <v>989</v>
      </c>
      <c r="C66" s="305">
        <f>IFERROR(VLOOKUP(A66,'[44]RATES by Area 2017'!$H$6:$I$128,2,FALSE),0)</f>
        <v>581.75</v>
      </c>
      <c r="D66" s="344">
        <f>IFERROR(VLOOKUP(A66,'[44]REV by Area 2017'!$V$6:$W$132,2,FALSE),0)</f>
        <v>6981</v>
      </c>
      <c r="F66" s="304">
        <f t="shared" si="8"/>
        <v>12</v>
      </c>
      <c r="G66" s="304">
        <f t="shared" si="9"/>
        <v>1</v>
      </c>
      <c r="H66" s="304"/>
      <c r="I66" s="307">
        <f t="shared" si="13"/>
        <v>82.493192060919057</v>
      </c>
      <c r="J66" s="308"/>
      <c r="K66" s="308"/>
      <c r="L66" s="308"/>
      <c r="M66" s="369">
        <f t="shared" si="11"/>
        <v>989.91830473102868</v>
      </c>
      <c r="N66" s="370"/>
      <c r="O66" s="1434">
        <f t="shared" si="12"/>
        <v>664.243192060919</v>
      </c>
      <c r="P66" s="369">
        <f t="shared" si="14"/>
        <v>7970.9183047310289</v>
      </c>
    </row>
    <row r="67" spans="1:16" s="303" customFormat="1" ht="12" customHeight="1">
      <c r="A67" s="290" t="s">
        <v>988</v>
      </c>
      <c r="B67" s="290" t="s">
        <v>987</v>
      </c>
      <c r="C67" s="305">
        <f>IFERROR(VLOOKUP(A67,'[44]RATES by Area 2017'!$H$6:$I$128,2,FALSE),0)</f>
        <v>1163.5</v>
      </c>
      <c r="D67" s="344">
        <f>IFERROR(VLOOKUP(A67,'[44]REV by Area 2017'!$V$6:$W$132,2,FALSE),0)</f>
        <v>11053.26</v>
      </c>
      <c r="F67" s="304">
        <f t="shared" si="8"/>
        <v>9.5000085947571975</v>
      </c>
      <c r="G67" s="304">
        <f t="shared" si="9"/>
        <v>0.79166738289643312</v>
      </c>
      <c r="H67" s="304"/>
      <c r="I67" s="307">
        <f t="shared" si="13"/>
        <v>164.98638412183811</v>
      </c>
      <c r="J67" s="308"/>
      <c r="K67" s="308"/>
      <c r="L67" s="308"/>
      <c r="M67" s="369">
        <f t="shared" si="11"/>
        <v>1567.3720671753745</v>
      </c>
      <c r="N67" s="370"/>
      <c r="O67" s="1434">
        <f t="shared" si="12"/>
        <v>1328.486384121838</v>
      </c>
      <c r="P67" s="369">
        <f t="shared" si="14"/>
        <v>12620.632067175375</v>
      </c>
    </row>
    <row r="68" spans="1:16" s="303" customFormat="1" ht="12" customHeight="1">
      <c r="A68" s="290" t="s">
        <v>838</v>
      </c>
      <c r="B68" s="290" t="s">
        <v>837</v>
      </c>
      <c r="C68" s="305">
        <f>IFERROR(VLOOKUP(A68,'[44]RATES by Area 2017'!$H$6:$I$128,2,FALSE),0)</f>
        <v>257.54000000000002</v>
      </c>
      <c r="D68" s="344">
        <f>IFERROR(VLOOKUP(A68,'[44]REV by Area 2017'!$V$6:$W$132,2,FALSE),0)</f>
        <v>43073.64</v>
      </c>
      <c r="F68" s="304">
        <f t="shared" si="8"/>
        <v>167.25029121689832</v>
      </c>
      <c r="G68" s="304">
        <f t="shared" si="9"/>
        <v>13.93752426807486</v>
      </c>
      <c r="H68" s="304"/>
      <c r="I68" s="307">
        <f t="shared" si="13"/>
        <v>36.519633319070209</v>
      </c>
      <c r="J68" s="308"/>
      <c r="K68" s="308"/>
      <c r="L68" s="308"/>
      <c r="M68" s="369">
        <f t="shared" si="11"/>
        <v>6107.9193077488353</v>
      </c>
      <c r="N68" s="370"/>
      <c r="O68" s="1434">
        <f t="shared" si="12"/>
        <v>294.05963331907026</v>
      </c>
      <c r="P68" s="369">
        <f t="shared" si="14"/>
        <v>49181.559307748837</v>
      </c>
    </row>
    <row r="69" spans="1:16" s="303" customFormat="1" ht="12" customHeight="1">
      <c r="A69" s="290" t="s">
        <v>836</v>
      </c>
      <c r="B69" s="290" t="s">
        <v>835</v>
      </c>
      <c r="C69" s="305">
        <f>IFERROR(VLOOKUP(A69,'[44]RATES by Area 2017'!$H$6:$I$128,2,FALSE),0)</f>
        <v>515.09</v>
      </c>
      <c r="D69" s="344">
        <f>IFERROR(VLOOKUP(A69,'[44]REV by Area 2017'!$V$6:$W$132,2,FALSE),0)</f>
        <v>19058.34</v>
      </c>
      <c r="F69" s="304">
        <f t="shared" si="8"/>
        <v>37.000019414082971</v>
      </c>
      <c r="G69" s="304">
        <f t="shared" si="9"/>
        <v>3.083334951173581</v>
      </c>
      <c r="H69" s="304"/>
      <c r="I69" s="307">
        <f t="shared" ref="I69:I83" si="15">$I$5*C69</f>
        <v>73.040684656052932</v>
      </c>
      <c r="J69" s="308"/>
      <c r="K69" s="308"/>
      <c r="L69" s="308"/>
      <c r="M69" s="369">
        <f t="shared" si="11"/>
        <v>2702.506750291871</v>
      </c>
      <c r="N69" s="370"/>
      <c r="O69" s="1434">
        <f t="shared" si="12"/>
        <v>588.13068465605295</v>
      </c>
      <c r="P69" s="369">
        <f t="shared" si="14"/>
        <v>21760.846750291872</v>
      </c>
    </row>
    <row r="70" spans="1:16" s="303" customFormat="1" ht="12" customHeight="1">
      <c r="A70" s="290" t="s">
        <v>986</v>
      </c>
      <c r="B70" s="290" t="s">
        <v>985</v>
      </c>
      <c r="C70" s="305">
        <f>IFERROR(VLOOKUP(A70,'[44]RATES by Area 2017'!$H$6:$I$128,2,FALSE),0)</f>
        <v>515.09</v>
      </c>
      <c r="D70" s="344">
        <f>IFERROR(VLOOKUP(A70,'[44]REV by Area 2017'!$V$6:$W$132,2,FALSE),0)</f>
        <v>5150.9000000000005</v>
      </c>
      <c r="F70" s="304">
        <f t="shared" si="8"/>
        <v>10</v>
      </c>
      <c r="G70" s="304">
        <f t="shared" si="9"/>
        <v>0.83333333333333337</v>
      </c>
      <c r="H70" s="304"/>
      <c r="I70" s="307">
        <f t="shared" si="15"/>
        <v>73.040684656052932</v>
      </c>
      <c r="J70" s="308"/>
      <c r="K70" s="308"/>
      <c r="L70" s="308"/>
      <c r="M70" s="369">
        <f t="shared" si="11"/>
        <v>730.40684656052929</v>
      </c>
      <c r="N70" s="370"/>
      <c r="O70" s="1434">
        <f t="shared" si="12"/>
        <v>588.13068465605295</v>
      </c>
      <c r="P70" s="369">
        <f t="shared" si="14"/>
        <v>5881.3068465605302</v>
      </c>
    </row>
    <row r="71" spans="1:16" s="303" customFormat="1" ht="12" customHeight="1">
      <c r="A71" s="290" t="s">
        <v>984</v>
      </c>
      <c r="B71" s="290" t="s">
        <v>983</v>
      </c>
      <c r="C71" s="305">
        <f>IFERROR(VLOOKUP(A71,'[44]RATES by Area 2017'!$H$6:$I$128,2,FALSE),0)</f>
        <v>772.63</v>
      </c>
      <c r="D71" s="344">
        <f>IFERROR(VLOOKUP(A71,'[44]REV by Area 2017'!$V$6:$W$132,2,FALSE),0)</f>
        <v>9271.56</v>
      </c>
      <c r="F71" s="304">
        <f t="shared" si="8"/>
        <v>12</v>
      </c>
      <c r="G71" s="304">
        <f t="shared" si="9"/>
        <v>1</v>
      </c>
      <c r="H71" s="304"/>
      <c r="I71" s="307">
        <f t="shared" si="15"/>
        <v>109.56031797512314</v>
      </c>
      <c r="J71" s="308"/>
      <c r="K71" s="308"/>
      <c r="L71" s="308"/>
      <c r="M71" s="369">
        <f t="shared" si="11"/>
        <v>1314.7238157014776</v>
      </c>
      <c r="N71" s="370"/>
      <c r="O71" s="1434">
        <f t="shared" si="12"/>
        <v>882.19031797512309</v>
      </c>
      <c r="P71" s="369">
        <f t="shared" si="14"/>
        <v>10586.283815701478</v>
      </c>
    </row>
    <row r="72" spans="1:16" s="303" customFormat="1" ht="12" customHeight="1">
      <c r="A72" s="290" t="s">
        <v>982</v>
      </c>
      <c r="B72" s="290" t="s">
        <v>981</v>
      </c>
      <c r="C72" s="305">
        <f>IFERROR(VLOOKUP(A72,'[44]RATES by Area 2017'!$H$6:$I$128,2,FALSE),0)</f>
        <v>1030.17</v>
      </c>
      <c r="D72" s="344">
        <f>IFERROR(VLOOKUP(A72,'[44]REV by Area 2017'!$V$6:$W$132,2,FALSE),0)</f>
        <v>12362.04</v>
      </c>
      <c r="F72" s="304">
        <f t="shared" si="8"/>
        <v>12</v>
      </c>
      <c r="G72" s="304">
        <f t="shared" si="9"/>
        <v>1</v>
      </c>
      <c r="H72" s="304"/>
      <c r="I72" s="307">
        <f t="shared" si="15"/>
        <v>146.07995129419336</v>
      </c>
      <c r="J72" s="308"/>
      <c r="K72" s="308"/>
      <c r="L72" s="308"/>
      <c r="M72" s="369">
        <f t="shared" si="11"/>
        <v>1752.9594155303203</v>
      </c>
      <c r="N72" s="370"/>
      <c r="O72" s="1434">
        <f t="shared" si="12"/>
        <v>1176.2499512941934</v>
      </c>
      <c r="P72" s="369">
        <f t="shared" si="14"/>
        <v>14114.999415530321</v>
      </c>
    </row>
    <row r="73" spans="1:16" s="303" customFormat="1" ht="12" customHeight="1">
      <c r="A73" s="290" t="s">
        <v>980</v>
      </c>
      <c r="B73" s="290" t="s">
        <v>979</v>
      </c>
      <c r="C73" s="305">
        <f>IFERROR(VLOOKUP(A73,'[44]RATES by Area 2017'!$H$6:$I$128,2,FALSE),0)</f>
        <v>375.05</v>
      </c>
      <c r="D73" s="344">
        <f>IFERROR(VLOOKUP(A73,'[44]REV by Area 2017'!$V$6:$W$132,2,FALSE),0)</f>
        <v>40130.36</v>
      </c>
      <c r="F73" s="304">
        <f t="shared" si="8"/>
        <v>107.00002666311158</v>
      </c>
      <c r="G73" s="304">
        <f t="shared" si="9"/>
        <v>8.916668888592632</v>
      </c>
      <c r="H73" s="304"/>
      <c r="I73" s="307">
        <f t="shared" si="15"/>
        <v>53.182761809106474</v>
      </c>
      <c r="J73" s="308"/>
      <c r="K73" s="308"/>
      <c r="L73" s="308"/>
      <c r="M73" s="369">
        <f t="shared" si="11"/>
        <v>5690.5569315923049</v>
      </c>
      <c r="N73" s="370"/>
      <c r="O73" s="1434">
        <f t="shared" si="12"/>
        <v>428.23276180910648</v>
      </c>
      <c r="P73" s="369">
        <f t="shared" si="14"/>
        <v>45820.916931592306</v>
      </c>
    </row>
    <row r="74" spans="1:16" s="303" customFormat="1" ht="12" customHeight="1">
      <c r="A74" s="290" t="s">
        <v>834</v>
      </c>
      <c r="B74" s="290" t="s">
        <v>833</v>
      </c>
      <c r="C74" s="305">
        <f>IFERROR(VLOOKUP(A74,'[44]RATES by Area 2017'!$H$6:$I$128,2,FALSE),0)</f>
        <v>750.11</v>
      </c>
      <c r="D74" s="344">
        <f>IFERROR(VLOOKUP(A74,'[44]REV by Area 2017'!$V$6:$W$132,2,FALSE),0)</f>
        <v>7501.0999999999985</v>
      </c>
      <c r="F74" s="304">
        <f t="shared" si="8"/>
        <v>9.9999999999999982</v>
      </c>
      <c r="G74" s="304">
        <f t="shared" si="9"/>
        <v>0.83333333333333315</v>
      </c>
      <c r="H74" s="304"/>
      <c r="I74" s="307">
        <f t="shared" si="15"/>
        <v>106.36694163612546</v>
      </c>
      <c r="J74" s="308"/>
      <c r="K74" s="308"/>
      <c r="L74" s="308"/>
      <c r="M74" s="369">
        <f t="shared" si="11"/>
        <v>1063.6694163612542</v>
      </c>
      <c r="N74" s="370"/>
      <c r="O74" s="1434">
        <f t="shared" si="12"/>
        <v>856.4769416361255</v>
      </c>
      <c r="P74" s="369">
        <f t="shared" si="14"/>
        <v>8564.7694163612523</v>
      </c>
    </row>
    <row r="75" spans="1:16" s="303" customFormat="1" ht="12" customHeight="1">
      <c r="A75" s="290" t="s">
        <v>978</v>
      </c>
      <c r="B75" s="290" t="s">
        <v>977</v>
      </c>
      <c r="C75" s="305">
        <f>IFERROR(VLOOKUP(A75,'[44]RATES by Area 2017'!$H$6:$I$128,2,FALSE),0)</f>
        <v>750.11</v>
      </c>
      <c r="D75" s="344">
        <f>IFERROR(VLOOKUP(A75,'[44]REV by Area 2017'!$V$6:$W$132,2,FALSE),0)</f>
        <v>9001.32</v>
      </c>
      <c r="F75" s="304">
        <f t="shared" si="8"/>
        <v>12</v>
      </c>
      <c r="G75" s="304">
        <f t="shared" si="9"/>
        <v>1</v>
      </c>
      <c r="H75" s="304"/>
      <c r="I75" s="307">
        <f t="shared" si="15"/>
        <v>106.36694163612546</v>
      </c>
      <c r="J75" s="308"/>
      <c r="K75" s="308"/>
      <c r="L75" s="308"/>
      <c r="M75" s="369">
        <f t="shared" si="11"/>
        <v>1276.4032996335054</v>
      </c>
      <c r="N75" s="370"/>
      <c r="O75" s="1434">
        <f t="shared" si="12"/>
        <v>856.4769416361255</v>
      </c>
      <c r="P75" s="369">
        <f t="shared" si="14"/>
        <v>10277.723299633504</v>
      </c>
    </row>
    <row r="76" spans="1:16" s="303" customFormat="1" ht="12" customHeight="1">
      <c r="A76" s="290" t="s">
        <v>976</v>
      </c>
      <c r="B76" s="290" t="s">
        <v>975</v>
      </c>
      <c r="C76" s="305">
        <f>IFERROR(VLOOKUP(A76,'[44]RATES by Area 2017'!$H$6:$I$128,2,FALSE),0)</f>
        <v>1500.21</v>
      </c>
      <c r="D76" s="344">
        <f>IFERROR(VLOOKUP(A76,'[44]REV by Area 2017'!$V$6:$W$132,2,FALSE),0)</f>
        <v>18002.519999999997</v>
      </c>
      <c r="F76" s="304">
        <f t="shared" si="8"/>
        <v>11.999999999999998</v>
      </c>
      <c r="G76" s="304">
        <f t="shared" si="9"/>
        <v>0.99999999999999989</v>
      </c>
      <c r="H76" s="304"/>
      <c r="I76" s="307">
        <f t="shared" si="15"/>
        <v>212.73246525433842</v>
      </c>
      <c r="J76" s="308"/>
      <c r="K76" s="308"/>
      <c r="L76" s="308"/>
      <c r="M76" s="369">
        <f t="shared" si="11"/>
        <v>2552.7895830520606</v>
      </c>
      <c r="N76" s="370"/>
      <c r="O76" s="1434">
        <f t="shared" si="12"/>
        <v>1712.9424652543385</v>
      </c>
      <c r="P76" s="369">
        <f t="shared" si="14"/>
        <v>20555.309583052058</v>
      </c>
    </row>
    <row r="77" spans="1:16" s="303" customFormat="1" ht="12" customHeight="1">
      <c r="A77" s="290" t="s">
        <v>974</v>
      </c>
      <c r="B77" s="290" t="s">
        <v>973</v>
      </c>
      <c r="C77" s="305">
        <f>IFERROR(VLOOKUP(A77,'[44]RATES by Area 2017'!$H$6:$I$128,2,FALSE),0)</f>
        <v>1875.26</v>
      </c>
      <c r="D77" s="344">
        <f>IFERROR(VLOOKUP(A77,'[44]REV by Area 2017'!$V$6:$W$132,2,FALSE),0)</f>
        <v>22503.119999999995</v>
      </c>
      <c r="F77" s="304">
        <f t="shared" si="8"/>
        <v>11.999999999999998</v>
      </c>
      <c r="G77" s="304">
        <f t="shared" si="9"/>
        <v>0.99999999999999989</v>
      </c>
      <c r="H77" s="304"/>
      <c r="I77" s="307">
        <f t="shared" si="15"/>
        <v>265.91522706344489</v>
      </c>
      <c r="J77" s="308"/>
      <c r="K77" s="308"/>
      <c r="L77" s="308"/>
      <c r="M77" s="369">
        <f t="shared" si="11"/>
        <v>3190.982724761338</v>
      </c>
      <c r="N77" s="370"/>
      <c r="O77" s="1434">
        <f t="shared" si="12"/>
        <v>2141.1752270634447</v>
      </c>
      <c r="P77" s="369">
        <f t="shared" si="14"/>
        <v>25694.102724761335</v>
      </c>
    </row>
    <row r="78" spans="1:16" s="303" customFormat="1" ht="12" customHeight="1">
      <c r="A78" s="290" t="s">
        <v>972</v>
      </c>
      <c r="B78" s="290" t="s">
        <v>971</v>
      </c>
      <c r="C78" s="305">
        <f>IFERROR(VLOOKUP(A78,'[44]RATES by Area 2017'!$H$6:$I$128,2,FALSE),0)</f>
        <v>488.17</v>
      </c>
      <c r="D78" s="344">
        <f>IFERROR(VLOOKUP(A78,'[44]REV by Area 2017'!$V$6:$W$132,2,FALSE),0)</f>
        <v>5858.04</v>
      </c>
      <c r="F78" s="304">
        <f t="shared" si="8"/>
        <v>12</v>
      </c>
      <c r="G78" s="304">
        <f t="shared" si="9"/>
        <v>1</v>
      </c>
      <c r="H78" s="304"/>
      <c r="I78" s="307">
        <f t="shared" si="15"/>
        <v>69.223380435545948</v>
      </c>
      <c r="J78" s="308"/>
      <c r="K78" s="308"/>
      <c r="L78" s="308"/>
      <c r="M78" s="369">
        <f t="shared" si="11"/>
        <v>830.68056522655138</v>
      </c>
      <c r="N78" s="370"/>
      <c r="O78" s="1434">
        <f t="shared" si="12"/>
        <v>557.39338043554596</v>
      </c>
      <c r="P78" s="369">
        <f t="shared" si="14"/>
        <v>6688.7205652265511</v>
      </c>
    </row>
    <row r="79" spans="1:16" s="303" customFormat="1" ht="12" customHeight="1">
      <c r="A79" s="290" t="s">
        <v>970</v>
      </c>
      <c r="B79" s="290" t="s">
        <v>969</v>
      </c>
      <c r="C79" s="305">
        <f>IFERROR(VLOOKUP(A79,'[44]RATES by Area 2017'!$H$6:$I$128,2,FALSE),0)</f>
        <v>976.33</v>
      </c>
      <c r="D79" s="344">
        <f>IFERROR(VLOOKUP(A79,'[44]REV by Area 2017'!$V$6:$W$132,2,FALSE),0)</f>
        <v>11715.960000000001</v>
      </c>
      <c r="F79" s="304">
        <f t="shared" si="8"/>
        <v>12</v>
      </c>
      <c r="G79" s="304">
        <f t="shared" si="9"/>
        <v>1</v>
      </c>
      <c r="H79" s="304"/>
      <c r="I79" s="307">
        <f t="shared" si="15"/>
        <v>138.44534285317937</v>
      </c>
      <c r="J79" s="308"/>
      <c r="K79" s="308"/>
      <c r="L79" s="308"/>
      <c r="M79" s="369">
        <f t="shared" si="11"/>
        <v>1661.3441142381525</v>
      </c>
      <c r="N79" s="370"/>
      <c r="O79" s="1434">
        <f t="shared" si="12"/>
        <v>1114.7753428531794</v>
      </c>
      <c r="P79" s="369">
        <f t="shared" si="14"/>
        <v>13377.304114238153</v>
      </c>
    </row>
    <row r="80" spans="1:16" s="303" customFormat="1" ht="12" customHeight="1">
      <c r="A80" s="290" t="s">
        <v>822</v>
      </c>
      <c r="B80" s="290" t="s">
        <v>821</v>
      </c>
      <c r="C80" s="305">
        <f>IFERROR(VLOOKUP(A80,'[44]RATES by Area 2017'!$H$6:$I$128,2,FALSE),0)</f>
        <v>18.5</v>
      </c>
      <c r="D80" s="344">
        <f>IFERROR(VLOOKUP(A80,'[44]REV by Area 2017'!$V$6:$W$132,2,FALSE),0)</f>
        <v>10614.42</v>
      </c>
      <c r="F80" s="304">
        <f t="shared" si="8"/>
        <v>573.75243243243244</v>
      </c>
      <c r="G80" s="304">
        <f t="shared" si="9"/>
        <v>47.812702702702701</v>
      </c>
      <c r="H80" s="304"/>
      <c r="I80" s="307">
        <f t="shared" si="15"/>
        <v>2.6233331381641642</v>
      </c>
      <c r="J80" s="308"/>
      <c r="K80" s="308"/>
      <c r="L80" s="308"/>
      <c r="M80" s="369">
        <f t="shared" si="11"/>
        <v>1505.1437691022957</v>
      </c>
      <c r="N80" s="370"/>
      <c r="O80" s="1434">
        <f t="shared" si="12"/>
        <v>21.123333138164163</v>
      </c>
      <c r="P80" s="369">
        <f t="shared" si="14"/>
        <v>12119.563769102297</v>
      </c>
    </row>
    <row r="81" spans="1:16" s="303" customFormat="1" ht="12" customHeight="1">
      <c r="A81" s="290" t="s">
        <v>820</v>
      </c>
      <c r="B81" s="290" t="s">
        <v>819</v>
      </c>
      <c r="C81" s="305">
        <f>IFERROR(VLOOKUP(A81,'[44]RATES by Area 2017'!$H$6:$I$128,2,FALSE),0)</f>
        <v>36.9</v>
      </c>
      <c r="D81" s="344">
        <f>IFERROR(VLOOKUP(A81,'[44]REV by Area 2017'!$V$6:$W$132,2,FALSE),0)</f>
        <v>2887.43</v>
      </c>
      <c r="F81" s="304">
        <f t="shared" si="8"/>
        <v>78.250135501355018</v>
      </c>
      <c r="G81" s="304">
        <f t="shared" si="9"/>
        <v>6.5208446251129182</v>
      </c>
      <c r="H81" s="304"/>
      <c r="I81" s="307">
        <f t="shared" si="15"/>
        <v>5.2324860972031164</v>
      </c>
      <c r="J81" s="308"/>
      <c r="K81" s="308"/>
      <c r="L81" s="308"/>
      <c r="M81" s="369">
        <f t="shared" ref="M81:M112" si="16">G81*SUM(I81:J81)*12</f>
        <v>409.44274611510014</v>
      </c>
      <c r="N81" s="370"/>
      <c r="O81" s="1434">
        <f t="shared" ref="O81:O112" si="17">+C81+SUM(I81:J81)</f>
        <v>42.132486097203113</v>
      </c>
      <c r="P81" s="369">
        <f t="shared" si="14"/>
        <v>3296.8727461151002</v>
      </c>
    </row>
    <row r="82" spans="1:16" s="303" customFormat="1" ht="12" customHeight="1">
      <c r="A82" s="290" t="s">
        <v>968</v>
      </c>
      <c r="B82" s="290" t="s">
        <v>967</v>
      </c>
      <c r="C82" s="305">
        <f>IFERROR(VLOOKUP(A82,'[44]RATES by Area 2017'!$H$6:$I$128,2,FALSE),0)</f>
        <v>55.35</v>
      </c>
      <c r="D82" s="344">
        <f>IFERROR(VLOOKUP(A82,'[44]REV by Area 2017'!$V$6:$W$132,2,FALSE),0)</f>
        <v>0</v>
      </c>
      <c r="F82" s="304">
        <f t="shared" si="8"/>
        <v>0</v>
      </c>
      <c r="G82" s="304">
        <f t="shared" si="9"/>
        <v>0</v>
      </c>
      <c r="H82" s="304"/>
      <c r="I82" s="307">
        <f t="shared" si="15"/>
        <v>7.8487291458046746</v>
      </c>
      <c r="J82" s="308"/>
      <c r="K82" s="308"/>
      <c r="L82" s="308"/>
      <c r="M82" s="369">
        <f t="shared" si="16"/>
        <v>0</v>
      </c>
      <c r="N82" s="370"/>
      <c r="O82" s="1434">
        <f t="shared" si="17"/>
        <v>63.198729145804677</v>
      </c>
      <c r="P82" s="369">
        <f t="shared" si="14"/>
        <v>0</v>
      </c>
    </row>
    <row r="83" spans="1:16" s="303" customFormat="1" ht="12" customHeight="1">
      <c r="A83" s="290" t="s">
        <v>818</v>
      </c>
      <c r="B83" s="290" t="s">
        <v>817</v>
      </c>
      <c r="C83" s="305">
        <f>IFERROR(VLOOKUP(A83,'[44]RATES by Area 2017'!$H$6:$I$128,2,FALSE),0)</f>
        <v>34.409999999999997</v>
      </c>
      <c r="D83" s="344">
        <f>IFERROR(VLOOKUP(A83,'[44]REV by Area 2017'!$V$6:$W$132,2,FALSE),0)</f>
        <v>15178.949999999999</v>
      </c>
      <c r="F83" s="304">
        <f t="shared" si="8"/>
        <v>441.12031386224936</v>
      </c>
      <c r="G83" s="304">
        <f t="shared" si="9"/>
        <v>36.760026155187447</v>
      </c>
      <c r="H83" s="304"/>
      <c r="I83" s="307">
        <f t="shared" si="15"/>
        <v>4.8793996369853447</v>
      </c>
      <c r="J83" s="308"/>
      <c r="K83" s="308"/>
      <c r="L83" s="308"/>
      <c r="M83" s="369">
        <f t="shared" si="16"/>
        <v>2152.4022993263211</v>
      </c>
      <c r="N83" s="370"/>
      <c r="O83" s="1434">
        <f t="shared" si="17"/>
        <v>39.289399636985344</v>
      </c>
      <c r="P83" s="369">
        <f t="shared" si="14"/>
        <v>17331.352299326321</v>
      </c>
    </row>
    <row r="84" spans="1:16" s="303" customFormat="1" ht="12" customHeight="1">
      <c r="A84" s="290" t="s">
        <v>966</v>
      </c>
      <c r="B84" s="290" t="s">
        <v>965</v>
      </c>
      <c r="C84" s="305">
        <f>IFERROR(VLOOKUP(A84,'[44]RATES by Area 2017'!$H$6:$I$128,2,FALSE),0)</f>
        <v>68.83</v>
      </c>
      <c r="D84" s="344">
        <f>IFERROR(VLOOKUP(A84,'[44]REV by Area 2017'!$V$6:$W$132,2,FALSE),0)</f>
        <v>3303.8400000000006</v>
      </c>
      <c r="F84" s="304">
        <f t="shared" si="8"/>
        <v>48.000000000000007</v>
      </c>
      <c r="G84" s="304">
        <f t="shared" si="9"/>
        <v>4.0000000000000009</v>
      </c>
      <c r="H84" s="304"/>
      <c r="I84" s="307">
        <f t="shared" ref="I84:I104" si="18">$I$5*C84</f>
        <v>9.7602172918832117</v>
      </c>
      <c r="J84" s="308"/>
      <c r="K84" s="308"/>
      <c r="L84" s="308"/>
      <c r="M84" s="369">
        <f t="shared" si="16"/>
        <v>468.49043001039422</v>
      </c>
      <c r="N84" s="370"/>
      <c r="O84" s="1434">
        <f t="shared" si="17"/>
        <v>78.590217291883206</v>
      </c>
      <c r="P84" s="369">
        <f t="shared" si="14"/>
        <v>3772.3304300103946</v>
      </c>
    </row>
    <row r="85" spans="1:16" s="303" customFormat="1" ht="12" customHeight="1">
      <c r="A85" s="290" t="s">
        <v>964</v>
      </c>
      <c r="B85" s="290" t="s">
        <v>963</v>
      </c>
      <c r="C85" s="305">
        <f>IFERROR(VLOOKUP(A85,'[44]RATES by Area 2017'!$H$6:$I$128,2,FALSE),0)</f>
        <v>172.07</v>
      </c>
      <c r="D85" s="344">
        <f>IFERROR(VLOOKUP(A85,'[44]REV by Area 2017'!$V$6:$W$132,2,FALSE),0)</f>
        <v>2064.8399999999997</v>
      </c>
      <c r="F85" s="304">
        <f t="shared" si="8"/>
        <v>11.999999999999998</v>
      </c>
      <c r="G85" s="304">
        <f t="shared" si="9"/>
        <v>0.99999999999999989</v>
      </c>
      <c r="H85" s="304"/>
      <c r="I85" s="307">
        <f t="shared" si="18"/>
        <v>24.399834220751767</v>
      </c>
      <c r="J85" s="308"/>
      <c r="K85" s="308"/>
      <c r="L85" s="308"/>
      <c r="M85" s="369">
        <f t="shared" si="16"/>
        <v>292.79801064902119</v>
      </c>
      <c r="N85" s="370"/>
      <c r="O85" s="1434">
        <f t="shared" si="17"/>
        <v>196.46983422075175</v>
      </c>
      <c r="P85" s="369">
        <f t="shared" si="14"/>
        <v>2357.638010649021</v>
      </c>
    </row>
    <row r="86" spans="1:16" s="303" customFormat="1" ht="12" customHeight="1">
      <c r="A86" s="290" t="s">
        <v>816</v>
      </c>
      <c r="B86" s="290" t="s">
        <v>815</v>
      </c>
      <c r="C86" s="305">
        <f>IFERROR(VLOOKUP(A86,'[44]RATES by Area 2017'!$H$6:$I$128,2,FALSE),0)</f>
        <v>41.17</v>
      </c>
      <c r="D86" s="344">
        <f>IFERROR(VLOOKUP(A86,'[44]REV by Area 2017'!$V$6:$W$132,2,FALSE),0)</f>
        <v>66345.48</v>
      </c>
      <c r="F86" s="304">
        <f t="shared" si="8"/>
        <v>1611.5006072382801</v>
      </c>
      <c r="G86" s="304">
        <f t="shared" si="9"/>
        <v>134.29171726985666</v>
      </c>
      <c r="H86" s="304"/>
      <c r="I86" s="307">
        <f t="shared" si="18"/>
        <v>5.8379797458496565</v>
      </c>
      <c r="J86" s="308"/>
      <c r="K86" s="308"/>
      <c r="L86" s="308"/>
      <c r="M86" s="369">
        <f t="shared" si="16"/>
        <v>9407.9079054815011</v>
      </c>
      <c r="N86" s="370"/>
      <c r="O86" s="1434">
        <f t="shared" si="17"/>
        <v>47.00797974584966</v>
      </c>
      <c r="P86" s="369">
        <f t="shared" si="14"/>
        <v>75753.387905481504</v>
      </c>
    </row>
    <row r="87" spans="1:16" s="303" customFormat="1" ht="12" customHeight="1">
      <c r="A87" s="290" t="s">
        <v>814</v>
      </c>
      <c r="B87" s="290" t="s">
        <v>813</v>
      </c>
      <c r="C87" s="305">
        <f>IFERROR(VLOOKUP(A87,'[44]RATES by Area 2017'!$H$6:$I$128,2,FALSE),0)</f>
        <v>82.33</v>
      </c>
      <c r="D87" s="344">
        <f>IFERROR(VLOOKUP(A87,'[44]REV by Area 2017'!$V$6:$W$132,2,FALSE),0)</f>
        <v>12915.13</v>
      </c>
      <c r="F87" s="304">
        <f t="shared" si="8"/>
        <v>156.87027814891292</v>
      </c>
      <c r="G87" s="304">
        <f t="shared" si="9"/>
        <v>13.072523179076077</v>
      </c>
      <c r="H87" s="304"/>
      <c r="I87" s="307">
        <f t="shared" si="18"/>
        <v>11.674541473786791</v>
      </c>
      <c r="J87" s="308"/>
      <c r="K87" s="308"/>
      <c r="L87" s="308"/>
      <c r="M87" s="369">
        <f t="shared" si="16"/>
        <v>1831.3885682539535</v>
      </c>
      <c r="N87" s="370"/>
      <c r="O87" s="1434">
        <f t="shared" si="17"/>
        <v>94.004541473786787</v>
      </c>
      <c r="P87" s="369">
        <f t="shared" si="14"/>
        <v>14746.518568253952</v>
      </c>
    </row>
    <row r="88" spans="1:16" s="303" customFormat="1" ht="12" customHeight="1">
      <c r="A88" s="290" t="s">
        <v>962</v>
      </c>
      <c r="B88" s="290" t="s">
        <v>961</v>
      </c>
      <c r="C88" s="305">
        <f>IFERROR(VLOOKUP(A88,'[44]RATES by Area 2017'!$H$6:$I$128,2,FALSE),0)</f>
        <v>82.33</v>
      </c>
      <c r="D88" s="344">
        <f>IFERROR(VLOOKUP(A88,'[44]REV by Area 2017'!$V$6:$W$132,2,FALSE),0)</f>
        <v>987.97000000000025</v>
      </c>
      <c r="F88" s="304">
        <f t="shared" si="8"/>
        <v>12.000121462407389</v>
      </c>
      <c r="G88" s="304">
        <f t="shared" si="9"/>
        <v>1.0000101218672823</v>
      </c>
      <c r="H88" s="304"/>
      <c r="I88" s="307">
        <f t="shared" si="18"/>
        <v>11.674541473786791</v>
      </c>
      <c r="J88" s="308"/>
      <c r="K88" s="308"/>
      <c r="L88" s="308"/>
      <c r="M88" s="369">
        <f t="shared" si="16"/>
        <v>140.09591570335405</v>
      </c>
      <c r="N88" s="370"/>
      <c r="O88" s="1434">
        <f t="shared" si="17"/>
        <v>94.004541473786787</v>
      </c>
      <c r="P88" s="369">
        <f t="shared" si="14"/>
        <v>1128.0659157033542</v>
      </c>
    </row>
    <row r="89" spans="1:16" s="303" customFormat="1" ht="12" customHeight="1">
      <c r="A89" s="290" t="s">
        <v>960</v>
      </c>
      <c r="B89" s="290" t="s">
        <v>959</v>
      </c>
      <c r="C89" s="305">
        <f>IFERROR(VLOOKUP(A89,'[44]RATES by Area 2017'!$H$6:$I$128,2,FALSE),0)</f>
        <v>329.3</v>
      </c>
      <c r="D89" s="344">
        <f>IFERROR(VLOOKUP(A89,'[44]REV by Area 2017'!$V$6:$W$132,2,FALSE),0)</f>
        <v>3951.6000000000008</v>
      </c>
      <c r="F89" s="304">
        <f t="shared" si="8"/>
        <v>12.000000000000002</v>
      </c>
      <c r="G89" s="304">
        <f t="shared" si="9"/>
        <v>1.0000000000000002</v>
      </c>
      <c r="H89" s="304"/>
      <c r="I89" s="307">
        <f t="shared" si="18"/>
        <v>46.695329859322122</v>
      </c>
      <c r="J89" s="308"/>
      <c r="K89" s="308"/>
      <c r="L89" s="308"/>
      <c r="M89" s="369">
        <f t="shared" si="16"/>
        <v>560.34395831186555</v>
      </c>
      <c r="N89" s="370"/>
      <c r="O89" s="1434">
        <f t="shared" si="17"/>
        <v>375.99532985932211</v>
      </c>
      <c r="P89" s="369">
        <f t="shared" si="14"/>
        <v>4511.9439583118665</v>
      </c>
    </row>
    <row r="90" spans="1:16" s="303" customFormat="1" ht="12" customHeight="1">
      <c r="A90" s="292" t="s">
        <v>832</v>
      </c>
      <c r="B90" s="292" t="s">
        <v>831</v>
      </c>
      <c r="C90" s="305">
        <f>IFERROR(VLOOKUP(A90,'[44]RATES by Area 2017'!$H$6:$I$128,2,FALSE),0)</f>
        <v>18.36</v>
      </c>
      <c r="D90" s="344">
        <f>IFERROR(VLOOKUP(A90,'[44]REV by Area 2017'!$V$6:$W$132,2,FALSE),0)</f>
        <v>110.16</v>
      </c>
      <c r="F90" s="304">
        <f t="shared" si="8"/>
        <v>6</v>
      </c>
      <c r="G90" s="304">
        <f t="shared" si="9"/>
        <v>0.5</v>
      </c>
      <c r="H90" s="304"/>
      <c r="I90" s="307">
        <f t="shared" si="18"/>
        <v>2.6034808873888675</v>
      </c>
      <c r="J90" s="308"/>
      <c r="K90" s="308"/>
      <c r="L90" s="308"/>
      <c r="M90" s="369">
        <f t="shared" si="16"/>
        <v>15.620885324333205</v>
      </c>
      <c r="N90" s="370"/>
      <c r="O90" s="1434">
        <f t="shared" si="17"/>
        <v>20.963480887388869</v>
      </c>
      <c r="P90" s="369">
        <f t="shared" si="14"/>
        <v>125.7808853243332</v>
      </c>
    </row>
    <row r="91" spans="1:16" s="303" customFormat="1" ht="12" customHeight="1">
      <c r="A91" s="292" t="s">
        <v>830</v>
      </c>
      <c r="B91" s="292" t="s">
        <v>829</v>
      </c>
      <c r="C91" s="305">
        <f>IFERROR(VLOOKUP(A91,'[44]RATES by Area 2017'!$H$6:$I$128,2,FALSE),0)</f>
        <v>27.66</v>
      </c>
      <c r="D91" s="344">
        <f>IFERROR(VLOOKUP(A91,'[44]REV by Area 2017'!$V$6:$W$132,2,FALSE),0)</f>
        <v>165.96</v>
      </c>
      <c r="F91" s="304">
        <f t="shared" si="8"/>
        <v>6</v>
      </c>
      <c r="G91" s="304">
        <f t="shared" si="9"/>
        <v>0.5</v>
      </c>
      <c r="H91" s="304"/>
      <c r="I91" s="307">
        <f t="shared" si="18"/>
        <v>3.9222375460335557</v>
      </c>
      <c r="J91" s="308"/>
      <c r="K91" s="308"/>
      <c r="L91" s="308"/>
      <c r="M91" s="369">
        <f t="shared" si="16"/>
        <v>23.533425276201335</v>
      </c>
      <c r="N91" s="370"/>
      <c r="O91" s="1434">
        <f t="shared" si="17"/>
        <v>31.582237546033557</v>
      </c>
      <c r="P91" s="369">
        <f t="shared" si="14"/>
        <v>189.49342527620135</v>
      </c>
    </row>
    <row r="92" spans="1:16" s="303" customFormat="1" ht="12" customHeight="1">
      <c r="A92" s="292" t="s">
        <v>828</v>
      </c>
      <c r="B92" s="292" t="s">
        <v>827</v>
      </c>
      <c r="C92" s="305">
        <f>IFERROR(VLOOKUP(A92,'[44]RATES by Area 2017'!$H$6:$I$128,2,FALSE),0)</f>
        <v>38.18</v>
      </c>
      <c r="D92" s="344">
        <f>IFERROR(VLOOKUP(A92,'[44]REV by Area 2017'!$V$6:$W$132,2,FALSE),0)</f>
        <v>1030.44</v>
      </c>
      <c r="F92" s="304">
        <f t="shared" si="8"/>
        <v>26.988999476165532</v>
      </c>
      <c r="G92" s="304">
        <f t="shared" si="9"/>
        <v>2.2490832896804611</v>
      </c>
      <c r="H92" s="304"/>
      <c r="I92" s="307">
        <f t="shared" si="18"/>
        <v>5.4139923900058262</v>
      </c>
      <c r="J92" s="308"/>
      <c r="K92" s="308"/>
      <c r="L92" s="308"/>
      <c r="M92" s="369">
        <f t="shared" si="16"/>
        <v>146.11823777783141</v>
      </c>
      <c r="N92" s="370"/>
      <c r="O92" s="1434">
        <f t="shared" si="17"/>
        <v>43.593992390005823</v>
      </c>
      <c r="P92" s="369">
        <f t="shared" si="14"/>
        <v>1176.5582377778314</v>
      </c>
    </row>
    <row r="93" spans="1:16" s="303" customFormat="1" ht="12" customHeight="1">
      <c r="A93" s="292" t="s">
        <v>826</v>
      </c>
      <c r="B93" s="292" t="s">
        <v>825</v>
      </c>
      <c r="C93" s="305">
        <f>IFERROR(VLOOKUP(A93,'[44]RATES by Area 2017'!$H$6:$I$128,2,FALSE),0)</f>
        <v>51.27</v>
      </c>
      <c r="D93" s="344">
        <f>IFERROR(VLOOKUP(A93,'[44]REV by Area 2017'!$V$6:$W$132,2,FALSE),0)</f>
        <v>3024.9299999999994</v>
      </c>
      <c r="F93" s="304">
        <f t="shared" si="8"/>
        <v>58.999999999999986</v>
      </c>
      <c r="G93" s="304">
        <f t="shared" si="9"/>
        <v>4.9166666666666652</v>
      </c>
      <c r="H93" s="304"/>
      <c r="I93" s="307">
        <f t="shared" si="18"/>
        <v>7.2701778374960382</v>
      </c>
      <c r="J93" s="308"/>
      <c r="K93" s="308"/>
      <c r="L93" s="308"/>
      <c r="M93" s="369">
        <f t="shared" si="16"/>
        <v>428.94049241226611</v>
      </c>
      <c r="N93" s="370"/>
      <c r="O93" s="1434">
        <f t="shared" si="17"/>
        <v>58.540177837496039</v>
      </c>
      <c r="P93" s="369">
        <f t="shared" si="14"/>
        <v>3453.8704924122653</v>
      </c>
    </row>
    <row r="94" spans="1:16" s="303" customFormat="1" ht="12" customHeight="1">
      <c r="A94" s="292" t="s">
        <v>824</v>
      </c>
      <c r="B94" s="292" t="s">
        <v>823</v>
      </c>
      <c r="C94" s="305">
        <f>IFERROR(VLOOKUP(A94,'[44]RATES by Area 2017'!$H$6:$I$128,2,FALSE),0)</f>
        <v>67.27</v>
      </c>
      <c r="D94" s="344">
        <f>IFERROR(VLOOKUP(A94,'[44]REV by Area 2017'!$V$6:$W$132,2,FALSE),0)</f>
        <v>8038.7599999999993</v>
      </c>
      <c r="F94" s="304">
        <f t="shared" si="8"/>
        <v>119.4999256726624</v>
      </c>
      <c r="G94" s="304">
        <f t="shared" si="9"/>
        <v>9.9583271393885333</v>
      </c>
      <c r="H94" s="304"/>
      <c r="I94" s="307">
        <f t="shared" si="18"/>
        <v>9.5390064975299076</v>
      </c>
      <c r="J94" s="308"/>
      <c r="K94" s="308"/>
      <c r="L94" s="308"/>
      <c r="M94" s="369">
        <f t="shared" si="16"/>
        <v>1139.9105674458676</v>
      </c>
      <c r="N94" s="370"/>
      <c r="O94" s="1434">
        <f t="shared" si="17"/>
        <v>76.809006497529907</v>
      </c>
      <c r="P94" s="369">
        <f t="shared" si="14"/>
        <v>9178.6705674458663</v>
      </c>
    </row>
    <row r="95" spans="1:16" s="303" customFormat="1" ht="12" customHeight="1">
      <c r="A95" s="290" t="s">
        <v>806</v>
      </c>
      <c r="B95" s="290" t="s">
        <v>805</v>
      </c>
      <c r="C95" s="305">
        <f>IFERROR(VLOOKUP(A95,'[44]RATES by Area 2017'!$H$6:$I$128,2,FALSE),0)</f>
        <v>4.26</v>
      </c>
      <c r="D95" s="344">
        <f>IFERROR(VLOOKUP(A95,'[44]REV by Area 2017'!$V$6:$W$132,2,FALSE),0)</f>
        <v>14080.189999999999</v>
      </c>
      <c r="F95" s="304">
        <f t="shared" ref="F95:F122" si="19">IFERROR(D95/C95,0)</f>
        <v>3305.2089201877934</v>
      </c>
      <c r="G95" s="304">
        <f t="shared" si="9"/>
        <v>275.43407668231612</v>
      </c>
      <c r="H95" s="304"/>
      <c r="I95" s="307">
        <f t="shared" si="18"/>
        <v>0.60407563073401827</v>
      </c>
      <c r="J95" s="308"/>
      <c r="K95" s="308"/>
      <c r="L95" s="308"/>
      <c r="M95" s="369">
        <f t="shared" si="16"/>
        <v>1996.5961631701448</v>
      </c>
      <c r="N95" s="370"/>
      <c r="O95" s="1434">
        <f t="shared" si="17"/>
        <v>4.8640756307340176</v>
      </c>
      <c r="P95" s="369">
        <f t="shared" si="14"/>
        <v>16076.786163170143</v>
      </c>
    </row>
    <row r="96" spans="1:16" s="303" customFormat="1" ht="12" customHeight="1">
      <c r="A96" s="290" t="s">
        <v>958</v>
      </c>
      <c r="B96" s="290" t="s">
        <v>957</v>
      </c>
      <c r="C96" s="305">
        <f>IFERROR(VLOOKUP(A96,'[44]RATES by Area 2017'!$H$6:$I$128,2,FALSE),0)</f>
        <v>4.26</v>
      </c>
      <c r="D96" s="344">
        <f>IFERROR(VLOOKUP(A96,'[44]REV by Area 2017'!$V$6:$W$132,2,FALSE),0)</f>
        <v>25.559999999999995</v>
      </c>
      <c r="F96" s="304">
        <f t="shared" si="19"/>
        <v>5.9999999999999991</v>
      </c>
      <c r="G96" s="304">
        <f t="shared" si="9"/>
        <v>0.49999999999999994</v>
      </c>
      <c r="H96" s="304"/>
      <c r="I96" s="307">
        <f t="shared" si="18"/>
        <v>0.60407563073401827</v>
      </c>
      <c r="J96" s="308"/>
      <c r="K96" s="308"/>
      <c r="L96" s="308"/>
      <c r="M96" s="369">
        <f t="shared" si="16"/>
        <v>3.6244537844041087</v>
      </c>
      <c r="N96" s="370"/>
      <c r="O96" s="1434">
        <f t="shared" si="17"/>
        <v>4.8640756307340176</v>
      </c>
      <c r="P96" s="369">
        <f t="shared" si="14"/>
        <v>29.184453784404106</v>
      </c>
    </row>
    <row r="97" spans="1:16" s="303" customFormat="1" ht="12" customHeight="1">
      <c r="A97" s="290" t="s">
        <v>956</v>
      </c>
      <c r="B97" s="290" t="s">
        <v>955</v>
      </c>
      <c r="C97" s="305">
        <f>IFERROR(VLOOKUP(A97,'[44]RATES by Area 2017'!$H$6:$I$128,2,FALSE),0)</f>
        <v>4.26</v>
      </c>
      <c r="D97" s="344">
        <f>IFERROR(VLOOKUP(A97,'[44]REV by Area 2017'!$V$6:$W$132,2,FALSE),0)</f>
        <v>0</v>
      </c>
      <c r="F97" s="304">
        <f t="shared" si="19"/>
        <v>0</v>
      </c>
      <c r="G97" s="304">
        <f t="shared" si="9"/>
        <v>0</v>
      </c>
      <c r="H97" s="304"/>
      <c r="I97" s="307">
        <f t="shared" si="18"/>
        <v>0.60407563073401827</v>
      </c>
      <c r="J97" s="308"/>
      <c r="K97" s="308"/>
      <c r="L97" s="308"/>
      <c r="M97" s="369">
        <f t="shared" si="16"/>
        <v>0</v>
      </c>
      <c r="N97" s="370"/>
      <c r="O97" s="1434">
        <f t="shared" si="17"/>
        <v>4.8640756307340176</v>
      </c>
      <c r="P97" s="369">
        <f t="shared" si="14"/>
        <v>0</v>
      </c>
    </row>
    <row r="98" spans="1:16" s="303" customFormat="1" ht="12" customHeight="1">
      <c r="A98" s="290" t="s">
        <v>810</v>
      </c>
      <c r="B98" s="290" t="s">
        <v>809</v>
      </c>
      <c r="C98" s="305">
        <f>IFERROR(VLOOKUP(A98,'[44]RATES by Area 2017'!$H$6:$I$128,2,FALSE),0)</f>
        <v>38.159999999999997</v>
      </c>
      <c r="D98" s="344">
        <f>IFERROR(VLOOKUP(A98,'[44]REV by Area 2017'!$V$6:$W$132,2,FALSE),0)</f>
        <v>343.43999999999994</v>
      </c>
      <c r="F98" s="304">
        <f t="shared" si="19"/>
        <v>9</v>
      </c>
      <c r="G98" s="304">
        <f t="shared" si="9"/>
        <v>0.75</v>
      </c>
      <c r="H98" s="304"/>
      <c r="I98" s="307">
        <f t="shared" si="18"/>
        <v>5.4111563541807834</v>
      </c>
      <c r="J98" s="308"/>
      <c r="K98" s="308"/>
      <c r="L98" s="308"/>
      <c r="M98" s="369">
        <f t="shared" si="16"/>
        <v>48.70040718762705</v>
      </c>
      <c r="N98" s="370"/>
      <c r="O98" s="1434">
        <f t="shared" si="17"/>
        <v>43.571156354180779</v>
      </c>
      <c r="P98" s="369">
        <f t="shared" si="14"/>
        <v>392.14040718762698</v>
      </c>
    </row>
    <row r="99" spans="1:16" s="303" customFormat="1" ht="12" customHeight="1">
      <c r="A99" s="290" t="s">
        <v>808</v>
      </c>
      <c r="B99" s="290" t="s">
        <v>807</v>
      </c>
      <c r="C99" s="305">
        <f>IFERROR(VLOOKUP(A99,'[44]RATES by Area 2017'!$H$6:$I$128,2,FALSE),0)</f>
        <v>54.86</v>
      </c>
      <c r="D99" s="344">
        <f>IFERROR(VLOOKUP(A99,'[44]REV by Area 2017'!$V$6:$W$132,2,FALSE),0)</f>
        <v>1261.1199999999997</v>
      </c>
      <c r="F99" s="304">
        <f t="shared" si="19"/>
        <v>22.987969376594965</v>
      </c>
      <c r="G99" s="304">
        <f t="shared" si="9"/>
        <v>1.915664114716247</v>
      </c>
      <c r="H99" s="304"/>
      <c r="I99" s="307">
        <f t="shared" si="18"/>
        <v>7.7792462680911374</v>
      </c>
      <c r="J99" s="308"/>
      <c r="K99" s="308"/>
      <c r="L99" s="308"/>
      <c r="M99" s="369">
        <f t="shared" si="16"/>
        <v>178.82907498386973</v>
      </c>
      <c r="N99" s="370"/>
      <c r="O99" s="1434">
        <f t="shared" si="17"/>
        <v>62.639246268091135</v>
      </c>
      <c r="P99" s="369">
        <f t="shared" si="14"/>
        <v>1439.9490749838694</v>
      </c>
    </row>
    <row r="100" spans="1:16" s="303" customFormat="1" ht="12" customHeight="1">
      <c r="A100" s="290" t="s">
        <v>954</v>
      </c>
      <c r="B100" s="290" t="s">
        <v>953</v>
      </c>
      <c r="C100" s="305">
        <f>IFERROR(VLOOKUP(A100,'[44]RATES by Area 2017'!$H$6:$I$128,2,FALSE),0)</f>
        <v>64.63</v>
      </c>
      <c r="D100" s="344">
        <f>IFERROR(VLOOKUP(A100,'[44]REV by Area 2017'!$V$6:$W$132,2,FALSE),0)</f>
        <v>1679.9599999999996</v>
      </c>
      <c r="F100" s="304">
        <f t="shared" si="19"/>
        <v>25.993501469905613</v>
      </c>
      <c r="G100" s="304">
        <f t="shared" si="9"/>
        <v>2.1661251224921343</v>
      </c>
      <c r="H100" s="304"/>
      <c r="I100" s="307">
        <f t="shared" si="18"/>
        <v>9.1646497686243187</v>
      </c>
      <c r="J100" s="308"/>
      <c r="K100" s="308"/>
      <c r="L100" s="308"/>
      <c r="M100" s="369">
        <f t="shared" si="16"/>
        <v>238.22133723190635</v>
      </c>
      <c r="N100" s="370"/>
      <c r="O100" s="1434">
        <f t="shared" si="17"/>
        <v>73.794649768624311</v>
      </c>
      <c r="P100" s="369">
        <f t="shared" si="14"/>
        <v>1918.1813372319059</v>
      </c>
    </row>
    <row r="101" spans="1:16" s="303" customFormat="1" ht="12" customHeight="1">
      <c r="A101" s="290" t="s">
        <v>952</v>
      </c>
      <c r="B101" s="290" t="s">
        <v>951</v>
      </c>
      <c r="C101" s="305">
        <f>IFERROR(VLOOKUP(A101,'[44]RATES by Area 2017'!$H$6:$I$128,2,FALSE),0)</f>
        <v>83.33</v>
      </c>
      <c r="D101" s="344">
        <f>IFERROR(VLOOKUP(A101,'[44]REV by Area 2017'!$V$6:$W$132,2,FALSE),0)</f>
        <v>916.63000000000011</v>
      </c>
      <c r="F101" s="304">
        <f t="shared" si="19"/>
        <v>11.000000000000002</v>
      </c>
      <c r="G101" s="304">
        <f t="shared" si="9"/>
        <v>0.91666666666666685</v>
      </c>
      <c r="H101" s="304"/>
      <c r="I101" s="307">
        <f t="shared" si="18"/>
        <v>11.816343265038908</v>
      </c>
      <c r="J101" s="308"/>
      <c r="K101" s="308"/>
      <c r="L101" s="308"/>
      <c r="M101" s="369">
        <f t="shared" si="16"/>
        <v>129.97977591542801</v>
      </c>
      <c r="N101" s="370"/>
      <c r="O101" s="1434">
        <f t="shared" si="17"/>
        <v>95.146343265038908</v>
      </c>
      <c r="P101" s="369">
        <f t="shared" si="14"/>
        <v>1046.6097759154281</v>
      </c>
    </row>
    <row r="102" spans="1:16" s="303" customFormat="1" ht="12" customHeight="1">
      <c r="A102" s="290" t="s">
        <v>950</v>
      </c>
      <c r="B102" s="290" t="s">
        <v>949</v>
      </c>
      <c r="C102" s="305">
        <f>IFERROR(VLOOKUP(A102,'[44]RATES by Area 2017'!$H$6:$I$128,2,FALSE),0)</f>
        <v>103.23</v>
      </c>
      <c r="D102" s="344">
        <f>IFERROR(VLOOKUP(A102,'[44]REV by Area 2017'!$V$6:$W$132,2,FALSE),0)</f>
        <v>1341.99</v>
      </c>
      <c r="F102" s="304">
        <f t="shared" si="19"/>
        <v>13</v>
      </c>
      <c r="G102" s="304">
        <f t="shared" si="9"/>
        <v>1.0833333333333333</v>
      </c>
      <c r="H102" s="304"/>
      <c r="I102" s="307">
        <f t="shared" si="18"/>
        <v>14.638198910956037</v>
      </c>
      <c r="J102" s="308"/>
      <c r="K102" s="308"/>
      <c r="L102" s="308"/>
      <c r="M102" s="369">
        <f t="shared" si="16"/>
        <v>190.29658584242847</v>
      </c>
      <c r="N102" s="370"/>
      <c r="O102" s="1434">
        <f t="shared" si="17"/>
        <v>117.86819891095604</v>
      </c>
      <c r="P102" s="369">
        <f t="shared" si="14"/>
        <v>1532.2865858424284</v>
      </c>
    </row>
    <row r="103" spans="1:16" s="303" customFormat="1" ht="12" customHeight="1">
      <c r="A103" s="290" t="s">
        <v>948</v>
      </c>
      <c r="B103" s="290" t="s">
        <v>947</v>
      </c>
      <c r="C103" s="305">
        <f>IFERROR(VLOOKUP(A103,'[44]RATES by Area 2017'!$H$6:$I$128,2,FALSE),0)</f>
        <v>139.16</v>
      </c>
      <c r="D103" s="344">
        <f>IFERROR(VLOOKUP(A103,'[44]REV by Area 2017'!$V$6:$W$132,2,FALSE),0)</f>
        <v>298.86</v>
      </c>
      <c r="F103" s="304">
        <f t="shared" si="19"/>
        <v>2.1475998850244324</v>
      </c>
      <c r="G103" s="304">
        <f t="shared" si="9"/>
        <v>0.17896665708536938</v>
      </c>
      <c r="H103" s="304"/>
      <c r="I103" s="307">
        <f t="shared" si="18"/>
        <v>19.733137270644598</v>
      </c>
      <c r="J103" s="308"/>
      <c r="K103" s="308"/>
      <c r="L103" s="308"/>
      <c r="M103" s="369">
        <f t="shared" si="16"/>
        <v>42.378883333607682</v>
      </c>
      <c r="N103" s="370"/>
      <c r="O103" s="1434">
        <f t="shared" si="17"/>
        <v>158.89313727064459</v>
      </c>
      <c r="P103" s="369">
        <f t="shared" si="14"/>
        <v>341.2388833336077</v>
      </c>
    </row>
    <row r="104" spans="1:16" s="303" customFormat="1" ht="12" customHeight="1">
      <c r="A104" s="290" t="s">
        <v>946</v>
      </c>
      <c r="B104" s="290" t="s">
        <v>945</v>
      </c>
      <c r="C104" s="305">
        <f>IFERROR(VLOOKUP(A104,'[44]RATES by Area 2017'!$H$6:$I$128,2,FALSE),0)</f>
        <v>176.15</v>
      </c>
      <c r="D104" s="344">
        <f>IFERROR(VLOOKUP(A104,'[44]REV by Area 2017'!$V$6:$W$132,2,FALSE),0)</f>
        <v>176.15</v>
      </c>
      <c r="F104" s="304">
        <f t="shared" si="19"/>
        <v>1</v>
      </c>
      <c r="G104" s="304">
        <f t="shared" si="9"/>
        <v>8.3333333333333329E-2</v>
      </c>
      <c r="H104" s="304"/>
      <c r="I104" s="307">
        <f t="shared" si="18"/>
        <v>24.978385529060407</v>
      </c>
      <c r="J104" s="308"/>
      <c r="K104" s="308"/>
      <c r="L104" s="308"/>
      <c r="M104" s="369">
        <f t="shared" si="16"/>
        <v>24.978385529060404</v>
      </c>
      <c r="N104" s="370"/>
      <c r="O104" s="1434">
        <f t="shared" si="17"/>
        <v>201.12838552906041</v>
      </c>
      <c r="P104" s="369">
        <f t="shared" si="14"/>
        <v>201.12838552906041</v>
      </c>
    </row>
    <row r="105" spans="1:16" s="303" customFormat="1" ht="12" customHeight="1">
      <c r="A105" s="290" t="s">
        <v>812</v>
      </c>
      <c r="B105" s="290" t="s">
        <v>811</v>
      </c>
      <c r="C105" s="305">
        <f>IFERROR(VLOOKUP(A105,'[44]RATES by Area 2017'!$H$6:$I$128,2,FALSE),0)</f>
        <v>11.64</v>
      </c>
      <c r="D105" s="344">
        <f>IFERROR(VLOOKUP(A105,'[44]REV by Area 2017'!$V$6:$W$132,2,FALSE),0)</f>
        <v>197.88</v>
      </c>
      <c r="F105" s="304">
        <f t="shared" si="19"/>
        <v>17</v>
      </c>
      <c r="G105" s="304">
        <f t="shared" si="9"/>
        <v>1.4166666666666667</v>
      </c>
      <c r="H105" s="304"/>
      <c r="I105" s="307">
        <f t="shared" ref="I105:I129" si="20">$I$5*C105</f>
        <v>1.6505728501746417</v>
      </c>
      <c r="J105" s="308"/>
      <c r="K105" s="308"/>
      <c r="L105" s="308"/>
      <c r="M105" s="369">
        <f t="shared" si="16"/>
        <v>28.059738452968912</v>
      </c>
      <c r="N105" s="370"/>
      <c r="O105" s="1434">
        <f t="shared" si="17"/>
        <v>13.290572850174643</v>
      </c>
      <c r="P105" s="369">
        <f t="shared" si="14"/>
        <v>225.9397384529689</v>
      </c>
    </row>
    <row r="106" spans="1:16" s="303" customFormat="1" ht="12" customHeight="1">
      <c r="A106" s="292" t="s">
        <v>944</v>
      </c>
      <c r="B106" s="292" t="s">
        <v>943</v>
      </c>
      <c r="C106" s="305">
        <v>18.95</v>
      </c>
      <c r="D106" s="344">
        <f>IFERROR(VLOOKUP(A106,'[44]REV by Area 2017'!$V$6:$W$132,2,FALSE),0)</f>
        <v>88.22999999999999</v>
      </c>
      <c r="F106" s="304">
        <f t="shared" si="19"/>
        <v>4.6559366754617413</v>
      </c>
      <c r="G106" s="304">
        <f t="shared" si="9"/>
        <v>0.38799472295514509</v>
      </c>
      <c r="H106" s="304"/>
      <c r="I106" s="307">
        <f t="shared" si="20"/>
        <v>2.6871439442276168</v>
      </c>
      <c r="J106" s="308"/>
      <c r="K106" s="308"/>
      <c r="L106" s="308"/>
      <c r="M106" s="369">
        <f t="shared" si="16"/>
        <v>12.51117204217428</v>
      </c>
      <c r="N106" s="370"/>
      <c r="O106" s="1434">
        <f t="shared" si="17"/>
        <v>21.637143944227617</v>
      </c>
      <c r="P106" s="369">
        <f t="shared" si="14"/>
        <v>100.74117204217427</v>
      </c>
    </row>
    <row r="107" spans="1:16" s="303" customFormat="1" ht="12" customHeight="1">
      <c r="A107" s="290" t="s">
        <v>804</v>
      </c>
      <c r="B107" s="290" t="s">
        <v>803</v>
      </c>
      <c r="C107" s="305">
        <f>IFERROR(VLOOKUP(A107,'[44]RATES by Area 2017'!$H$6:$I$128,2,FALSE),0)</f>
        <v>20.78</v>
      </c>
      <c r="D107" s="344">
        <f>IFERROR(VLOOKUP(A107,'[44]REV by Area 2017'!$V$6:$W$132,2,FALSE),0)</f>
        <v>8070.18</v>
      </c>
      <c r="F107" s="304">
        <f t="shared" si="19"/>
        <v>388.36284889316647</v>
      </c>
      <c r="G107" s="304">
        <f t="shared" si="9"/>
        <v>32.363570741097206</v>
      </c>
      <c r="H107" s="304"/>
      <c r="I107" s="307">
        <f t="shared" si="20"/>
        <v>2.9466412222189908</v>
      </c>
      <c r="J107" s="308"/>
      <c r="K107" s="308"/>
      <c r="L107" s="308"/>
      <c r="M107" s="369">
        <f t="shared" si="16"/>
        <v>1144.3659797270093</v>
      </c>
      <c r="N107" s="370"/>
      <c r="O107" s="1434">
        <f t="shared" si="17"/>
        <v>23.726641222218991</v>
      </c>
      <c r="P107" s="369">
        <f t="shared" si="14"/>
        <v>9214.5459797270087</v>
      </c>
    </row>
    <row r="108" spans="1:16" s="303" customFormat="1" ht="12" customHeight="1">
      <c r="A108" s="290" t="s">
        <v>942</v>
      </c>
      <c r="B108" s="290" t="s">
        <v>941</v>
      </c>
      <c r="C108" s="305">
        <v>15.56</v>
      </c>
      <c r="D108" s="344">
        <f>IFERROR(VLOOKUP(A108,'[44]REV by Area 2017'!$V$6:$W$132,2,FALSE),0)</f>
        <v>15.56</v>
      </c>
      <c r="F108" s="304">
        <f t="shared" si="19"/>
        <v>1</v>
      </c>
      <c r="G108" s="304">
        <f t="shared" si="9"/>
        <v>8.3333333333333329E-2</v>
      </c>
      <c r="H108" s="304"/>
      <c r="I108" s="307">
        <f t="shared" si="20"/>
        <v>2.2064358718829404</v>
      </c>
      <c r="J108" s="308"/>
      <c r="K108" s="308"/>
      <c r="L108" s="308"/>
      <c r="M108" s="369">
        <f t="shared" si="16"/>
        <v>2.20643587188294</v>
      </c>
      <c r="N108" s="370"/>
      <c r="O108" s="1434">
        <f t="shared" si="17"/>
        <v>17.76643587188294</v>
      </c>
      <c r="P108" s="369">
        <f t="shared" si="14"/>
        <v>17.76643587188294</v>
      </c>
    </row>
    <row r="109" spans="1:16" s="303" customFormat="1" ht="12" customHeight="1">
      <c r="A109" s="290" t="s">
        <v>798</v>
      </c>
      <c r="B109" s="290" t="s">
        <v>797</v>
      </c>
      <c r="C109" s="305">
        <f>IFERROR(VLOOKUP(A109,'[44]RATES by Area 2017'!$H$6:$I$128,2,FALSE),0)</f>
        <v>10.66</v>
      </c>
      <c r="D109" s="344">
        <f>IFERROR(VLOOKUP(A109,'[44]REV by Area 2017'!$V$6:$W$132,2,FALSE),0)</f>
        <v>32438.83</v>
      </c>
      <c r="F109" s="304">
        <f t="shared" si="19"/>
        <v>3043.0422138836775</v>
      </c>
      <c r="G109" s="304">
        <f t="shared" si="9"/>
        <v>253.58685115697313</v>
      </c>
      <c r="H109" s="304"/>
      <c r="I109" s="307">
        <f t="shared" si="20"/>
        <v>1.511607094747567</v>
      </c>
      <c r="J109" s="308"/>
      <c r="K109" s="308"/>
      <c r="L109" s="308"/>
      <c r="M109" s="369">
        <f t="shared" si="16"/>
        <v>4599.8842001229104</v>
      </c>
      <c r="N109" s="370"/>
      <c r="O109" s="1434">
        <f t="shared" si="17"/>
        <v>12.171607094747568</v>
      </c>
      <c r="P109" s="369">
        <f t="shared" si="14"/>
        <v>37038.714200122915</v>
      </c>
    </row>
    <row r="110" spans="1:16" s="347" customFormat="1" ht="12" customHeight="1">
      <c r="A110" s="290" t="s">
        <v>796</v>
      </c>
      <c r="B110" s="290" t="s">
        <v>795</v>
      </c>
      <c r="C110" s="305">
        <f>IFERROR(VLOOKUP(A110,'[44]RATES by Area 2017'!$H$6:$I$128,2,FALSE),0)</f>
        <v>23.51</v>
      </c>
      <c r="D110" s="344">
        <f>IFERROR(VLOOKUP(A110,'[44]REV by Area 2017'!$V$6:$W$132,2,FALSE),0)</f>
        <v>82.29</v>
      </c>
      <c r="F110" s="304">
        <f t="shared" si="19"/>
        <v>3.5002126754572522</v>
      </c>
      <c r="G110" s="304">
        <f t="shared" si="9"/>
        <v>0.29168438962143767</v>
      </c>
      <c r="H110" s="304"/>
      <c r="I110" s="307">
        <f t="shared" si="20"/>
        <v>3.3337601123372704</v>
      </c>
      <c r="J110" s="308"/>
      <c r="K110" s="308"/>
      <c r="L110" s="308"/>
      <c r="M110" s="369">
        <f t="shared" si="16"/>
        <v>11.668869402136707</v>
      </c>
      <c r="N110" s="370"/>
      <c r="O110" s="1434">
        <f t="shared" si="17"/>
        <v>26.843760112337272</v>
      </c>
      <c r="P110" s="369">
        <f t="shared" si="14"/>
        <v>93.958869402136713</v>
      </c>
    </row>
    <row r="111" spans="1:16" s="303" customFormat="1" ht="12" customHeight="1">
      <c r="A111" s="290" t="s">
        <v>802</v>
      </c>
      <c r="B111" s="290" t="s">
        <v>801</v>
      </c>
      <c r="C111" s="305">
        <f>IFERROR(VLOOKUP(A111,'[44]RATES by Area 2017'!$H$6:$I$128,2,FALSE),0)</f>
        <v>12.81</v>
      </c>
      <c r="D111" s="344">
        <f>IFERROR(VLOOKUP(A111,'[44]REV by Area 2017'!$V$6:$W$132,2,FALSE),0)</f>
        <v>14565.029999999999</v>
      </c>
      <c r="F111" s="304">
        <f t="shared" si="19"/>
        <v>1137.0046838407493</v>
      </c>
      <c r="G111" s="304">
        <f t="shared" si="9"/>
        <v>94.750390320062436</v>
      </c>
      <c r="H111" s="304"/>
      <c r="I111" s="307">
        <f t="shared" si="20"/>
        <v>1.8164809459396185</v>
      </c>
      <c r="J111" s="308"/>
      <c r="K111" s="308"/>
      <c r="L111" s="308"/>
      <c r="M111" s="369">
        <f t="shared" si="16"/>
        <v>2065.3473436408212</v>
      </c>
      <c r="N111" s="370"/>
      <c r="O111" s="1434">
        <f t="shared" si="17"/>
        <v>14.626480945939619</v>
      </c>
      <c r="P111" s="369">
        <f t="shared" si="14"/>
        <v>16630.377343640819</v>
      </c>
    </row>
    <row r="112" spans="1:16" s="303" customFormat="1" ht="12" customHeight="1">
      <c r="A112" s="290" t="s">
        <v>800</v>
      </c>
      <c r="B112" s="290" t="s">
        <v>799</v>
      </c>
      <c r="C112" s="305">
        <f>IFERROR(VLOOKUP(A112,'[44]RATES by Area 2017'!$H$6:$I$128,2,FALSE),0)</f>
        <v>25.86</v>
      </c>
      <c r="D112" s="344">
        <f>IFERROR(VLOOKUP(A112,'[44]REV by Area 2017'!$V$6:$W$132,2,FALSE),0)</f>
        <v>51.72</v>
      </c>
      <c r="F112" s="304">
        <f t="shared" si="19"/>
        <v>2</v>
      </c>
      <c r="G112" s="304">
        <f t="shared" si="9"/>
        <v>0.16666666666666666</v>
      </c>
      <c r="H112" s="304"/>
      <c r="I112" s="307">
        <f t="shared" si="20"/>
        <v>3.6669943217797449</v>
      </c>
      <c r="J112" s="308"/>
      <c r="K112" s="308"/>
      <c r="L112" s="308"/>
      <c r="M112" s="369">
        <f t="shared" si="16"/>
        <v>7.333988643559489</v>
      </c>
      <c r="N112" s="370"/>
      <c r="O112" s="1434">
        <f t="shared" si="17"/>
        <v>29.526994321779746</v>
      </c>
      <c r="P112" s="369">
        <f t="shared" si="14"/>
        <v>59.053988643559485</v>
      </c>
    </row>
    <row r="113" spans="1:16" s="347" customFormat="1" ht="12" customHeight="1">
      <c r="A113" s="290" t="s">
        <v>794</v>
      </c>
      <c r="B113" s="290" t="s">
        <v>793</v>
      </c>
      <c r="C113" s="305">
        <f>IFERROR(VLOOKUP(A113,'[44]RATES by Area 2017'!$H$6:$I$128,2,FALSE),0)</f>
        <v>17.59</v>
      </c>
      <c r="D113" s="344">
        <f>IFERROR(VLOOKUP(A113,'[44]REV by Area 2017'!$V$6:$W$132,2,FALSE),0)</f>
        <v>12475.750000000002</v>
      </c>
      <c r="F113" s="304">
        <f t="shared" si="19"/>
        <v>709.25241614553738</v>
      </c>
      <c r="G113" s="304">
        <f t="shared" ref="G113:G129" si="21">F113/12</f>
        <v>59.104368012128113</v>
      </c>
      <c r="H113" s="304"/>
      <c r="I113" s="307">
        <f t="shared" si="20"/>
        <v>2.4942935081247377</v>
      </c>
      <c r="J113" s="308"/>
      <c r="K113" s="308"/>
      <c r="L113" s="308"/>
      <c r="M113" s="369">
        <f t="shared" ref="M113:M129" si="22">G113*SUM(I113:J113)*12</f>
        <v>1769.0836972135987</v>
      </c>
      <c r="N113" s="370"/>
      <c r="O113" s="1434">
        <f t="shared" ref="O113:O129" si="23">+C113+SUM(I113:J113)</f>
        <v>20.084293508124738</v>
      </c>
      <c r="P113" s="369">
        <f t="shared" si="14"/>
        <v>14244.8336972136</v>
      </c>
    </row>
    <row r="114" spans="1:16" s="303" customFormat="1" ht="12" customHeight="1">
      <c r="A114" s="290" t="s">
        <v>792</v>
      </c>
      <c r="B114" s="290" t="s">
        <v>791</v>
      </c>
      <c r="C114" s="305">
        <f>IFERROR(VLOOKUP(A114,'[44]RATES by Area 2017'!$H$6:$I$128,2,FALSE),0)</f>
        <v>35.26</v>
      </c>
      <c r="D114" s="344">
        <f>IFERROR(VLOOKUP(A114,'[44]REV by Area 2017'!$V$6:$W$132,2,FALSE),0)</f>
        <v>644.11</v>
      </c>
      <c r="F114" s="304">
        <f t="shared" si="19"/>
        <v>18.267441860465119</v>
      </c>
      <c r="G114" s="304">
        <f t="shared" si="21"/>
        <v>1.5222868217054266</v>
      </c>
      <c r="H114" s="304"/>
      <c r="I114" s="307">
        <f t="shared" si="20"/>
        <v>4.9999311595496447</v>
      </c>
      <c r="J114" s="308"/>
      <c r="K114" s="308"/>
      <c r="L114" s="308"/>
      <c r="M114" s="369">
        <f t="shared" si="22"/>
        <v>91.335951763401084</v>
      </c>
      <c r="N114" s="370"/>
      <c r="O114" s="1434">
        <f t="shared" si="23"/>
        <v>40.259931159549645</v>
      </c>
      <c r="P114" s="369">
        <f t="shared" ref="P114:P129" si="24">D114+M114</f>
        <v>735.44595176340113</v>
      </c>
    </row>
    <row r="115" spans="1:16" s="303" customFormat="1" ht="12" customHeight="1">
      <c r="A115" s="290" t="s">
        <v>790</v>
      </c>
      <c r="B115" s="290" t="s">
        <v>789</v>
      </c>
      <c r="C115" s="305">
        <f>IFERROR(VLOOKUP(A115,'[44]RATES by Area 2017'!$H$6:$I$128,2,FALSE),0)</f>
        <v>21.71</v>
      </c>
      <c r="D115" s="344">
        <f>IFERROR(VLOOKUP(A115,'[44]REV by Area 2017'!$V$6:$W$132,2,FALSE),0)</f>
        <v>9636.7900000000009</v>
      </c>
      <c r="F115" s="304">
        <f t="shared" si="19"/>
        <v>443.8871487793644</v>
      </c>
      <c r="G115" s="304">
        <f t="shared" si="21"/>
        <v>36.990595731613702</v>
      </c>
      <c r="H115" s="304"/>
      <c r="I115" s="307">
        <f t="shared" si="20"/>
        <v>3.0785168880834597</v>
      </c>
      <c r="J115" s="308"/>
      <c r="K115" s="308"/>
      <c r="L115" s="308"/>
      <c r="M115" s="369">
        <f t="shared" si="22"/>
        <v>1366.5140839204887</v>
      </c>
      <c r="N115" s="370"/>
      <c r="O115" s="1434">
        <f t="shared" si="23"/>
        <v>24.788516888083461</v>
      </c>
      <c r="P115" s="369">
        <f t="shared" si="24"/>
        <v>11003.30408392049</v>
      </c>
    </row>
    <row r="116" spans="1:16" s="303" customFormat="1" ht="12" customHeight="1">
      <c r="A116" s="290" t="s">
        <v>788</v>
      </c>
      <c r="B116" s="290" t="s">
        <v>787</v>
      </c>
      <c r="C116" s="305">
        <f>IFERROR(VLOOKUP(A116,'[44]RATES by Area 2017'!$H$6:$I$128,2,FALSE),0)</f>
        <v>42.3</v>
      </c>
      <c r="D116" s="344">
        <f>IFERROR(VLOOKUP(A116,'[44]REV by Area 2017'!$V$6:$W$132,2,FALSE),0)</f>
        <v>2093.85</v>
      </c>
      <c r="F116" s="304">
        <f t="shared" si="19"/>
        <v>49.5</v>
      </c>
      <c r="G116" s="304">
        <f t="shared" si="21"/>
        <v>4.125</v>
      </c>
      <c r="H116" s="304"/>
      <c r="I116" s="307">
        <f t="shared" si="20"/>
        <v>5.9982157699645473</v>
      </c>
      <c r="J116" s="308"/>
      <c r="K116" s="308"/>
      <c r="L116" s="308"/>
      <c r="M116" s="369">
        <f t="shared" si="22"/>
        <v>296.9116806132451</v>
      </c>
      <c r="N116" s="370"/>
      <c r="O116" s="1434">
        <f t="shared" si="23"/>
        <v>48.298215769964543</v>
      </c>
      <c r="P116" s="369">
        <f t="shared" si="24"/>
        <v>2390.7616806132451</v>
      </c>
    </row>
    <row r="117" spans="1:16" s="303" customFormat="1" ht="12" customHeight="1">
      <c r="A117" s="290" t="s">
        <v>786</v>
      </c>
      <c r="B117" s="290" t="s">
        <v>785</v>
      </c>
      <c r="C117" s="305">
        <f>IFERROR(VLOOKUP(A117,'[44]RATES by Area 2017'!$H$6:$I$128,2,FALSE),0)</f>
        <v>24.58</v>
      </c>
      <c r="D117" s="344">
        <f>IFERROR(VLOOKUP(A117,'[44]REV by Area 2017'!$V$6:$W$132,2,FALSE),0)</f>
        <v>6741.15</v>
      </c>
      <c r="F117" s="304">
        <f t="shared" si="19"/>
        <v>274.25345809601305</v>
      </c>
      <c r="G117" s="304">
        <f t="shared" si="21"/>
        <v>22.85445484133442</v>
      </c>
      <c r="H117" s="304"/>
      <c r="I117" s="307">
        <f t="shared" si="20"/>
        <v>3.4854880289770351</v>
      </c>
      <c r="J117" s="308"/>
      <c r="K117" s="308"/>
      <c r="L117" s="308"/>
      <c r="M117" s="369">
        <f t="shared" si="22"/>
        <v>955.90714509920838</v>
      </c>
      <c r="N117" s="370"/>
      <c r="O117" s="1434">
        <f t="shared" si="23"/>
        <v>28.065488028977033</v>
      </c>
      <c r="P117" s="369">
        <f t="shared" si="24"/>
        <v>7697.0571450992084</v>
      </c>
    </row>
    <row r="118" spans="1:16" s="303" customFormat="1" ht="12" customHeight="1">
      <c r="A118" s="290" t="s">
        <v>784</v>
      </c>
      <c r="B118" s="290" t="s">
        <v>783</v>
      </c>
      <c r="C118" s="305">
        <f>IFERROR(VLOOKUP(A118,'[44]RATES by Area 2017'!$H$6:$I$128,2,FALSE),0)</f>
        <v>47.01</v>
      </c>
      <c r="D118" s="344">
        <f>IFERROR(VLOOKUP(A118,'[44]REV by Area 2017'!$V$6:$W$132,2,FALSE),0)</f>
        <v>3868.1099999999997</v>
      </c>
      <c r="F118" s="304">
        <f t="shared" si="19"/>
        <v>82.28270580727505</v>
      </c>
      <c r="G118" s="304">
        <f t="shared" si="21"/>
        <v>6.8568921506062539</v>
      </c>
      <c r="H118" s="304"/>
      <c r="I118" s="307">
        <f t="shared" si="20"/>
        <v>6.6661022067620186</v>
      </c>
      <c r="J118" s="308"/>
      <c r="K118" s="308"/>
      <c r="L118" s="308"/>
      <c r="M118" s="369">
        <f t="shared" si="22"/>
        <v>548.50492676022611</v>
      </c>
      <c r="N118" s="370"/>
      <c r="O118" s="1434">
        <f t="shared" si="23"/>
        <v>53.676102206762017</v>
      </c>
      <c r="P118" s="369">
        <f t="shared" si="24"/>
        <v>4416.6149267602259</v>
      </c>
    </row>
    <row r="119" spans="1:16" s="303" customFormat="1" ht="12" customHeight="1">
      <c r="A119" s="290" t="s">
        <v>782</v>
      </c>
      <c r="B119" s="290" t="s">
        <v>781</v>
      </c>
      <c r="C119" s="305">
        <f>IFERROR(VLOOKUP(A119,'[44]RATES by Area 2017'!$H$6:$I$128,2,FALSE),0)</f>
        <v>32.56</v>
      </c>
      <c r="D119" s="344">
        <f>IFERROR(VLOOKUP(A119,'[44]REV by Area 2017'!$V$6:$W$132,2,FALSE),0)</f>
        <v>5421.3500000000013</v>
      </c>
      <c r="F119" s="304">
        <f t="shared" si="19"/>
        <v>166.50337837837841</v>
      </c>
      <c r="G119" s="304">
        <f t="shared" si="21"/>
        <v>13.875281531531535</v>
      </c>
      <c r="H119" s="304"/>
      <c r="I119" s="307">
        <f t="shared" si="20"/>
        <v>4.6170663231689293</v>
      </c>
      <c r="J119" s="308"/>
      <c r="K119" s="308"/>
      <c r="L119" s="308"/>
      <c r="M119" s="369">
        <f t="shared" si="22"/>
        <v>768.75714100466462</v>
      </c>
      <c r="N119" s="370"/>
      <c r="O119" s="1434">
        <f t="shared" si="23"/>
        <v>37.17706632316893</v>
      </c>
      <c r="P119" s="369">
        <f t="shared" si="24"/>
        <v>6190.1071410046661</v>
      </c>
    </row>
    <row r="120" spans="1:16" s="303" customFormat="1" ht="12" customHeight="1">
      <c r="A120" s="290" t="s">
        <v>940</v>
      </c>
      <c r="B120" s="290" t="s">
        <v>939</v>
      </c>
      <c r="C120" s="305">
        <f>IFERROR(VLOOKUP(A120,'[44]RATES by Area 2017'!$H$6:$I$128,2,FALSE),0)</f>
        <v>39.36</v>
      </c>
      <c r="D120" s="344">
        <f>IFERROR(VLOOKUP(A120,'[44]REV by Area 2017'!$V$6:$W$132,2,FALSE),0)</f>
        <v>944.64000000000021</v>
      </c>
      <c r="F120" s="304">
        <f t="shared" si="19"/>
        <v>24.000000000000007</v>
      </c>
      <c r="G120" s="304">
        <f t="shared" si="21"/>
        <v>2.0000000000000004</v>
      </c>
      <c r="H120" s="304"/>
      <c r="I120" s="307">
        <f t="shared" si="20"/>
        <v>5.5813185036833239</v>
      </c>
      <c r="J120" s="308"/>
      <c r="K120" s="308"/>
      <c r="L120" s="308"/>
      <c r="M120" s="369">
        <f t="shared" si="22"/>
        <v>133.9516440883998</v>
      </c>
      <c r="N120" s="370"/>
      <c r="O120" s="1434">
        <f t="shared" si="23"/>
        <v>44.94131850368332</v>
      </c>
      <c r="P120" s="369">
        <f t="shared" si="24"/>
        <v>1078.5916440884</v>
      </c>
    </row>
    <row r="121" spans="1:16" s="303" customFormat="1" ht="12" customHeight="1">
      <c r="A121" s="290" t="s">
        <v>938</v>
      </c>
      <c r="B121" s="290" t="s">
        <v>937</v>
      </c>
      <c r="C121" s="305">
        <v>25.35</v>
      </c>
      <c r="D121" s="344">
        <f>IFERROR(VLOOKUP(A121,'[44]REV by Area 2017'!$V$6:$W$132,2,FALSE),0)</f>
        <v>25.35</v>
      </c>
      <c r="F121" s="304">
        <f t="shared" si="19"/>
        <v>1</v>
      </c>
      <c r="G121" s="304">
        <f t="shared" si="21"/>
        <v>8.3333333333333329E-2</v>
      </c>
      <c r="H121" s="304"/>
      <c r="I121" s="307">
        <f t="shared" si="20"/>
        <v>3.5946754082411654</v>
      </c>
      <c r="J121" s="308"/>
      <c r="K121" s="308"/>
      <c r="L121" s="308"/>
      <c r="M121" s="369">
        <f t="shared" si="22"/>
        <v>3.5946754082411649</v>
      </c>
      <c r="N121" s="370"/>
      <c r="O121" s="1434">
        <f t="shared" si="23"/>
        <v>28.944675408241167</v>
      </c>
      <c r="P121" s="369">
        <f t="shared" si="24"/>
        <v>28.944675408241167</v>
      </c>
    </row>
    <row r="122" spans="1:16" s="303" customFormat="1" ht="12" customHeight="1">
      <c r="A122" s="290" t="s">
        <v>778</v>
      </c>
      <c r="B122" s="290" t="s">
        <v>777</v>
      </c>
      <c r="C122" s="305">
        <f>IFERROR(VLOOKUP(A122,'[44]RATES by Area 2017'!$H$6:$I$128,2,FALSE),0)</f>
        <v>3.64</v>
      </c>
      <c r="D122" s="344">
        <f>IFERROR(VLOOKUP(A122,'[44]REV by Area 2017'!$V$6:$W$132,2,FALSE),0)</f>
        <v>88.27000000000001</v>
      </c>
      <c r="F122" s="304">
        <f t="shared" si="19"/>
        <v>24.250000000000004</v>
      </c>
      <c r="G122" s="304">
        <f t="shared" si="21"/>
        <v>2.0208333333333335</v>
      </c>
      <c r="H122" s="304"/>
      <c r="I122" s="307">
        <f t="shared" si="20"/>
        <v>0.5161585201577058</v>
      </c>
      <c r="J122" s="308"/>
      <c r="K122" s="308"/>
      <c r="L122" s="308"/>
      <c r="M122" s="369">
        <f t="shared" si="22"/>
        <v>12.516844113824366</v>
      </c>
      <c r="N122" s="370"/>
      <c r="O122" s="1434">
        <f t="shared" si="23"/>
        <v>4.1561585201577058</v>
      </c>
      <c r="P122" s="369">
        <f t="shared" si="24"/>
        <v>100.78684411382437</v>
      </c>
    </row>
    <row r="123" spans="1:16" s="303" customFormat="1" ht="12" customHeight="1">
      <c r="A123" s="290" t="s">
        <v>780</v>
      </c>
      <c r="B123" s="290" t="s">
        <v>779</v>
      </c>
      <c r="C123" s="305">
        <f>IFERROR(VLOOKUP(A123,'[44]RATES by Area 2017'!$H$6:$I$128,2,FALSE),0)</f>
        <v>54.65</v>
      </c>
      <c r="D123" s="344">
        <f>IFERROR(VLOOKUP(A123,'[44]REV by Area 2017'!$V$6:$W$132,2,FALSE),0)</f>
        <v>5199.1499999999996</v>
      </c>
      <c r="F123" s="304">
        <f t="shared" ref="F123:F129" si="25">IFERROR(D123/C123,0)</f>
        <v>95.135407136322044</v>
      </c>
      <c r="G123" s="304">
        <f t="shared" si="21"/>
        <v>7.9279505946935034</v>
      </c>
      <c r="H123" s="304"/>
      <c r="I123" s="307">
        <f t="shared" si="20"/>
        <v>7.7494678919281927</v>
      </c>
      <c r="J123" s="308"/>
      <c r="K123" s="308"/>
      <c r="L123" s="308"/>
      <c r="M123" s="369">
        <f t="shared" si="22"/>
        <v>737.24878298844396</v>
      </c>
      <c r="N123" s="370"/>
      <c r="O123" s="1434">
        <f t="shared" si="23"/>
        <v>62.39946789192819</v>
      </c>
      <c r="P123" s="369">
        <f t="shared" si="24"/>
        <v>5936.3987829884436</v>
      </c>
    </row>
    <row r="124" spans="1:16" s="303" customFormat="1" ht="12" customHeight="1">
      <c r="A124" s="290" t="s">
        <v>936</v>
      </c>
      <c r="B124" s="290" t="s">
        <v>935</v>
      </c>
      <c r="C124" s="305">
        <f>IFERROR(VLOOKUP(A124,'[44]RATES by Area 2017'!$H$6:$I$128,2,FALSE),0)</f>
        <v>56.46</v>
      </c>
      <c r="D124" s="344">
        <f>IFERROR(VLOOKUP(A124,'[44]REV by Area 2017'!$V$6:$W$132,2,FALSE),0)</f>
        <v>56.46</v>
      </c>
      <c r="F124" s="304">
        <f t="shared" si="25"/>
        <v>1</v>
      </c>
      <c r="G124" s="304">
        <f t="shared" si="21"/>
        <v>8.3333333333333329E-2</v>
      </c>
      <c r="H124" s="304"/>
      <c r="I124" s="307">
        <f t="shared" si="20"/>
        <v>8.0061291340945253</v>
      </c>
      <c r="J124" s="308"/>
      <c r="K124" s="308"/>
      <c r="L124" s="308"/>
      <c r="M124" s="369">
        <f t="shared" si="22"/>
        <v>8.0061291340945253</v>
      </c>
      <c r="N124" s="370"/>
      <c r="O124" s="1434">
        <f t="shared" si="23"/>
        <v>64.46612913409453</v>
      </c>
      <c r="P124" s="369">
        <f t="shared" si="24"/>
        <v>64.46612913409453</v>
      </c>
    </row>
    <row r="125" spans="1:16" s="303" customFormat="1" ht="12" customHeight="1">
      <c r="A125" s="290" t="s">
        <v>776</v>
      </c>
      <c r="B125" s="290" t="s">
        <v>775</v>
      </c>
      <c r="C125" s="305">
        <f>IFERROR(VLOOKUP(A125,'[44]RATES by Area 2017'!$H$6:$I$128,2,FALSE),0)</f>
        <v>6.97</v>
      </c>
      <c r="D125" s="344">
        <f>IFERROR(VLOOKUP(A125,'[44]REV by Area 2017'!$V$6:$W$132,2,FALSE),0)</f>
        <v>501.84</v>
      </c>
      <c r="F125" s="304">
        <f t="shared" si="25"/>
        <v>72</v>
      </c>
      <c r="G125" s="304">
        <f t="shared" si="21"/>
        <v>6</v>
      </c>
      <c r="H125" s="304"/>
      <c r="I125" s="307">
        <f t="shared" si="20"/>
        <v>0.98835848502725532</v>
      </c>
      <c r="J125" s="308"/>
      <c r="K125" s="308"/>
      <c r="L125" s="308"/>
      <c r="M125" s="369">
        <f t="shared" si="22"/>
        <v>71.16181092196237</v>
      </c>
      <c r="N125" s="370"/>
      <c r="O125" s="1434">
        <f t="shared" si="23"/>
        <v>7.9583584850272553</v>
      </c>
      <c r="P125" s="369">
        <f t="shared" si="24"/>
        <v>573.00181092196237</v>
      </c>
    </row>
    <row r="126" spans="1:16" s="303" customFormat="1" ht="12" customHeight="1">
      <c r="A126" s="290" t="s">
        <v>774</v>
      </c>
      <c r="B126" s="290" t="s">
        <v>773</v>
      </c>
      <c r="C126" s="305">
        <f>IFERROR(VLOOKUP(A126,'[44]RATES by Area 2017'!$H$6:$I$128,2,FALSE),0)</f>
        <v>13.83</v>
      </c>
      <c r="D126" s="344">
        <f>IFERROR(VLOOKUP(A126,'[44]REV by Area 2017'!$V$6:$W$132,2,FALSE),0)</f>
        <v>179.79000000000002</v>
      </c>
      <c r="F126" s="304">
        <f t="shared" si="25"/>
        <v>13.000000000000002</v>
      </c>
      <c r="G126" s="304">
        <f t="shared" si="21"/>
        <v>1.0833333333333335</v>
      </c>
      <c r="H126" s="304"/>
      <c r="I126" s="307">
        <f t="shared" si="20"/>
        <v>1.9611187730167778</v>
      </c>
      <c r="J126" s="308"/>
      <c r="K126" s="308"/>
      <c r="L126" s="308"/>
      <c r="M126" s="369">
        <f t="shared" si="22"/>
        <v>25.494544049218117</v>
      </c>
      <c r="N126" s="370"/>
      <c r="O126" s="1434">
        <f t="shared" si="23"/>
        <v>15.791118773016779</v>
      </c>
      <c r="P126" s="369">
        <f t="shared" si="24"/>
        <v>205.28454404921814</v>
      </c>
    </row>
    <row r="127" spans="1:16" s="303" customFormat="1" ht="12" customHeight="1">
      <c r="A127" s="290" t="s">
        <v>934</v>
      </c>
      <c r="B127" s="290" t="s">
        <v>933</v>
      </c>
      <c r="C127" s="305">
        <f>IFERROR(VLOOKUP(A127,'[44]RATES by Area 2017'!$H$6:$I$128,2,FALSE),0)</f>
        <v>5.89</v>
      </c>
      <c r="D127" s="344">
        <f>IFERROR(VLOOKUP(A127,'[44]REV by Area 2017'!$V$6:$W$132,2,FALSE),0)</f>
        <v>212.04000000000008</v>
      </c>
      <c r="F127" s="304">
        <f t="shared" si="25"/>
        <v>36.000000000000014</v>
      </c>
      <c r="G127" s="304">
        <f t="shared" si="21"/>
        <v>3.0000000000000013</v>
      </c>
      <c r="H127" s="304"/>
      <c r="I127" s="307">
        <f t="shared" si="20"/>
        <v>0.8352125504749689</v>
      </c>
      <c r="J127" s="308"/>
      <c r="K127" s="308"/>
      <c r="L127" s="308"/>
      <c r="M127" s="369">
        <f t="shared" si="22"/>
        <v>30.067651817098895</v>
      </c>
      <c r="N127" s="370"/>
      <c r="O127" s="1434">
        <f t="shared" si="23"/>
        <v>6.7252125504749687</v>
      </c>
      <c r="P127" s="369">
        <f t="shared" si="24"/>
        <v>242.10765181709897</v>
      </c>
    </row>
    <row r="128" spans="1:16" s="303" customFormat="1" ht="12" customHeight="1">
      <c r="A128" s="290" t="s">
        <v>932</v>
      </c>
      <c r="B128" s="290" t="s">
        <v>931</v>
      </c>
      <c r="C128" s="305">
        <f>IFERROR(VLOOKUP(A128,'[44]RATES by Area 2017'!$H$6:$I$128,2,FALSE),0)</f>
        <v>40.33</v>
      </c>
      <c r="D128" s="344">
        <f>IFERROR(VLOOKUP(A128,'[44]REV by Area 2017'!$V$6:$W$132,2,FALSE),0)</f>
        <v>80.66</v>
      </c>
      <c r="F128" s="304">
        <f t="shared" si="25"/>
        <v>2</v>
      </c>
      <c r="G128" s="304">
        <f t="shared" si="21"/>
        <v>0.16666666666666666</v>
      </c>
      <c r="H128" s="304"/>
      <c r="I128" s="307">
        <f t="shared" si="20"/>
        <v>5.718866241197877</v>
      </c>
      <c r="J128" s="308"/>
      <c r="K128" s="308"/>
      <c r="L128" s="308"/>
      <c r="M128" s="369">
        <f t="shared" si="22"/>
        <v>11.437732482395752</v>
      </c>
      <c r="N128" s="370"/>
      <c r="O128" s="1434">
        <f t="shared" si="23"/>
        <v>46.048866241197878</v>
      </c>
      <c r="P128" s="369">
        <f t="shared" si="24"/>
        <v>92.097732482395742</v>
      </c>
    </row>
    <row r="129" spans="1:19" s="303" customFormat="1" ht="12" customHeight="1">
      <c r="A129" s="290" t="s">
        <v>930</v>
      </c>
      <c r="B129" s="290" t="s">
        <v>929</v>
      </c>
      <c r="C129" s="305">
        <f>IFERROR(VLOOKUP(A129,'[44]RATES by Area 2017'!$H$6:$I$128,2,FALSE),0)</f>
        <v>10.78</v>
      </c>
      <c r="D129" s="344">
        <f>IFERROR(VLOOKUP(A129,'[44]REV by Area 2017'!$V$6:$W$132,2,FALSE),0)</f>
        <v>388.07999999999987</v>
      </c>
      <c r="F129" s="304">
        <f t="shared" si="25"/>
        <v>35.999999999999993</v>
      </c>
      <c r="G129" s="304">
        <f t="shared" si="21"/>
        <v>2.9999999999999996</v>
      </c>
      <c r="H129" s="304"/>
      <c r="I129" s="307">
        <f t="shared" si="20"/>
        <v>1.528623309697821</v>
      </c>
      <c r="J129" s="308"/>
      <c r="K129" s="308"/>
      <c r="L129" s="308"/>
      <c r="M129" s="369">
        <f t="shared" si="22"/>
        <v>55.030439149121548</v>
      </c>
      <c r="N129" s="370"/>
      <c r="O129" s="1434">
        <f t="shared" si="23"/>
        <v>12.30862330969782</v>
      </c>
      <c r="P129" s="369">
        <f t="shared" si="24"/>
        <v>443.11043914912142</v>
      </c>
    </row>
    <row r="130" spans="1:19" s="303" customFormat="1" ht="6.75" customHeight="1" thickBot="1">
      <c r="A130" s="322"/>
      <c r="B130" s="322"/>
      <c r="C130" s="305"/>
      <c r="D130" s="304"/>
      <c r="F130" s="304"/>
      <c r="G130" s="304"/>
      <c r="H130" s="304"/>
      <c r="I130" s="290"/>
      <c r="J130" s="290"/>
      <c r="K130" s="496"/>
      <c r="L130" s="290"/>
      <c r="M130" s="371"/>
      <c r="N130" s="371"/>
      <c r="O130" s="1432"/>
      <c r="P130" s="371"/>
    </row>
    <row r="131" spans="1:19" s="303" customFormat="1" ht="12" customHeight="1" thickBot="1">
      <c r="A131" s="322"/>
      <c r="B131" s="299" t="s">
        <v>772</v>
      </c>
      <c r="C131" s="305"/>
      <c r="D131" s="298">
        <f>SUM(D49:D130)</f>
        <v>1039943.5900000001</v>
      </c>
      <c r="F131" s="364"/>
      <c r="G131" s="346">
        <f>SUM(G49:G94)</f>
        <v>762.62845719017207</v>
      </c>
      <c r="H131" s="304"/>
      <c r="I131" s="231"/>
      <c r="J131" s="290"/>
      <c r="K131" s="496"/>
      <c r="L131" s="290"/>
      <c r="M131" s="367">
        <f>SUM(M49:M129)</f>
        <v>147465.86386315705</v>
      </c>
      <c r="N131" s="371"/>
      <c r="O131" s="1437"/>
      <c r="P131" s="367">
        <f>SUM(P49:P129)</f>
        <v>1187409.4538631581</v>
      </c>
    </row>
    <row r="132" spans="1:19" s="303" customFormat="1" ht="6.75" customHeight="1">
      <c r="A132" s="322"/>
      <c r="B132" s="322"/>
      <c r="C132" s="305"/>
      <c r="D132" s="304"/>
      <c r="F132" s="304"/>
      <c r="G132" s="304"/>
      <c r="H132" s="304"/>
      <c r="I132" s="231"/>
      <c r="J132" s="290"/>
      <c r="K132" s="496"/>
      <c r="L132" s="290"/>
      <c r="M132" s="371"/>
      <c r="N132" s="371"/>
      <c r="O132" s="1432"/>
      <c r="P132" s="371"/>
    </row>
    <row r="133" spans="1:19" ht="12" customHeight="1">
      <c r="A133" s="1383" t="s">
        <v>928</v>
      </c>
      <c r="B133" s="1383" t="s">
        <v>927</v>
      </c>
      <c r="C133" s="1384"/>
      <c r="D133" s="1384"/>
      <c r="E133" s="1384"/>
      <c r="F133" s="1385"/>
      <c r="G133" s="1385"/>
      <c r="H133" s="1385"/>
      <c r="I133" s="1384"/>
      <c r="J133" s="1384"/>
      <c r="K133" s="1384"/>
      <c r="L133" s="1384"/>
      <c r="M133" s="1386"/>
      <c r="N133" s="1386"/>
      <c r="O133" s="1438"/>
      <c r="P133" s="1386"/>
    </row>
    <row r="134" spans="1:19" ht="12" customHeight="1">
      <c r="A134" s="1384" t="s">
        <v>926</v>
      </c>
      <c r="B134" s="1384" t="s">
        <v>925</v>
      </c>
      <c r="C134" s="1387">
        <f>IFERROR(VLOOKUP(A134,'[44]RATES by Area 2017'!$H$6:$I$128,2,FALSE),0)</f>
        <v>20</v>
      </c>
      <c r="D134" s="1388">
        <f>IFERROR(VLOOKUP(A134,'[44]REV by Area 2017'!$V$6:$W$132,2,FALSE),0)</f>
        <v>7280</v>
      </c>
      <c r="E134" s="1384"/>
      <c r="F134" s="1389">
        <f>D134/C134</f>
        <v>364</v>
      </c>
      <c r="G134" s="1389">
        <f>F134/12</f>
        <v>30.333333333333332</v>
      </c>
      <c r="H134" s="1385"/>
      <c r="I134" s="1390"/>
      <c r="J134" s="1390"/>
      <c r="K134" s="1390"/>
      <c r="L134" s="1391"/>
      <c r="M134" s="1392">
        <f>G134*SUM(I134:J134)*12</f>
        <v>0</v>
      </c>
      <c r="N134" s="1392"/>
      <c r="O134" s="1439"/>
      <c r="P134" s="1392"/>
    </row>
    <row r="135" spans="1:19" ht="12" customHeight="1" thickBot="1">
      <c r="A135" s="1393"/>
      <c r="B135" s="1393"/>
      <c r="C135" s="1384"/>
      <c r="D135" s="1384"/>
      <c r="E135" s="1384"/>
      <c r="F135" s="1385"/>
      <c r="G135" s="1385"/>
      <c r="H135" s="1385"/>
      <c r="I135" s="1384"/>
      <c r="J135" s="1384"/>
      <c r="K135" s="1384"/>
      <c r="L135" s="1384"/>
      <c r="M135" s="1386"/>
      <c r="N135" s="1386"/>
      <c r="O135" s="1438"/>
      <c r="P135" s="1386"/>
    </row>
    <row r="136" spans="1:19" ht="12" customHeight="1" thickBot="1">
      <c r="A136" s="1393"/>
      <c r="B136" s="1394" t="s">
        <v>924</v>
      </c>
      <c r="C136" s="1384"/>
      <c r="D136" s="1395">
        <f>SUM(D134:D135)</f>
        <v>7280</v>
      </c>
      <c r="E136" s="1384"/>
      <c r="F136" s="1396"/>
      <c r="G136" s="1397">
        <f>SUM(G134)</f>
        <v>30.333333333333332</v>
      </c>
      <c r="H136" s="1385"/>
      <c r="I136" s="1398"/>
      <c r="J136" s="1384"/>
      <c r="K136" s="1384"/>
      <c r="L136" s="1384"/>
      <c r="M136" s="1399">
        <f>SUM(M134)</f>
        <v>0</v>
      </c>
      <c r="N136" s="1386"/>
      <c r="O136" s="1440"/>
      <c r="P136" s="1399">
        <f>SUM(P134)</f>
        <v>0</v>
      </c>
    </row>
    <row r="137" spans="1:19" ht="6.75" customHeight="1">
      <c r="A137" s="302"/>
      <c r="B137" s="301"/>
      <c r="D137" s="312"/>
      <c r="F137" s="300"/>
      <c r="G137" s="300"/>
      <c r="H137" s="300"/>
    </row>
    <row r="138" spans="1:19" ht="12" customHeight="1">
      <c r="A138" s="1444" t="s">
        <v>923</v>
      </c>
      <c r="B138" s="1444" t="s">
        <v>923</v>
      </c>
      <c r="C138" s="1445"/>
      <c r="D138" s="1446"/>
      <c r="E138" s="1445"/>
      <c r="F138" s="1447"/>
      <c r="G138" s="1447"/>
      <c r="H138" s="1447"/>
      <c r="I138" s="1445"/>
      <c r="J138" s="1445"/>
      <c r="K138" s="1445"/>
      <c r="L138" s="1445"/>
      <c r="M138" s="1448"/>
      <c r="N138" s="1448"/>
      <c r="O138" s="1449"/>
      <c r="P138" s="1448"/>
    </row>
    <row r="139" spans="1:19" s="303" customFormat="1" ht="12" customHeight="1">
      <c r="A139" s="1445" t="s">
        <v>922</v>
      </c>
      <c r="B139" s="1445" t="s">
        <v>921</v>
      </c>
      <c r="C139" s="1450">
        <v>33.630000000000003</v>
      </c>
      <c r="D139" s="1451">
        <f>IFERROR(VLOOKUP(A139,'[44]REV by Area 2017'!$V$6:$W$132,2,FALSE),0)</f>
        <v>5808.2699999999995</v>
      </c>
      <c r="E139" s="1452"/>
      <c r="F139" s="1453">
        <f>D139/C139</f>
        <v>172.71097234611952</v>
      </c>
      <c r="G139" s="1453">
        <f>F139/12</f>
        <v>14.392581028843294</v>
      </c>
      <c r="H139" s="1452"/>
      <c r="I139" s="1454"/>
      <c r="J139" s="1452"/>
      <c r="K139" s="1454">
        <f>C139*$K$5</f>
        <v>24.534737143993446</v>
      </c>
      <c r="L139" s="1452"/>
      <c r="M139" s="1455">
        <f>G139*SUM(K139)*12</f>
        <v>4237.4183083955631</v>
      </c>
      <c r="N139" s="1455"/>
      <c r="O139" s="1456">
        <f>+C139+SUM(K139)</f>
        <v>58.164737143993449</v>
      </c>
      <c r="P139" s="1455">
        <f t="shared" ref="P139:P141" si="26">D139+M139</f>
        <v>10045.688308395562</v>
      </c>
      <c r="S139" s="1443"/>
    </row>
    <row r="140" spans="1:19" s="303" customFormat="1" ht="12" customHeight="1">
      <c r="A140" s="1445" t="s">
        <v>920</v>
      </c>
      <c r="B140" s="1445" t="s">
        <v>919</v>
      </c>
      <c r="C140" s="1450">
        <v>21.52</v>
      </c>
      <c r="D140" s="1451">
        <f>IFERROR(VLOOKUP(A140,'[44]REV by Area 2017'!$V$6:$W$132,2,FALSE),0)</f>
        <v>1592.48</v>
      </c>
      <c r="E140" s="1452"/>
      <c r="F140" s="1453">
        <f>D140/C140</f>
        <v>74</v>
      </c>
      <c r="G140" s="1453">
        <f>F140/12</f>
        <v>6.166666666666667</v>
      </c>
      <c r="H140" s="1452"/>
      <c r="I140" s="1454"/>
      <c r="J140" s="1452"/>
      <c r="K140" s="1454">
        <f>C140*$K$5</f>
        <v>15.69989721494912</v>
      </c>
      <c r="L140" s="1452"/>
      <c r="M140" s="1455">
        <f>G140*SUM(K140)*12</f>
        <v>1161.7923939062348</v>
      </c>
      <c r="N140" s="1455"/>
      <c r="O140" s="1456">
        <f>+C140+SUM(K140)</f>
        <v>37.219897214949121</v>
      </c>
      <c r="P140" s="1455">
        <f t="shared" si="26"/>
        <v>2754.2723939062348</v>
      </c>
      <c r="S140" s="1443"/>
    </row>
    <row r="141" spans="1:19" s="303" customFormat="1" ht="12" customHeight="1">
      <c r="A141" s="1445" t="s">
        <v>918</v>
      </c>
      <c r="B141" s="1445" t="s">
        <v>917</v>
      </c>
      <c r="C141" s="1450">
        <v>26.963000000000001</v>
      </c>
      <c r="D141" s="1451">
        <f>IFERROR(VLOOKUP(A141,'[44]REV by Area 2017'!$V$6:$W$132,2,FALSE),0)</f>
        <v>6659.12</v>
      </c>
      <c r="E141" s="1452"/>
      <c r="F141" s="1453">
        <f>D141/C141</f>
        <v>246.972517894893</v>
      </c>
      <c r="G141" s="1453">
        <f>F141/12</f>
        <v>20.58104315790775</v>
      </c>
      <c r="H141" s="1452"/>
      <c r="I141" s="1454"/>
      <c r="J141" s="1452"/>
      <c r="K141" s="1454">
        <f>C141*$K$5</f>
        <v>19.670833113692989</v>
      </c>
      <c r="L141" s="1452"/>
      <c r="M141" s="1455">
        <f>G141*SUM(K141)*12</f>
        <v>4858.1551831789957</v>
      </c>
      <c r="N141" s="1455"/>
      <c r="O141" s="1456">
        <f>+C141+SUM(K141)</f>
        <v>46.633833113692987</v>
      </c>
      <c r="P141" s="1455">
        <f t="shared" si="26"/>
        <v>11517.275183178996</v>
      </c>
      <c r="S141" s="1443"/>
    </row>
    <row r="142" spans="1:19" ht="12" customHeight="1" thickBot="1">
      <c r="A142" s="1457"/>
      <c r="B142" s="1458"/>
      <c r="C142" s="1445"/>
      <c r="D142" s="1445"/>
      <c r="E142" s="1445"/>
      <c r="F142" s="1445"/>
      <c r="G142" s="1445"/>
      <c r="H142" s="1445"/>
      <c r="I142" s="1445"/>
      <c r="J142" s="1445"/>
      <c r="K142" s="1445"/>
      <c r="L142" s="1445"/>
      <c r="M142" s="1448"/>
      <c r="N142" s="1448"/>
      <c r="O142" s="1449"/>
      <c r="P142" s="1448"/>
    </row>
    <row r="143" spans="1:19" ht="12" customHeight="1" thickBot="1">
      <c r="A143" s="1457"/>
      <c r="B143" s="1458" t="s">
        <v>916</v>
      </c>
      <c r="C143" s="1445"/>
      <c r="D143" s="1459">
        <f>SUM(D138:D142)</f>
        <v>14059.869999999999</v>
      </c>
      <c r="E143" s="1445"/>
      <c r="F143" s="1460"/>
      <c r="G143" s="1461">
        <f>SUM(G139:G141)</f>
        <v>41.14029085341771</v>
      </c>
      <c r="H143" s="1445"/>
      <c r="I143" s="1445"/>
      <c r="J143" s="1445"/>
      <c r="K143" s="1445"/>
      <c r="L143" s="1445"/>
      <c r="M143" s="1462">
        <f>SUM(M139:M141)</f>
        <v>10257.365885480795</v>
      </c>
      <c r="N143" s="1448"/>
      <c r="O143" s="1463"/>
      <c r="P143" s="1462">
        <f>SUM(P139:P141)</f>
        <v>24317.23588548079</v>
      </c>
    </row>
    <row r="144" spans="1:19" ht="6.75" customHeight="1">
      <c r="A144" s="308"/>
      <c r="B144" s="308"/>
    </row>
    <row r="145" spans="1:16" ht="12" customHeight="1">
      <c r="A145" s="321" t="s">
        <v>771</v>
      </c>
      <c r="B145" s="321" t="s">
        <v>771</v>
      </c>
    </row>
    <row r="146" spans="1:16" ht="6.75" customHeight="1">
      <c r="A146" s="320"/>
      <c r="B146" s="320"/>
    </row>
    <row r="147" spans="1:16" ht="12" customHeight="1">
      <c r="A147" s="314" t="s">
        <v>770</v>
      </c>
      <c r="B147" s="314" t="s">
        <v>770</v>
      </c>
    </row>
    <row r="148" spans="1:16" ht="12" customHeight="1">
      <c r="A148" s="290" t="s">
        <v>769</v>
      </c>
      <c r="B148" s="290" t="s">
        <v>768</v>
      </c>
      <c r="C148" s="305">
        <f>IFERROR(VLOOKUP(A148,'[44]RATES by Area 2017'!$H$6:$I$128,2,FALSE),0)</f>
        <v>241.93</v>
      </c>
      <c r="D148" s="344">
        <f>IFERROR(VLOOKUP(A148,'[44]REV by Area 2017'!$V$6:$W$132,2,FALSE),0)+346.56</f>
        <v>7628.3900000000012</v>
      </c>
      <c r="F148" s="304">
        <f>D148/C148</f>
        <v>31.531393378249913</v>
      </c>
      <c r="G148" s="304">
        <f>F148/12</f>
        <v>2.6276161148541592</v>
      </c>
      <c r="H148" s="303"/>
      <c r="I148" s="307">
        <f t="shared" ref="I148:I155" si="27">$I$5*C148</f>
        <v>34.306107357624661</v>
      </c>
      <c r="J148" s="308"/>
      <c r="K148" s="308"/>
      <c r="L148" s="308"/>
      <c r="M148" s="369">
        <f t="shared" ref="M148:M155" si="28">G148*SUM(I148:J148)*12</f>
        <v>1081.7193663697367</v>
      </c>
      <c r="N148" s="370"/>
      <c r="O148" s="1434">
        <f t="shared" ref="O148:O155" si="29">+C148+SUM(I148:J148)</f>
        <v>276.23610735762469</v>
      </c>
      <c r="P148" s="369">
        <f t="shared" ref="P148:P155" si="30">D148+M148</f>
        <v>8710.1093663697375</v>
      </c>
    </row>
    <row r="149" spans="1:16" ht="12" customHeight="1">
      <c r="A149" s="290" t="s">
        <v>767</v>
      </c>
      <c r="B149" s="290" t="s">
        <v>766</v>
      </c>
      <c r="C149" s="305">
        <f>IFERROR(VLOOKUP(A149,'[44]RATES by Area 2017'!$H$6:$I$128,2,FALSE),0)</f>
        <v>223.49</v>
      </c>
      <c r="D149" s="344">
        <f>IFERROR(VLOOKUP(A149,'[44]REV by Area 2017'!$V$6:$W$132,2,FALSE),0)</f>
        <v>16091.28</v>
      </c>
      <c r="F149" s="304">
        <f t="shared" ref="F149:F155" si="31">D149/C149</f>
        <v>72</v>
      </c>
      <c r="G149" s="304">
        <f t="shared" ref="G149:G155" si="32">F149/12</f>
        <v>6</v>
      </c>
      <c r="H149" s="303"/>
      <c r="I149" s="307">
        <f t="shared" si="27"/>
        <v>31.691282326935625</v>
      </c>
      <c r="J149" s="308"/>
      <c r="K149" s="308"/>
      <c r="L149" s="308"/>
      <c r="M149" s="369">
        <f t="shared" si="28"/>
        <v>2281.7723275393651</v>
      </c>
      <c r="N149" s="370"/>
      <c r="O149" s="1434">
        <f t="shared" si="29"/>
        <v>255.18128232693564</v>
      </c>
      <c r="P149" s="369">
        <f t="shared" si="30"/>
        <v>18373.052327539364</v>
      </c>
    </row>
    <row r="150" spans="1:16" ht="12" customHeight="1">
      <c r="A150" s="290" t="s">
        <v>915</v>
      </c>
      <c r="B150" s="290" t="s">
        <v>914</v>
      </c>
      <c r="C150" s="305">
        <f>IFERROR(VLOOKUP(A150,'[44]RATES by Area 2017'!$H$6:$I$128,2,FALSE),0)</f>
        <v>346.56</v>
      </c>
      <c r="D150" s="344">
        <f>IFERROR(VLOOKUP(A150,'[44]REV by Area 2017'!$V$6:$W$132,2,FALSE),0)</f>
        <v>3171.8399999999997</v>
      </c>
      <c r="F150" s="304">
        <f t="shared" si="31"/>
        <v>9.1523545706371188</v>
      </c>
      <c r="G150" s="304">
        <f t="shared" si="32"/>
        <v>0.76269621421975986</v>
      </c>
      <c r="H150" s="303"/>
      <c r="I150" s="307">
        <f t="shared" si="27"/>
        <v>49.142828776333658</v>
      </c>
      <c r="J150" s="308"/>
      <c r="K150" s="308"/>
      <c r="L150" s="308"/>
      <c r="M150" s="369">
        <f t="shared" si="28"/>
        <v>449.77259356511468</v>
      </c>
      <c r="N150" s="370"/>
      <c r="O150" s="1434">
        <f t="shared" si="29"/>
        <v>395.70282877633366</v>
      </c>
      <c r="P150" s="369">
        <f t="shared" si="30"/>
        <v>3621.6125935651144</v>
      </c>
    </row>
    <row r="151" spans="1:16" ht="12" customHeight="1">
      <c r="A151" s="290" t="s">
        <v>765</v>
      </c>
      <c r="B151" s="290" t="s">
        <v>764</v>
      </c>
      <c r="C151" s="305">
        <f>IFERROR(VLOOKUP(A151,'[44]RATES by Area 2017'!$H$6:$I$128,2,FALSE),0)</f>
        <v>330.7</v>
      </c>
      <c r="D151" s="344">
        <f>IFERROR(VLOOKUP(A151,'[44]REV by Area 2017'!$V$6:$W$132,2,FALSE),0)</f>
        <v>24471.800000000003</v>
      </c>
      <c r="F151" s="304">
        <f t="shared" si="31"/>
        <v>74.000000000000014</v>
      </c>
      <c r="G151" s="304">
        <f t="shared" si="32"/>
        <v>6.1666666666666679</v>
      </c>
      <c r="H151" s="303"/>
      <c r="I151" s="307">
        <f t="shared" si="27"/>
        <v>46.893852367075084</v>
      </c>
      <c r="J151" s="308"/>
      <c r="K151" s="308"/>
      <c r="L151" s="308"/>
      <c r="M151" s="369">
        <f t="shared" si="28"/>
        <v>3470.1450751635566</v>
      </c>
      <c r="N151" s="370"/>
      <c r="O151" s="1434">
        <f t="shared" si="29"/>
        <v>377.5938523670751</v>
      </c>
      <c r="P151" s="369">
        <f t="shared" si="30"/>
        <v>27941.94507516356</v>
      </c>
    </row>
    <row r="152" spans="1:16" ht="12" customHeight="1">
      <c r="A152" s="290" t="s">
        <v>761</v>
      </c>
      <c r="B152" s="290" t="s">
        <v>760</v>
      </c>
      <c r="C152" s="305">
        <f>IFERROR(VLOOKUP(A152,'[44]RATES by Area 2017'!$H$6:$I$128,2,FALSE),0)</f>
        <v>101.52</v>
      </c>
      <c r="D152" s="344">
        <f>IFERROR(VLOOKUP(A152,'[44]REV by Area 2017'!$V$6:$W$132,2,FALSE),0)</f>
        <v>5320.44</v>
      </c>
      <c r="F152" s="304">
        <f t="shared" si="31"/>
        <v>52.407801418439718</v>
      </c>
      <c r="G152" s="304">
        <f t="shared" si="32"/>
        <v>4.3673167848699768</v>
      </c>
      <c r="H152" s="303"/>
      <c r="I152" s="307">
        <f t="shared" si="27"/>
        <v>14.395717847914915</v>
      </c>
      <c r="J152" s="308"/>
      <c r="K152" s="308"/>
      <c r="L152" s="308"/>
      <c r="M152" s="369">
        <f t="shared" si="28"/>
        <v>754.4479222494133</v>
      </c>
      <c r="N152" s="370"/>
      <c r="O152" s="1434">
        <f t="shared" si="29"/>
        <v>115.91571784791491</v>
      </c>
      <c r="P152" s="369">
        <f t="shared" si="30"/>
        <v>6074.8879222494124</v>
      </c>
    </row>
    <row r="153" spans="1:16" ht="12" customHeight="1">
      <c r="A153" s="290" t="s">
        <v>759</v>
      </c>
      <c r="B153" s="290" t="s">
        <v>758</v>
      </c>
      <c r="C153" s="305">
        <f>IFERROR(VLOOKUP(A153,'[44]RATES by Area 2017'!$H$6:$I$128,2,FALSE),0)</f>
        <v>126.82</v>
      </c>
      <c r="D153" s="344">
        <f>IFERROR(VLOOKUP(A153,'[44]REV by Area 2017'!$V$6:$W$132,2,FALSE),0)</f>
        <v>7435.5899999999992</v>
      </c>
      <c r="F153" s="304">
        <f t="shared" si="31"/>
        <v>58.63105188456079</v>
      </c>
      <c r="G153" s="304">
        <f t="shared" si="32"/>
        <v>4.8859209903800656</v>
      </c>
      <c r="H153" s="303"/>
      <c r="I153" s="307">
        <f t="shared" si="27"/>
        <v>17.983303166593473</v>
      </c>
      <c r="J153" s="308"/>
      <c r="K153" s="308"/>
      <c r="L153" s="308"/>
      <c r="M153" s="369">
        <f t="shared" si="28"/>
        <v>1054.3799810163282</v>
      </c>
      <c r="N153" s="370"/>
      <c r="O153" s="1434">
        <f t="shared" si="29"/>
        <v>144.80330316659348</v>
      </c>
      <c r="P153" s="369">
        <f t="shared" si="30"/>
        <v>8489.9699810163274</v>
      </c>
    </row>
    <row r="154" spans="1:16" ht="12" customHeight="1">
      <c r="A154" s="290" t="s">
        <v>757</v>
      </c>
      <c r="B154" s="290" t="s">
        <v>756</v>
      </c>
      <c r="C154" s="305">
        <f>IFERROR(VLOOKUP(A154,'[44]RATES by Area 2017'!$H$6:$I$128,2,FALSE),0)</f>
        <v>74.37</v>
      </c>
      <c r="D154" s="344">
        <f>IFERROR(VLOOKUP(A154,'[44]REV by Area 2017'!$V$6:$W$132,2,FALSE),0)</f>
        <v>6172.68</v>
      </c>
      <c r="F154" s="304">
        <f t="shared" si="31"/>
        <v>82.999596611536916</v>
      </c>
      <c r="G154" s="304">
        <f t="shared" si="32"/>
        <v>6.9166330509614093</v>
      </c>
      <c r="H154" s="303"/>
      <c r="I154" s="307">
        <f t="shared" si="27"/>
        <v>10.54579921541994</v>
      </c>
      <c r="J154" s="308"/>
      <c r="K154" s="308"/>
      <c r="L154" s="308"/>
      <c r="M154" s="369">
        <f t="shared" si="28"/>
        <v>875.29708082611751</v>
      </c>
      <c r="N154" s="370"/>
      <c r="O154" s="1434">
        <f t="shared" si="29"/>
        <v>84.915799215419952</v>
      </c>
      <c r="P154" s="369">
        <f t="shared" si="30"/>
        <v>7047.9770808261183</v>
      </c>
    </row>
    <row r="155" spans="1:16" ht="12" customHeight="1">
      <c r="A155" s="290" t="s">
        <v>755</v>
      </c>
      <c r="B155" s="290" t="s">
        <v>754</v>
      </c>
      <c r="C155" s="305">
        <f>IFERROR(VLOOKUP(A155,'[44]RATES by Area 2017'!$H$6:$I$128,2,FALSE),0)</f>
        <v>5.54</v>
      </c>
      <c r="D155" s="344">
        <f>IFERROR(VLOOKUP(A155,'[44]REV by Area 2017'!$V$6:$W$132,2,FALSE),0)</f>
        <v>22641.980000000003</v>
      </c>
      <c r="F155" s="304">
        <f t="shared" si="31"/>
        <v>4087.0000000000005</v>
      </c>
      <c r="G155" s="304">
        <f t="shared" si="32"/>
        <v>340.58333333333337</v>
      </c>
      <c r="H155" s="303"/>
      <c r="I155" s="307">
        <f t="shared" si="27"/>
        <v>0.78558192353672807</v>
      </c>
      <c r="J155" s="308"/>
      <c r="K155" s="308"/>
      <c r="L155" s="308"/>
      <c r="M155" s="369">
        <f t="shared" si="28"/>
        <v>3210.673321494608</v>
      </c>
      <c r="N155" s="370"/>
      <c r="O155" s="1434">
        <f t="shared" si="29"/>
        <v>6.3255819235367277</v>
      </c>
      <c r="P155" s="369">
        <f t="shared" si="30"/>
        <v>25852.65332149461</v>
      </c>
    </row>
    <row r="156" spans="1:16" ht="6.75" customHeight="1">
      <c r="A156" s="290"/>
      <c r="B156" s="290"/>
      <c r="C156" s="305"/>
      <c r="D156" s="344"/>
      <c r="F156" s="304"/>
    </row>
    <row r="157" spans="1:16" s="303" customFormat="1" ht="6.75" customHeight="1" thickBot="1">
      <c r="A157" s="290"/>
      <c r="B157" s="290"/>
      <c r="C157" s="305"/>
      <c r="D157" s="310"/>
      <c r="I157" s="290"/>
      <c r="J157" s="290"/>
      <c r="K157" s="496"/>
      <c r="L157" s="290"/>
      <c r="M157" s="371"/>
      <c r="N157" s="371"/>
      <c r="O157" s="1432"/>
      <c r="P157" s="371"/>
    </row>
    <row r="158" spans="1:16" s="303" customFormat="1" ht="12" customHeight="1" thickBot="1">
      <c r="A158" s="290"/>
      <c r="B158" s="306" t="s">
        <v>913</v>
      </c>
      <c r="C158" s="305"/>
      <c r="D158" s="298">
        <f>SUM(D148:D157)</f>
        <v>92934</v>
      </c>
      <c r="F158" s="365"/>
      <c r="G158" s="345">
        <f>SUM(G148:G151)</f>
        <v>15.556978995740588</v>
      </c>
      <c r="I158" s="290"/>
      <c r="J158" s="290"/>
      <c r="K158" s="496"/>
      <c r="L158" s="290"/>
      <c r="M158" s="367">
        <f>SUM(M148:M155)</f>
        <v>13178.20766822424</v>
      </c>
      <c r="N158" s="371"/>
      <c r="O158" s="1437"/>
      <c r="P158" s="367">
        <f>SUM(P148:P155)</f>
        <v>106112.20766822425</v>
      </c>
    </row>
    <row r="159" spans="1:16" ht="6.75" customHeight="1">
      <c r="A159" s="302"/>
      <c r="B159" s="302"/>
    </row>
    <row r="160" spans="1:16" ht="12" customHeight="1">
      <c r="A160" s="314" t="s">
        <v>747</v>
      </c>
      <c r="B160" s="314" t="s">
        <v>747</v>
      </c>
    </row>
    <row r="161" spans="1:16" ht="12" customHeight="1">
      <c r="A161" s="292" t="s">
        <v>746</v>
      </c>
      <c r="B161" s="292" t="s">
        <v>745</v>
      </c>
      <c r="C161" s="305">
        <f>IFERROR(VLOOKUP(A161,'[44]RATES by Area 2017'!$H$6:$I$128,2,FALSE),0)</f>
        <v>106</v>
      </c>
      <c r="D161" s="344">
        <f>IFERROR(VLOOKUP(A161,'[44]REV by Area 2017'!$V$6:$W$132,2,FALSE),0)</f>
        <v>69478.92</v>
      </c>
      <c r="F161" s="304">
        <f>D161/C161</f>
        <v>655.46150943396219</v>
      </c>
      <c r="G161" s="304">
        <f>F161/12</f>
        <v>54.621792452830185</v>
      </c>
      <c r="I161" s="307"/>
      <c r="J161" s="308"/>
      <c r="K161" s="308"/>
      <c r="L161" s="308"/>
      <c r="M161" s="369">
        <f>G161*SUM(I161:J161)*12</f>
        <v>0</v>
      </c>
      <c r="N161" s="370"/>
      <c r="O161" s="1434">
        <f>+C161+SUM(I161:J161)</f>
        <v>106</v>
      </c>
      <c r="P161" s="369">
        <f t="shared" ref="P161" si="33">D161+M161</f>
        <v>69478.92</v>
      </c>
    </row>
    <row r="162" spans="1:16" ht="6.75" customHeight="1"/>
    <row r="163" spans="1:16" ht="12" customHeight="1">
      <c r="A163" s="302"/>
      <c r="B163" s="301" t="s">
        <v>744</v>
      </c>
      <c r="D163" s="298">
        <f>SUM(D161:D162)</f>
        <v>69478.92</v>
      </c>
      <c r="M163" s="367">
        <f>SUM(M161)</f>
        <v>0</v>
      </c>
      <c r="O163" s="1437"/>
      <c r="P163" s="367">
        <f>SUM(P161)</f>
        <v>69478.92</v>
      </c>
    </row>
    <row r="164" spans="1:16" ht="6.75" customHeight="1">
      <c r="A164" s="302"/>
      <c r="B164" s="301"/>
      <c r="D164" s="312"/>
    </row>
    <row r="165" spans="1:16" s="303" customFormat="1" ht="12" customHeight="1">
      <c r="A165" s="311" t="s">
        <v>743</v>
      </c>
      <c r="B165" s="311" t="s">
        <v>743</v>
      </c>
      <c r="C165" s="305"/>
      <c r="F165" s="304"/>
      <c r="I165" s="290"/>
      <c r="J165" s="290"/>
      <c r="K165" s="496"/>
      <c r="L165" s="290"/>
      <c r="M165" s="1409" t="s">
        <v>2099</v>
      </c>
      <c r="N165" s="371"/>
      <c r="O165" s="1432"/>
      <c r="P165" s="371"/>
    </row>
    <row r="166" spans="1:16" s="303" customFormat="1" ht="12" customHeight="1">
      <c r="A166" s="290" t="s">
        <v>742</v>
      </c>
      <c r="B166" s="290" t="s">
        <v>741</v>
      </c>
      <c r="C166" s="305">
        <v>1</v>
      </c>
      <c r="D166" s="344">
        <f>IFERROR(VLOOKUP(A166,'[44]REV by Area 2017'!$V$6:$W$132,2,FALSE),0)</f>
        <v>3441.6700000000005</v>
      </c>
      <c r="F166" s="304"/>
      <c r="J166" s="371"/>
      <c r="K166" s="371"/>
      <c r="L166" s="1400" t="s">
        <v>2097</v>
      </c>
      <c r="M166" s="1401">
        <f>'Spokane Reg - Price out'!O33+'Spokane Reg - Price out'!O80+'Spokane Reg - Price out'!O94</f>
        <v>83352.586916825763</v>
      </c>
      <c r="O166" s="1653" t="s">
        <v>429</v>
      </c>
      <c r="P166" s="371">
        <f>'Spokane Reg - Price out'!O33+'Whitman Reg - Price Out'!M38</f>
        <v>206881.77713080705</v>
      </c>
    </row>
    <row r="167" spans="1:16" s="303" customFormat="1" ht="12" customHeight="1">
      <c r="A167" s="290" t="s">
        <v>740</v>
      </c>
      <c r="B167" s="290" t="s">
        <v>739</v>
      </c>
      <c r="C167" s="305">
        <f>IFERROR(VLOOKUP(A167,'[44]RATES by Area 2017'!$H$6:$I$128,2,FALSE),0)</f>
        <v>19.010000000000002</v>
      </c>
      <c r="D167" s="344">
        <f>IFERROR(VLOOKUP(A167,'[44]REV by Area 2017'!$V$6:$W$132,2,FALSE),0)</f>
        <v>190.10000000000002</v>
      </c>
      <c r="F167" s="304"/>
      <c r="I167" s="290"/>
      <c r="L167" s="1402" t="s">
        <v>2098</v>
      </c>
      <c r="M167" s="1403">
        <f>SUM(M38+M131+M158)</f>
        <v>311833.49941391125</v>
      </c>
      <c r="N167" s="371"/>
      <c r="O167" s="1654" t="s">
        <v>430</v>
      </c>
      <c r="P167" s="371">
        <f>'Spokane Reg - Price out'!O80+'Whitman Reg - Price Out'!M131</f>
        <v>170051.98410623468</v>
      </c>
    </row>
    <row r="168" spans="1:16" s="303" customFormat="1" ht="12" customHeight="1">
      <c r="A168" s="290" t="s">
        <v>912</v>
      </c>
      <c r="B168" s="290" t="s">
        <v>911</v>
      </c>
      <c r="C168" s="305">
        <f>IFERROR(VLOOKUP(A168,'[44]RATES by Area 2017'!$H$6:$I$128,2,FALSE),0)</f>
        <v>0</v>
      </c>
      <c r="D168" s="344">
        <f>IFERROR(VLOOKUP(A168,'[44]REV by Area 2017'!$V$6:$W$132,2,FALSE),0)</f>
        <v>-76.989999999999995</v>
      </c>
      <c r="F168" s="304"/>
      <c r="I168" s="290"/>
      <c r="J168" s="290"/>
      <c r="K168" s="496"/>
      <c r="L168" s="290"/>
      <c r="M168" s="1404">
        <f>SUM(M166:M167)</f>
        <v>395186.08633073699</v>
      </c>
      <c r="N168" s="371"/>
      <c r="O168" s="1654" t="s">
        <v>332</v>
      </c>
      <c r="P168" s="1655">
        <f>'Spokane Reg - Price out'!O94+'Whitman Reg - Price Out'!M158</f>
        <v>18252.32509369529</v>
      </c>
    </row>
    <row r="169" spans="1:16" s="303" customFormat="1" ht="9.75" customHeight="1">
      <c r="A169" s="309"/>
      <c r="B169" s="309"/>
      <c r="C169" s="305"/>
      <c r="F169" s="304"/>
      <c r="I169" s="290"/>
      <c r="J169" s="1405" t="s">
        <v>449</v>
      </c>
      <c r="K169" s="1405" t="s">
        <v>449</v>
      </c>
      <c r="L169" s="1406"/>
      <c r="M169" s="1407">
        <f>'LG - Packer,RO'!E6</f>
        <v>395447.05513210944</v>
      </c>
      <c r="N169" s="371"/>
      <c r="O169" s="1432"/>
      <c r="P169" s="371">
        <f>SUM(P166:P168)</f>
        <v>395186.08633073705</v>
      </c>
    </row>
    <row r="170" spans="1:16" s="303" customFormat="1" ht="12" customHeight="1">
      <c r="A170" s="229"/>
      <c r="B170" s="306" t="s">
        <v>738</v>
      </c>
      <c r="C170" s="305"/>
      <c r="D170" s="298">
        <f>SUM(D166:D168)</f>
        <v>3554.7800000000007</v>
      </c>
      <c r="F170" s="304"/>
      <c r="I170" s="290"/>
      <c r="J170" s="290"/>
      <c r="K170" s="496"/>
      <c r="L170" s="290"/>
      <c r="M170" s="1408">
        <f>M168-M169</f>
        <v>-260.96880137245171</v>
      </c>
      <c r="N170" s="371"/>
      <c r="O170" s="1432"/>
      <c r="P170" s="371"/>
    </row>
    <row r="171" spans="1:16" ht="6.75" customHeight="1">
      <c r="A171" s="302"/>
      <c r="B171" s="301"/>
    </row>
    <row r="172" spans="1:16" ht="12" customHeight="1">
      <c r="A172" s="297"/>
      <c r="B172" s="299" t="s">
        <v>737</v>
      </c>
      <c r="D172" s="298">
        <f>SUM(D38,D43,D131,D136,D158,D163,D170,D143)</f>
        <v>2298269.0449999999</v>
      </c>
    </row>
    <row r="173" spans="1:16" ht="6.75" customHeight="1">
      <c r="A173" s="297"/>
      <c r="B173" s="297"/>
    </row>
    <row r="174" spans="1:16" ht="7.5" customHeight="1">
      <c r="C174" s="295"/>
      <c r="D174" s="296"/>
    </row>
    <row r="175" spans="1:16">
      <c r="C175" s="295"/>
      <c r="D175" s="294"/>
      <c r="F175" s="343"/>
      <c r="G175" s="343"/>
      <c r="H175" s="343"/>
    </row>
  </sheetData>
  <mergeCells count="2">
    <mergeCell ref="O4:P4"/>
    <mergeCell ref="M4:M5"/>
  </mergeCells>
  <pageMargins left="0.7" right="0.7" top="0.75" bottom="0.75" header="0.3" footer="0.3"/>
  <pageSetup scale="66" orientation="landscape" r:id="rId1"/>
  <rowBreaks count="1" manualBreakCount="1">
    <brk id="65" max="15"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9"/>
  <sheetViews>
    <sheetView showGridLines="0" view="pageBreakPreview" zoomScale="85" zoomScaleNormal="100" zoomScaleSheetLayoutView="85" workbookViewId="0">
      <pane xSplit="1" ySplit="6" topLeftCell="B10" activePane="bottomRight" state="frozen"/>
      <selection activeCell="Q27" sqref="Q27"/>
      <selection pane="topRight" activeCell="Q27" sqref="Q27"/>
      <selection pane="bottomLeft" activeCell="Q27" sqref="Q27"/>
      <selection pane="bottomRight" activeCell="Q27" sqref="Q27"/>
    </sheetView>
  </sheetViews>
  <sheetFormatPr defaultColWidth="11.42578125" defaultRowHeight="12"/>
  <cols>
    <col min="1" max="1" width="28" style="679" customWidth="1"/>
    <col min="2" max="3" width="14.42578125" style="679" customWidth="1"/>
    <col min="4" max="8" width="12.5703125" style="679" customWidth="1"/>
    <col min="9" max="9" width="0.7109375" style="679" customWidth="1"/>
    <col min="10" max="12" width="9.7109375" style="679" customWidth="1"/>
    <col min="13" max="13" width="9.5703125" style="679" customWidth="1"/>
    <col min="14" max="14" width="9.85546875" style="710" hidden="1" customWidth="1"/>
    <col min="15" max="15" width="1.7109375" style="679" customWidth="1"/>
    <col min="16" max="16" width="11.7109375" style="679" customWidth="1"/>
    <col min="17" max="17" width="8.85546875" style="679" customWidth="1"/>
    <col min="18" max="18" width="11.7109375" style="679" customWidth="1"/>
    <col min="19" max="19" width="9.28515625" style="679" customWidth="1"/>
    <col min="20" max="20" width="9" style="679" hidden="1" customWidth="1"/>
    <col min="21" max="21" width="0.5703125" style="679" customWidth="1"/>
    <col min="22" max="24" width="10.42578125" style="706" customWidth="1"/>
    <col min="25" max="25" width="9.85546875" style="707" hidden="1" customWidth="1"/>
    <col min="26" max="26" width="1.42578125" style="706" customWidth="1"/>
    <col min="27" max="27" width="11.5703125" style="706" customWidth="1"/>
    <col min="28" max="28" width="8.5703125" style="706" customWidth="1"/>
    <col min="29" max="29" width="11" style="706" customWidth="1"/>
    <col min="30" max="30" width="11" style="706" hidden="1" customWidth="1"/>
    <col min="31" max="255" width="11.42578125" style="679"/>
    <col min="256" max="256" width="16.28515625" style="679" customWidth="1"/>
    <col min="257" max="260" width="11.42578125" style="679" customWidth="1"/>
    <col min="261" max="261" width="12" style="679" customWidth="1"/>
    <col min="262" max="263" width="11.42578125" style="679" customWidth="1"/>
    <col min="264" max="264" width="1.85546875" style="679" customWidth="1"/>
    <col min="265" max="265" width="12.140625" style="679" customWidth="1"/>
    <col min="266" max="266" width="12.7109375" style="679" customWidth="1"/>
    <col min="267" max="269" width="11.42578125" style="679" customWidth="1"/>
    <col min="270" max="270" width="1.85546875" style="679" customWidth="1"/>
    <col min="271" max="271" width="13.5703125" style="679" customWidth="1"/>
    <col min="272" max="272" width="11.42578125" style="679" customWidth="1"/>
    <col min="273" max="274" width="12.42578125" style="679" customWidth="1"/>
    <col min="275" max="511" width="11.42578125" style="679"/>
    <col min="512" max="512" width="16.28515625" style="679" customWidth="1"/>
    <col min="513" max="516" width="11.42578125" style="679" customWidth="1"/>
    <col min="517" max="517" width="12" style="679" customWidth="1"/>
    <col min="518" max="519" width="11.42578125" style="679" customWidth="1"/>
    <col min="520" max="520" width="1.85546875" style="679" customWidth="1"/>
    <col min="521" max="521" width="12.140625" style="679" customWidth="1"/>
    <col min="522" max="522" width="12.7109375" style="679" customWidth="1"/>
    <col min="523" max="525" width="11.42578125" style="679" customWidth="1"/>
    <col min="526" max="526" width="1.85546875" style="679" customWidth="1"/>
    <col min="527" max="527" width="13.5703125" style="679" customWidth="1"/>
    <col min="528" max="528" width="11.42578125" style="679" customWidth="1"/>
    <col min="529" max="530" width="12.42578125" style="679" customWidth="1"/>
    <col min="531" max="767" width="11.42578125" style="679"/>
    <col min="768" max="768" width="16.28515625" style="679" customWidth="1"/>
    <col min="769" max="772" width="11.42578125" style="679" customWidth="1"/>
    <col min="773" max="773" width="12" style="679" customWidth="1"/>
    <col min="774" max="775" width="11.42578125" style="679" customWidth="1"/>
    <col min="776" max="776" width="1.85546875" style="679" customWidth="1"/>
    <col min="777" max="777" width="12.140625" style="679" customWidth="1"/>
    <col min="778" max="778" width="12.7109375" style="679" customWidth="1"/>
    <col min="779" max="781" width="11.42578125" style="679" customWidth="1"/>
    <col min="782" max="782" width="1.85546875" style="679" customWidth="1"/>
    <col min="783" max="783" width="13.5703125" style="679" customWidth="1"/>
    <col min="784" max="784" width="11.42578125" style="679" customWidth="1"/>
    <col min="785" max="786" width="12.42578125" style="679" customWidth="1"/>
    <col min="787" max="1023" width="11.42578125" style="679"/>
    <col min="1024" max="1024" width="16.28515625" style="679" customWidth="1"/>
    <col min="1025" max="1028" width="11.42578125" style="679" customWidth="1"/>
    <col min="1029" max="1029" width="12" style="679" customWidth="1"/>
    <col min="1030" max="1031" width="11.42578125" style="679" customWidth="1"/>
    <col min="1032" max="1032" width="1.85546875" style="679" customWidth="1"/>
    <col min="1033" max="1033" width="12.140625" style="679" customWidth="1"/>
    <col min="1034" max="1034" width="12.7109375" style="679" customWidth="1"/>
    <col min="1035" max="1037" width="11.42578125" style="679" customWidth="1"/>
    <col min="1038" max="1038" width="1.85546875" style="679" customWidth="1"/>
    <col min="1039" max="1039" width="13.5703125" style="679" customWidth="1"/>
    <col min="1040" max="1040" width="11.42578125" style="679" customWidth="1"/>
    <col min="1041" max="1042" width="12.42578125" style="679" customWidth="1"/>
    <col min="1043" max="1279" width="11.42578125" style="679"/>
    <col min="1280" max="1280" width="16.28515625" style="679" customWidth="1"/>
    <col min="1281" max="1284" width="11.42578125" style="679" customWidth="1"/>
    <col min="1285" max="1285" width="12" style="679" customWidth="1"/>
    <col min="1286" max="1287" width="11.42578125" style="679" customWidth="1"/>
    <col min="1288" max="1288" width="1.85546875" style="679" customWidth="1"/>
    <col min="1289" max="1289" width="12.140625" style="679" customWidth="1"/>
    <col min="1290" max="1290" width="12.7109375" style="679" customWidth="1"/>
    <col min="1291" max="1293" width="11.42578125" style="679" customWidth="1"/>
    <col min="1294" max="1294" width="1.85546875" style="679" customWidth="1"/>
    <col min="1295" max="1295" width="13.5703125" style="679" customWidth="1"/>
    <col min="1296" max="1296" width="11.42578125" style="679" customWidth="1"/>
    <col min="1297" max="1298" width="12.42578125" style="679" customWidth="1"/>
    <col min="1299" max="1535" width="11.42578125" style="679"/>
    <col min="1536" max="1536" width="16.28515625" style="679" customWidth="1"/>
    <col min="1537" max="1540" width="11.42578125" style="679" customWidth="1"/>
    <col min="1541" max="1541" width="12" style="679" customWidth="1"/>
    <col min="1542" max="1543" width="11.42578125" style="679" customWidth="1"/>
    <col min="1544" max="1544" width="1.85546875" style="679" customWidth="1"/>
    <col min="1545" max="1545" width="12.140625" style="679" customWidth="1"/>
    <col min="1546" max="1546" width="12.7109375" style="679" customWidth="1"/>
    <col min="1547" max="1549" width="11.42578125" style="679" customWidth="1"/>
    <col min="1550" max="1550" width="1.85546875" style="679" customWidth="1"/>
    <col min="1551" max="1551" width="13.5703125" style="679" customWidth="1"/>
    <col min="1552" max="1552" width="11.42578125" style="679" customWidth="1"/>
    <col min="1553" max="1554" width="12.42578125" style="679" customWidth="1"/>
    <col min="1555" max="1791" width="11.42578125" style="679"/>
    <col min="1792" max="1792" width="16.28515625" style="679" customWidth="1"/>
    <col min="1793" max="1796" width="11.42578125" style="679" customWidth="1"/>
    <col min="1797" max="1797" width="12" style="679" customWidth="1"/>
    <col min="1798" max="1799" width="11.42578125" style="679" customWidth="1"/>
    <col min="1800" max="1800" width="1.85546875" style="679" customWidth="1"/>
    <col min="1801" max="1801" width="12.140625" style="679" customWidth="1"/>
    <col min="1802" max="1802" width="12.7109375" style="679" customWidth="1"/>
    <col min="1803" max="1805" width="11.42578125" style="679" customWidth="1"/>
    <col min="1806" max="1806" width="1.85546875" style="679" customWidth="1"/>
    <col min="1807" max="1807" width="13.5703125" style="679" customWidth="1"/>
    <col min="1808" max="1808" width="11.42578125" style="679" customWidth="1"/>
    <col min="1809" max="1810" width="12.42578125" style="679" customWidth="1"/>
    <col min="1811" max="2047" width="11.42578125" style="679"/>
    <col min="2048" max="2048" width="16.28515625" style="679" customWidth="1"/>
    <col min="2049" max="2052" width="11.42578125" style="679" customWidth="1"/>
    <col min="2053" max="2053" width="12" style="679" customWidth="1"/>
    <col min="2054" max="2055" width="11.42578125" style="679" customWidth="1"/>
    <col min="2056" max="2056" width="1.85546875" style="679" customWidth="1"/>
    <col min="2057" max="2057" width="12.140625" style="679" customWidth="1"/>
    <col min="2058" max="2058" width="12.7109375" style="679" customWidth="1"/>
    <col min="2059" max="2061" width="11.42578125" style="679" customWidth="1"/>
    <col min="2062" max="2062" width="1.85546875" style="679" customWidth="1"/>
    <col min="2063" max="2063" width="13.5703125" style="679" customWidth="1"/>
    <col min="2064" max="2064" width="11.42578125" style="679" customWidth="1"/>
    <col min="2065" max="2066" width="12.42578125" style="679" customWidth="1"/>
    <col min="2067" max="2303" width="11.42578125" style="679"/>
    <col min="2304" max="2304" width="16.28515625" style="679" customWidth="1"/>
    <col min="2305" max="2308" width="11.42578125" style="679" customWidth="1"/>
    <col min="2309" max="2309" width="12" style="679" customWidth="1"/>
    <col min="2310" max="2311" width="11.42578125" style="679" customWidth="1"/>
    <col min="2312" max="2312" width="1.85546875" style="679" customWidth="1"/>
    <col min="2313" max="2313" width="12.140625" style="679" customWidth="1"/>
    <col min="2314" max="2314" width="12.7109375" style="679" customWidth="1"/>
    <col min="2315" max="2317" width="11.42578125" style="679" customWidth="1"/>
    <col min="2318" max="2318" width="1.85546875" style="679" customWidth="1"/>
    <col min="2319" max="2319" width="13.5703125" style="679" customWidth="1"/>
    <col min="2320" max="2320" width="11.42578125" style="679" customWidth="1"/>
    <col min="2321" max="2322" width="12.42578125" style="679" customWidth="1"/>
    <col min="2323" max="2559" width="11.42578125" style="679"/>
    <col min="2560" max="2560" width="16.28515625" style="679" customWidth="1"/>
    <col min="2561" max="2564" width="11.42578125" style="679" customWidth="1"/>
    <col min="2565" max="2565" width="12" style="679" customWidth="1"/>
    <col min="2566" max="2567" width="11.42578125" style="679" customWidth="1"/>
    <col min="2568" max="2568" width="1.85546875" style="679" customWidth="1"/>
    <col min="2569" max="2569" width="12.140625" style="679" customWidth="1"/>
    <col min="2570" max="2570" width="12.7109375" style="679" customWidth="1"/>
    <col min="2571" max="2573" width="11.42578125" style="679" customWidth="1"/>
    <col min="2574" max="2574" width="1.85546875" style="679" customWidth="1"/>
    <col min="2575" max="2575" width="13.5703125" style="679" customWidth="1"/>
    <col min="2576" max="2576" width="11.42578125" style="679" customWidth="1"/>
    <col min="2577" max="2578" width="12.42578125" style="679" customWidth="1"/>
    <col min="2579" max="2815" width="11.42578125" style="679"/>
    <col min="2816" max="2816" width="16.28515625" style="679" customWidth="1"/>
    <col min="2817" max="2820" width="11.42578125" style="679" customWidth="1"/>
    <col min="2821" max="2821" width="12" style="679" customWidth="1"/>
    <col min="2822" max="2823" width="11.42578125" style="679" customWidth="1"/>
    <col min="2824" max="2824" width="1.85546875" style="679" customWidth="1"/>
    <col min="2825" max="2825" width="12.140625" style="679" customWidth="1"/>
    <col min="2826" max="2826" width="12.7109375" style="679" customWidth="1"/>
    <col min="2827" max="2829" width="11.42578125" style="679" customWidth="1"/>
    <col min="2830" max="2830" width="1.85546875" style="679" customWidth="1"/>
    <col min="2831" max="2831" width="13.5703125" style="679" customWidth="1"/>
    <col min="2832" max="2832" width="11.42578125" style="679" customWidth="1"/>
    <col min="2833" max="2834" width="12.42578125" style="679" customWidth="1"/>
    <col min="2835" max="3071" width="11.42578125" style="679"/>
    <col min="3072" max="3072" width="16.28515625" style="679" customWidth="1"/>
    <col min="3073" max="3076" width="11.42578125" style="679" customWidth="1"/>
    <col min="3077" max="3077" width="12" style="679" customWidth="1"/>
    <col min="3078" max="3079" width="11.42578125" style="679" customWidth="1"/>
    <col min="3080" max="3080" width="1.85546875" style="679" customWidth="1"/>
    <col min="3081" max="3081" width="12.140625" style="679" customWidth="1"/>
    <col min="3082" max="3082" width="12.7109375" style="679" customWidth="1"/>
    <col min="3083" max="3085" width="11.42578125" style="679" customWidth="1"/>
    <col min="3086" max="3086" width="1.85546875" style="679" customWidth="1"/>
    <col min="3087" max="3087" width="13.5703125" style="679" customWidth="1"/>
    <col min="3088" max="3088" width="11.42578125" style="679" customWidth="1"/>
    <col min="3089" max="3090" width="12.42578125" style="679" customWidth="1"/>
    <col min="3091" max="3327" width="11.42578125" style="679"/>
    <col min="3328" max="3328" width="16.28515625" style="679" customWidth="1"/>
    <col min="3329" max="3332" width="11.42578125" style="679" customWidth="1"/>
    <col min="3333" max="3333" width="12" style="679" customWidth="1"/>
    <col min="3334" max="3335" width="11.42578125" style="679" customWidth="1"/>
    <col min="3336" max="3336" width="1.85546875" style="679" customWidth="1"/>
    <col min="3337" max="3337" width="12.140625" style="679" customWidth="1"/>
    <col min="3338" max="3338" width="12.7109375" style="679" customWidth="1"/>
    <col min="3339" max="3341" width="11.42578125" style="679" customWidth="1"/>
    <col min="3342" max="3342" width="1.85546875" style="679" customWidth="1"/>
    <col min="3343" max="3343" width="13.5703125" style="679" customWidth="1"/>
    <col min="3344" max="3344" width="11.42578125" style="679" customWidth="1"/>
    <col min="3345" max="3346" width="12.42578125" style="679" customWidth="1"/>
    <col min="3347" max="3583" width="11.42578125" style="679"/>
    <col min="3584" max="3584" width="16.28515625" style="679" customWidth="1"/>
    <col min="3585" max="3588" width="11.42578125" style="679" customWidth="1"/>
    <col min="3589" max="3589" width="12" style="679" customWidth="1"/>
    <col min="3590" max="3591" width="11.42578125" style="679" customWidth="1"/>
    <col min="3592" max="3592" width="1.85546875" style="679" customWidth="1"/>
    <col min="3593" max="3593" width="12.140625" style="679" customWidth="1"/>
    <col min="3594" max="3594" width="12.7109375" style="679" customWidth="1"/>
    <col min="3595" max="3597" width="11.42578125" style="679" customWidth="1"/>
    <col min="3598" max="3598" width="1.85546875" style="679" customWidth="1"/>
    <col min="3599" max="3599" width="13.5703125" style="679" customWidth="1"/>
    <col min="3600" max="3600" width="11.42578125" style="679" customWidth="1"/>
    <col min="3601" max="3602" width="12.42578125" style="679" customWidth="1"/>
    <col min="3603" max="3839" width="11.42578125" style="679"/>
    <col min="3840" max="3840" width="16.28515625" style="679" customWidth="1"/>
    <col min="3841" max="3844" width="11.42578125" style="679" customWidth="1"/>
    <col min="3845" max="3845" width="12" style="679" customWidth="1"/>
    <col min="3846" max="3847" width="11.42578125" style="679" customWidth="1"/>
    <col min="3848" max="3848" width="1.85546875" style="679" customWidth="1"/>
    <col min="3849" max="3849" width="12.140625" style="679" customWidth="1"/>
    <col min="3850" max="3850" width="12.7109375" style="679" customWidth="1"/>
    <col min="3851" max="3853" width="11.42578125" style="679" customWidth="1"/>
    <col min="3854" max="3854" width="1.85546875" style="679" customWidth="1"/>
    <col min="3855" max="3855" width="13.5703125" style="679" customWidth="1"/>
    <col min="3856" max="3856" width="11.42578125" style="679" customWidth="1"/>
    <col min="3857" max="3858" width="12.42578125" style="679" customWidth="1"/>
    <col min="3859" max="4095" width="11.42578125" style="679"/>
    <col min="4096" max="4096" width="16.28515625" style="679" customWidth="1"/>
    <col min="4097" max="4100" width="11.42578125" style="679" customWidth="1"/>
    <col min="4101" max="4101" width="12" style="679" customWidth="1"/>
    <col min="4102" max="4103" width="11.42578125" style="679" customWidth="1"/>
    <col min="4104" max="4104" width="1.85546875" style="679" customWidth="1"/>
    <col min="4105" max="4105" width="12.140625" style="679" customWidth="1"/>
    <col min="4106" max="4106" width="12.7109375" style="679" customWidth="1"/>
    <col min="4107" max="4109" width="11.42578125" style="679" customWidth="1"/>
    <col min="4110" max="4110" width="1.85546875" style="679" customWidth="1"/>
    <col min="4111" max="4111" width="13.5703125" style="679" customWidth="1"/>
    <col min="4112" max="4112" width="11.42578125" style="679" customWidth="1"/>
    <col min="4113" max="4114" width="12.42578125" style="679" customWidth="1"/>
    <col min="4115" max="4351" width="11.42578125" style="679"/>
    <col min="4352" max="4352" width="16.28515625" style="679" customWidth="1"/>
    <col min="4353" max="4356" width="11.42578125" style="679" customWidth="1"/>
    <col min="4357" max="4357" width="12" style="679" customWidth="1"/>
    <col min="4358" max="4359" width="11.42578125" style="679" customWidth="1"/>
    <col min="4360" max="4360" width="1.85546875" style="679" customWidth="1"/>
    <col min="4361" max="4361" width="12.140625" style="679" customWidth="1"/>
    <col min="4362" max="4362" width="12.7109375" style="679" customWidth="1"/>
    <col min="4363" max="4365" width="11.42578125" style="679" customWidth="1"/>
    <col min="4366" max="4366" width="1.85546875" style="679" customWidth="1"/>
    <col min="4367" max="4367" width="13.5703125" style="679" customWidth="1"/>
    <col min="4368" max="4368" width="11.42578125" style="679" customWidth="1"/>
    <col min="4369" max="4370" width="12.42578125" style="679" customWidth="1"/>
    <col min="4371" max="4607" width="11.42578125" style="679"/>
    <col min="4608" max="4608" width="16.28515625" style="679" customWidth="1"/>
    <col min="4609" max="4612" width="11.42578125" style="679" customWidth="1"/>
    <col min="4613" max="4613" width="12" style="679" customWidth="1"/>
    <col min="4614" max="4615" width="11.42578125" style="679" customWidth="1"/>
    <col min="4616" max="4616" width="1.85546875" style="679" customWidth="1"/>
    <col min="4617" max="4617" width="12.140625" style="679" customWidth="1"/>
    <col min="4618" max="4618" width="12.7109375" style="679" customWidth="1"/>
    <col min="4619" max="4621" width="11.42578125" style="679" customWidth="1"/>
    <col min="4622" max="4622" width="1.85546875" style="679" customWidth="1"/>
    <col min="4623" max="4623" width="13.5703125" style="679" customWidth="1"/>
    <col min="4624" max="4624" width="11.42578125" style="679" customWidth="1"/>
    <col min="4625" max="4626" width="12.42578125" style="679" customWidth="1"/>
    <col min="4627" max="4863" width="11.42578125" style="679"/>
    <col min="4864" max="4864" width="16.28515625" style="679" customWidth="1"/>
    <col min="4865" max="4868" width="11.42578125" style="679" customWidth="1"/>
    <col min="4869" max="4869" width="12" style="679" customWidth="1"/>
    <col min="4870" max="4871" width="11.42578125" style="679" customWidth="1"/>
    <col min="4872" max="4872" width="1.85546875" style="679" customWidth="1"/>
    <col min="4873" max="4873" width="12.140625" style="679" customWidth="1"/>
    <col min="4874" max="4874" width="12.7109375" style="679" customWidth="1"/>
    <col min="4875" max="4877" width="11.42578125" style="679" customWidth="1"/>
    <col min="4878" max="4878" width="1.85546875" style="679" customWidth="1"/>
    <col min="4879" max="4879" width="13.5703125" style="679" customWidth="1"/>
    <col min="4880" max="4880" width="11.42578125" style="679" customWidth="1"/>
    <col min="4881" max="4882" width="12.42578125" style="679" customWidth="1"/>
    <col min="4883" max="5119" width="11.42578125" style="679"/>
    <col min="5120" max="5120" width="16.28515625" style="679" customWidth="1"/>
    <col min="5121" max="5124" width="11.42578125" style="679" customWidth="1"/>
    <col min="5125" max="5125" width="12" style="679" customWidth="1"/>
    <col min="5126" max="5127" width="11.42578125" style="679" customWidth="1"/>
    <col min="5128" max="5128" width="1.85546875" style="679" customWidth="1"/>
    <col min="5129" max="5129" width="12.140625" style="679" customWidth="1"/>
    <col min="5130" max="5130" width="12.7109375" style="679" customWidth="1"/>
    <col min="5131" max="5133" width="11.42578125" style="679" customWidth="1"/>
    <col min="5134" max="5134" width="1.85546875" style="679" customWidth="1"/>
    <col min="5135" max="5135" width="13.5703125" style="679" customWidth="1"/>
    <col min="5136" max="5136" width="11.42578125" style="679" customWidth="1"/>
    <col min="5137" max="5138" width="12.42578125" style="679" customWidth="1"/>
    <col min="5139" max="5375" width="11.42578125" style="679"/>
    <col min="5376" max="5376" width="16.28515625" style="679" customWidth="1"/>
    <col min="5377" max="5380" width="11.42578125" style="679" customWidth="1"/>
    <col min="5381" max="5381" width="12" style="679" customWidth="1"/>
    <col min="5382" max="5383" width="11.42578125" style="679" customWidth="1"/>
    <col min="5384" max="5384" width="1.85546875" style="679" customWidth="1"/>
    <col min="5385" max="5385" width="12.140625" style="679" customWidth="1"/>
    <col min="5386" max="5386" width="12.7109375" style="679" customWidth="1"/>
    <col min="5387" max="5389" width="11.42578125" style="679" customWidth="1"/>
    <col min="5390" max="5390" width="1.85546875" style="679" customWidth="1"/>
    <col min="5391" max="5391" width="13.5703125" style="679" customWidth="1"/>
    <col min="5392" max="5392" width="11.42578125" style="679" customWidth="1"/>
    <col min="5393" max="5394" width="12.42578125" style="679" customWidth="1"/>
    <col min="5395" max="5631" width="11.42578125" style="679"/>
    <col min="5632" max="5632" width="16.28515625" style="679" customWidth="1"/>
    <col min="5633" max="5636" width="11.42578125" style="679" customWidth="1"/>
    <col min="5637" max="5637" width="12" style="679" customWidth="1"/>
    <col min="5638" max="5639" width="11.42578125" style="679" customWidth="1"/>
    <col min="5640" max="5640" width="1.85546875" style="679" customWidth="1"/>
    <col min="5641" max="5641" width="12.140625" style="679" customWidth="1"/>
    <col min="5642" max="5642" width="12.7109375" style="679" customWidth="1"/>
    <col min="5643" max="5645" width="11.42578125" style="679" customWidth="1"/>
    <col min="5646" max="5646" width="1.85546875" style="679" customWidth="1"/>
    <col min="5647" max="5647" width="13.5703125" style="679" customWidth="1"/>
    <col min="5648" max="5648" width="11.42578125" style="679" customWidth="1"/>
    <col min="5649" max="5650" width="12.42578125" style="679" customWidth="1"/>
    <col min="5651" max="5887" width="11.42578125" style="679"/>
    <col min="5888" max="5888" width="16.28515625" style="679" customWidth="1"/>
    <col min="5889" max="5892" width="11.42578125" style="679" customWidth="1"/>
    <col min="5893" max="5893" width="12" style="679" customWidth="1"/>
    <col min="5894" max="5895" width="11.42578125" style="679" customWidth="1"/>
    <col min="5896" max="5896" width="1.85546875" style="679" customWidth="1"/>
    <col min="5897" max="5897" width="12.140625" style="679" customWidth="1"/>
    <col min="5898" max="5898" width="12.7109375" style="679" customWidth="1"/>
    <col min="5899" max="5901" width="11.42578125" style="679" customWidth="1"/>
    <col min="5902" max="5902" width="1.85546875" style="679" customWidth="1"/>
    <col min="5903" max="5903" width="13.5703125" style="679" customWidth="1"/>
    <col min="5904" max="5904" width="11.42578125" style="679" customWidth="1"/>
    <col min="5905" max="5906" width="12.42578125" style="679" customWidth="1"/>
    <col min="5907" max="6143" width="11.42578125" style="679"/>
    <col min="6144" max="6144" width="16.28515625" style="679" customWidth="1"/>
    <col min="6145" max="6148" width="11.42578125" style="679" customWidth="1"/>
    <col min="6149" max="6149" width="12" style="679" customWidth="1"/>
    <col min="6150" max="6151" width="11.42578125" style="679" customWidth="1"/>
    <col min="6152" max="6152" width="1.85546875" style="679" customWidth="1"/>
    <col min="6153" max="6153" width="12.140625" style="679" customWidth="1"/>
    <col min="6154" max="6154" width="12.7109375" style="679" customWidth="1"/>
    <col min="6155" max="6157" width="11.42578125" style="679" customWidth="1"/>
    <col min="6158" max="6158" width="1.85546875" style="679" customWidth="1"/>
    <col min="6159" max="6159" width="13.5703125" style="679" customWidth="1"/>
    <col min="6160" max="6160" width="11.42578125" style="679" customWidth="1"/>
    <col min="6161" max="6162" width="12.42578125" style="679" customWidth="1"/>
    <col min="6163" max="6399" width="11.42578125" style="679"/>
    <col min="6400" max="6400" width="16.28515625" style="679" customWidth="1"/>
    <col min="6401" max="6404" width="11.42578125" style="679" customWidth="1"/>
    <col min="6405" max="6405" width="12" style="679" customWidth="1"/>
    <col min="6406" max="6407" width="11.42578125" style="679" customWidth="1"/>
    <col min="6408" max="6408" width="1.85546875" style="679" customWidth="1"/>
    <col min="6409" max="6409" width="12.140625" style="679" customWidth="1"/>
    <col min="6410" max="6410" width="12.7109375" style="679" customWidth="1"/>
    <col min="6411" max="6413" width="11.42578125" style="679" customWidth="1"/>
    <col min="6414" max="6414" width="1.85546875" style="679" customWidth="1"/>
    <col min="6415" max="6415" width="13.5703125" style="679" customWidth="1"/>
    <col min="6416" max="6416" width="11.42578125" style="679" customWidth="1"/>
    <col min="6417" max="6418" width="12.42578125" style="679" customWidth="1"/>
    <col min="6419" max="6655" width="11.42578125" style="679"/>
    <col min="6656" max="6656" width="16.28515625" style="679" customWidth="1"/>
    <col min="6657" max="6660" width="11.42578125" style="679" customWidth="1"/>
    <col min="6661" max="6661" width="12" style="679" customWidth="1"/>
    <col min="6662" max="6663" width="11.42578125" style="679" customWidth="1"/>
    <col min="6664" max="6664" width="1.85546875" style="679" customWidth="1"/>
    <col min="6665" max="6665" width="12.140625" style="679" customWidth="1"/>
    <col min="6666" max="6666" width="12.7109375" style="679" customWidth="1"/>
    <col min="6667" max="6669" width="11.42578125" style="679" customWidth="1"/>
    <col min="6670" max="6670" width="1.85546875" style="679" customWidth="1"/>
    <col min="6671" max="6671" width="13.5703125" style="679" customWidth="1"/>
    <col min="6672" max="6672" width="11.42578125" style="679" customWidth="1"/>
    <col min="6673" max="6674" width="12.42578125" style="679" customWidth="1"/>
    <col min="6675" max="6911" width="11.42578125" style="679"/>
    <col min="6912" max="6912" width="16.28515625" style="679" customWidth="1"/>
    <col min="6913" max="6916" width="11.42578125" style="679" customWidth="1"/>
    <col min="6917" max="6917" width="12" style="679" customWidth="1"/>
    <col min="6918" max="6919" width="11.42578125" style="679" customWidth="1"/>
    <col min="6920" max="6920" width="1.85546875" style="679" customWidth="1"/>
    <col min="6921" max="6921" width="12.140625" style="679" customWidth="1"/>
    <col min="6922" max="6922" width="12.7109375" style="679" customWidth="1"/>
    <col min="6923" max="6925" width="11.42578125" style="679" customWidth="1"/>
    <col min="6926" max="6926" width="1.85546875" style="679" customWidth="1"/>
    <col min="6927" max="6927" width="13.5703125" style="679" customWidth="1"/>
    <col min="6928" max="6928" width="11.42578125" style="679" customWidth="1"/>
    <col min="6929" max="6930" width="12.42578125" style="679" customWidth="1"/>
    <col min="6931" max="7167" width="11.42578125" style="679"/>
    <col min="7168" max="7168" width="16.28515625" style="679" customWidth="1"/>
    <col min="7169" max="7172" width="11.42578125" style="679" customWidth="1"/>
    <col min="7173" max="7173" width="12" style="679" customWidth="1"/>
    <col min="7174" max="7175" width="11.42578125" style="679" customWidth="1"/>
    <col min="7176" max="7176" width="1.85546875" style="679" customWidth="1"/>
    <col min="7177" max="7177" width="12.140625" style="679" customWidth="1"/>
    <col min="7178" max="7178" width="12.7109375" style="679" customWidth="1"/>
    <col min="7179" max="7181" width="11.42578125" style="679" customWidth="1"/>
    <col min="7182" max="7182" width="1.85546875" style="679" customWidth="1"/>
    <col min="7183" max="7183" width="13.5703125" style="679" customWidth="1"/>
    <col min="7184" max="7184" width="11.42578125" style="679" customWidth="1"/>
    <col min="7185" max="7186" width="12.42578125" style="679" customWidth="1"/>
    <col min="7187" max="7423" width="11.42578125" style="679"/>
    <col min="7424" max="7424" width="16.28515625" style="679" customWidth="1"/>
    <col min="7425" max="7428" width="11.42578125" style="679" customWidth="1"/>
    <col min="7429" max="7429" width="12" style="679" customWidth="1"/>
    <col min="7430" max="7431" width="11.42578125" style="679" customWidth="1"/>
    <col min="7432" max="7432" width="1.85546875" style="679" customWidth="1"/>
    <col min="7433" max="7433" width="12.140625" style="679" customWidth="1"/>
    <col min="7434" max="7434" width="12.7109375" style="679" customWidth="1"/>
    <col min="7435" max="7437" width="11.42578125" style="679" customWidth="1"/>
    <col min="7438" max="7438" width="1.85546875" style="679" customWidth="1"/>
    <col min="7439" max="7439" width="13.5703125" style="679" customWidth="1"/>
    <col min="7440" max="7440" width="11.42578125" style="679" customWidth="1"/>
    <col min="7441" max="7442" width="12.42578125" style="679" customWidth="1"/>
    <col min="7443" max="7679" width="11.42578125" style="679"/>
    <col min="7680" max="7680" width="16.28515625" style="679" customWidth="1"/>
    <col min="7681" max="7684" width="11.42578125" style="679" customWidth="1"/>
    <col min="7685" max="7685" width="12" style="679" customWidth="1"/>
    <col min="7686" max="7687" width="11.42578125" style="679" customWidth="1"/>
    <col min="7688" max="7688" width="1.85546875" style="679" customWidth="1"/>
    <col min="7689" max="7689" width="12.140625" style="679" customWidth="1"/>
    <col min="7690" max="7690" width="12.7109375" style="679" customWidth="1"/>
    <col min="7691" max="7693" width="11.42578125" style="679" customWidth="1"/>
    <col min="7694" max="7694" width="1.85546875" style="679" customWidth="1"/>
    <col min="7695" max="7695" width="13.5703125" style="679" customWidth="1"/>
    <col min="7696" max="7696" width="11.42578125" style="679" customWidth="1"/>
    <col min="7697" max="7698" width="12.42578125" style="679" customWidth="1"/>
    <col min="7699" max="7935" width="11.42578125" style="679"/>
    <col min="7936" max="7936" width="16.28515625" style="679" customWidth="1"/>
    <col min="7937" max="7940" width="11.42578125" style="679" customWidth="1"/>
    <col min="7941" max="7941" width="12" style="679" customWidth="1"/>
    <col min="7942" max="7943" width="11.42578125" style="679" customWidth="1"/>
    <col min="7944" max="7944" width="1.85546875" style="679" customWidth="1"/>
    <col min="7945" max="7945" width="12.140625" style="679" customWidth="1"/>
    <col min="7946" max="7946" width="12.7109375" style="679" customWidth="1"/>
    <col min="7947" max="7949" width="11.42578125" style="679" customWidth="1"/>
    <col min="7950" max="7950" width="1.85546875" style="679" customWidth="1"/>
    <col min="7951" max="7951" width="13.5703125" style="679" customWidth="1"/>
    <col min="7952" max="7952" width="11.42578125" style="679" customWidth="1"/>
    <col min="7953" max="7954" width="12.42578125" style="679" customWidth="1"/>
    <col min="7955" max="8191" width="11.42578125" style="679"/>
    <col min="8192" max="8192" width="16.28515625" style="679" customWidth="1"/>
    <col min="8193" max="8196" width="11.42578125" style="679" customWidth="1"/>
    <col min="8197" max="8197" width="12" style="679" customWidth="1"/>
    <col min="8198" max="8199" width="11.42578125" style="679" customWidth="1"/>
    <col min="8200" max="8200" width="1.85546875" style="679" customWidth="1"/>
    <col min="8201" max="8201" width="12.140625" style="679" customWidth="1"/>
    <col min="8202" max="8202" width="12.7109375" style="679" customWidth="1"/>
    <col min="8203" max="8205" width="11.42578125" style="679" customWidth="1"/>
    <col min="8206" max="8206" width="1.85546875" style="679" customWidth="1"/>
    <col min="8207" max="8207" width="13.5703125" style="679" customWidth="1"/>
    <col min="8208" max="8208" width="11.42578125" style="679" customWidth="1"/>
    <col min="8209" max="8210" width="12.42578125" style="679" customWidth="1"/>
    <col min="8211" max="8447" width="11.42578125" style="679"/>
    <col min="8448" max="8448" width="16.28515625" style="679" customWidth="1"/>
    <col min="8449" max="8452" width="11.42578125" style="679" customWidth="1"/>
    <col min="8453" max="8453" width="12" style="679" customWidth="1"/>
    <col min="8454" max="8455" width="11.42578125" style="679" customWidth="1"/>
    <col min="8456" max="8456" width="1.85546875" style="679" customWidth="1"/>
    <col min="8457" max="8457" width="12.140625" style="679" customWidth="1"/>
    <col min="8458" max="8458" width="12.7109375" style="679" customWidth="1"/>
    <col min="8459" max="8461" width="11.42578125" style="679" customWidth="1"/>
    <col min="8462" max="8462" width="1.85546875" style="679" customWidth="1"/>
    <col min="8463" max="8463" width="13.5703125" style="679" customWidth="1"/>
    <col min="8464" max="8464" width="11.42578125" style="679" customWidth="1"/>
    <col min="8465" max="8466" width="12.42578125" style="679" customWidth="1"/>
    <col min="8467" max="8703" width="11.42578125" style="679"/>
    <col min="8704" max="8704" width="16.28515625" style="679" customWidth="1"/>
    <col min="8705" max="8708" width="11.42578125" style="679" customWidth="1"/>
    <col min="8709" max="8709" width="12" style="679" customWidth="1"/>
    <col min="8710" max="8711" width="11.42578125" style="679" customWidth="1"/>
    <col min="8712" max="8712" width="1.85546875" style="679" customWidth="1"/>
    <col min="8713" max="8713" width="12.140625" style="679" customWidth="1"/>
    <col min="8714" max="8714" width="12.7109375" style="679" customWidth="1"/>
    <col min="8715" max="8717" width="11.42578125" style="679" customWidth="1"/>
    <col min="8718" max="8718" width="1.85546875" style="679" customWidth="1"/>
    <col min="8719" max="8719" width="13.5703125" style="679" customWidth="1"/>
    <col min="8720" max="8720" width="11.42578125" style="679" customWidth="1"/>
    <col min="8721" max="8722" width="12.42578125" style="679" customWidth="1"/>
    <col min="8723" max="8959" width="11.42578125" style="679"/>
    <col min="8960" max="8960" width="16.28515625" style="679" customWidth="1"/>
    <col min="8961" max="8964" width="11.42578125" style="679" customWidth="1"/>
    <col min="8965" max="8965" width="12" style="679" customWidth="1"/>
    <col min="8966" max="8967" width="11.42578125" style="679" customWidth="1"/>
    <col min="8968" max="8968" width="1.85546875" style="679" customWidth="1"/>
    <col min="8969" max="8969" width="12.140625" style="679" customWidth="1"/>
    <col min="8970" max="8970" width="12.7109375" style="679" customWidth="1"/>
    <col min="8971" max="8973" width="11.42578125" style="679" customWidth="1"/>
    <col min="8974" max="8974" width="1.85546875" style="679" customWidth="1"/>
    <col min="8975" max="8975" width="13.5703125" style="679" customWidth="1"/>
    <col min="8976" max="8976" width="11.42578125" style="679" customWidth="1"/>
    <col min="8977" max="8978" width="12.42578125" style="679" customWidth="1"/>
    <col min="8979" max="9215" width="11.42578125" style="679"/>
    <col min="9216" max="9216" width="16.28515625" style="679" customWidth="1"/>
    <col min="9217" max="9220" width="11.42578125" style="679" customWidth="1"/>
    <col min="9221" max="9221" width="12" style="679" customWidth="1"/>
    <col min="9222" max="9223" width="11.42578125" style="679" customWidth="1"/>
    <col min="9224" max="9224" width="1.85546875" style="679" customWidth="1"/>
    <col min="9225" max="9225" width="12.140625" style="679" customWidth="1"/>
    <col min="9226" max="9226" width="12.7109375" style="679" customWidth="1"/>
    <col min="9227" max="9229" width="11.42578125" style="679" customWidth="1"/>
    <col min="9230" max="9230" width="1.85546875" style="679" customWidth="1"/>
    <col min="9231" max="9231" width="13.5703125" style="679" customWidth="1"/>
    <col min="9232" max="9232" width="11.42578125" style="679" customWidth="1"/>
    <col min="9233" max="9234" width="12.42578125" style="679" customWidth="1"/>
    <col min="9235" max="9471" width="11.42578125" style="679"/>
    <col min="9472" max="9472" width="16.28515625" style="679" customWidth="1"/>
    <col min="9473" max="9476" width="11.42578125" style="679" customWidth="1"/>
    <col min="9477" max="9477" width="12" style="679" customWidth="1"/>
    <col min="9478" max="9479" width="11.42578125" style="679" customWidth="1"/>
    <col min="9480" max="9480" width="1.85546875" style="679" customWidth="1"/>
    <col min="9481" max="9481" width="12.140625" style="679" customWidth="1"/>
    <col min="9482" max="9482" width="12.7109375" style="679" customWidth="1"/>
    <col min="9483" max="9485" width="11.42578125" style="679" customWidth="1"/>
    <col min="9486" max="9486" width="1.85546875" style="679" customWidth="1"/>
    <col min="9487" max="9487" width="13.5703125" style="679" customWidth="1"/>
    <col min="9488" max="9488" width="11.42578125" style="679" customWidth="1"/>
    <col min="9489" max="9490" width="12.42578125" style="679" customWidth="1"/>
    <col min="9491" max="9727" width="11.42578125" style="679"/>
    <col min="9728" max="9728" width="16.28515625" style="679" customWidth="1"/>
    <col min="9729" max="9732" width="11.42578125" style="679" customWidth="1"/>
    <col min="9733" max="9733" width="12" style="679" customWidth="1"/>
    <col min="9734" max="9735" width="11.42578125" style="679" customWidth="1"/>
    <col min="9736" max="9736" width="1.85546875" style="679" customWidth="1"/>
    <col min="9737" max="9737" width="12.140625" style="679" customWidth="1"/>
    <col min="9738" max="9738" width="12.7109375" style="679" customWidth="1"/>
    <col min="9739" max="9741" width="11.42578125" style="679" customWidth="1"/>
    <col min="9742" max="9742" width="1.85546875" style="679" customWidth="1"/>
    <col min="9743" max="9743" width="13.5703125" style="679" customWidth="1"/>
    <col min="9744" max="9744" width="11.42578125" style="679" customWidth="1"/>
    <col min="9745" max="9746" width="12.42578125" style="679" customWidth="1"/>
    <col min="9747" max="9983" width="11.42578125" style="679"/>
    <col min="9984" max="9984" width="16.28515625" style="679" customWidth="1"/>
    <col min="9985" max="9988" width="11.42578125" style="679" customWidth="1"/>
    <col min="9989" max="9989" width="12" style="679" customWidth="1"/>
    <col min="9990" max="9991" width="11.42578125" style="679" customWidth="1"/>
    <col min="9992" max="9992" width="1.85546875" style="679" customWidth="1"/>
    <col min="9993" max="9993" width="12.140625" style="679" customWidth="1"/>
    <col min="9994" max="9994" width="12.7109375" style="679" customWidth="1"/>
    <col min="9995" max="9997" width="11.42578125" style="679" customWidth="1"/>
    <col min="9998" max="9998" width="1.85546875" style="679" customWidth="1"/>
    <col min="9999" max="9999" width="13.5703125" style="679" customWidth="1"/>
    <col min="10000" max="10000" width="11.42578125" style="679" customWidth="1"/>
    <col min="10001" max="10002" width="12.42578125" style="679" customWidth="1"/>
    <col min="10003" max="10239" width="11.42578125" style="679"/>
    <col min="10240" max="10240" width="16.28515625" style="679" customWidth="1"/>
    <col min="10241" max="10244" width="11.42578125" style="679" customWidth="1"/>
    <col min="10245" max="10245" width="12" style="679" customWidth="1"/>
    <col min="10246" max="10247" width="11.42578125" style="679" customWidth="1"/>
    <col min="10248" max="10248" width="1.85546875" style="679" customWidth="1"/>
    <col min="10249" max="10249" width="12.140625" style="679" customWidth="1"/>
    <col min="10250" max="10250" width="12.7109375" style="679" customWidth="1"/>
    <col min="10251" max="10253" width="11.42578125" style="679" customWidth="1"/>
    <col min="10254" max="10254" width="1.85546875" style="679" customWidth="1"/>
    <col min="10255" max="10255" width="13.5703125" style="679" customWidth="1"/>
    <col min="10256" max="10256" width="11.42578125" style="679" customWidth="1"/>
    <col min="10257" max="10258" width="12.42578125" style="679" customWidth="1"/>
    <col min="10259" max="10495" width="11.42578125" style="679"/>
    <col min="10496" max="10496" width="16.28515625" style="679" customWidth="1"/>
    <col min="10497" max="10500" width="11.42578125" style="679" customWidth="1"/>
    <col min="10501" max="10501" width="12" style="679" customWidth="1"/>
    <col min="10502" max="10503" width="11.42578125" style="679" customWidth="1"/>
    <col min="10504" max="10504" width="1.85546875" style="679" customWidth="1"/>
    <col min="10505" max="10505" width="12.140625" style="679" customWidth="1"/>
    <col min="10506" max="10506" width="12.7109375" style="679" customWidth="1"/>
    <col min="10507" max="10509" width="11.42578125" style="679" customWidth="1"/>
    <col min="10510" max="10510" width="1.85546875" style="679" customWidth="1"/>
    <col min="10511" max="10511" width="13.5703125" style="679" customWidth="1"/>
    <col min="10512" max="10512" width="11.42578125" style="679" customWidth="1"/>
    <col min="10513" max="10514" width="12.42578125" style="679" customWidth="1"/>
    <col min="10515" max="10751" width="11.42578125" style="679"/>
    <col min="10752" max="10752" width="16.28515625" style="679" customWidth="1"/>
    <col min="10753" max="10756" width="11.42578125" style="679" customWidth="1"/>
    <col min="10757" max="10757" width="12" style="679" customWidth="1"/>
    <col min="10758" max="10759" width="11.42578125" style="679" customWidth="1"/>
    <col min="10760" max="10760" width="1.85546875" style="679" customWidth="1"/>
    <col min="10761" max="10761" width="12.140625" style="679" customWidth="1"/>
    <col min="10762" max="10762" width="12.7109375" style="679" customWidth="1"/>
    <col min="10763" max="10765" width="11.42578125" style="679" customWidth="1"/>
    <col min="10766" max="10766" width="1.85546875" style="679" customWidth="1"/>
    <col min="10767" max="10767" width="13.5703125" style="679" customWidth="1"/>
    <col min="10768" max="10768" width="11.42578125" style="679" customWidth="1"/>
    <col min="10769" max="10770" width="12.42578125" style="679" customWidth="1"/>
    <col min="10771" max="11007" width="11.42578125" style="679"/>
    <col min="11008" max="11008" width="16.28515625" style="679" customWidth="1"/>
    <col min="11009" max="11012" width="11.42578125" style="679" customWidth="1"/>
    <col min="11013" max="11013" width="12" style="679" customWidth="1"/>
    <col min="11014" max="11015" width="11.42578125" style="679" customWidth="1"/>
    <col min="11016" max="11016" width="1.85546875" style="679" customWidth="1"/>
    <col min="11017" max="11017" width="12.140625" style="679" customWidth="1"/>
    <col min="11018" max="11018" width="12.7109375" style="679" customWidth="1"/>
    <col min="11019" max="11021" width="11.42578125" style="679" customWidth="1"/>
    <col min="11022" max="11022" width="1.85546875" style="679" customWidth="1"/>
    <col min="11023" max="11023" width="13.5703125" style="679" customWidth="1"/>
    <col min="11024" max="11024" width="11.42578125" style="679" customWidth="1"/>
    <col min="11025" max="11026" width="12.42578125" style="679" customWidth="1"/>
    <col min="11027" max="11263" width="11.42578125" style="679"/>
    <col min="11264" max="11264" width="16.28515625" style="679" customWidth="1"/>
    <col min="11265" max="11268" width="11.42578125" style="679" customWidth="1"/>
    <col min="11269" max="11269" width="12" style="679" customWidth="1"/>
    <col min="11270" max="11271" width="11.42578125" style="679" customWidth="1"/>
    <col min="11272" max="11272" width="1.85546875" style="679" customWidth="1"/>
    <col min="11273" max="11273" width="12.140625" style="679" customWidth="1"/>
    <col min="11274" max="11274" width="12.7109375" style="679" customWidth="1"/>
    <col min="11275" max="11277" width="11.42578125" style="679" customWidth="1"/>
    <col min="11278" max="11278" width="1.85546875" style="679" customWidth="1"/>
    <col min="11279" max="11279" width="13.5703125" style="679" customWidth="1"/>
    <col min="11280" max="11280" width="11.42578125" style="679" customWidth="1"/>
    <col min="11281" max="11282" width="12.42578125" style="679" customWidth="1"/>
    <col min="11283" max="11519" width="11.42578125" style="679"/>
    <col min="11520" max="11520" width="16.28515625" style="679" customWidth="1"/>
    <col min="11521" max="11524" width="11.42578125" style="679" customWidth="1"/>
    <col min="11525" max="11525" width="12" style="679" customWidth="1"/>
    <col min="11526" max="11527" width="11.42578125" style="679" customWidth="1"/>
    <col min="11528" max="11528" width="1.85546875" style="679" customWidth="1"/>
    <col min="11529" max="11529" width="12.140625" style="679" customWidth="1"/>
    <col min="11530" max="11530" width="12.7109375" style="679" customWidth="1"/>
    <col min="11531" max="11533" width="11.42578125" style="679" customWidth="1"/>
    <col min="11534" max="11534" width="1.85546875" style="679" customWidth="1"/>
    <col min="11535" max="11535" width="13.5703125" style="679" customWidth="1"/>
    <col min="11536" max="11536" width="11.42578125" style="679" customWidth="1"/>
    <col min="11537" max="11538" width="12.42578125" style="679" customWidth="1"/>
    <col min="11539" max="11775" width="11.42578125" style="679"/>
    <col min="11776" max="11776" width="16.28515625" style="679" customWidth="1"/>
    <col min="11777" max="11780" width="11.42578125" style="679" customWidth="1"/>
    <col min="11781" max="11781" width="12" style="679" customWidth="1"/>
    <col min="11782" max="11783" width="11.42578125" style="679" customWidth="1"/>
    <col min="11784" max="11784" width="1.85546875" style="679" customWidth="1"/>
    <col min="11785" max="11785" width="12.140625" style="679" customWidth="1"/>
    <col min="11786" max="11786" width="12.7109375" style="679" customWidth="1"/>
    <col min="11787" max="11789" width="11.42578125" style="679" customWidth="1"/>
    <col min="11790" max="11790" width="1.85546875" style="679" customWidth="1"/>
    <col min="11791" max="11791" width="13.5703125" style="679" customWidth="1"/>
    <col min="11792" max="11792" width="11.42578125" style="679" customWidth="1"/>
    <col min="11793" max="11794" width="12.42578125" style="679" customWidth="1"/>
    <col min="11795" max="12031" width="11.42578125" style="679"/>
    <col min="12032" max="12032" width="16.28515625" style="679" customWidth="1"/>
    <col min="12033" max="12036" width="11.42578125" style="679" customWidth="1"/>
    <col min="12037" max="12037" width="12" style="679" customWidth="1"/>
    <col min="12038" max="12039" width="11.42578125" style="679" customWidth="1"/>
    <col min="12040" max="12040" width="1.85546875" style="679" customWidth="1"/>
    <col min="12041" max="12041" width="12.140625" style="679" customWidth="1"/>
    <col min="12042" max="12042" width="12.7109375" style="679" customWidth="1"/>
    <col min="12043" max="12045" width="11.42578125" style="679" customWidth="1"/>
    <col min="12046" max="12046" width="1.85546875" style="679" customWidth="1"/>
    <col min="12047" max="12047" width="13.5703125" style="679" customWidth="1"/>
    <col min="12048" max="12048" width="11.42578125" style="679" customWidth="1"/>
    <col min="12049" max="12050" width="12.42578125" style="679" customWidth="1"/>
    <col min="12051" max="12287" width="11.42578125" style="679"/>
    <col min="12288" max="12288" width="16.28515625" style="679" customWidth="1"/>
    <col min="12289" max="12292" width="11.42578125" style="679" customWidth="1"/>
    <col min="12293" max="12293" width="12" style="679" customWidth="1"/>
    <col min="12294" max="12295" width="11.42578125" style="679" customWidth="1"/>
    <col min="12296" max="12296" width="1.85546875" style="679" customWidth="1"/>
    <col min="12297" max="12297" width="12.140625" style="679" customWidth="1"/>
    <col min="12298" max="12298" width="12.7109375" style="679" customWidth="1"/>
    <col min="12299" max="12301" width="11.42578125" style="679" customWidth="1"/>
    <col min="12302" max="12302" width="1.85546875" style="679" customWidth="1"/>
    <col min="12303" max="12303" width="13.5703125" style="679" customWidth="1"/>
    <col min="12304" max="12304" width="11.42578125" style="679" customWidth="1"/>
    <col min="12305" max="12306" width="12.42578125" style="679" customWidth="1"/>
    <col min="12307" max="12543" width="11.42578125" style="679"/>
    <col min="12544" max="12544" width="16.28515625" style="679" customWidth="1"/>
    <col min="12545" max="12548" width="11.42578125" style="679" customWidth="1"/>
    <col min="12549" max="12549" width="12" style="679" customWidth="1"/>
    <col min="12550" max="12551" width="11.42578125" style="679" customWidth="1"/>
    <col min="12552" max="12552" width="1.85546875" style="679" customWidth="1"/>
    <col min="12553" max="12553" width="12.140625" style="679" customWidth="1"/>
    <col min="12554" max="12554" width="12.7109375" style="679" customWidth="1"/>
    <col min="12555" max="12557" width="11.42578125" style="679" customWidth="1"/>
    <col min="12558" max="12558" width="1.85546875" style="679" customWidth="1"/>
    <col min="12559" max="12559" width="13.5703125" style="679" customWidth="1"/>
    <col min="12560" max="12560" width="11.42578125" style="679" customWidth="1"/>
    <col min="12561" max="12562" width="12.42578125" style="679" customWidth="1"/>
    <col min="12563" max="12799" width="11.42578125" style="679"/>
    <col min="12800" max="12800" width="16.28515625" style="679" customWidth="1"/>
    <col min="12801" max="12804" width="11.42578125" style="679" customWidth="1"/>
    <col min="12805" max="12805" width="12" style="679" customWidth="1"/>
    <col min="12806" max="12807" width="11.42578125" style="679" customWidth="1"/>
    <col min="12808" max="12808" width="1.85546875" style="679" customWidth="1"/>
    <col min="12809" max="12809" width="12.140625" style="679" customWidth="1"/>
    <col min="12810" max="12810" width="12.7109375" style="679" customWidth="1"/>
    <col min="12811" max="12813" width="11.42578125" style="679" customWidth="1"/>
    <col min="12814" max="12814" width="1.85546875" style="679" customWidth="1"/>
    <col min="12815" max="12815" width="13.5703125" style="679" customWidth="1"/>
    <col min="12816" max="12816" width="11.42578125" style="679" customWidth="1"/>
    <col min="12817" max="12818" width="12.42578125" style="679" customWidth="1"/>
    <col min="12819" max="13055" width="11.42578125" style="679"/>
    <col min="13056" max="13056" width="16.28515625" style="679" customWidth="1"/>
    <col min="13057" max="13060" width="11.42578125" style="679" customWidth="1"/>
    <col min="13061" max="13061" width="12" style="679" customWidth="1"/>
    <col min="13062" max="13063" width="11.42578125" style="679" customWidth="1"/>
    <col min="13064" max="13064" width="1.85546875" style="679" customWidth="1"/>
    <col min="13065" max="13065" width="12.140625" style="679" customWidth="1"/>
    <col min="13066" max="13066" width="12.7109375" style="679" customWidth="1"/>
    <col min="13067" max="13069" width="11.42578125" style="679" customWidth="1"/>
    <col min="13070" max="13070" width="1.85546875" style="679" customWidth="1"/>
    <col min="13071" max="13071" width="13.5703125" style="679" customWidth="1"/>
    <col min="13072" max="13072" width="11.42578125" style="679" customWidth="1"/>
    <col min="13073" max="13074" width="12.42578125" style="679" customWidth="1"/>
    <col min="13075" max="13311" width="11.42578125" style="679"/>
    <col min="13312" max="13312" width="16.28515625" style="679" customWidth="1"/>
    <col min="13313" max="13316" width="11.42578125" style="679" customWidth="1"/>
    <col min="13317" max="13317" width="12" style="679" customWidth="1"/>
    <col min="13318" max="13319" width="11.42578125" style="679" customWidth="1"/>
    <col min="13320" max="13320" width="1.85546875" style="679" customWidth="1"/>
    <col min="13321" max="13321" width="12.140625" style="679" customWidth="1"/>
    <col min="13322" max="13322" width="12.7109375" style="679" customWidth="1"/>
    <col min="13323" max="13325" width="11.42578125" style="679" customWidth="1"/>
    <col min="13326" max="13326" width="1.85546875" style="679" customWidth="1"/>
    <col min="13327" max="13327" width="13.5703125" style="679" customWidth="1"/>
    <col min="13328" max="13328" width="11.42578125" style="679" customWidth="1"/>
    <col min="13329" max="13330" width="12.42578125" style="679" customWidth="1"/>
    <col min="13331" max="13567" width="11.42578125" style="679"/>
    <col min="13568" max="13568" width="16.28515625" style="679" customWidth="1"/>
    <col min="13569" max="13572" width="11.42578125" style="679" customWidth="1"/>
    <col min="13573" max="13573" width="12" style="679" customWidth="1"/>
    <col min="13574" max="13575" width="11.42578125" style="679" customWidth="1"/>
    <col min="13576" max="13576" width="1.85546875" style="679" customWidth="1"/>
    <col min="13577" max="13577" width="12.140625" style="679" customWidth="1"/>
    <col min="13578" max="13578" width="12.7109375" style="679" customWidth="1"/>
    <col min="13579" max="13581" width="11.42578125" style="679" customWidth="1"/>
    <col min="13582" max="13582" width="1.85546875" style="679" customWidth="1"/>
    <col min="13583" max="13583" width="13.5703125" style="679" customWidth="1"/>
    <col min="13584" max="13584" width="11.42578125" style="679" customWidth="1"/>
    <col min="13585" max="13586" width="12.42578125" style="679" customWidth="1"/>
    <col min="13587" max="13823" width="11.42578125" style="679"/>
    <col min="13824" max="13824" width="16.28515625" style="679" customWidth="1"/>
    <col min="13825" max="13828" width="11.42578125" style="679" customWidth="1"/>
    <col min="13829" max="13829" width="12" style="679" customWidth="1"/>
    <col min="13830" max="13831" width="11.42578125" style="679" customWidth="1"/>
    <col min="13832" max="13832" width="1.85546875" style="679" customWidth="1"/>
    <col min="13833" max="13833" width="12.140625" style="679" customWidth="1"/>
    <col min="13834" max="13834" width="12.7109375" style="679" customWidth="1"/>
    <col min="13835" max="13837" width="11.42578125" style="679" customWidth="1"/>
    <col min="13838" max="13838" width="1.85546875" style="679" customWidth="1"/>
    <col min="13839" max="13839" width="13.5703125" style="679" customWidth="1"/>
    <col min="13840" max="13840" width="11.42578125" style="679" customWidth="1"/>
    <col min="13841" max="13842" width="12.42578125" style="679" customWidth="1"/>
    <col min="13843" max="14079" width="11.42578125" style="679"/>
    <col min="14080" max="14080" width="16.28515625" style="679" customWidth="1"/>
    <col min="14081" max="14084" width="11.42578125" style="679" customWidth="1"/>
    <col min="14085" max="14085" width="12" style="679" customWidth="1"/>
    <col min="14086" max="14087" width="11.42578125" style="679" customWidth="1"/>
    <col min="14088" max="14088" width="1.85546875" style="679" customWidth="1"/>
    <col min="14089" max="14089" width="12.140625" style="679" customWidth="1"/>
    <col min="14090" max="14090" width="12.7109375" style="679" customWidth="1"/>
    <col min="14091" max="14093" width="11.42578125" style="679" customWidth="1"/>
    <col min="14094" max="14094" width="1.85546875" style="679" customWidth="1"/>
    <col min="14095" max="14095" width="13.5703125" style="679" customWidth="1"/>
    <col min="14096" max="14096" width="11.42578125" style="679" customWidth="1"/>
    <col min="14097" max="14098" width="12.42578125" style="679" customWidth="1"/>
    <col min="14099" max="14335" width="11.42578125" style="679"/>
    <col min="14336" max="14336" width="16.28515625" style="679" customWidth="1"/>
    <col min="14337" max="14340" width="11.42578125" style="679" customWidth="1"/>
    <col min="14341" max="14341" width="12" style="679" customWidth="1"/>
    <col min="14342" max="14343" width="11.42578125" style="679" customWidth="1"/>
    <col min="14344" max="14344" width="1.85546875" style="679" customWidth="1"/>
    <col min="14345" max="14345" width="12.140625" style="679" customWidth="1"/>
    <col min="14346" max="14346" width="12.7109375" style="679" customWidth="1"/>
    <col min="14347" max="14349" width="11.42578125" style="679" customWidth="1"/>
    <col min="14350" max="14350" width="1.85546875" style="679" customWidth="1"/>
    <col min="14351" max="14351" width="13.5703125" style="679" customWidth="1"/>
    <col min="14352" max="14352" width="11.42578125" style="679" customWidth="1"/>
    <col min="14353" max="14354" width="12.42578125" style="679" customWidth="1"/>
    <col min="14355" max="14591" width="11.42578125" style="679"/>
    <col min="14592" max="14592" width="16.28515625" style="679" customWidth="1"/>
    <col min="14593" max="14596" width="11.42578125" style="679" customWidth="1"/>
    <col min="14597" max="14597" width="12" style="679" customWidth="1"/>
    <col min="14598" max="14599" width="11.42578125" style="679" customWidth="1"/>
    <col min="14600" max="14600" width="1.85546875" style="679" customWidth="1"/>
    <col min="14601" max="14601" width="12.140625" style="679" customWidth="1"/>
    <col min="14602" max="14602" width="12.7109375" style="679" customWidth="1"/>
    <col min="14603" max="14605" width="11.42578125" style="679" customWidth="1"/>
    <col min="14606" max="14606" width="1.85546875" style="679" customWidth="1"/>
    <col min="14607" max="14607" width="13.5703125" style="679" customWidth="1"/>
    <col min="14608" max="14608" width="11.42578125" style="679" customWidth="1"/>
    <col min="14609" max="14610" width="12.42578125" style="679" customWidth="1"/>
    <col min="14611" max="14847" width="11.42578125" style="679"/>
    <col min="14848" max="14848" width="16.28515625" style="679" customWidth="1"/>
    <col min="14849" max="14852" width="11.42578125" style="679" customWidth="1"/>
    <col min="14853" max="14853" width="12" style="679" customWidth="1"/>
    <col min="14854" max="14855" width="11.42578125" style="679" customWidth="1"/>
    <col min="14856" max="14856" width="1.85546875" style="679" customWidth="1"/>
    <col min="14857" max="14857" width="12.140625" style="679" customWidth="1"/>
    <col min="14858" max="14858" width="12.7109375" style="679" customWidth="1"/>
    <col min="14859" max="14861" width="11.42578125" style="679" customWidth="1"/>
    <col min="14862" max="14862" width="1.85546875" style="679" customWidth="1"/>
    <col min="14863" max="14863" width="13.5703125" style="679" customWidth="1"/>
    <col min="14864" max="14864" width="11.42578125" style="679" customWidth="1"/>
    <col min="14865" max="14866" width="12.42578125" style="679" customWidth="1"/>
    <col min="14867" max="15103" width="11.42578125" style="679"/>
    <col min="15104" max="15104" width="16.28515625" style="679" customWidth="1"/>
    <col min="15105" max="15108" width="11.42578125" style="679" customWidth="1"/>
    <col min="15109" max="15109" width="12" style="679" customWidth="1"/>
    <col min="15110" max="15111" width="11.42578125" style="679" customWidth="1"/>
    <col min="15112" max="15112" width="1.85546875" style="679" customWidth="1"/>
    <col min="15113" max="15113" width="12.140625" style="679" customWidth="1"/>
    <col min="15114" max="15114" width="12.7109375" style="679" customWidth="1"/>
    <col min="15115" max="15117" width="11.42578125" style="679" customWidth="1"/>
    <col min="15118" max="15118" width="1.85546875" style="679" customWidth="1"/>
    <col min="15119" max="15119" width="13.5703125" style="679" customWidth="1"/>
    <col min="15120" max="15120" width="11.42578125" style="679" customWidth="1"/>
    <col min="15121" max="15122" width="12.42578125" style="679" customWidth="1"/>
    <col min="15123" max="15359" width="11.42578125" style="679"/>
    <col min="15360" max="15360" width="16.28515625" style="679" customWidth="1"/>
    <col min="15361" max="15364" width="11.42578125" style="679" customWidth="1"/>
    <col min="15365" max="15365" width="12" style="679" customWidth="1"/>
    <col min="15366" max="15367" width="11.42578125" style="679" customWidth="1"/>
    <col min="15368" max="15368" width="1.85546875" style="679" customWidth="1"/>
    <col min="15369" max="15369" width="12.140625" style="679" customWidth="1"/>
    <col min="15370" max="15370" width="12.7109375" style="679" customWidth="1"/>
    <col min="15371" max="15373" width="11.42578125" style="679" customWidth="1"/>
    <col min="15374" max="15374" width="1.85546875" style="679" customWidth="1"/>
    <col min="15375" max="15375" width="13.5703125" style="679" customWidth="1"/>
    <col min="15376" max="15376" width="11.42578125" style="679" customWidth="1"/>
    <col min="15377" max="15378" width="12.42578125" style="679" customWidth="1"/>
    <col min="15379" max="15615" width="11.42578125" style="679"/>
    <col min="15616" max="15616" width="16.28515625" style="679" customWidth="1"/>
    <col min="15617" max="15620" width="11.42578125" style="679" customWidth="1"/>
    <col min="15621" max="15621" width="12" style="679" customWidth="1"/>
    <col min="15622" max="15623" width="11.42578125" style="679" customWidth="1"/>
    <col min="15624" max="15624" width="1.85546875" style="679" customWidth="1"/>
    <col min="15625" max="15625" width="12.140625" style="679" customWidth="1"/>
    <col min="15626" max="15626" width="12.7109375" style="679" customWidth="1"/>
    <col min="15627" max="15629" width="11.42578125" style="679" customWidth="1"/>
    <col min="15630" max="15630" width="1.85546875" style="679" customWidth="1"/>
    <col min="15631" max="15631" width="13.5703125" style="679" customWidth="1"/>
    <col min="15632" max="15632" width="11.42578125" style="679" customWidth="1"/>
    <col min="15633" max="15634" width="12.42578125" style="679" customWidth="1"/>
    <col min="15635" max="15871" width="11.42578125" style="679"/>
    <col min="15872" max="15872" width="16.28515625" style="679" customWidth="1"/>
    <col min="15873" max="15876" width="11.42578125" style="679" customWidth="1"/>
    <col min="15877" max="15877" width="12" style="679" customWidth="1"/>
    <col min="15878" max="15879" width="11.42578125" style="679" customWidth="1"/>
    <col min="15880" max="15880" width="1.85546875" style="679" customWidth="1"/>
    <col min="15881" max="15881" width="12.140625" style="679" customWidth="1"/>
    <col min="15882" max="15882" width="12.7109375" style="679" customWidth="1"/>
    <col min="15883" max="15885" width="11.42578125" style="679" customWidth="1"/>
    <col min="15886" max="15886" width="1.85546875" style="679" customWidth="1"/>
    <col min="15887" max="15887" width="13.5703125" style="679" customWidth="1"/>
    <col min="15888" max="15888" width="11.42578125" style="679" customWidth="1"/>
    <col min="15889" max="15890" width="12.42578125" style="679" customWidth="1"/>
    <col min="15891" max="16127" width="11.42578125" style="679"/>
    <col min="16128" max="16128" width="16.28515625" style="679" customWidth="1"/>
    <col min="16129" max="16132" width="11.42578125" style="679" customWidth="1"/>
    <col min="16133" max="16133" width="12" style="679" customWidth="1"/>
    <col min="16134" max="16135" width="11.42578125" style="679" customWidth="1"/>
    <col min="16136" max="16136" width="1.85546875" style="679" customWidth="1"/>
    <col min="16137" max="16137" width="12.140625" style="679" customWidth="1"/>
    <col min="16138" max="16138" width="12.7109375" style="679" customWidth="1"/>
    <col min="16139" max="16141" width="11.42578125" style="679" customWidth="1"/>
    <col min="16142" max="16142" width="1.85546875" style="679" customWidth="1"/>
    <col min="16143" max="16143" width="13.5703125" style="679" customWidth="1"/>
    <col min="16144" max="16144" width="11.42578125" style="679" customWidth="1"/>
    <col min="16145" max="16146" width="12.42578125" style="679" customWidth="1"/>
    <col min="16147" max="16384" width="11.42578125" style="679"/>
  </cols>
  <sheetData>
    <row r="1" spans="1:30">
      <c r="A1" s="684" t="s">
        <v>1429</v>
      </c>
      <c r="B1" s="685"/>
      <c r="C1" s="685"/>
      <c r="D1" s="685"/>
      <c r="E1" s="685"/>
      <c r="F1" s="685"/>
      <c r="G1" s="685"/>
      <c r="H1" s="685"/>
      <c r="J1" s="696"/>
      <c r="K1" s="696"/>
      <c r="L1" s="696"/>
      <c r="M1" s="696"/>
      <c r="N1" s="708"/>
      <c r="O1" s="696"/>
      <c r="P1" s="696"/>
      <c r="Q1" s="696"/>
      <c r="R1" s="696"/>
      <c r="S1" s="696"/>
      <c r="T1" s="696"/>
      <c r="V1" s="711"/>
      <c r="W1" s="711"/>
      <c r="X1" s="711"/>
      <c r="Y1" s="712"/>
      <c r="Z1" s="711"/>
      <c r="AA1" s="711"/>
      <c r="AB1" s="711"/>
      <c r="AC1" s="711"/>
      <c r="AD1" s="712"/>
    </row>
    <row r="2" spans="1:30">
      <c r="A2" s="684" t="s">
        <v>404</v>
      </c>
      <c r="B2" s="685"/>
      <c r="C2" s="686"/>
      <c r="D2" s="685"/>
      <c r="E2" s="685"/>
      <c r="F2" s="685"/>
      <c r="G2" s="685"/>
      <c r="H2" s="685"/>
      <c r="J2" s="696"/>
      <c r="K2" s="696"/>
      <c r="L2" s="696"/>
      <c r="M2" s="696"/>
      <c r="N2" s="708"/>
      <c r="O2" s="696"/>
      <c r="P2" s="696"/>
      <c r="Q2" s="696"/>
      <c r="R2" s="696"/>
      <c r="S2" s="696"/>
      <c r="T2" s="696"/>
      <c r="V2" s="711"/>
      <c r="W2" s="711"/>
      <c r="X2" s="711"/>
      <c r="Y2" s="712"/>
      <c r="Z2" s="711"/>
      <c r="AA2" s="711"/>
      <c r="AB2" s="711"/>
      <c r="AC2" s="711"/>
      <c r="AD2" s="712"/>
    </row>
    <row r="3" spans="1:30">
      <c r="A3" s="685"/>
      <c r="B3" s="685"/>
      <c r="C3" s="685"/>
      <c r="D3" s="685"/>
      <c r="E3" s="685"/>
      <c r="F3" s="687" t="s">
        <v>1430</v>
      </c>
      <c r="G3" s="687" t="s">
        <v>1431</v>
      </c>
      <c r="H3" s="687" t="s">
        <v>1432</v>
      </c>
      <c r="I3" s="681"/>
      <c r="J3" s="696"/>
      <c r="K3" s="696"/>
      <c r="L3" s="696"/>
      <c r="M3" s="696"/>
      <c r="N3" s="708"/>
      <c r="O3" s="696"/>
      <c r="P3" s="697"/>
      <c r="Q3" s="696"/>
      <c r="R3" s="696"/>
      <c r="S3" s="696"/>
      <c r="T3" s="696"/>
      <c r="V3" s="711"/>
      <c r="W3" s="711"/>
      <c r="X3" s="711"/>
      <c r="Y3" s="712"/>
      <c r="Z3" s="711"/>
      <c r="AA3" s="711"/>
      <c r="AB3" s="711"/>
      <c r="AC3" s="711"/>
      <c r="AD3" s="712"/>
    </row>
    <row r="4" spans="1:30">
      <c r="A4" s="688" t="s">
        <v>1433</v>
      </c>
      <c r="B4" s="687" t="s">
        <v>1434</v>
      </c>
      <c r="C4" s="687" t="s">
        <v>1435</v>
      </c>
      <c r="D4" s="687" t="s">
        <v>153</v>
      </c>
      <c r="E4" s="687" t="s">
        <v>1436</v>
      </c>
      <c r="F4" s="687" t="s">
        <v>1437</v>
      </c>
      <c r="G4" s="687" t="s">
        <v>1437</v>
      </c>
      <c r="H4" s="687" t="s">
        <v>1438</v>
      </c>
      <c r="I4" s="681"/>
      <c r="J4" s="1666" t="s">
        <v>1439</v>
      </c>
      <c r="K4" s="1666"/>
      <c r="L4" s="1666"/>
      <c r="M4" s="696"/>
      <c r="N4" s="708"/>
      <c r="O4" s="696"/>
      <c r="P4" s="1666" t="s">
        <v>176</v>
      </c>
      <c r="Q4" s="1666"/>
      <c r="R4" s="1666"/>
      <c r="S4" s="696"/>
      <c r="T4" s="696"/>
      <c r="V4" s="1667" t="s">
        <v>1463</v>
      </c>
      <c r="W4" s="1667"/>
      <c r="X4" s="1667"/>
      <c r="Y4" s="1667"/>
      <c r="Z4" s="711"/>
      <c r="AA4" s="1667" t="s">
        <v>1464</v>
      </c>
      <c r="AB4" s="1667"/>
      <c r="AC4" s="1667"/>
      <c r="AD4" s="1667"/>
    </row>
    <row r="5" spans="1:30">
      <c r="A5" s="687"/>
      <c r="B5" s="687"/>
      <c r="C5" s="687"/>
      <c r="D5" s="687" t="s">
        <v>1434</v>
      </c>
      <c r="E5" s="687" t="s">
        <v>153</v>
      </c>
      <c r="F5" s="689">
        <v>42736</v>
      </c>
      <c r="G5" s="689">
        <v>43100</v>
      </c>
      <c r="H5" s="689">
        <f>G5</f>
        <v>43100</v>
      </c>
      <c r="I5" s="682"/>
      <c r="J5" s="1651" t="s">
        <v>325</v>
      </c>
      <c r="K5" s="1651" t="s">
        <v>1440</v>
      </c>
      <c r="L5" s="1651" t="s">
        <v>333</v>
      </c>
      <c r="M5" s="1651" t="s">
        <v>12</v>
      </c>
      <c r="N5" s="708"/>
      <c r="O5" s="1652"/>
      <c r="P5" s="1651" t="s">
        <v>325</v>
      </c>
      <c r="Q5" s="1651" t="s">
        <v>1440</v>
      </c>
      <c r="R5" s="1651" t="s">
        <v>333</v>
      </c>
      <c r="S5" s="1651" t="s">
        <v>12</v>
      </c>
      <c r="T5" s="696"/>
      <c r="V5" s="713" t="s">
        <v>414</v>
      </c>
      <c r="W5" s="713" t="s">
        <v>328</v>
      </c>
      <c r="X5" s="713" t="s">
        <v>12</v>
      </c>
      <c r="Y5" s="712"/>
      <c r="Z5" s="711"/>
      <c r="AA5" s="713" t="s">
        <v>414</v>
      </c>
      <c r="AB5" s="713" t="s">
        <v>328</v>
      </c>
      <c r="AC5" s="713" t="s">
        <v>12</v>
      </c>
      <c r="AD5" s="712"/>
    </row>
    <row r="6" spans="1:30">
      <c r="A6" s="684" t="s">
        <v>1441</v>
      </c>
      <c r="B6" s="686"/>
      <c r="C6" s="685"/>
      <c r="D6" s="685"/>
      <c r="E6" s="685"/>
      <c r="F6" s="685"/>
      <c r="G6" s="685"/>
      <c r="H6" s="685"/>
      <c r="J6" s="698"/>
      <c r="K6" s="698"/>
      <c r="L6" s="698"/>
      <c r="M6" s="696"/>
      <c r="N6" s="708"/>
      <c r="O6" s="698"/>
      <c r="P6" s="698"/>
      <c r="Q6" s="698"/>
      <c r="R6" s="698"/>
      <c r="S6" s="696"/>
      <c r="T6" s="696"/>
      <c r="V6" s="714"/>
      <c r="W6" s="714"/>
      <c r="X6" s="711"/>
      <c r="Y6" s="712"/>
      <c r="Z6" s="711"/>
      <c r="AA6" s="714"/>
      <c r="AB6" s="714"/>
      <c r="AC6" s="711"/>
      <c r="AD6" s="712"/>
    </row>
    <row r="7" spans="1:30">
      <c r="A7" s="685" t="s">
        <v>1442</v>
      </c>
      <c r="B7" s="690">
        <f>'[48]2120 Depr Summary'!B7</f>
        <v>1791963.34</v>
      </c>
      <c r="C7" s="690">
        <f>B7-D7</f>
        <v>0</v>
      </c>
      <c r="D7" s="690">
        <f>'[48]2120 Depr Summary'!D7</f>
        <v>1791963.34</v>
      </c>
      <c r="E7" s="690">
        <f>'[48]2120 Depr Summary'!E7</f>
        <v>200001.19499047616</v>
      </c>
      <c r="F7" s="690">
        <f>'[48]2120 Depr Summary'!F7</f>
        <v>692216.98742857145</v>
      </c>
      <c r="G7" s="690">
        <f>'[48]2120 Depr Summary'!G7</f>
        <v>892218.18241904769</v>
      </c>
      <c r="H7" s="690">
        <f>'[48]2120 Depr Summary'!H7</f>
        <v>856853.74840952386</v>
      </c>
      <c r="J7" s="1231">
        <f>E7*Ratios!$H$43</f>
        <v>187993.32597350411</v>
      </c>
      <c r="K7" s="1231"/>
      <c r="L7" s="1231">
        <f>E7-J7</f>
        <v>12007.86901697205</v>
      </c>
      <c r="M7" s="696" t="s">
        <v>28</v>
      </c>
      <c r="N7" s="708">
        <f t="shared" ref="N7:N15" si="0">E7-J7-L7-K7</f>
        <v>0</v>
      </c>
      <c r="O7" s="698"/>
      <c r="P7" s="699">
        <f>H7*Ratios!$H$43</f>
        <v>805409.11790072604</v>
      </c>
      <c r="Q7" s="699"/>
      <c r="R7" s="699">
        <f>$H7-P7</f>
        <v>51444.630508797825</v>
      </c>
      <c r="S7" s="696" t="s">
        <v>28</v>
      </c>
      <c r="T7" s="700">
        <f>H7-P7-R7</f>
        <v>0</v>
      </c>
      <c r="V7" s="715">
        <f>J7</f>
        <v>187993.32597350411</v>
      </c>
      <c r="W7" s="715"/>
      <c r="X7" s="711" t="s">
        <v>19</v>
      </c>
      <c r="Y7" s="712">
        <f>J7-V7-W7</f>
        <v>0</v>
      </c>
      <c r="Z7" s="711"/>
      <c r="AA7" s="715">
        <f>P7</f>
        <v>805409.11790072604</v>
      </c>
      <c r="AB7" s="715"/>
      <c r="AC7" s="711" t="s">
        <v>19</v>
      </c>
      <c r="AD7" s="712">
        <f>P7-AA7-AB7</f>
        <v>0</v>
      </c>
    </row>
    <row r="8" spans="1:30" ht="6.75" customHeight="1">
      <c r="A8" s="684"/>
      <c r="B8" s="686"/>
      <c r="C8" s="685"/>
      <c r="D8" s="685"/>
      <c r="E8" s="685"/>
      <c r="F8" s="685"/>
      <c r="G8" s="685"/>
      <c r="H8" s="685"/>
      <c r="J8" s="1231"/>
      <c r="K8" s="1231"/>
      <c r="L8" s="1231"/>
      <c r="M8" s="696"/>
      <c r="N8" s="708">
        <f t="shared" si="0"/>
        <v>0</v>
      </c>
      <c r="O8" s="698"/>
      <c r="P8" s="699"/>
      <c r="Q8" s="699"/>
      <c r="R8" s="699"/>
      <c r="S8" s="696"/>
      <c r="T8" s="696"/>
      <c r="V8" s="715"/>
      <c r="W8" s="715"/>
      <c r="X8" s="711"/>
      <c r="Y8" s="712"/>
      <c r="Z8" s="711"/>
      <c r="AA8" s="715"/>
      <c r="AB8" s="715"/>
      <c r="AC8" s="711"/>
      <c r="AD8" s="712"/>
    </row>
    <row r="9" spans="1:30">
      <c r="A9" s="685" t="s">
        <v>1443</v>
      </c>
      <c r="B9" s="690">
        <f>'[48]2120 Depr Summary'!B9</f>
        <v>564059.43999999994</v>
      </c>
      <c r="C9" s="690">
        <f>B9-D9</f>
        <v>0</v>
      </c>
      <c r="D9" s="690">
        <f>'[48]2120 Depr Summary'!D9</f>
        <v>564059.43999999994</v>
      </c>
      <c r="E9" s="690">
        <f>'[48]2120 Depr Summary'!E9</f>
        <v>49844.171433333337</v>
      </c>
      <c r="F9" s="690">
        <f>'[48]2120 Depr Summary'!F9</f>
        <v>126625.70436666667</v>
      </c>
      <c r="G9" s="690">
        <f>'[48]2120 Depr Summary'!G9</f>
        <v>176469.87580000001</v>
      </c>
      <c r="H9" s="690">
        <f>'[48]2120 Depr Summary'!H9</f>
        <v>397660.00799999997</v>
      </c>
      <c r="I9" s="680"/>
      <c r="J9" s="1231">
        <f>E9*Ratios!$H$46</f>
        <v>42175.837366666667</v>
      </c>
      <c r="K9" s="1230"/>
      <c r="L9" s="1231">
        <f>E9-J9</f>
        <v>7668.33406666667</v>
      </c>
      <c r="M9" s="696" t="s">
        <v>28</v>
      </c>
      <c r="N9" s="708">
        <f t="shared" si="0"/>
        <v>0</v>
      </c>
      <c r="O9" s="697"/>
      <c r="P9" s="699">
        <f>H9*Ratios!$H$46</f>
        <v>336481.5452307692</v>
      </c>
      <c r="Q9" s="699"/>
      <c r="R9" s="699">
        <f>$H9-P9</f>
        <v>61178.462769230769</v>
      </c>
      <c r="S9" s="696" t="s">
        <v>28</v>
      </c>
      <c r="T9" s="700">
        <f>H9-P9-R9</f>
        <v>0</v>
      </c>
      <c r="V9" s="715">
        <f>J9</f>
        <v>42175.837366666667</v>
      </c>
      <c r="W9" s="715"/>
      <c r="X9" s="711" t="s">
        <v>19</v>
      </c>
      <c r="Y9" s="712">
        <f>J9-V9-W9</f>
        <v>0</v>
      </c>
      <c r="Z9" s="711"/>
      <c r="AA9" s="715">
        <f>P9</f>
        <v>336481.5452307692</v>
      </c>
      <c r="AB9" s="715"/>
      <c r="AC9" s="711" t="s">
        <v>19</v>
      </c>
      <c r="AD9" s="712">
        <f>P9-AA9-AB9</f>
        <v>0</v>
      </c>
    </row>
    <row r="10" spans="1:30" ht="6.75" customHeight="1">
      <c r="A10" s="685"/>
      <c r="B10" s="690"/>
      <c r="C10" s="690"/>
      <c r="D10" s="690"/>
      <c r="E10" s="690"/>
      <c r="F10" s="690"/>
      <c r="G10" s="690"/>
      <c r="H10" s="690"/>
      <c r="I10" s="680"/>
      <c r="J10" s="1230"/>
      <c r="K10" s="1230"/>
      <c r="L10" s="1230"/>
      <c r="M10" s="696"/>
      <c r="N10" s="708">
        <f t="shared" si="0"/>
        <v>0</v>
      </c>
      <c r="O10" s="697"/>
      <c r="P10" s="701"/>
      <c r="Q10" s="701"/>
      <c r="R10" s="701"/>
      <c r="S10" s="696"/>
      <c r="T10" s="696"/>
      <c r="V10" s="712"/>
      <c r="W10" s="712"/>
      <c r="X10" s="711"/>
      <c r="Y10" s="712"/>
      <c r="Z10" s="711"/>
      <c r="AA10" s="712"/>
      <c r="AB10" s="712"/>
      <c r="AC10" s="711"/>
      <c r="AD10" s="712"/>
    </row>
    <row r="11" spans="1:30">
      <c r="A11" s="685" t="s">
        <v>1444</v>
      </c>
      <c r="B11" s="690">
        <f>'[48]2120 Depr Summary'!B11</f>
        <v>127259.98999999999</v>
      </c>
      <c r="C11" s="690">
        <f>B11-D11</f>
        <v>0</v>
      </c>
      <c r="D11" s="690">
        <f>'[48]2120 Depr Summary'!D11</f>
        <v>127259.98999999999</v>
      </c>
      <c r="E11" s="690">
        <f>'[48]2120 Depr Summary'!E11</f>
        <v>19391.998476190471</v>
      </c>
      <c r="F11" s="690">
        <f>'[48]2120 Depr Summary'!F11</f>
        <v>87263.993142857129</v>
      </c>
      <c r="G11" s="690">
        <f>'[48]2120 Depr Summary'!G11</f>
        <v>106655.99161904759</v>
      </c>
      <c r="H11" s="690">
        <f>'[48]2120 Depr Summary'!H11</f>
        <v>30299.997619047626</v>
      </c>
      <c r="I11" s="680"/>
      <c r="J11" s="1231">
        <f>E11*Ratios!$H$48</f>
        <v>18229.535352277144</v>
      </c>
      <c r="K11" s="1230"/>
      <c r="L11" s="1231">
        <f>E11-J11</f>
        <v>1162.4631239133269</v>
      </c>
      <c r="M11" s="696" t="s">
        <v>28</v>
      </c>
      <c r="N11" s="708">
        <f t="shared" si="0"/>
        <v>0</v>
      </c>
      <c r="O11" s="697"/>
      <c r="P11" s="699">
        <f>H11*Ratios!$H$48</f>
        <v>28483.648987933055</v>
      </c>
      <c r="Q11" s="701"/>
      <c r="R11" s="699">
        <f>H11-P11</f>
        <v>1816.3486311145716</v>
      </c>
      <c r="S11" s="696" t="s">
        <v>28</v>
      </c>
      <c r="T11" s="700">
        <f>H11-P11-R11</f>
        <v>0</v>
      </c>
      <c r="V11" s="712">
        <f>J11*Ratios!$N$43</f>
        <v>18200.274460860968</v>
      </c>
      <c r="W11" s="712">
        <f>J11*Ratios!$N$44</f>
        <v>29.260891416175191</v>
      </c>
      <c r="X11" s="711" t="s">
        <v>28</v>
      </c>
      <c r="Y11" s="712">
        <f>J11-V11-W11</f>
        <v>3.907985046680551E-13</v>
      </c>
      <c r="Z11" s="711"/>
      <c r="AA11" s="715">
        <f>P11*Ratios!$N$43</f>
        <v>28437.928845095281</v>
      </c>
      <c r="AB11" s="715">
        <f>P11*Ratios!$N$44</f>
        <v>45.720142837773764</v>
      </c>
      <c r="AC11" s="711" t="s">
        <v>28</v>
      </c>
      <c r="AD11" s="712">
        <f>P11-AA11-AB11</f>
        <v>1.2789769243681803E-13</v>
      </c>
    </row>
    <row r="12" spans="1:30" ht="6.75" customHeight="1">
      <c r="A12" s="685"/>
      <c r="B12" s="690"/>
      <c r="C12" s="690"/>
      <c r="D12" s="690"/>
      <c r="E12" s="690"/>
      <c r="F12" s="690"/>
      <c r="G12" s="690"/>
      <c r="H12" s="690"/>
      <c r="I12" s="680"/>
      <c r="J12" s="1231"/>
      <c r="K12" s="1230"/>
      <c r="L12" s="1231"/>
      <c r="M12" s="696"/>
      <c r="N12" s="708">
        <f t="shared" si="0"/>
        <v>0</v>
      </c>
      <c r="O12" s="697"/>
      <c r="P12" s="699"/>
      <c r="Q12" s="701"/>
      <c r="R12" s="699"/>
      <c r="S12" s="696"/>
      <c r="T12" s="700"/>
      <c r="V12" s="712"/>
      <c r="W12" s="712"/>
      <c r="X12" s="711"/>
      <c r="Y12" s="712"/>
      <c r="Z12" s="711"/>
      <c r="AA12" s="712"/>
      <c r="AB12" s="712"/>
      <c r="AC12" s="711"/>
      <c r="AD12" s="712"/>
    </row>
    <row r="13" spans="1:30">
      <c r="A13" s="685" t="s">
        <v>1445</v>
      </c>
      <c r="B13" s="690">
        <f>'[48]2120 Depr Summary'!B13</f>
        <v>223251</v>
      </c>
      <c r="C13" s="690">
        <f>B13-D13</f>
        <v>0</v>
      </c>
      <c r="D13" s="690">
        <f>'[48]2120 Depr Summary'!D13</f>
        <v>223251</v>
      </c>
      <c r="E13" s="690">
        <f>'[48]2120 Depr Summary'!E13</f>
        <v>34444.44</v>
      </c>
      <c r="F13" s="690">
        <f>'[48]2120 Depr Summary'!F13</f>
        <v>51028.799999999996</v>
      </c>
      <c r="G13" s="690">
        <f>'[48]2120 Depr Summary'!G13</f>
        <v>85473.24</v>
      </c>
      <c r="H13" s="690">
        <f>'[48]2120 Depr Summary'!H13</f>
        <v>154999.97999999998</v>
      </c>
      <c r="I13" s="680"/>
      <c r="J13" s="1231">
        <f>E13*Ratios!$H$49</f>
        <v>31952.883739899964</v>
      </c>
      <c r="K13" s="1230"/>
      <c r="L13" s="1231">
        <f>E13-J13</f>
        <v>2491.5562601000383</v>
      </c>
      <c r="M13" s="696" t="s">
        <v>28</v>
      </c>
      <c r="N13" s="708">
        <f t="shared" si="0"/>
        <v>0</v>
      </c>
      <c r="O13" s="697"/>
      <c r="P13" s="699">
        <f>H13*Ratios!$H$49</f>
        <v>143787.97682954982</v>
      </c>
      <c r="Q13" s="701"/>
      <c r="R13" s="699">
        <f>H13-P13</f>
        <v>11212.00317045016</v>
      </c>
      <c r="S13" s="696" t="s">
        <v>28</v>
      </c>
      <c r="T13" s="700">
        <f>H13-P13-R13</f>
        <v>0</v>
      </c>
      <c r="V13" s="712">
        <f>J13</f>
        <v>31952.883739899964</v>
      </c>
      <c r="W13" s="712">
        <v>0</v>
      </c>
      <c r="X13" s="711" t="s">
        <v>19</v>
      </c>
      <c r="Y13" s="712">
        <f>J13-V13-W13</f>
        <v>0</v>
      </c>
      <c r="Z13" s="711"/>
      <c r="AA13" s="715">
        <f>P13</f>
        <v>143787.97682954982</v>
      </c>
      <c r="AB13" s="715"/>
      <c r="AC13" s="711" t="s">
        <v>19</v>
      </c>
      <c r="AD13" s="712">
        <f>P13-AA13-AB13</f>
        <v>0</v>
      </c>
    </row>
    <row r="14" spans="1:30" ht="6.75" customHeight="1">
      <c r="A14" s="685"/>
      <c r="B14" s="690"/>
      <c r="C14" s="690"/>
      <c r="D14" s="690"/>
      <c r="E14" s="690"/>
      <c r="F14" s="690"/>
      <c r="G14" s="690"/>
      <c r="H14" s="690"/>
      <c r="I14" s="680"/>
      <c r="J14" s="1230"/>
      <c r="K14" s="1230"/>
      <c r="L14" s="1230"/>
      <c r="M14" s="696"/>
      <c r="N14" s="708">
        <f t="shared" si="0"/>
        <v>0</v>
      </c>
      <c r="O14" s="697"/>
      <c r="P14" s="701"/>
      <c r="Q14" s="701"/>
      <c r="R14" s="701"/>
      <c r="S14" s="696"/>
      <c r="T14" s="696"/>
      <c r="V14" s="712"/>
      <c r="W14" s="712"/>
      <c r="X14" s="711"/>
      <c r="Y14" s="712"/>
      <c r="Z14" s="711"/>
      <c r="AA14" s="712"/>
      <c r="AB14" s="712"/>
      <c r="AC14" s="711"/>
      <c r="AD14" s="712"/>
    </row>
    <row r="15" spans="1:30">
      <c r="A15" s="685" t="s">
        <v>327</v>
      </c>
      <c r="B15" s="690">
        <f>'[48]2120 Depr Summary'!B15</f>
        <v>42000</v>
      </c>
      <c r="C15" s="690">
        <f>B15-D15</f>
        <v>0</v>
      </c>
      <c r="D15" s="690">
        <f>'[48]2120 Depr Summary'!D15</f>
        <v>42000</v>
      </c>
      <c r="E15" s="690">
        <f>'[48]2120 Depr Summary'!E15</f>
        <v>2800</v>
      </c>
      <c r="F15" s="690">
        <f>'[48]2120 Depr Summary'!F15</f>
        <v>33600</v>
      </c>
      <c r="G15" s="690">
        <f>'[48]2120 Depr Summary'!G15</f>
        <v>36400</v>
      </c>
      <c r="H15" s="690">
        <f>'[48]2120 Depr Summary'!H15</f>
        <v>0</v>
      </c>
      <c r="I15" s="680"/>
      <c r="J15" s="1230"/>
      <c r="K15" s="1230">
        <f>E15</f>
        <v>2800</v>
      </c>
      <c r="L15" s="1230"/>
      <c r="M15" s="697" t="s">
        <v>19</v>
      </c>
      <c r="N15" s="708">
        <f t="shared" si="0"/>
        <v>0</v>
      </c>
      <c r="O15" s="697"/>
      <c r="P15" s="701"/>
      <c r="Q15" s="701">
        <f>H15</f>
        <v>0</v>
      </c>
      <c r="R15" s="701"/>
      <c r="S15" s="697" t="s">
        <v>19</v>
      </c>
      <c r="T15" s="700">
        <f>H15-P15-R15-Q15</f>
        <v>0</v>
      </c>
      <c r="V15" s="715">
        <f>J15</f>
        <v>0</v>
      </c>
      <c r="W15" s="712"/>
      <c r="X15" s="716" t="s">
        <v>19</v>
      </c>
      <c r="Y15" s="712">
        <f>J15-V15-W15</f>
        <v>0</v>
      </c>
      <c r="Z15" s="711"/>
      <c r="AA15" s="715">
        <f>P15</f>
        <v>0</v>
      </c>
      <c r="AB15" s="712"/>
      <c r="AC15" s="716" t="s">
        <v>19</v>
      </c>
      <c r="AD15" s="712">
        <f>P15-AA15-AB15</f>
        <v>0</v>
      </c>
    </row>
    <row r="16" spans="1:30" ht="6.75" customHeight="1">
      <c r="A16" s="685"/>
      <c r="B16" s="690"/>
      <c r="C16" s="690"/>
      <c r="D16" s="690"/>
      <c r="E16" s="690"/>
      <c r="F16" s="690"/>
      <c r="G16" s="690"/>
      <c r="H16" s="690"/>
      <c r="I16" s="680"/>
      <c r="J16" s="699"/>
      <c r="K16" s="701"/>
      <c r="L16" s="701"/>
      <c r="M16" s="696"/>
      <c r="N16" s="708"/>
      <c r="O16" s="697"/>
      <c r="P16" s="699"/>
      <c r="Q16" s="701"/>
      <c r="R16" s="701"/>
      <c r="S16" s="696"/>
      <c r="T16" s="696"/>
      <c r="V16" s="715"/>
      <c r="W16" s="712"/>
      <c r="X16" s="711"/>
      <c r="Y16" s="712"/>
      <c r="Z16" s="711"/>
      <c r="AA16" s="715"/>
      <c r="AB16" s="712"/>
      <c r="AC16" s="711"/>
      <c r="AD16" s="712"/>
    </row>
    <row r="17" spans="1:30">
      <c r="A17" s="691" t="s">
        <v>1446</v>
      </c>
      <c r="B17" s="692">
        <f>SUM(B7:B16)</f>
        <v>2748533.7700000005</v>
      </c>
      <c r="C17" s="692">
        <f t="shared" ref="C17:H17" si="1">SUM(C7:C16)</f>
        <v>0</v>
      </c>
      <c r="D17" s="692">
        <f t="shared" si="1"/>
        <v>2748533.7700000005</v>
      </c>
      <c r="E17" s="692">
        <f>SUM(E7:E16)</f>
        <v>306481.80489999999</v>
      </c>
      <c r="F17" s="692">
        <f t="shared" si="1"/>
        <v>990735.48493809521</v>
      </c>
      <c r="G17" s="692">
        <f t="shared" si="1"/>
        <v>1297217.2898380954</v>
      </c>
      <c r="H17" s="692">
        <f t="shared" si="1"/>
        <v>1439813.7340285713</v>
      </c>
      <c r="I17" s="680"/>
      <c r="J17" s="702">
        <f>SUM(J7:J16)</f>
        <v>280351.58243234787</v>
      </c>
      <c r="K17" s="702">
        <f>SUM(K7:K16)</f>
        <v>2800</v>
      </c>
      <c r="L17" s="702">
        <f>SUM(L7:L16)</f>
        <v>23330.222467652085</v>
      </c>
      <c r="M17" s="696" t="s">
        <v>19</v>
      </c>
      <c r="N17" s="708">
        <f>E17-J17-K17-L17</f>
        <v>2.9103830456733704E-11</v>
      </c>
      <c r="O17" s="697"/>
      <c r="P17" s="702">
        <f>SUM(P7:P16)</f>
        <v>1314162.2889489781</v>
      </c>
      <c r="Q17" s="702">
        <f>SUM(Q7:Q16)</f>
        <v>0</v>
      </c>
      <c r="R17" s="702">
        <f>SUM(R7:R16)</f>
        <v>125651.44507959332</v>
      </c>
      <c r="S17" s="696" t="s">
        <v>19</v>
      </c>
      <c r="T17" s="701">
        <f>H17-P17-R17-Q17</f>
        <v>-1.0186340659856796E-10</v>
      </c>
      <c r="V17" s="717">
        <f>SUM(V7:V16)</f>
        <v>280322.32154093171</v>
      </c>
      <c r="W17" s="717">
        <f>SUM(W7:W16)</f>
        <v>29.260891416175191</v>
      </c>
      <c r="X17" s="711" t="s">
        <v>19</v>
      </c>
      <c r="Y17" s="712">
        <f>J17-V17-W17</f>
        <v>-6.8851591095153708E-12</v>
      </c>
      <c r="Z17" s="711"/>
      <c r="AA17" s="717">
        <f>SUM(AA7:AA16)</f>
        <v>1314116.5688061402</v>
      </c>
      <c r="AB17" s="717">
        <f>SUM(AB7:AB16)</f>
        <v>45.720142837773764</v>
      </c>
      <c r="AC17" s="711" t="s">
        <v>19</v>
      </c>
      <c r="AD17" s="712">
        <f>P17-AA17-AB17</f>
        <v>7.2887473834271077E-11</v>
      </c>
    </row>
    <row r="18" spans="1:30" ht="6.75" customHeight="1">
      <c r="A18" s="685"/>
      <c r="B18" s="690" t="s">
        <v>1447</v>
      </c>
      <c r="C18" s="690"/>
      <c r="D18" s="690"/>
      <c r="E18" s="690"/>
      <c r="F18" s="690"/>
      <c r="G18" s="690"/>
      <c r="H18" s="690"/>
      <c r="I18" s="680"/>
      <c r="J18" s="701"/>
      <c r="K18" s="701"/>
      <c r="L18" s="701"/>
      <c r="M18" s="696"/>
      <c r="N18" s="708"/>
      <c r="O18" s="697"/>
      <c r="P18" s="701"/>
      <c r="Q18" s="701"/>
      <c r="R18" s="701"/>
      <c r="S18" s="696"/>
      <c r="T18" s="696"/>
      <c r="V18" s="712"/>
      <c r="W18" s="712"/>
      <c r="X18" s="711"/>
      <c r="Y18" s="712"/>
      <c r="Z18" s="711"/>
      <c r="AA18" s="712"/>
      <c r="AB18" s="712"/>
      <c r="AC18" s="711"/>
      <c r="AD18" s="712"/>
    </row>
    <row r="19" spans="1:30">
      <c r="A19" s="684" t="s">
        <v>1448</v>
      </c>
      <c r="B19" s="690"/>
      <c r="C19" s="690"/>
      <c r="D19" s="690"/>
      <c r="E19" s="690"/>
      <c r="F19" s="690"/>
      <c r="G19" s="690"/>
      <c r="H19" s="690"/>
      <c r="I19" s="683"/>
      <c r="J19" s="701"/>
      <c r="K19" s="701"/>
      <c r="L19" s="701"/>
      <c r="M19" s="703"/>
      <c r="N19" s="708"/>
      <c r="O19" s="703"/>
      <c r="P19" s="701"/>
      <c r="Q19" s="701"/>
      <c r="R19" s="701"/>
      <c r="S19" s="703"/>
      <c r="T19" s="700"/>
      <c r="U19" s="683"/>
      <c r="V19" s="712"/>
      <c r="W19" s="712"/>
      <c r="X19" s="718"/>
      <c r="Y19" s="712"/>
      <c r="Z19" s="711"/>
      <c r="AA19" s="712"/>
      <c r="AB19" s="712"/>
      <c r="AC19" s="718"/>
      <c r="AD19" s="712"/>
    </row>
    <row r="20" spans="1:30">
      <c r="A20" s="685" t="s">
        <v>438</v>
      </c>
      <c r="B20" s="690">
        <f>'[48]2120 Depr Summary'!B20</f>
        <v>405680.15500000003</v>
      </c>
      <c r="C20" s="690">
        <f>B20-D20</f>
        <v>0</v>
      </c>
      <c r="D20" s="690">
        <f>'[48]2120 Depr Summary'!D20</f>
        <v>405680.15500000003</v>
      </c>
      <c r="E20" s="690">
        <f>'[48]2120 Depr Summary'!E20</f>
        <v>9794.1756388891026</v>
      </c>
      <c r="F20" s="690">
        <f>'[48]2120 Depr Summary'!F20</f>
        <v>314844.85145833349</v>
      </c>
      <c r="G20" s="690">
        <f>'[48]2120 Depr Summary'!G20</f>
        <v>327779.96209722385</v>
      </c>
      <c r="H20" s="690">
        <f>'[48]2120 Depr Summary'!H20</f>
        <v>118704.76822222144</v>
      </c>
      <c r="I20" s="680"/>
      <c r="J20" s="1230">
        <f>E20*Ratios!H56</f>
        <v>8854.1483788182468</v>
      </c>
      <c r="K20" s="1230"/>
      <c r="L20" s="1230">
        <f>E20-J20</f>
        <v>940.02726007085585</v>
      </c>
      <c r="M20" s="697" t="s">
        <v>1449</v>
      </c>
      <c r="N20" s="708">
        <f>E20-J20-K20-L20</f>
        <v>0</v>
      </c>
      <c r="O20" s="697"/>
      <c r="P20" s="701">
        <f>H20*Ratios!H56</f>
        <v>107311.69930622051</v>
      </c>
      <c r="Q20" s="701"/>
      <c r="R20" s="701">
        <f>H20-P20</f>
        <v>11393.068916000921</v>
      </c>
      <c r="S20" s="697" t="s">
        <v>1449</v>
      </c>
      <c r="T20" s="700">
        <f>H20-P20-Q20-R20</f>
        <v>0</v>
      </c>
      <c r="V20" s="712">
        <f>J20</f>
        <v>8854.1483788182468</v>
      </c>
      <c r="W20" s="712"/>
      <c r="X20" s="711" t="s">
        <v>19</v>
      </c>
      <c r="Y20" s="712">
        <f>J20-V20-W20</f>
        <v>0</v>
      </c>
      <c r="Z20" s="711"/>
      <c r="AA20" s="715">
        <f>P20</f>
        <v>107311.69930622051</v>
      </c>
      <c r="AB20" s="712"/>
      <c r="AC20" s="711" t="s">
        <v>19</v>
      </c>
      <c r="AD20" s="712">
        <f>P20-AA20-AB20</f>
        <v>0</v>
      </c>
    </row>
    <row r="21" spans="1:30" ht="6.75" customHeight="1">
      <c r="A21" s="685"/>
      <c r="B21" s="690"/>
      <c r="C21" s="690"/>
      <c r="D21" s="690"/>
      <c r="E21" s="690"/>
      <c r="F21" s="690"/>
      <c r="G21" s="690"/>
      <c r="H21" s="690"/>
      <c r="I21" s="680"/>
      <c r="J21" s="1230"/>
      <c r="K21" s="1230"/>
      <c r="L21" s="1230"/>
      <c r="M21" s="696"/>
      <c r="N21" s="708"/>
      <c r="O21" s="697"/>
      <c r="P21" s="701"/>
      <c r="Q21" s="701"/>
      <c r="R21" s="701"/>
      <c r="S21" s="696"/>
      <c r="T21" s="696"/>
      <c r="V21" s="712"/>
      <c r="W21" s="712"/>
      <c r="X21" s="711"/>
      <c r="Y21" s="712"/>
      <c r="Z21" s="711"/>
      <c r="AA21" s="712"/>
      <c r="AB21" s="712"/>
      <c r="AC21" s="711"/>
      <c r="AD21" s="712"/>
    </row>
    <row r="22" spans="1:30">
      <c r="A22" s="685" t="s">
        <v>440</v>
      </c>
      <c r="B22" s="690">
        <f>'[48]2120 Depr Summary'!B22</f>
        <v>159627.87</v>
      </c>
      <c r="C22" s="690">
        <f>B22-D22</f>
        <v>0</v>
      </c>
      <c r="D22" s="690">
        <f>'[48]2120 Depr Summary'!D22</f>
        <v>159627.87</v>
      </c>
      <c r="E22" s="690">
        <f>'[48]2120 Depr Summary'!E22</f>
        <v>10844.113666666801</v>
      </c>
      <c r="F22" s="690">
        <f>'[48]2120 Depr Summary'!F22</f>
        <v>96116.693142857024</v>
      </c>
      <c r="G22" s="690">
        <f>'[48]2120 Depr Summary'!G22</f>
        <v>106960.80680952383</v>
      </c>
      <c r="H22" s="690">
        <f>'[48]2120 Depr Summary'!H22</f>
        <v>49436.05002380957</v>
      </c>
      <c r="I22" s="680"/>
      <c r="J22" s="1230">
        <f>E22*Ratios!H54</f>
        <v>8902.8824783029795</v>
      </c>
      <c r="K22" s="1230"/>
      <c r="L22" s="1230">
        <f>E22-J22</f>
        <v>1941.2311883638213</v>
      </c>
      <c r="M22" s="697" t="s">
        <v>1449</v>
      </c>
      <c r="N22" s="708">
        <f>E22-J22-K22-L22</f>
        <v>0</v>
      </c>
      <c r="O22" s="697"/>
      <c r="P22" s="701">
        <f>H22*Ratios!H54</f>
        <v>40586.382352884932</v>
      </c>
      <c r="Q22" s="701"/>
      <c r="R22" s="701">
        <f>H22-P22</f>
        <v>8849.6676709246385</v>
      </c>
      <c r="S22" s="697" t="s">
        <v>1449</v>
      </c>
      <c r="T22" s="700">
        <f>H22-P22-Q22-R22</f>
        <v>0</v>
      </c>
      <c r="V22" s="712">
        <f>J22</f>
        <v>8902.8824783029795</v>
      </c>
      <c r="W22" s="712"/>
      <c r="X22" s="711" t="s">
        <v>19</v>
      </c>
      <c r="Y22" s="712">
        <f>J22-V22-W22</f>
        <v>0</v>
      </c>
      <c r="Z22" s="711"/>
      <c r="AA22" s="715">
        <f>P22</f>
        <v>40586.382352884932</v>
      </c>
      <c r="AB22" s="712"/>
      <c r="AC22" s="711" t="s">
        <v>19</v>
      </c>
      <c r="AD22" s="712">
        <f>P22-AA22-AB22</f>
        <v>0</v>
      </c>
    </row>
    <row r="23" spans="1:30" ht="6.75" customHeight="1">
      <c r="A23" s="685"/>
      <c r="B23" s="690"/>
      <c r="C23" s="690"/>
      <c r="D23" s="690"/>
      <c r="E23" s="690"/>
      <c r="F23" s="690"/>
      <c r="G23" s="690"/>
      <c r="H23" s="690"/>
      <c r="I23" s="680"/>
      <c r="J23" s="1230"/>
      <c r="K23" s="1230"/>
      <c r="L23" s="1230"/>
      <c r="M23" s="697"/>
      <c r="N23" s="708"/>
      <c r="O23" s="697"/>
      <c r="P23" s="701"/>
      <c r="Q23" s="701"/>
      <c r="R23" s="701"/>
      <c r="S23" s="697"/>
      <c r="T23" s="696"/>
      <c r="V23" s="712"/>
      <c r="W23" s="712"/>
      <c r="X23" s="716"/>
      <c r="Y23" s="712"/>
      <c r="Z23" s="711"/>
      <c r="AA23" s="712"/>
      <c r="AB23" s="712"/>
      <c r="AC23" s="716"/>
      <c r="AD23" s="712"/>
    </row>
    <row r="24" spans="1:30">
      <c r="A24" s="685" t="s">
        <v>1450</v>
      </c>
      <c r="B24" s="690">
        <f>'[48]2120 Depr Summary'!B24</f>
        <v>75075</v>
      </c>
      <c r="C24" s="690">
        <f>B24-D24</f>
        <v>0</v>
      </c>
      <c r="D24" s="690">
        <f>'[48]2120 Depr Summary'!D24</f>
        <v>75075</v>
      </c>
      <c r="E24" s="690">
        <f>'[48]2120 Depr Summary'!E24</f>
        <v>5967.8321071429245</v>
      </c>
      <c r="F24" s="690">
        <f>'[48]2120 Depr Summary'!F24</f>
        <v>44233.76046428574</v>
      </c>
      <c r="G24" s="690">
        <f>'[48]2120 Depr Summary'!G24</f>
        <v>50201.592571428664</v>
      </c>
      <c r="H24" s="690">
        <f>'[48]2120 Depr Summary'!H24</f>
        <v>27857.323482142798</v>
      </c>
      <c r="I24" s="680"/>
      <c r="J24" s="1230">
        <f>E24*Ratios!H61</f>
        <v>4911.1605610536881</v>
      </c>
      <c r="K24" s="1230"/>
      <c r="L24" s="1230">
        <f>E24-J24</f>
        <v>1056.6715460892365</v>
      </c>
      <c r="M24" s="697" t="s">
        <v>1449</v>
      </c>
      <c r="N24" s="708">
        <f>E24-J24-K24-L24</f>
        <v>0</v>
      </c>
      <c r="O24" s="697"/>
      <c r="P24" s="701">
        <f>H24*Ratios!H61</f>
        <v>22924.872209166853</v>
      </c>
      <c r="Q24" s="701"/>
      <c r="R24" s="701">
        <f>H24-P24</f>
        <v>4932.4512729759444</v>
      </c>
      <c r="S24" s="697" t="s">
        <v>1449</v>
      </c>
      <c r="T24" s="700">
        <f>H24-P24-Q24-R24</f>
        <v>0</v>
      </c>
      <c r="V24" s="712">
        <f>J24*Ratios!N54</f>
        <v>4818.9859593156252</v>
      </c>
      <c r="W24" s="712">
        <f>J24-V24</f>
        <v>92.174601738062847</v>
      </c>
      <c r="X24" s="716" t="s">
        <v>1449</v>
      </c>
      <c r="Y24" s="712">
        <f>J24-V24-W24</f>
        <v>0</v>
      </c>
      <c r="Z24" s="711"/>
      <c r="AA24" s="712">
        <f>P24*Ratios!N54</f>
        <v>22494.609150261167</v>
      </c>
      <c r="AB24" s="712">
        <f>P24-AA24</f>
        <v>430.26305890568619</v>
      </c>
      <c r="AC24" s="716" t="s">
        <v>1449</v>
      </c>
      <c r="AD24" s="712">
        <f>P24-AA24-AB24</f>
        <v>0</v>
      </c>
    </row>
    <row r="25" spans="1:30" ht="6.75" customHeight="1">
      <c r="A25" s="685"/>
      <c r="B25" s="685"/>
      <c r="C25" s="685"/>
      <c r="D25" s="685"/>
      <c r="E25" s="685"/>
      <c r="F25" s="685"/>
      <c r="G25" s="685"/>
      <c r="H25" s="685"/>
      <c r="I25" s="680"/>
      <c r="J25" s="1230"/>
      <c r="K25" s="1230"/>
      <c r="L25" s="1230"/>
      <c r="M25" s="697"/>
      <c r="N25" s="708"/>
      <c r="O25" s="697"/>
      <c r="P25" s="701"/>
      <c r="Q25" s="701"/>
      <c r="R25" s="701"/>
      <c r="S25" s="697"/>
      <c r="T25" s="696"/>
      <c r="V25" s="712"/>
      <c r="W25" s="712"/>
      <c r="X25" s="716"/>
      <c r="Y25" s="712"/>
      <c r="Z25" s="711"/>
      <c r="AA25" s="712"/>
      <c r="AB25" s="712"/>
      <c r="AC25" s="716"/>
      <c r="AD25" s="712"/>
    </row>
    <row r="26" spans="1:30">
      <c r="A26" s="685" t="s">
        <v>1451</v>
      </c>
      <c r="B26" s="690">
        <f>'[48]2120 Depr Summary'!B26</f>
        <v>160510.9</v>
      </c>
      <c r="C26" s="690">
        <f>B26-D26</f>
        <v>0</v>
      </c>
      <c r="D26" s="690">
        <f>'[48]2120 Depr Summary'!D26</f>
        <v>160510.9</v>
      </c>
      <c r="E26" s="690">
        <f>'[48]2120 Depr Summary'!E26</f>
        <v>6309.0086666668276</v>
      </c>
      <c r="F26" s="690">
        <f>'[48]2120 Depr Summary'!F26</f>
        <v>90693.954444444156</v>
      </c>
      <c r="G26" s="690">
        <f>'[48]2120 Depr Summary'!G26</f>
        <v>97002.963111110977</v>
      </c>
      <c r="H26" s="690">
        <f>'[48]2120 Depr Summary'!H26</f>
        <v>55019.441222222435</v>
      </c>
      <c r="I26" s="680"/>
      <c r="J26" s="1229">
        <f>E26*Ratios!H58</f>
        <v>5785.7138149787042</v>
      </c>
      <c r="K26" s="1229"/>
      <c r="L26" s="1230">
        <f>E26-J26</f>
        <v>523.29485168812334</v>
      </c>
      <c r="M26" s="697" t="s">
        <v>1449</v>
      </c>
      <c r="N26" s="708">
        <f>E26-J26-K26-L26</f>
        <v>0</v>
      </c>
      <c r="O26" s="697"/>
      <c r="P26" s="700">
        <f>H26*Ratios!H58</f>
        <v>50455.904879902373</v>
      </c>
      <c r="Q26" s="696"/>
      <c r="R26" s="701">
        <f>H26-P26</f>
        <v>4563.5363423200615</v>
      </c>
      <c r="S26" s="697" t="s">
        <v>1449</v>
      </c>
      <c r="T26" s="700">
        <f>H26-P26-Q26-R26</f>
        <v>0</v>
      </c>
      <c r="V26" s="712">
        <f>J26</f>
        <v>5785.7138149787042</v>
      </c>
      <c r="W26" s="711"/>
      <c r="X26" s="711" t="s">
        <v>19</v>
      </c>
      <c r="Y26" s="712">
        <f>J26-V26-W26</f>
        <v>0</v>
      </c>
      <c r="Z26" s="711"/>
      <c r="AA26" s="712">
        <f>P26</f>
        <v>50455.904879902373</v>
      </c>
      <c r="AB26" s="711"/>
      <c r="AC26" s="711" t="s">
        <v>19</v>
      </c>
      <c r="AD26" s="712">
        <f>P26-AA26-AB26</f>
        <v>0</v>
      </c>
    </row>
    <row r="27" spans="1:30" ht="6.75" customHeight="1">
      <c r="A27" s="685"/>
      <c r="B27" s="690"/>
      <c r="C27" s="690"/>
      <c r="D27" s="690"/>
      <c r="E27" s="690"/>
      <c r="F27" s="690"/>
      <c r="G27" s="690"/>
      <c r="H27" s="690"/>
      <c r="I27" s="680"/>
      <c r="J27" s="1229"/>
      <c r="K27" s="1229"/>
      <c r="L27" s="1229"/>
      <c r="M27" s="697"/>
      <c r="N27" s="708"/>
      <c r="O27" s="697"/>
      <c r="P27" s="696"/>
      <c r="Q27" s="696"/>
      <c r="R27" s="696"/>
      <c r="S27" s="697"/>
      <c r="T27" s="696"/>
      <c r="V27" s="711"/>
      <c r="W27" s="711"/>
      <c r="X27" s="716"/>
      <c r="Y27" s="712"/>
      <c r="Z27" s="711"/>
      <c r="AA27" s="711"/>
      <c r="AB27" s="711"/>
      <c r="AC27" s="716"/>
      <c r="AD27" s="712"/>
    </row>
    <row r="28" spans="1:30">
      <c r="A28" s="691" t="s">
        <v>1452</v>
      </c>
      <c r="B28" s="692">
        <f>SUM(B20:B27)</f>
        <v>800893.92500000005</v>
      </c>
      <c r="C28" s="692">
        <f t="shared" ref="C28:H28" si="2">SUM(C20:C27)</f>
        <v>0</v>
      </c>
      <c r="D28" s="692">
        <f t="shared" si="2"/>
        <v>800893.92500000005</v>
      </c>
      <c r="E28" s="692">
        <f t="shared" si="2"/>
        <v>32915.130079365656</v>
      </c>
      <c r="F28" s="692">
        <f t="shared" si="2"/>
        <v>545889.25950992038</v>
      </c>
      <c r="G28" s="692">
        <f t="shared" si="2"/>
        <v>581945.3245892874</v>
      </c>
      <c r="H28" s="692">
        <f t="shared" si="2"/>
        <v>251017.58295039623</v>
      </c>
      <c r="I28" s="683"/>
      <c r="J28" s="702">
        <f>SUM(J20:J27)</f>
        <v>28453.905233153622</v>
      </c>
      <c r="K28" s="702">
        <f>SUM(K20:K27)</f>
        <v>0</v>
      </c>
      <c r="L28" s="702">
        <f>SUM(L20:L27)</f>
        <v>4461.2248462120369</v>
      </c>
      <c r="M28" s="703"/>
      <c r="N28" s="708">
        <f>E28-J28-K28-L28</f>
        <v>0</v>
      </c>
      <c r="O28" s="703"/>
      <c r="P28" s="702">
        <f>SUM(P20:P27)</f>
        <v>221278.85874817465</v>
      </c>
      <c r="Q28" s="702">
        <f>SUM(Q20:Q27)</f>
        <v>0</v>
      </c>
      <c r="R28" s="702">
        <f>SUM(R20:R27)</f>
        <v>29738.724202221565</v>
      </c>
      <c r="S28" s="703"/>
      <c r="T28" s="700">
        <f>H28-P28-Q28-R28</f>
        <v>0</v>
      </c>
      <c r="V28" s="717">
        <f>SUM(V20:V27)</f>
        <v>28361.730631415558</v>
      </c>
      <c r="W28" s="717">
        <f>SUM(W20:W27)</f>
        <v>92.174601738062847</v>
      </c>
      <c r="X28" s="718"/>
      <c r="Y28" s="712">
        <f>J28-V28-W28</f>
        <v>1.8189894035458565E-12</v>
      </c>
      <c r="Z28" s="711"/>
      <c r="AA28" s="717">
        <f>SUM(AA20:AA27)</f>
        <v>220848.59568926896</v>
      </c>
      <c r="AB28" s="717">
        <f>SUM(AB20:AB27)</f>
        <v>430.26305890568619</v>
      </c>
      <c r="AC28" s="718"/>
      <c r="AD28" s="712">
        <f>P28-AA28-AB28</f>
        <v>7.2759576141834259E-12</v>
      </c>
    </row>
    <row r="29" spans="1:30" ht="6.75" customHeight="1">
      <c r="A29" s="685"/>
      <c r="B29" s="690"/>
      <c r="C29" s="690"/>
      <c r="D29" s="690"/>
      <c r="E29" s="690"/>
      <c r="F29" s="690"/>
      <c r="G29" s="690"/>
      <c r="H29" s="690"/>
      <c r="I29" s="680"/>
      <c r="J29" s="699"/>
      <c r="K29" s="701"/>
      <c r="L29" s="701"/>
      <c r="M29" s="697"/>
      <c r="N29" s="708"/>
      <c r="O29" s="698"/>
      <c r="P29" s="699"/>
      <c r="Q29" s="701"/>
      <c r="R29" s="701"/>
      <c r="S29" s="697"/>
      <c r="T29" s="696"/>
      <c r="V29" s="715"/>
      <c r="W29" s="712"/>
      <c r="X29" s="716"/>
      <c r="Y29" s="712"/>
      <c r="Z29" s="711"/>
      <c r="AA29" s="715"/>
      <c r="AB29" s="712"/>
      <c r="AC29" s="716"/>
      <c r="AD29" s="712"/>
    </row>
    <row r="30" spans="1:30">
      <c r="A30" s="685" t="s">
        <v>1453</v>
      </c>
      <c r="B30" s="690">
        <f>'[48]2120 Depr Summary'!B30</f>
        <v>73117.08</v>
      </c>
      <c r="C30" s="690">
        <f>B30-D30</f>
        <v>0</v>
      </c>
      <c r="D30" s="690">
        <f>'[48]2120 Depr Summary'!D30</f>
        <v>73117.08</v>
      </c>
      <c r="E30" s="690">
        <f>'[48]2120 Depr Summary'!E30</f>
        <v>2915.617999999406</v>
      </c>
      <c r="F30" s="690">
        <f>'[48]2120 Depr Summary'!F30</f>
        <v>27152</v>
      </c>
      <c r="G30" s="690">
        <f>'[48]2120 Depr Summary'!G30</f>
        <v>30067.617999999406</v>
      </c>
      <c r="H30" s="690">
        <f>'[48]2120 Depr Summary'!H30</f>
        <v>19262.06433333363</v>
      </c>
      <c r="I30" s="680"/>
      <c r="J30" s="1230">
        <f>$E30*Ratios!$C$48</f>
        <v>2681.0775114385683</v>
      </c>
      <c r="K30" s="1230">
        <f>$E30*Ratios!$D$48</f>
        <v>17.21398081180461</v>
      </c>
      <c r="L30" s="1230">
        <f>$E30*Ratios!$E$48</f>
        <v>217.32650774903323</v>
      </c>
      <c r="M30" s="696" t="s">
        <v>28</v>
      </c>
      <c r="N30" s="708">
        <f>E30-J30-K30-L30</f>
        <v>0</v>
      </c>
      <c r="O30" s="697"/>
      <c r="P30" s="701">
        <f>$H30*Ratios!C48</f>
        <v>17712.569859286865</v>
      </c>
      <c r="Q30" s="701">
        <f>$H30*Ratios!D48</f>
        <v>113.72436506765243</v>
      </c>
      <c r="R30" s="701">
        <f>$H30*Ratios!E48</f>
        <v>1435.7701089791119</v>
      </c>
      <c r="S30" s="696" t="s">
        <v>28</v>
      </c>
      <c r="T30" s="700">
        <f>H30-P30-Q30-R30</f>
        <v>0</v>
      </c>
      <c r="V30" s="712">
        <f>J30*Ratios!$N$43</f>
        <v>2676.7740162356172</v>
      </c>
      <c r="W30" s="712">
        <f>J30-V30</f>
        <v>4.303495202951126</v>
      </c>
      <c r="X30" s="711" t="s">
        <v>28</v>
      </c>
      <c r="Y30" s="712">
        <f>J30-V30-W30</f>
        <v>0</v>
      </c>
      <c r="Z30" s="711"/>
      <c r="AA30" s="712">
        <f>P30*Ratios!$N$43</f>
        <v>17684.138768019951</v>
      </c>
      <c r="AB30" s="712">
        <f>P30-AA30</f>
        <v>28.431091266913427</v>
      </c>
      <c r="AC30" s="711" t="s">
        <v>28</v>
      </c>
      <c r="AD30" s="712">
        <f>P30-AA30-AB30</f>
        <v>0</v>
      </c>
    </row>
    <row r="31" spans="1:30" ht="6.75" customHeight="1">
      <c r="A31" s="685"/>
      <c r="B31" s="690"/>
      <c r="C31" s="690"/>
      <c r="D31" s="690"/>
      <c r="E31" s="690"/>
      <c r="F31" s="690"/>
      <c r="G31" s="690"/>
      <c r="H31" s="690"/>
      <c r="I31" s="680"/>
      <c r="J31" s="1231"/>
      <c r="K31" s="1231"/>
      <c r="L31" s="1231"/>
      <c r="M31" s="697"/>
      <c r="N31" s="708"/>
      <c r="O31" s="698"/>
      <c r="P31" s="699"/>
      <c r="Q31" s="699"/>
      <c r="R31" s="699"/>
      <c r="S31" s="697"/>
      <c r="T31" s="696"/>
      <c r="V31" s="715"/>
      <c r="W31" s="715"/>
      <c r="X31" s="716"/>
      <c r="Y31" s="712"/>
      <c r="Z31" s="711"/>
      <c r="AA31" s="715"/>
      <c r="AB31" s="715"/>
      <c r="AC31" s="716"/>
      <c r="AD31" s="712"/>
    </row>
    <row r="32" spans="1:30">
      <c r="A32" s="685" t="s">
        <v>1454</v>
      </c>
      <c r="B32" s="690">
        <f>'[48]2120 Depr Summary'!B32</f>
        <v>103144.4</v>
      </c>
      <c r="C32" s="690">
        <f>B32-D32</f>
        <v>240</v>
      </c>
      <c r="D32" s="690">
        <f>'[48]2120 Depr Summary'!D32</f>
        <v>102904.4</v>
      </c>
      <c r="E32" s="690">
        <f>'[48]2120 Depr Summary'!E32</f>
        <v>8079.0643333333646</v>
      </c>
      <c r="F32" s="690">
        <f>'[48]2120 Depr Summary'!F32</f>
        <v>77252.812583333172</v>
      </c>
      <c r="G32" s="690">
        <f>'[48]2120 Depr Summary'!G32</f>
        <v>85331.876916666544</v>
      </c>
      <c r="H32" s="690">
        <f>'[48]2120 Depr Summary'!H32</f>
        <v>11172.388583333483</v>
      </c>
      <c r="I32" s="680"/>
      <c r="J32" s="1230">
        <f>$E32*Ratios!C48</f>
        <v>7429.1617412054411</v>
      </c>
      <c r="K32" s="1230">
        <f>$E32*Ratios!D48</f>
        <v>47.699272816728353</v>
      </c>
      <c r="L32" s="1230">
        <f>$E32*Ratios!E48</f>
        <v>602.20331931119551</v>
      </c>
      <c r="M32" s="696" t="s">
        <v>28</v>
      </c>
      <c r="N32" s="708">
        <f>E32-J32-K32-L32</f>
        <v>0</v>
      </c>
      <c r="O32" s="697"/>
      <c r="P32" s="701">
        <f>$H32*Ratios!C48</f>
        <v>10273.650313530272</v>
      </c>
      <c r="Q32" s="701">
        <f>$H32*Ratios!D48</f>
        <v>65.962441820419087</v>
      </c>
      <c r="R32" s="701">
        <f>$H32*Ratios!E48</f>
        <v>832.77582798279104</v>
      </c>
      <c r="S32" s="696" t="s">
        <v>28</v>
      </c>
      <c r="T32" s="700">
        <f>H32-P32-Q32-R32</f>
        <v>0</v>
      </c>
      <c r="V32" s="712">
        <f>J32*Ratios!$N$43</f>
        <v>7417.2369230012591</v>
      </c>
      <c r="W32" s="712">
        <f>J32-V32</f>
        <v>11.924818204181975</v>
      </c>
      <c r="X32" s="711" t="s">
        <v>28</v>
      </c>
      <c r="Y32" s="712">
        <f>J32-V32-W32</f>
        <v>0</v>
      </c>
      <c r="Z32" s="711"/>
      <c r="AA32" s="712">
        <f>P32*Ratios!$N$43</f>
        <v>10257.159703075167</v>
      </c>
      <c r="AB32" s="712">
        <f>P32-AA32</f>
        <v>16.490610455104616</v>
      </c>
      <c r="AC32" s="711" t="s">
        <v>28</v>
      </c>
      <c r="AD32" s="712">
        <f>P32-AA32-AB32</f>
        <v>0</v>
      </c>
    </row>
    <row r="33" spans="1:30" ht="6.75" customHeight="1">
      <c r="A33" s="685"/>
      <c r="B33" s="690"/>
      <c r="C33" s="690"/>
      <c r="D33" s="690"/>
      <c r="E33" s="690"/>
      <c r="F33" s="690"/>
      <c r="G33" s="690"/>
      <c r="H33" s="690"/>
      <c r="I33" s="680"/>
      <c r="J33" s="1231"/>
      <c r="K33" s="1231"/>
      <c r="L33" s="1231"/>
      <c r="M33" s="697"/>
      <c r="N33" s="708"/>
      <c r="O33" s="704"/>
      <c r="P33" s="699"/>
      <c r="Q33" s="699"/>
      <c r="R33" s="699"/>
      <c r="S33" s="697"/>
      <c r="T33" s="696"/>
      <c r="V33" s="715"/>
      <c r="W33" s="715"/>
      <c r="X33" s="716"/>
      <c r="Y33" s="712"/>
      <c r="Z33" s="711"/>
      <c r="AA33" s="715"/>
      <c r="AB33" s="715"/>
      <c r="AC33" s="716"/>
      <c r="AD33" s="712"/>
    </row>
    <row r="34" spans="1:30">
      <c r="A34" s="685" t="s">
        <v>1455</v>
      </c>
      <c r="B34" s="690">
        <f>'[48]2120 Depr Summary'!B34</f>
        <v>22196.31</v>
      </c>
      <c r="C34" s="690">
        <f>B34-D34</f>
        <v>0</v>
      </c>
      <c r="D34" s="690">
        <f>'[48]2120 Depr Summary'!D34</f>
        <v>22196.31</v>
      </c>
      <c r="E34" s="690">
        <f>'[48]2120 Depr Summary'!E34</f>
        <v>1837.4678333333475</v>
      </c>
      <c r="F34" s="690">
        <f>'[48]2120 Depr Summary'!F34</f>
        <v>17100.838999999989</v>
      </c>
      <c r="G34" s="690">
        <f>'[48]2120 Depr Summary'!G34</f>
        <v>18938.306833333339</v>
      </c>
      <c r="H34" s="690">
        <f>'[48]2120 Depr Summary'!H34</f>
        <v>3708.0120833333358</v>
      </c>
      <c r="I34" s="680"/>
      <c r="J34" s="1230">
        <f>$E34*Ratios!C17</f>
        <v>1606.4275412181926</v>
      </c>
      <c r="K34" s="1230">
        <f>$E34*Ratios!D17</f>
        <v>1.4723504789316231</v>
      </c>
      <c r="L34" s="1230">
        <f>$E34*Ratios!F17</f>
        <v>229.56794163622376</v>
      </c>
      <c r="M34" s="697" t="s">
        <v>1456</v>
      </c>
      <c r="N34" s="708">
        <f>E34-J34-K34-L34</f>
        <v>-4.8316906031686813E-13</v>
      </c>
      <c r="O34" s="697"/>
      <c r="P34" s="701">
        <f>$H34*Ratios!C17</f>
        <v>3241.7725229129937</v>
      </c>
      <c r="Q34" s="701">
        <f>$H34*Ratios!D17</f>
        <v>2.9712048655981227</v>
      </c>
      <c r="R34" s="701">
        <f>$H34*Ratios!F17</f>
        <v>463.2683555547448</v>
      </c>
      <c r="S34" s="697" t="s">
        <v>1456</v>
      </c>
      <c r="T34" s="700">
        <f>H34-P34-Q34-R34</f>
        <v>-8.5265128291212022E-13</v>
      </c>
      <c r="V34" s="712">
        <f>J34*Ratios!J9</f>
        <v>1594.587364861766</v>
      </c>
      <c r="W34" s="712">
        <f>J34-V34</f>
        <v>11.840176356426582</v>
      </c>
      <c r="X34" s="716" t="s">
        <v>1456</v>
      </c>
      <c r="Y34" s="712">
        <f>J34-V34-W34</f>
        <v>0</v>
      </c>
      <c r="Z34" s="711"/>
      <c r="AA34" s="712">
        <f>P34*Ratios!J9</f>
        <v>3217.8790341661556</v>
      </c>
      <c r="AB34" s="712">
        <f>P34-AA34</f>
        <v>23.893488746838102</v>
      </c>
      <c r="AC34" s="716" t="s">
        <v>1456</v>
      </c>
      <c r="AD34" s="712">
        <f>P34-AA34-AB34</f>
        <v>0</v>
      </c>
    </row>
    <row r="35" spans="1:30" ht="6.75" customHeight="1">
      <c r="A35" s="685"/>
      <c r="B35" s="690"/>
      <c r="C35" s="690"/>
      <c r="D35" s="690"/>
      <c r="E35" s="690"/>
      <c r="F35" s="690"/>
      <c r="G35" s="690"/>
      <c r="H35" s="690"/>
      <c r="I35" s="680"/>
      <c r="J35" s="701"/>
      <c r="K35" s="701"/>
      <c r="L35" s="701"/>
      <c r="M35" s="697"/>
      <c r="N35" s="708"/>
      <c r="O35" s="697"/>
      <c r="P35" s="701"/>
      <c r="Q35" s="701"/>
      <c r="R35" s="701"/>
      <c r="S35" s="697"/>
      <c r="T35" s="696"/>
      <c r="V35" s="712"/>
      <c r="W35" s="712"/>
      <c r="X35" s="716"/>
      <c r="Y35" s="712"/>
      <c r="Z35" s="711"/>
      <c r="AA35" s="712"/>
      <c r="AB35" s="712"/>
      <c r="AC35" s="716"/>
      <c r="AD35" s="712"/>
    </row>
    <row r="36" spans="1:30">
      <c r="A36" s="691" t="s">
        <v>1457</v>
      </c>
      <c r="B36" s="692">
        <f>SUM(B30:B35)</f>
        <v>198457.78999999998</v>
      </c>
      <c r="C36" s="692">
        <f t="shared" ref="C36:H36" si="3">SUM(C30:C35)</f>
        <v>240</v>
      </c>
      <c r="D36" s="692">
        <f t="shared" si="3"/>
        <v>198217.78999999998</v>
      </c>
      <c r="E36" s="692">
        <f t="shared" si="3"/>
        <v>12832.150166666117</v>
      </c>
      <c r="F36" s="692">
        <f t="shared" si="3"/>
        <v>121505.65158333317</v>
      </c>
      <c r="G36" s="692">
        <f t="shared" si="3"/>
        <v>134337.80174999929</v>
      </c>
      <c r="H36" s="692">
        <f t="shared" si="3"/>
        <v>34142.465000000448</v>
      </c>
      <c r="I36" s="683"/>
      <c r="J36" s="702">
        <f>SUM(J30:J35)</f>
        <v>11716.666793862201</v>
      </c>
      <c r="K36" s="702">
        <f>SUM(K30:K35)</f>
        <v>66.385604107464587</v>
      </c>
      <c r="L36" s="702">
        <f>SUM(L30:L35)</f>
        <v>1049.0977686964525</v>
      </c>
      <c r="M36" s="703"/>
      <c r="N36" s="708">
        <f>E36-J36-K36-L36</f>
        <v>0</v>
      </c>
      <c r="O36" s="703"/>
      <c r="P36" s="702">
        <f>SUM(P30:P35)</f>
        <v>31227.992695730129</v>
      </c>
      <c r="Q36" s="702">
        <f>SUM(Q30:Q35)</f>
        <v>182.65801175366963</v>
      </c>
      <c r="R36" s="702">
        <f>SUM(R30:R35)</f>
        <v>2731.8142925166476</v>
      </c>
      <c r="S36" s="703"/>
      <c r="T36" s="700">
        <f>H36-P36-Q36-R36</f>
        <v>0</v>
      </c>
      <c r="V36" s="717">
        <f>SUM(V30:V35)</f>
        <v>11688.598304098641</v>
      </c>
      <c r="W36" s="717">
        <f>SUM(W30:W35)</f>
        <v>28.068489763559683</v>
      </c>
      <c r="X36" s="718"/>
      <c r="Y36" s="712">
        <f>J36-V36-W36</f>
        <v>4.5474735088646412E-13</v>
      </c>
      <c r="Z36" s="711"/>
      <c r="AA36" s="717">
        <f>SUM(AA30:AA35)</f>
        <v>31159.177505261276</v>
      </c>
      <c r="AB36" s="717">
        <f>SUM(AB30:AB35)</f>
        <v>68.815190468856144</v>
      </c>
      <c r="AC36" s="718"/>
      <c r="AD36" s="712">
        <f>P36-AA36-AB36</f>
        <v>-3.1832314562052488E-12</v>
      </c>
    </row>
    <row r="37" spans="1:30" ht="6.75" customHeight="1">
      <c r="A37" s="685"/>
      <c r="B37" s="690"/>
      <c r="C37" s="690"/>
      <c r="D37" s="690"/>
      <c r="E37" s="690"/>
      <c r="F37" s="690"/>
      <c r="G37" s="690"/>
      <c r="H37" s="690"/>
      <c r="J37" s="699"/>
      <c r="K37" s="699"/>
      <c r="L37" s="699"/>
      <c r="M37" s="697"/>
      <c r="N37" s="708"/>
      <c r="O37" s="704"/>
      <c r="P37" s="699"/>
      <c r="Q37" s="699"/>
      <c r="R37" s="699"/>
      <c r="S37" s="697"/>
      <c r="T37" s="696"/>
      <c r="V37" s="715"/>
      <c r="W37" s="715"/>
      <c r="X37" s="716"/>
      <c r="Y37" s="712"/>
      <c r="Z37" s="711"/>
      <c r="AA37" s="715"/>
      <c r="AB37" s="715"/>
      <c r="AC37" s="716"/>
      <c r="AD37" s="712"/>
    </row>
    <row r="38" spans="1:30">
      <c r="A38" s="685" t="s">
        <v>1458</v>
      </c>
      <c r="B38" s="690">
        <f>'[48]2120 Depr Summary'!B38</f>
        <v>266028.78000000003</v>
      </c>
      <c r="C38" s="690">
        <f>B38-D38</f>
        <v>0</v>
      </c>
      <c r="D38" s="690">
        <f>'[48]2120 Depr Summary'!D38</f>
        <v>266028.78000000003</v>
      </c>
      <c r="E38" s="690">
        <f>'[48]2120 Depr Summary'!E38</f>
        <v>18479.209800000001</v>
      </c>
      <c r="F38" s="690">
        <f>'[48]2120 Depr Summary'!F38</f>
        <v>140459.14605555593</v>
      </c>
      <c r="G38" s="690">
        <f>'[48]2120 Depr Summary'!G38</f>
        <v>158938.35585555594</v>
      </c>
      <c r="H38" s="690">
        <f>'[48]2120 Depr Summary'!H38</f>
        <v>115634.25904444407</v>
      </c>
      <c r="I38" s="680"/>
      <c r="J38" s="1230">
        <f>$E38*Ratios!$C$48</f>
        <v>16992.690340073801</v>
      </c>
      <c r="K38" s="1230">
        <f>$E38*Ratios!$D$48</f>
        <v>109.10234568265683</v>
      </c>
      <c r="L38" s="1230">
        <f>$E38*Ratios!$E$48</f>
        <v>1377.4171142435425</v>
      </c>
      <c r="M38" s="696" t="s">
        <v>28</v>
      </c>
      <c r="N38" s="708">
        <f>E38-J38-K38-L38</f>
        <v>0</v>
      </c>
      <c r="O38" s="697"/>
      <c r="P38" s="701">
        <f>$H38*Ratios!C48</f>
        <v>106332.31495895004</v>
      </c>
      <c r="Q38" s="701">
        <f>$H38*Ratios!D48</f>
        <v>682.71149251332292</v>
      </c>
      <c r="R38" s="701">
        <f>$H38*Ratios!$E$48</f>
        <v>8619.232592980703</v>
      </c>
      <c r="S38" s="696" t="s">
        <v>28</v>
      </c>
      <c r="T38" s="700">
        <f>H38-P38-Q38-R38</f>
        <v>0</v>
      </c>
      <c r="V38" s="712">
        <f>J38*Ratios!$N$43</f>
        <v>16965.414753653138</v>
      </c>
      <c r="W38" s="712">
        <f>J38-V38</f>
        <v>27.275586420662876</v>
      </c>
      <c r="X38" s="711" t="s">
        <v>28</v>
      </c>
      <c r="Y38" s="712">
        <f>J38-V38-W38</f>
        <v>0</v>
      </c>
      <c r="Z38" s="711"/>
      <c r="AA38" s="712">
        <f>P38*Ratios!$N$43</f>
        <v>106161.63708582171</v>
      </c>
      <c r="AB38" s="712">
        <f>P38-AA38</f>
        <v>170.67787312832661</v>
      </c>
      <c r="AC38" s="711" t="s">
        <v>28</v>
      </c>
      <c r="AD38" s="712">
        <f>P38-AA38-AB38</f>
        <v>0</v>
      </c>
    </row>
    <row r="39" spans="1:30" ht="6.75" customHeight="1">
      <c r="A39" s="685"/>
      <c r="B39" s="690"/>
      <c r="C39" s="690"/>
      <c r="D39" s="690"/>
      <c r="E39" s="690"/>
      <c r="F39" s="690"/>
      <c r="G39" s="690"/>
      <c r="H39" s="690"/>
      <c r="I39" s="680"/>
      <c r="J39" s="1231"/>
      <c r="K39" s="1231"/>
      <c r="L39" s="1231"/>
      <c r="M39" s="697"/>
      <c r="N39" s="708"/>
      <c r="O39" s="704"/>
      <c r="P39" s="699"/>
      <c r="Q39" s="699"/>
      <c r="R39" s="699"/>
      <c r="S39" s="697"/>
      <c r="T39" s="696"/>
      <c r="V39" s="715"/>
      <c r="W39" s="715"/>
      <c r="X39" s="716"/>
      <c r="Y39" s="712"/>
      <c r="Z39" s="711"/>
      <c r="AA39" s="715"/>
      <c r="AB39" s="715"/>
      <c r="AC39" s="716"/>
      <c r="AD39" s="712"/>
    </row>
    <row r="40" spans="1:30">
      <c r="A40" s="685" t="s">
        <v>1459</v>
      </c>
      <c r="B40" s="690">
        <v>20000</v>
      </c>
      <c r="C40" s="690"/>
      <c r="D40" s="690">
        <v>20000</v>
      </c>
      <c r="E40" s="690"/>
      <c r="F40" s="690"/>
      <c r="G40" s="690"/>
      <c r="H40" s="690">
        <v>20000</v>
      </c>
      <c r="I40" s="680"/>
      <c r="J40" s="701"/>
      <c r="K40" s="701"/>
      <c r="L40" s="701"/>
      <c r="M40" s="696"/>
      <c r="N40" s="708"/>
      <c r="O40" s="697"/>
      <c r="P40" s="701">
        <f>$H40*Ratios!C48</f>
        <v>18391.143911439114</v>
      </c>
      <c r="Q40" s="701">
        <f>$H40*Ratios!D48</f>
        <v>118.08118081180811</v>
      </c>
      <c r="R40" s="701">
        <f>$H40*Ratios!$E$48</f>
        <v>1490.7749077490776</v>
      </c>
      <c r="S40" s="696" t="s">
        <v>28</v>
      </c>
      <c r="T40" s="700">
        <f>H40-P40-Q40-R40</f>
        <v>0</v>
      </c>
      <c r="V40" s="712">
        <f>J40*Ratios!$N$43</f>
        <v>0</v>
      </c>
      <c r="W40" s="712">
        <f>J41-V40</f>
        <v>0</v>
      </c>
      <c r="X40" s="711" t="s">
        <v>28</v>
      </c>
      <c r="Y40" s="712">
        <f>J40-V40-W40</f>
        <v>0</v>
      </c>
      <c r="Z40" s="711"/>
      <c r="AA40" s="712">
        <f>P40*Ratios!$N$43</f>
        <v>18361.623616236164</v>
      </c>
      <c r="AB40" s="712">
        <f>P40-AA40</f>
        <v>29.520295202950365</v>
      </c>
      <c r="AC40" s="711" t="s">
        <v>28</v>
      </c>
      <c r="AD40" s="712">
        <f>P40-AA40-AB40</f>
        <v>0</v>
      </c>
    </row>
    <row r="41" spans="1:30" ht="6.75" customHeight="1">
      <c r="A41" s="685"/>
      <c r="B41" s="690"/>
      <c r="C41" s="690"/>
      <c r="D41" s="690"/>
      <c r="E41" s="690"/>
      <c r="F41" s="690"/>
      <c r="G41" s="690"/>
      <c r="H41" s="690"/>
      <c r="I41" s="680"/>
      <c r="J41" s="701"/>
      <c r="K41" s="701"/>
      <c r="L41" s="701"/>
      <c r="M41" s="697"/>
      <c r="N41" s="708"/>
      <c r="O41" s="697"/>
      <c r="P41" s="701"/>
      <c r="Q41" s="701"/>
      <c r="R41" s="701"/>
      <c r="S41" s="697"/>
      <c r="T41" s="696"/>
      <c r="V41" s="712"/>
      <c r="W41" s="712"/>
      <c r="X41" s="716"/>
      <c r="Y41" s="712"/>
      <c r="Z41" s="711"/>
      <c r="AA41" s="712"/>
      <c r="AB41" s="712"/>
      <c r="AC41" s="716"/>
      <c r="AD41" s="712"/>
    </row>
    <row r="42" spans="1:30">
      <c r="A42" s="685" t="s">
        <v>1460</v>
      </c>
      <c r="B42" s="690">
        <v>5000</v>
      </c>
      <c r="C42" s="690"/>
      <c r="D42" s="690">
        <v>5000</v>
      </c>
      <c r="E42" s="690">
        <v>0</v>
      </c>
      <c r="F42" s="690"/>
      <c r="G42" s="690"/>
      <c r="H42" s="690">
        <v>5000</v>
      </c>
      <c r="I42" s="680"/>
      <c r="J42" s="701">
        <f>E42</f>
        <v>0</v>
      </c>
      <c r="K42" s="701"/>
      <c r="L42" s="701"/>
      <c r="M42" s="697"/>
      <c r="N42" s="708"/>
      <c r="O42" s="697"/>
      <c r="P42" s="701">
        <f>H42*Ratios!C60</f>
        <v>4190.241535962442</v>
      </c>
      <c r="Q42" s="701"/>
      <c r="R42" s="701">
        <f>$H42*Ratios!E60</f>
        <v>809.75846403755827</v>
      </c>
      <c r="S42" s="697" t="s">
        <v>1449</v>
      </c>
      <c r="T42" s="700">
        <f>H42-P42-Q42-R42</f>
        <v>0</v>
      </c>
      <c r="V42" s="712">
        <f>J42*Ratios!N54</f>
        <v>0</v>
      </c>
      <c r="W42" s="712">
        <f>J42-V42</f>
        <v>0</v>
      </c>
      <c r="X42" s="716" t="s">
        <v>1449</v>
      </c>
      <c r="Y42" s="712">
        <f>J42-V42-W42</f>
        <v>0</v>
      </c>
      <c r="Z42" s="711"/>
      <c r="AA42" s="712">
        <f>P42*Ratios!N54</f>
        <v>4111.5974273119282</v>
      </c>
      <c r="AB42" s="712">
        <f>P42-AA42</f>
        <v>78.644108650513772</v>
      </c>
      <c r="AC42" s="716" t="s">
        <v>1449</v>
      </c>
      <c r="AD42" s="712">
        <f>P42-AA42-AB42</f>
        <v>0</v>
      </c>
    </row>
    <row r="43" spans="1:30">
      <c r="A43" s="685" t="s">
        <v>1461</v>
      </c>
      <c r="B43" s="690"/>
      <c r="C43" s="690"/>
      <c r="D43" s="690"/>
      <c r="E43" s="690"/>
      <c r="F43" s="690"/>
      <c r="G43" s="690"/>
      <c r="H43" s="690"/>
      <c r="I43" s="680"/>
      <c r="J43" s="701"/>
      <c r="K43" s="701"/>
      <c r="L43" s="701"/>
      <c r="M43" s="697"/>
      <c r="N43" s="708"/>
      <c r="O43" s="697"/>
      <c r="P43" s="701"/>
      <c r="Q43" s="701"/>
      <c r="R43" s="701"/>
      <c r="S43" s="697"/>
      <c r="T43" s="696"/>
      <c r="V43" s="712"/>
      <c r="W43" s="712"/>
      <c r="X43" s="716"/>
      <c r="Y43" s="712"/>
      <c r="Z43" s="711"/>
      <c r="AA43" s="712"/>
      <c r="AB43" s="712"/>
      <c r="AC43" s="716"/>
      <c r="AD43" s="712"/>
    </row>
    <row r="44" spans="1:30" s="678" customFormat="1">
      <c r="A44" s="691" t="s">
        <v>1462</v>
      </c>
      <c r="B44" s="692">
        <f t="shared" ref="B44:H44" si="4">SUM(B38:B43)</f>
        <v>291028.78000000003</v>
      </c>
      <c r="C44" s="692">
        <f t="shared" si="4"/>
        <v>0</v>
      </c>
      <c r="D44" s="692">
        <f t="shared" si="4"/>
        <v>291028.78000000003</v>
      </c>
      <c r="E44" s="692">
        <f t="shared" si="4"/>
        <v>18479.209800000001</v>
      </c>
      <c r="F44" s="692">
        <f t="shared" si="4"/>
        <v>140459.14605555593</v>
      </c>
      <c r="G44" s="692">
        <f t="shared" si="4"/>
        <v>158938.35585555594</v>
      </c>
      <c r="H44" s="692">
        <f t="shared" si="4"/>
        <v>140634.25904444407</v>
      </c>
      <c r="I44" s="683"/>
      <c r="J44" s="702">
        <f>SUM(J38:J43)</f>
        <v>16992.690340073801</v>
      </c>
      <c r="K44" s="702">
        <f>SUM(K38:K43)</f>
        <v>109.10234568265683</v>
      </c>
      <c r="L44" s="702">
        <f>SUM(L38:L43)</f>
        <v>1377.4171142435425</v>
      </c>
      <c r="M44" s="703"/>
      <c r="N44" s="709"/>
      <c r="O44" s="703"/>
      <c r="P44" s="702">
        <f>SUM(P38:P43)</f>
        <v>128913.70040635159</v>
      </c>
      <c r="Q44" s="702">
        <f>SUM(Q38:Q43)</f>
        <v>800.79267332513109</v>
      </c>
      <c r="R44" s="702">
        <f>SUM(R38:R43)</f>
        <v>10919.765964767339</v>
      </c>
      <c r="S44" s="703"/>
      <c r="T44" s="703"/>
      <c r="V44" s="717">
        <f>SUM(V38:V43)</f>
        <v>16965.414753653138</v>
      </c>
      <c r="W44" s="717">
        <f>SUM(W38:W43)</f>
        <v>27.275586420662876</v>
      </c>
      <c r="X44" s="718"/>
      <c r="Y44" s="719"/>
      <c r="Z44" s="720"/>
      <c r="AA44" s="717">
        <f>SUM(AA38:AA43)</f>
        <v>128634.85812936979</v>
      </c>
      <c r="AB44" s="717">
        <f>SUM(AB38:AB43)</f>
        <v>278.84227698179075</v>
      </c>
      <c r="AC44" s="718"/>
      <c r="AD44" s="712">
        <f>P44-AA44-AB44</f>
        <v>8.1854523159563541E-12</v>
      </c>
    </row>
    <row r="45" spans="1:30" ht="6.75" customHeight="1">
      <c r="A45" s="685"/>
      <c r="B45" s="690"/>
      <c r="C45" s="690"/>
      <c r="D45" s="690"/>
      <c r="E45" s="690"/>
      <c r="F45" s="690"/>
      <c r="G45" s="690"/>
      <c r="H45" s="690"/>
      <c r="J45" s="701"/>
      <c r="K45" s="701"/>
      <c r="L45" s="701"/>
      <c r="M45" s="697"/>
      <c r="N45" s="708"/>
      <c r="O45" s="696"/>
      <c r="P45" s="701"/>
      <c r="Q45" s="701"/>
      <c r="R45" s="701"/>
      <c r="S45" s="697"/>
      <c r="T45" s="696"/>
      <c r="V45" s="712"/>
      <c r="W45" s="712"/>
      <c r="X45" s="716"/>
      <c r="Y45" s="712"/>
      <c r="Z45" s="711"/>
      <c r="AA45" s="712"/>
      <c r="AB45" s="712"/>
      <c r="AC45" s="716"/>
      <c r="AD45" s="712"/>
    </row>
    <row r="46" spans="1:30" s="678" customFormat="1" ht="12.75" thickBot="1">
      <c r="A46" s="693" t="s">
        <v>26</v>
      </c>
      <c r="B46" s="694">
        <f t="shared" ref="B46:H46" si="5">B17+B28+B36+B44</f>
        <v>4038914.2650000006</v>
      </c>
      <c r="C46" s="694">
        <f t="shared" si="5"/>
        <v>240</v>
      </c>
      <c r="D46" s="694">
        <f t="shared" si="5"/>
        <v>4038674.2650000006</v>
      </c>
      <c r="E46" s="694">
        <f t="shared" si="5"/>
        <v>370708.29494603182</v>
      </c>
      <c r="F46" s="694">
        <f t="shared" si="5"/>
        <v>1798589.5420869046</v>
      </c>
      <c r="G46" s="694">
        <f t="shared" si="5"/>
        <v>2172438.772032938</v>
      </c>
      <c r="H46" s="694">
        <f t="shared" si="5"/>
        <v>1865608.0410234123</v>
      </c>
      <c r="I46" s="683"/>
      <c r="J46" s="705">
        <f>J17+J28+J36+J44</f>
        <v>337514.84479943744</v>
      </c>
      <c r="K46" s="705">
        <f>K17+K28+K36+K44</f>
        <v>2975.4879497901215</v>
      </c>
      <c r="L46" s="705">
        <f>L17+L28+L36+L44</f>
        <v>30217.962196804117</v>
      </c>
      <c r="M46" s="703"/>
      <c r="N46" s="708">
        <f>E46-J46-K46-L46</f>
        <v>1.3824319466948509E-10</v>
      </c>
      <c r="O46" s="703"/>
      <c r="P46" s="705">
        <f>P17+P28+P36+P44</f>
        <v>1695582.8407992346</v>
      </c>
      <c r="Q46" s="705">
        <f>Q17+Q28+Q36+Q44</f>
        <v>983.45068507880069</v>
      </c>
      <c r="R46" s="705">
        <f>R17+R28+R36+R44</f>
        <v>169041.74953909888</v>
      </c>
      <c r="S46" s="703"/>
      <c r="T46" s="700">
        <f>H46-P46-Q46-R46</f>
        <v>0</v>
      </c>
      <c r="V46" s="721">
        <f>V17+V28+V36+V44</f>
        <v>337338.06523009902</v>
      </c>
      <c r="W46" s="721">
        <f>W17+W28+W36+W44</f>
        <v>176.77956933846059</v>
      </c>
      <c r="X46" s="718"/>
      <c r="Y46" s="712">
        <f>J46-V46-W46</f>
        <v>-3.5527136788005009E-11</v>
      </c>
      <c r="Z46" s="720"/>
      <c r="AA46" s="721">
        <f>AA17+AA28+AA36+AA44</f>
        <v>1694759.2001300403</v>
      </c>
      <c r="AB46" s="721">
        <f>AB17+AB28+AB36+AB44</f>
        <v>823.64066919410686</v>
      </c>
      <c r="AC46" s="718"/>
      <c r="AD46" s="712">
        <f>P46-AA46-AB46</f>
        <v>1.7610091163078323E-10</v>
      </c>
    </row>
    <row r="47" spans="1:30" ht="12.75" thickTop="1">
      <c r="A47" s="685"/>
      <c r="B47" s="695"/>
      <c r="C47" s="695"/>
      <c r="D47" s="695"/>
      <c r="E47" s="695"/>
      <c r="F47" s="695"/>
      <c r="G47" s="695"/>
      <c r="H47" s="695"/>
      <c r="J47" s="701"/>
      <c r="K47" s="701"/>
      <c r="L47" s="701"/>
      <c r="M47" s="697"/>
      <c r="N47" s="708"/>
      <c r="O47" s="696"/>
      <c r="P47" s="696"/>
      <c r="Q47" s="696"/>
      <c r="R47" s="697"/>
      <c r="S47" s="696"/>
      <c r="T47" s="696"/>
      <c r="V47" s="711"/>
      <c r="W47" s="711"/>
      <c r="X47" s="711"/>
      <c r="Y47" s="712"/>
      <c r="Z47" s="711"/>
      <c r="AA47" s="711"/>
      <c r="AB47" s="711"/>
      <c r="AC47" s="711"/>
      <c r="AD47" s="711"/>
    </row>
    <row r="48" spans="1:30" ht="4.5" customHeight="1">
      <c r="B48" s="680"/>
      <c r="C48" s="680"/>
      <c r="D48" s="680"/>
      <c r="E48" s="680"/>
      <c r="F48" s="680"/>
      <c r="G48" s="680"/>
      <c r="H48" s="680"/>
      <c r="J48" s="680"/>
      <c r="K48" s="680"/>
      <c r="L48" s="683"/>
      <c r="M48" s="680"/>
      <c r="R48" s="683"/>
      <c r="S48" s="680"/>
      <c r="V48" s="722"/>
      <c r="W48" s="722"/>
      <c r="X48" s="722"/>
      <c r="Y48" s="723"/>
      <c r="Z48" s="722"/>
      <c r="AA48" s="722"/>
      <c r="AB48" s="722"/>
      <c r="AC48" s="722"/>
      <c r="AD48" s="722"/>
    </row>
    <row r="49" spans="8:30" ht="4.5" customHeight="1">
      <c r="H49" s="680"/>
      <c r="J49" s="680"/>
      <c r="K49" s="680"/>
      <c r="L49" s="680"/>
      <c r="M49" s="680"/>
      <c r="V49" s="722"/>
      <c r="W49" s="722"/>
      <c r="X49" s="722"/>
      <c r="Y49" s="723"/>
      <c r="Z49" s="722"/>
      <c r="AA49" s="722"/>
      <c r="AB49" s="722"/>
      <c r="AC49" s="722"/>
      <c r="AD49" s="722"/>
    </row>
  </sheetData>
  <mergeCells count="4">
    <mergeCell ref="J4:L4"/>
    <mergeCell ref="P4:R4"/>
    <mergeCell ref="V4:Y4"/>
    <mergeCell ref="AA4:AD4"/>
  </mergeCells>
  <pageMargins left="0.25" right="0.25" top="0.75" bottom="0.75" header="0.3" footer="0.3"/>
  <pageSetup scale="74" fitToWidth="2" orientation="landscape" r:id="rId1"/>
  <headerFooter alignWithMargins="0"/>
  <colBreaks count="1" manualBreakCount="1">
    <brk id="8" max="71"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N573"/>
  <sheetViews>
    <sheetView view="pageBreakPreview" zoomScaleNormal="100" zoomScaleSheetLayoutView="100" workbookViewId="0">
      <pane ySplit="6" topLeftCell="A151" activePane="bottomLeft" state="frozen"/>
      <selection activeCell="Q27" sqref="Q27"/>
      <selection pane="bottomLeft" activeCell="Q27" sqref="Q27"/>
    </sheetView>
  </sheetViews>
  <sheetFormatPr defaultRowHeight="15.75"/>
  <cols>
    <col min="1" max="1" width="29.7109375" style="1595" customWidth="1"/>
    <col min="2" max="2" width="12.42578125" style="1600" customWidth="1"/>
    <col min="3" max="3" width="12.28515625" style="1600" customWidth="1"/>
    <col min="4" max="4" width="10.85546875" style="1600" customWidth="1"/>
    <col min="5" max="5" width="13.140625" style="1600" customWidth="1"/>
    <col min="6" max="6" width="1.140625" style="230" customWidth="1"/>
    <col min="7" max="7" width="6.7109375" style="234" hidden="1" customWidth="1"/>
    <col min="8" max="10" width="3.42578125" style="228" customWidth="1"/>
    <col min="11" max="11" width="21.42578125" style="228" customWidth="1"/>
    <col min="12" max="12" width="13" style="228" customWidth="1"/>
    <col min="13" max="13" width="9.85546875" style="228" bestFit="1" customWidth="1"/>
    <col min="14" max="14" width="13" style="228" customWidth="1"/>
    <col min="15" max="15" width="2.42578125" style="228" customWidth="1"/>
    <col min="16" max="248" width="9.140625" style="228"/>
    <col min="249" max="249" width="30.5703125" style="228" bestFit="1" customWidth="1"/>
    <col min="250" max="250" width="10.42578125" style="228" customWidth="1"/>
    <col min="251" max="251" width="10.140625" style="228" bestFit="1" customWidth="1"/>
    <col min="252" max="252" width="8.7109375" style="228" customWidth="1"/>
    <col min="253" max="253" width="8.140625" style="228" bestFit="1" customWidth="1"/>
    <col min="254" max="254" width="9.7109375" style="228" customWidth="1"/>
    <col min="255" max="255" width="10.140625" style="228" customWidth="1"/>
    <col min="256" max="256" width="7.85546875" style="228" bestFit="1" customWidth="1"/>
    <col min="257" max="257" width="5.7109375" style="228" bestFit="1" customWidth="1"/>
    <col min="258" max="258" width="2.28515625" style="228" customWidth="1"/>
    <col min="259" max="259" width="7.85546875" style="228" bestFit="1" customWidth="1"/>
    <col min="260" max="260" width="6.28515625" style="228" bestFit="1" customWidth="1"/>
    <col min="261" max="261" width="7" style="228" bestFit="1" customWidth="1"/>
    <col min="262" max="262" width="6.5703125" style="228" bestFit="1" customWidth="1"/>
    <col min="263" max="270" width="9.140625" style="228"/>
    <col min="271" max="271" width="8.5703125" style="228" customWidth="1"/>
    <col min="272" max="504" width="9.140625" style="228"/>
    <col min="505" max="505" width="30.5703125" style="228" bestFit="1" customWidth="1"/>
    <col min="506" max="506" width="10.42578125" style="228" customWidth="1"/>
    <col min="507" max="507" width="10.140625" style="228" bestFit="1" customWidth="1"/>
    <col min="508" max="508" width="8.7109375" style="228" customWidth="1"/>
    <col min="509" max="509" width="8.140625" style="228" bestFit="1" customWidth="1"/>
    <col min="510" max="510" width="9.7109375" style="228" customWidth="1"/>
    <col min="511" max="511" width="10.140625" style="228" customWidth="1"/>
    <col min="512" max="512" width="7.85546875" style="228" bestFit="1" customWidth="1"/>
    <col min="513" max="513" width="5.7109375" style="228" bestFit="1" customWidth="1"/>
    <col min="514" max="514" width="2.28515625" style="228" customWidth="1"/>
    <col min="515" max="515" width="7.85546875" style="228" bestFit="1" customWidth="1"/>
    <col min="516" max="516" width="6.28515625" style="228" bestFit="1" customWidth="1"/>
    <col min="517" max="517" width="7" style="228" bestFit="1" customWidth="1"/>
    <col min="518" max="518" width="6.5703125" style="228" bestFit="1" customWidth="1"/>
    <col min="519" max="526" width="9.140625" style="228"/>
    <col min="527" max="527" width="8.5703125" style="228" customWidth="1"/>
    <col min="528" max="760" width="9.140625" style="228"/>
    <col min="761" max="761" width="30.5703125" style="228" bestFit="1" customWidth="1"/>
    <col min="762" max="762" width="10.42578125" style="228" customWidth="1"/>
    <col min="763" max="763" width="10.140625" style="228" bestFit="1" customWidth="1"/>
    <col min="764" max="764" width="8.7109375" style="228" customWidth="1"/>
    <col min="765" max="765" width="8.140625" style="228" bestFit="1" customWidth="1"/>
    <col min="766" max="766" width="9.7109375" style="228" customWidth="1"/>
    <col min="767" max="767" width="10.140625" style="228" customWidth="1"/>
    <col min="768" max="768" width="7.85546875" style="228" bestFit="1" customWidth="1"/>
    <col min="769" max="769" width="5.7109375" style="228" bestFit="1" customWidth="1"/>
    <col min="770" max="770" width="2.28515625" style="228" customWidth="1"/>
    <col min="771" max="771" width="7.85546875" style="228" bestFit="1" customWidth="1"/>
    <col min="772" max="772" width="6.28515625" style="228" bestFit="1" customWidth="1"/>
    <col min="773" max="773" width="7" style="228" bestFit="1" customWidth="1"/>
    <col min="774" max="774" width="6.5703125" style="228" bestFit="1" customWidth="1"/>
    <col min="775" max="782" width="9.140625" style="228"/>
    <col min="783" max="783" width="8.5703125" style="228" customWidth="1"/>
    <col min="784" max="1016" width="9.140625" style="228"/>
    <col min="1017" max="1017" width="30.5703125" style="228" bestFit="1" customWidth="1"/>
    <col min="1018" max="1018" width="10.42578125" style="228" customWidth="1"/>
    <col min="1019" max="1019" width="10.140625" style="228" bestFit="1" customWidth="1"/>
    <col min="1020" max="1020" width="8.7109375" style="228" customWidth="1"/>
    <col min="1021" max="1021" width="8.140625" style="228" bestFit="1" customWidth="1"/>
    <col min="1022" max="1022" width="9.7109375" style="228" customWidth="1"/>
    <col min="1023" max="1023" width="10.140625" style="228" customWidth="1"/>
    <col min="1024" max="1024" width="7.85546875" style="228" bestFit="1" customWidth="1"/>
    <col min="1025" max="1025" width="5.7109375" style="228" bestFit="1" customWidth="1"/>
    <col min="1026" max="1026" width="2.28515625" style="228" customWidth="1"/>
    <col min="1027" max="1027" width="7.85546875" style="228" bestFit="1" customWidth="1"/>
    <col min="1028" max="1028" width="6.28515625" style="228" bestFit="1" customWidth="1"/>
    <col min="1029" max="1029" width="7" style="228" bestFit="1" customWidth="1"/>
    <col min="1030" max="1030" width="6.5703125" style="228" bestFit="1" customWidth="1"/>
    <col min="1031" max="1038" width="9.140625" style="228"/>
    <col min="1039" max="1039" width="8.5703125" style="228" customWidth="1"/>
    <col min="1040" max="1272" width="9.140625" style="228"/>
    <col min="1273" max="1273" width="30.5703125" style="228" bestFit="1" customWidth="1"/>
    <col min="1274" max="1274" width="10.42578125" style="228" customWidth="1"/>
    <col min="1275" max="1275" width="10.140625" style="228" bestFit="1" customWidth="1"/>
    <col min="1276" max="1276" width="8.7109375" style="228" customWidth="1"/>
    <col min="1277" max="1277" width="8.140625" style="228" bestFit="1" customWidth="1"/>
    <col min="1278" max="1278" width="9.7109375" style="228" customWidth="1"/>
    <col min="1279" max="1279" width="10.140625" style="228" customWidth="1"/>
    <col min="1280" max="1280" width="7.85546875" style="228" bestFit="1" customWidth="1"/>
    <col min="1281" max="1281" width="5.7109375" style="228" bestFit="1" customWidth="1"/>
    <col min="1282" max="1282" width="2.28515625" style="228" customWidth="1"/>
    <col min="1283" max="1283" width="7.85546875" style="228" bestFit="1" customWidth="1"/>
    <col min="1284" max="1284" width="6.28515625" style="228" bestFit="1" customWidth="1"/>
    <col min="1285" max="1285" width="7" style="228" bestFit="1" customWidth="1"/>
    <col min="1286" max="1286" width="6.5703125" style="228" bestFit="1" customWidth="1"/>
    <col min="1287" max="1294" width="9.140625" style="228"/>
    <col min="1295" max="1295" width="8.5703125" style="228" customWidth="1"/>
    <col min="1296" max="1528" width="9.140625" style="228"/>
    <col min="1529" max="1529" width="30.5703125" style="228" bestFit="1" customWidth="1"/>
    <col min="1530" max="1530" width="10.42578125" style="228" customWidth="1"/>
    <col min="1531" max="1531" width="10.140625" style="228" bestFit="1" customWidth="1"/>
    <col min="1532" max="1532" width="8.7109375" style="228" customWidth="1"/>
    <col min="1533" max="1533" width="8.140625" style="228" bestFit="1" customWidth="1"/>
    <col min="1534" max="1534" width="9.7109375" style="228" customWidth="1"/>
    <col min="1535" max="1535" width="10.140625" style="228" customWidth="1"/>
    <col min="1536" max="1536" width="7.85546875" style="228" bestFit="1" customWidth="1"/>
    <col min="1537" max="1537" width="5.7109375" style="228" bestFit="1" customWidth="1"/>
    <col min="1538" max="1538" width="2.28515625" style="228" customWidth="1"/>
    <col min="1539" max="1539" width="7.85546875" style="228" bestFit="1" customWidth="1"/>
    <col min="1540" max="1540" width="6.28515625" style="228" bestFit="1" customWidth="1"/>
    <col min="1541" max="1541" width="7" style="228" bestFit="1" customWidth="1"/>
    <col min="1542" max="1542" width="6.5703125" style="228" bestFit="1" customWidth="1"/>
    <col min="1543" max="1550" width="9.140625" style="228"/>
    <col min="1551" max="1551" width="8.5703125" style="228" customWidth="1"/>
    <col min="1552" max="1784" width="9.140625" style="228"/>
    <col min="1785" max="1785" width="30.5703125" style="228" bestFit="1" customWidth="1"/>
    <col min="1786" max="1786" width="10.42578125" style="228" customWidth="1"/>
    <col min="1787" max="1787" width="10.140625" style="228" bestFit="1" customWidth="1"/>
    <col min="1788" max="1788" width="8.7109375" style="228" customWidth="1"/>
    <col min="1789" max="1789" width="8.140625" style="228" bestFit="1" customWidth="1"/>
    <col min="1790" max="1790" width="9.7109375" style="228" customWidth="1"/>
    <col min="1791" max="1791" width="10.140625" style="228" customWidth="1"/>
    <col min="1792" max="1792" width="7.85546875" style="228" bestFit="1" customWidth="1"/>
    <col min="1793" max="1793" width="5.7109375" style="228" bestFit="1" customWidth="1"/>
    <col min="1794" max="1794" width="2.28515625" style="228" customWidth="1"/>
    <col min="1795" max="1795" width="7.85546875" style="228" bestFit="1" customWidth="1"/>
    <col min="1796" max="1796" width="6.28515625" style="228" bestFit="1" customWidth="1"/>
    <col min="1797" max="1797" width="7" style="228" bestFit="1" customWidth="1"/>
    <col min="1798" max="1798" width="6.5703125" style="228" bestFit="1" customWidth="1"/>
    <col min="1799" max="1806" width="9.140625" style="228"/>
    <col min="1807" max="1807" width="8.5703125" style="228" customWidth="1"/>
    <col min="1808" max="2040" width="9.140625" style="228"/>
    <col min="2041" max="2041" width="30.5703125" style="228" bestFit="1" customWidth="1"/>
    <col min="2042" max="2042" width="10.42578125" style="228" customWidth="1"/>
    <col min="2043" max="2043" width="10.140625" style="228" bestFit="1" customWidth="1"/>
    <col min="2044" max="2044" width="8.7109375" style="228" customWidth="1"/>
    <col min="2045" max="2045" width="8.140625" style="228" bestFit="1" customWidth="1"/>
    <col min="2046" max="2046" width="9.7109375" style="228" customWidth="1"/>
    <col min="2047" max="2047" width="10.140625" style="228" customWidth="1"/>
    <col min="2048" max="2048" width="7.85546875" style="228" bestFit="1" customWidth="1"/>
    <col min="2049" max="2049" width="5.7109375" style="228" bestFit="1" customWidth="1"/>
    <col min="2050" max="2050" width="2.28515625" style="228" customWidth="1"/>
    <col min="2051" max="2051" width="7.85546875" style="228" bestFit="1" customWidth="1"/>
    <col min="2052" max="2052" width="6.28515625" style="228" bestFit="1" customWidth="1"/>
    <col min="2053" max="2053" width="7" style="228" bestFit="1" customWidth="1"/>
    <col min="2054" max="2054" width="6.5703125" style="228" bestFit="1" customWidth="1"/>
    <col min="2055" max="2062" width="9.140625" style="228"/>
    <col min="2063" max="2063" width="8.5703125" style="228" customWidth="1"/>
    <col min="2064" max="2296" width="9.140625" style="228"/>
    <col min="2297" max="2297" width="30.5703125" style="228" bestFit="1" customWidth="1"/>
    <col min="2298" max="2298" width="10.42578125" style="228" customWidth="1"/>
    <col min="2299" max="2299" width="10.140625" style="228" bestFit="1" customWidth="1"/>
    <col min="2300" max="2300" width="8.7109375" style="228" customWidth="1"/>
    <col min="2301" max="2301" width="8.140625" style="228" bestFit="1" customWidth="1"/>
    <col min="2302" max="2302" width="9.7109375" style="228" customWidth="1"/>
    <col min="2303" max="2303" width="10.140625" style="228" customWidth="1"/>
    <col min="2304" max="2304" width="7.85546875" style="228" bestFit="1" customWidth="1"/>
    <col min="2305" max="2305" width="5.7109375" style="228" bestFit="1" customWidth="1"/>
    <col min="2306" max="2306" width="2.28515625" style="228" customWidth="1"/>
    <col min="2307" max="2307" width="7.85546875" style="228" bestFit="1" customWidth="1"/>
    <col min="2308" max="2308" width="6.28515625" style="228" bestFit="1" customWidth="1"/>
    <col min="2309" max="2309" width="7" style="228" bestFit="1" customWidth="1"/>
    <col min="2310" max="2310" width="6.5703125" style="228" bestFit="1" customWidth="1"/>
    <col min="2311" max="2318" width="9.140625" style="228"/>
    <col min="2319" max="2319" width="8.5703125" style="228" customWidth="1"/>
    <col min="2320" max="2552" width="9.140625" style="228"/>
    <col min="2553" max="2553" width="30.5703125" style="228" bestFit="1" customWidth="1"/>
    <col min="2554" max="2554" width="10.42578125" style="228" customWidth="1"/>
    <col min="2555" max="2555" width="10.140625" style="228" bestFit="1" customWidth="1"/>
    <col min="2556" max="2556" width="8.7109375" style="228" customWidth="1"/>
    <col min="2557" max="2557" width="8.140625" style="228" bestFit="1" customWidth="1"/>
    <col min="2558" max="2558" width="9.7109375" style="228" customWidth="1"/>
    <col min="2559" max="2559" width="10.140625" style="228" customWidth="1"/>
    <col min="2560" max="2560" width="7.85546875" style="228" bestFit="1" customWidth="1"/>
    <col min="2561" max="2561" width="5.7109375" style="228" bestFit="1" customWidth="1"/>
    <col min="2562" max="2562" width="2.28515625" style="228" customWidth="1"/>
    <col min="2563" max="2563" width="7.85546875" style="228" bestFit="1" customWidth="1"/>
    <col min="2564" max="2564" width="6.28515625" style="228" bestFit="1" customWidth="1"/>
    <col min="2565" max="2565" width="7" style="228" bestFit="1" customWidth="1"/>
    <col min="2566" max="2566" width="6.5703125" style="228" bestFit="1" customWidth="1"/>
    <col min="2567" max="2574" width="9.140625" style="228"/>
    <col min="2575" max="2575" width="8.5703125" style="228" customWidth="1"/>
    <col min="2576" max="2808" width="9.140625" style="228"/>
    <col min="2809" max="2809" width="30.5703125" style="228" bestFit="1" customWidth="1"/>
    <col min="2810" max="2810" width="10.42578125" style="228" customWidth="1"/>
    <col min="2811" max="2811" width="10.140625" style="228" bestFit="1" customWidth="1"/>
    <col min="2812" max="2812" width="8.7109375" style="228" customWidth="1"/>
    <col min="2813" max="2813" width="8.140625" style="228" bestFit="1" customWidth="1"/>
    <col min="2814" max="2814" width="9.7109375" style="228" customWidth="1"/>
    <col min="2815" max="2815" width="10.140625" style="228" customWidth="1"/>
    <col min="2816" max="2816" width="7.85546875" style="228" bestFit="1" customWidth="1"/>
    <col min="2817" max="2817" width="5.7109375" style="228" bestFit="1" customWidth="1"/>
    <col min="2818" max="2818" width="2.28515625" style="228" customWidth="1"/>
    <col min="2819" max="2819" width="7.85546875" style="228" bestFit="1" customWidth="1"/>
    <col min="2820" max="2820" width="6.28515625" style="228" bestFit="1" customWidth="1"/>
    <col min="2821" max="2821" width="7" style="228" bestFit="1" customWidth="1"/>
    <col min="2822" max="2822" width="6.5703125" style="228" bestFit="1" customWidth="1"/>
    <col min="2823" max="2830" width="9.140625" style="228"/>
    <col min="2831" max="2831" width="8.5703125" style="228" customWidth="1"/>
    <col min="2832" max="3064" width="9.140625" style="228"/>
    <col min="3065" max="3065" width="30.5703125" style="228" bestFit="1" customWidth="1"/>
    <col min="3066" max="3066" width="10.42578125" style="228" customWidth="1"/>
    <col min="3067" max="3067" width="10.140625" style="228" bestFit="1" customWidth="1"/>
    <col min="3068" max="3068" width="8.7109375" style="228" customWidth="1"/>
    <col min="3069" max="3069" width="8.140625" style="228" bestFit="1" customWidth="1"/>
    <col min="3070" max="3070" width="9.7109375" style="228" customWidth="1"/>
    <col min="3071" max="3071" width="10.140625" style="228" customWidth="1"/>
    <col min="3072" max="3072" width="7.85546875" style="228" bestFit="1" customWidth="1"/>
    <col min="3073" max="3073" width="5.7109375" style="228" bestFit="1" customWidth="1"/>
    <col min="3074" max="3074" width="2.28515625" style="228" customWidth="1"/>
    <col min="3075" max="3075" width="7.85546875" style="228" bestFit="1" customWidth="1"/>
    <col min="3076" max="3076" width="6.28515625" style="228" bestFit="1" customWidth="1"/>
    <col min="3077" max="3077" width="7" style="228" bestFit="1" customWidth="1"/>
    <col min="3078" max="3078" width="6.5703125" style="228" bestFit="1" customWidth="1"/>
    <col min="3079" max="3086" width="9.140625" style="228"/>
    <col min="3087" max="3087" width="8.5703125" style="228" customWidth="1"/>
    <col min="3088" max="3320" width="9.140625" style="228"/>
    <col min="3321" max="3321" width="30.5703125" style="228" bestFit="1" customWidth="1"/>
    <col min="3322" max="3322" width="10.42578125" style="228" customWidth="1"/>
    <col min="3323" max="3323" width="10.140625" style="228" bestFit="1" customWidth="1"/>
    <col min="3324" max="3324" width="8.7109375" style="228" customWidth="1"/>
    <col min="3325" max="3325" width="8.140625" style="228" bestFit="1" customWidth="1"/>
    <col min="3326" max="3326" width="9.7109375" style="228" customWidth="1"/>
    <col min="3327" max="3327" width="10.140625" style="228" customWidth="1"/>
    <col min="3328" max="3328" width="7.85546875" style="228" bestFit="1" customWidth="1"/>
    <col min="3329" max="3329" width="5.7109375" style="228" bestFit="1" customWidth="1"/>
    <col min="3330" max="3330" width="2.28515625" style="228" customWidth="1"/>
    <col min="3331" max="3331" width="7.85546875" style="228" bestFit="1" customWidth="1"/>
    <col min="3332" max="3332" width="6.28515625" style="228" bestFit="1" customWidth="1"/>
    <col min="3333" max="3333" width="7" style="228" bestFit="1" customWidth="1"/>
    <col min="3334" max="3334" width="6.5703125" style="228" bestFit="1" customWidth="1"/>
    <col min="3335" max="3342" width="9.140625" style="228"/>
    <col min="3343" max="3343" width="8.5703125" style="228" customWidth="1"/>
    <col min="3344" max="3576" width="9.140625" style="228"/>
    <col min="3577" max="3577" width="30.5703125" style="228" bestFit="1" customWidth="1"/>
    <col min="3578" max="3578" width="10.42578125" style="228" customWidth="1"/>
    <col min="3579" max="3579" width="10.140625" style="228" bestFit="1" customWidth="1"/>
    <col min="3580" max="3580" width="8.7109375" style="228" customWidth="1"/>
    <col min="3581" max="3581" width="8.140625" style="228" bestFit="1" customWidth="1"/>
    <col min="3582" max="3582" width="9.7109375" style="228" customWidth="1"/>
    <col min="3583" max="3583" width="10.140625" style="228" customWidth="1"/>
    <col min="3584" max="3584" width="7.85546875" style="228" bestFit="1" customWidth="1"/>
    <col min="3585" max="3585" width="5.7109375" style="228" bestFit="1" customWidth="1"/>
    <col min="3586" max="3586" width="2.28515625" style="228" customWidth="1"/>
    <col min="3587" max="3587" width="7.85546875" style="228" bestFit="1" customWidth="1"/>
    <col min="3588" max="3588" width="6.28515625" style="228" bestFit="1" customWidth="1"/>
    <col min="3589" max="3589" width="7" style="228" bestFit="1" customWidth="1"/>
    <col min="3590" max="3590" width="6.5703125" style="228" bestFit="1" customWidth="1"/>
    <col min="3591" max="3598" width="9.140625" style="228"/>
    <col min="3599" max="3599" width="8.5703125" style="228" customWidth="1"/>
    <col min="3600" max="3832" width="9.140625" style="228"/>
    <col min="3833" max="3833" width="30.5703125" style="228" bestFit="1" customWidth="1"/>
    <col min="3834" max="3834" width="10.42578125" style="228" customWidth="1"/>
    <col min="3835" max="3835" width="10.140625" style="228" bestFit="1" customWidth="1"/>
    <col min="3836" max="3836" width="8.7109375" style="228" customWidth="1"/>
    <col min="3837" max="3837" width="8.140625" style="228" bestFit="1" customWidth="1"/>
    <col min="3838" max="3838" width="9.7109375" style="228" customWidth="1"/>
    <col min="3839" max="3839" width="10.140625" style="228" customWidth="1"/>
    <col min="3840" max="3840" width="7.85546875" style="228" bestFit="1" customWidth="1"/>
    <col min="3841" max="3841" width="5.7109375" style="228" bestFit="1" customWidth="1"/>
    <col min="3842" max="3842" width="2.28515625" style="228" customWidth="1"/>
    <col min="3843" max="3843" width="7.85546875" style="228" bestFit="1" customWidth="1"/>
    <col min="3844" max="3844" width="6.28515625" style="228" bestFit="1" customWidth="1"/>
    <col min="3845" max="3845" width="7" style="228" bestFit="1" customWidth="1"/>
    <col min="3846" max="3846" width="6.5703125" style="228" bestFit="1" customWidth="1"/>
    <col min="3847" max="3854" width="9.140625" style="228"/>
    <col min="3855" max="3855" width="8.5703125" style="228" customWidth="1"/>
    <col min="3856" max="4088" width="9.140625" style="228"/>
    <col min="4089" max="4089" width="30.5703125" style="228" bestFit="1" customWidth="1"/>
    <col min="4090" max="4090" width="10.42578125" style="228" customWidth="1"/>
    <col min="4091" max="4091" width="10.140625" style="228" bestFit="1" customWidth="1"/>
    <col min="4092" max="4092" width="8.7109375" style="228" customWidth="1"/>
    <col min="4093" max="4093" width="8.140625" style="228" bestFit="1" customWidth="1"/>
    <col min="4094" max="4094" width="9.7109375" style="228" customWidth="1"/>
    <col min="4095" max="4095" width="10.140625" style="228" customWidth="1"/>
    <col min="4096" max="4096" width="7.85546875" style="228" bestFit="1" customWidth="1"/>
    <col min="4097" max="4097" width="5.7109375" style="228" bestFit="1" customWidth="1"/>
    <col min="4098" max="4098" width="2.28515625" style="228" customWidth="1"/>
    <col min="4099" max="4099" width="7.85546875" style="228" bestFit="1" customWidth="1"/>
    <col min="4100" max="4100" width="6.28515625" style="228" bestFit="1" customWidth="1"/>
    <col min="4101" max="4101" width="7" style="228" bestFit="1" customWidth="1"/>
    <col min="4102" max="4102" width="6.5703125" style="228" bestFit="1" customWidth="1"/>
    <col min="4103" max="4110" width="9.140625" style="228"/>
    <col min="4111" max="4111" width="8.5703125" style="228" customWidth="1"/>
    <col min="4112" max="4344" width="9.140625" style="228"/>
    <col min="4345" max="4345" width="30.5703125" style="228" bestFit="1" customWidth="1"/>
    <col min="4346" max="4346" width="10.42578125" style="228" customWidth="1"/>
    <col min="4347" max="4347" width="10.140625" style="228" bestFit="1" customWidth="1"/>
    <col min="4348" max="4348" width="8.7109375" style="228" customWidth="1"/>
    <col min="4349" max="4349" width="8.140625" style="228" bestFit="1" customWidth="1"/>
    <col min="4350" max="4350" width="9.7109375" style="228" customWidth="1"/>
    <col min="4351" max="4351" width="10.140625" style="228" customWidth="1"/>
    <col min="4352" max="4352" width="7.85546875" style="228" bestFit="1" customWidth="1"/>
    <col min="4353" max="4353" width="5.7109375" style="228" bestFit="1" customWidth="1"/>
    <col min="4354" max="4354" width="2.28515625" style="228" customWidth="1"/>
    <col min="4355" max="4355" width="7.85546875" style="228" bestFit="1" customWidth="1"/>
    <col min="4356" max="4356" width="6.28515625" style="228" bestFit="1" customWidth="1"/>
    <col min="4357" max="4357" width="7" style="228" bestFit="1" customWidth="1"/>
    <col min="4358" max="4358" width="6.5703125" style="228" bestFit="1" customWidth="1"/>
    <col min="4359" max="4366" width="9.140625" style="228"/>
    <col min="4367" max="4367" width="8.5703125" style="228" customWidth="1"/>
    <col min="4368" max="4600" width="9.140625" style="228"/>
    <col min="4601" max="4601" width="30.5703125" style="228" bestFit="1" customWidth="1"/>
    <col min="4602" max="4602" width="10.42578125" style="228" customWidth="1"/>
    <col min="4603" max="4603" width="10.140625" style="228" bestFit="1" customWidth="1"/>
    <col min="4604" max="4604" width="8.7109375" style="228" customWidth="1"/>
    <col min="4605" max="4605" width="8.140625" style="228" bestFit="1" customWidth="1"/>
    <col min="4606" max="4606" width="9.7109375" style="228" customWidth="1"/>
    <col min="4607" max="4607" width="10.140625" style="228" customWidth="1"/>
    <col min="4608" max="4608" width="7.85546875" style="228" bestFit="1" customWidth="1"/>
    <col min="4609" max="4609" width="5.7109375" style="228" bestFit="1" customWidth="1"/>
    <col min="4610" max="4610" width="2.28515625" style="228" customWidth="1"/>
    <col min="4611" max="4611" width="7.85546875" style="228" bestFit="1" customWidth="1"/>
    <col min="4612" max="4612" width="6.28515625" style="228" bestFit="1" customWidth="1"/>
    <col min="4613" max="4613" width="7" style="228" bestFit="1" customWidth="1"/>
    <col min="4614" max="4614" width="6.5703125" style="228" bestFit="1" customWidth="1"/>
    <col min="4615" max="4622" width="9.140625" style="228"/>
    <col min="4623" max="4623" width="8.5703125" style="228" customWidth="1"/>
    <col min="4624" max="4856" width="9.140625" style="228"/>
    <col min="4857" max="4857" width="30.5703125" style="228" bestFit="1" customWidth="1"/>
    <col min="4858" max="4858" width="10.42578125" style="228" customWidth="1"/>
    <col min="4859" max="4859" width="10.140625" style="228" bestFit="1" customWidth="1"/>
    <col min="4860" max="4860" width="8.7109375" style="228" customWidth="1"/>
    <col min="4861" max="4861" width="8.140625" style="228" bestFit="1" customWidth="1"/>
    <col min="4862" max="4862" width="9.7109375" style="228" customWidth="1"/>
    <col min="4863" max="4863" width="10.140625" style="228" customWidth="1"/>
    <col min="4864" max="4864" width="7.85546875" style="228" bestFit="1" customWidth="1"/>
    <col min="4865" max="4865" width="5.7109375" style="228" bestFit="1" customWidth="1"/>
    <col min="4866" max="4866" width="2.28515625" style="228" customWidth="1"/>
    <col min="4867" max="4867" width="7.85546875" style="228" bestFit="1" customWidth="1"/>
    <col min="4868" max="4868" width="6.28515625" style="228" bestFit="1" customWidth="1"/>
    <col min="4869" max="4869" width="7" style="228" bestFit="1" customWidth="1"/>
    <col min="4870" max="4870" width="6.5703125" style="228" bestFit="1" customWidth="1"/>
    <col min="4871" max="4878" width="9.140625" style="228"/>
    <col min="4879" max="4879" width="8.5703125" style="228" customWidth="1"/>
    <col min="4880" max="5112" width="9.140625" style="228"/>
    <col min="5113" max="5113" width="30.5703125" style="228" bestFit="1" customWidth="1"/>
    <col min="5114" max="5114" width="10.42578125" style="228" customWidth="1"/>
    <col min="5115" max="5115" width="10.140625" style="228" bestFit="1" customWidth="1"/>
    <col min="5116" max="5116" width="8.7109375" style="228" customWidth="1"/>
    <col min="5117" max="5117" width="8.140625" style="228" bestFit="1" customWidth="1"/>
    <col min="5118" max="5118" width="9.7109375" style="228" customWidth="1"/>
    <col min="5119" max="5119" width="10.140625" style="228" customWidth="1"/>
    <col min="5120" max="5120" width="7.85546875" style="228" bestFit="1" customWidth="1"/>
    <col min="5121" max="5121" width="5.7109375" style="228" bestFit="1" customWidth="1"/>
    <col min="5122" max="5122" width="2.28515625" style="228" customWidth="1"/>
    <col min="5123" max="5123" width="7.85546875" style="228" bestFit="1" customWidth="1"/>
    <col min="5124" max="5124" width="6.28515625" style="228" bestFit="1" customWidth="1"/>
    <col min="5125" max="5125" width="7" style="228" bestFit="1" customWidth="1"/>
    <col min="5126" max="5126" width="6.5703125" style="228" bestFit="1" customWidth="1"/>
    <col min="5127" max="5134" width="9.140625" style="228"/>
    <col min="5135" max="5135" width="8.5703125" style="228" customWidth="1"/>
    <col min="5136" max="5368" width="9.140625" style="228"/>
    <col min="5369" max="5369" width="30.5703125" style="228" bestFit="1" customWidth="1"/>
    <col min="5370" max="5370" width="10.42578125" style="228" customWidth="1"/>
    <col min="5371" max="5371" width="10.140625" style="228" bestFit="1" customWidth="1"/>
    <col min="5372" max="5372" width="8.7109375" style="228" customWidth="1"/>
    <col min="5373" max="5373" width="8.140625" style="228" bestFit="1" customWidth="1"/>
    <col min="5374" max="5374" width="9.7109375" style="228" customWidth="1"/>
    <col min="5375" max="5375" width="10.140625" style="228" customWidth="1"/>
    <col min="5376" max="5376" width="7.85546875" style="228" bestFit="1" customWidth="1"/>
    <col min="5377" max="5377" width="5.7109375" style="228" bestFit="1" customWidth="1"/>
    <col min="5378" max="5378" width="2.28515625" style="228" customWidth="1"/>
    <col min="5379" max="5379" width="7.85546875" style="228" bestFit="1" customWidth="1"/>
    <col min="5380" max="5380" width="6.28515625" style="228" bestFit="1" customWidth="1"/>
    <col min="5381" max="5381" width="7" style="228" bestFit="1" customWidth="1"/>
    <col min="5382" max="5382" width="6.5703125" style="228" bestFit="1" customWidth="1"/>
    <col min="5383" max="5390" width="9.140625" style="228"/>
    <col min="5391" max="5391" width="8.5703125" style="228" customWidth="1"/>
    <col min="5392" max="5624" width="9.140625" style="228"/>
    <col min="5625" max="5625" width="30.5703125" style="228" bestFit="1" customWidth="1"/>
    <col min="5626" max="5626" width="10.42578125" style="228" customWidth="1"/>
    <col min="5627" max="5627" width="10.140625" style="228" bestFit="1" customWidth="1"/>
    <col min="5628" max="5628" width="8.7109375" style="228" customWidth="1"/>
    <col min="5629" max="5629" width="8.140625" style="228" bestFit="1" customWidth="1"/>
    <col min="5630" max="5630" width="9.7109375" style="228" customWidth="1"/>
    <col min="5631" max="5631" width="10.140625" style="228" customWidth="1"/>
    <col min="5632" max="5632" width="7.85546875" style="228" bestFit="1" customWidth="1"/>
    <col min="5633" max="5633" width="5.7109375" style="228" bestFit="1" customWidth="1"/>
    <col min="5634" max="5634" width="2.28515625" style="228" customWidth="1"/>
    <col min="5635" max="5635" width="7.85546875" style="228" bestFit="1" customWidth="1"/>
    <col min="5636" max="5636" width="6.28515625" style="228" bestFit="1" customWidth="1"/>
    <col min="5637" max="5637" width="7" style="228" bestFit="1" customWidth="1"/>
    <col min="5638" max="5638" width="6.5703125" style="228" bestFit="1" customWidth="1"/>
    <col min="5639" max="5646" width="9.140625" style="228"/>
    <col min="5647" max="5647" width="8.5703125" style="228" customWidth="1"/>
    <col min="5648" max="5880" width="9.140625" style="228"/>
    <col min="5881" max="5881" width="30.5703125" style="228" bestFit="1" customWidth="1"/>
    <col min="5882" max="5882" width="10.42578125" style="228" customWidth="1"/>
    <col min="5883" max="5883" width="10.140625" style="228" bestFit="1" customWidth="1"/>
    <col min="5884" max="5884" width="8.7109375" style="228" customWidth="1"/>
    <col min="5885" max="5885" width="8.140625" style="228" bestFit="1" customWidth="1"/>
    <col min="5886" max="5886" width="9.7109375" style="228" customWidth="1"/>
    <col min="5887" max="5887" width="10.140625" style="228" customWidth="1"/>
    <col min="5888" max="5888" width="7.85546875" style="228" bestFit="1" customWidth="1"/>
    <col min="5889" max="5889" width="5.7109375" style="228" bestFit="1" customWidth="1"/>
    <col min="5890" max="5890" width="2.28515625" style="228" customWidth="1"/>
    <col min="5891" max="5891" width="7.85546875" style="228" bestFit="1" customWidth="1"/>
    <col min="5892" max="5892" width="6.28515625" style="228" bestFit="1" customWidth="1"/>
    <col min="5893" max="5893" width="7" style="228" bestFit="1" customWidth="1"/>
    <col min="5894" max="5894" width="6.5703125" style="228" bestFit="1" customWidth="1"/>
    <col min="5895" max="5902" width="9.140625" style="228"/>
    <col min="5903" max="5903" width="8.5703125" style="228" customWidth="1"/>
    <col min="5904" max="6136" width="9.140625" style="228"/>
    <col min="6137" max="6137" width="30.5703125" style="228" bestFit="1" customWidth="1"/>
    <col min="6138" max="6138" width="10.42578125" style="228" customWidth="1"/>
    <col min="6139" max="6139" width="10.140625" style="228" bestFit="1" customWidth="1"/>
    <col min="6140" max="6140" width="8.7109375" style="228" customWidth="1"/>
    <col min="6141" max="6141" width="8.140625" style="228" bestFit="1" customWidth="1"/>
    <col min="6142" max="6142" width="9.7109375" style="228" customWidth="1"/>
    <col min="6143" max="6143" width="10.140625" style="228" customWidth="1"/>
    <col min="6144" max="6144" width="7.85546875" style="228" bestFit="1" customWidth="1"/>
    <col min="6145" max="6145" width="5.7109375" style="228" bestFit="1" customWidth="1"/>
    <col min="6146" max="6146" width="2.28515625" style="228" customWidth="1"/>
    <col min="6147" max="6147" width="7.85546875" style="228" bestFit="1" customWidth="1"/>
    <col min="6148" max="6148" width="6.28515625" style="228" bestFit="1" customWidth="1"/>
    <col min="6149" max="6149" width="7" style="228" bestFit="1" customWidth="1"/>
    <col min="6150" max="6150" width="6.5703125" style="228" bestFit="1" customWidth="1"/>
    <col min="6151" max="6158" width="9.140625" style="228"/>
    <col min="6159" max="6159" width="8.5703125" style="228" customWidth="1"/>
    <col min="6160" max="6392" width="9.140625" style="228"/>
    <col min="6393" max="6393" width="30.5703125" style="228" bestFit="1" customWidth="1"/>
    <col min="6394" max="6394" width="10.42578125" style="228" customWidth="1"/>
    <col min="6395" max="6395" width="10.140625" style="228" bestFit="1" customWidth="1"/>
    <col min="6396" max="6396" width="8.7109375" style="228" customWidth="1"/>
    <col min="6397" max="6397" width="8.140625" style="228" bestFit="1" customWidth="1"/>
    <col min="6398" max="6398" width="9.7109375" style="228" customWidth="1"/>
    <col min="6399" max="6399" width="10.140625" style="228" customWidth="1"/>
    <col min="6400" max="6400" width="7.85546875" style="228" bestFit="1" customWidth="1"/>
    <col min="6401" max="6401" width="5.7109375" style="228" bestFit="1" customWidth="1"/>
    <col min="6402" max="6402" width="2.28515625" style="228" customWidth="1"/>
    <col min="6403" max="6403" width="7.85546875" style="228" bestFit="1" customWidth="1"/>
    <col min="6404" max="6404" width="6.28515625" style="228" bestFit="1" customWidth="1"/>
    <col min="6405" max="6405" width="7" style="228" bestFit="1" customWidth="1"/>
    <col min="6406" max="6406" width="6.5703125" style="228" bestFit="1" customWidth="1"/>
    <col min="6407" max="6414" width="9.140625" style="228"/>
    <col min="6415" max="6415" width="8.5703125" style="228" customWidth="1"/>
    <col min="6416" max="6648" width="9.140625" style="228"/>
    <col min="6649" max="6649" width="30.5703125" style="228" bestFit="1" customWidth="1"/>
    <col min="6650" max="6650" width="10.42578125" style="228" customWidth="1"/>
    <col min="6651" max="6651" width="10.140625" style="228" bestFit="1" customWidth="1"/>
    <col min="6652" max="6652" width="8.7109375" style="228" customWidth="1"/>
    <col min="6653" max="6653" width="8.140625" style="228" bestFit="1" customWidth="1"/>
    <col min="6654" max="6654" width="9.7109375" style="228" customWidth="1"/>
    <col min="6655" max="6655" width="10.140625" style="228" customWidth="1"/>
    <col min="6656" max="6656" width="7.85546875" style="228" bestFit="1" customWidth="1"/>
    <col min="6657" max="6657" width="5.7109375" style="228" bestFit="1" customWidth="1"/>
    <col min="6658" max="6658" width="2.28515625" style="228" customWidth="1"/>
    <col min="6659" max="6659" width="7.85546875" style="228" bestFit="1" customWidth="1"/>
    <col min="6660" max="6660" width="6.28515625" style="228" bestFit="1" customWidth="1"/>
    <col min="6661" max="6661" width="7" style="228" bestFit="1" customWidth="1"/>
    <col min="6662" max="6662" width="6.5703125" style="228" bestFit="1" customWidth="1"/>
    <col min="6663" max="6670" width="9.140625" style="228"/>
    <col min="6671" max="6671" width="8.5703125" style="228" customWidth="1"/>
    <col min="6672" max="6904" width="9.140625" style="228"/>
    <col min="6905" max="6905" width="30.5703125" style="228" bestFit="1" customWidth="1"/>
    <col min="6906" max="6906" width="10.42578125" style="228" customWidth="1"/>
    <col min="6907" max="6907" width="10.140625" style="228" bestFit="1" customWidth="1"/>
    <col min="6908" max="6908" width="8.7109375" style="228" customWidth="1"/>
    <col min="6909" max="6909" width="8.140625" style="228" bestFit="1" customWidth="1"/>
    <col min="6910" max="6910" width="9.7109375" style="228" customWidth="1"/>
    <col min="6911" max="6911" width="10.140625" style="228" customWidth="1"/>
    <col min="6912" max="6912" width="7.85546875" style="228" bestFit="1" customWidth="1"/>
    <col min="6913" max="6913" width="5.7109375" style="228" bestFit="1" customWidth="1"/>
    <col min="6914" max="6914" width="2.28515625" style="228" customWidth="1"/>
    <col min="6915" max="6915" width="7.85546875" style="228" bestFit="1" customWidth="1"/>
    <col min="6916" max="6916" width="6.28515625" style="228" bestFit="1" customWidth="1"/>
    <col min="6917" max="6917" width="7" style="228" bestFit="1" customWidth="1"/>
    <col min="6918" max="6918" width="6.5703125" style="228" bestFit="1" customWidth="1"/>
    <col min="6919" max="6926" width="9.140625" style="228"/>
    <col min="6927" max="6927" width="8.5703125" style="228" customWidth="1"/>
    <col min="6928" max="7160" width="9.140625" style="228"/>
    <col min="7161" max="7161" width="30.5703125" style="228" bestFit="1" customWidth="1"/>
    <col min="7162" max="7162" width="10.42578125" style="228" customWidth="1"/>
    <col min="7163" max="7163" width="10.140625" style="228" bestFit="1" customWidth="1"/>
    <col min="7164" max="7164" width="8.7109375" style="228" customWidth="1"/>
    <col min="7165" max="7165" width="8.140625" style="228" bestFit="1" customWidth="1"/>
    <col min="7166" max="7166" width="9.7109375" style="228" customWidth="1"/>
    <col min="7167" max="7167" width="10.140625" style="228" customWidth="1"/>
    <col min="7168" max="7168" width="7.85546875" style="228" bestFit="1" customWidth="1"/>
    <col min="7169" max="7169" width="5.7109375" style="228" bestFit="1" customWidth="1"/>
    <col min="7170" max="7170" width="2.28515625" style="228" customWidth="1"/>
    <col min="7171" max="7171" width="7.85546875" style="228" bestFit="1" customWidth="1"/>
    <col min="7172" max="7172" width="6.28515625" style="228" bestFit="1" customWidth="1"/>
    <col min="7173" max="7173" width="7" style="228" bestFit="1" customWidth="1"/>
    <col min="7174" max="7174" width="6.5703125" style="228" bestFit="1" customWidth="1"/>
    <col min="7175" max="7182" width="9.140625" style="228"/>
    <col min="7183" max="7183" width="8.5703125" style="228" customWidth="1"/>
    <col min="7184" max="7416" width="9.140625" style="228"/>
    <col min="7417" max="7417" width="30.5703125" style="228" bestFit="1" customWidth="1"/>
    <col min="7418" max="7418" width="10.42578125" style="228" customWidth="1"/>
    <col min="7419" max="7419" width="10.140625" style="228" bestFit="1" customWidth="1"/>
    <col min="7420" max="7420" width="8.7109375" style="228" customWidth="1"/>
    <col min="7421" max="7421" width="8.140625" style="228" bestFit="1" customWidth="1"/>
    <col min="7422" max="7422" width="9.7109375" style="228" customWidth="1"/>
    <col min="7423" max="7423" width="10.140625" style="228" customWidth="1"/>
    <col min="7424" max="7424" width="7.85546875" style="228" bestFit="1" customWidth="1"/>
    <col min="7425" max="7425" width="5.7109375" style="228" bestFit="1" customWidth="1"/>
    <col min="7426" max="7426" width="2.28515625" style="228" customWidth="1"/>
    <col min="7427" max="7427" width="7.85546875" style="228" bestFit="1" customWidth="1"/>
    <col min="7428" max="7428" width="6.28515625" style="228" bestFit="1" customWidth="1"/>
    <col min="7429" max="7429" width="7" style="228" bestFit="1" customWidth="1"/>
    <col min="7430" max="7430" width="6.5703125" style="228" bestFit="1" customWidth="1"/>
    <col min="7431" max="7438" width="9.140625" style="228"/>
    <col min="7439" max="7439" width="8.5703125" style="228" customWidth="1"/>
    <col min="7440" max="7672" width="9.140625" style="228"/>
    <col min="7673" max="7673" width="30.5703125" style="228" bestFit="1" customWidth="1"/>
    <col min="7674" max="7674" width="10.42578125" style="228" customWidth="1"/>
    <col min="7675" max="7675" width="10.140625" style="228" bestFit="1" customWidth="1"/>
    <col min="7676" max="7676" width="8.7109375" style="228" customWidth="1"/>
    <col min="7677" max="7677" width="8.140625" style="228" bestFit="1" customWidth="1"/>
    <col min="7678" max="7678" width="9.7109375" style="228" customWidth="1"/>
    <col min="7679" max="7679" width="10.140625" style="228" customWidth="1"/>
    <col min="7680" max="7680" width="7.85546875" style="228" bestFit="1" customWidth="1"/>
    <col min="7681" max="7681" width="5.7109375" style="228" bestFit="1" customWidth="1"/>
    <col min="7682" max="7682" width="2.28515625" style="228" customWidth="1"/>
    <col min="7683" max="7683" width="7.85546875" style="228" bestFit="1" customWidth="1"/>
    <col min="7684" max="7684" width="6.28515625" style="228" bestFit="1" customWidth="1"/>
    <col min="7685" max="7685" width="7" style="228" bestFit="1" customWidth="1"/>
    <col min="7686" max="7686" width="6.5703125" style="228" bestFit="1" customWidth="1"/>
    <col min="7687" max="7694" width="9.140625" style="228"/>
    <col min="7695" max="7695" width="8.5703125" style="228" customWidth="1"/>
    <col min="7696" max="7928" width="9.140625" style="228"/>
    <col min="7929" max="7929" width="30.5703125" style="228" bestFit="1" customWidth="1"/>
    <col min="7930" max="7930" width="10.42578125" style="228" customWidth="1"/>
    <col min="7931" max="7931" width="10.140625" style="228" bestFit="1" customWidth="1"/>
    <col min="7932" max="7932" width="8.7109375" style="228" customWidth="1"/>
    <col min="7933" max="7933" width="8.140625" style="228" bestFit="1" customWidth="1"/>
    <col min="7934" max="7934" width="9.7109375" style="228" customWidth="1"/>
    <col min="7935" max="7935" width="10.140625" style="228" customWidth="1"/>
    <col min="7936" max="7936" width="7.85546875" style="228" bestFit="1" customWidth="1"/>
    <col min="7937" max="7937" width="5.7109375" style="228" bestFit="1" customWidth="1"/>
    <col min="7938" max="7938" width="2.28515625" style="228" customWidth="1"/>
    <col min="7939" max="7939" width="7.85546875" style="228" bestFit="1" customWidth="1"/>
    <col min="7940" max="7940" width="6.28515625" style="228" bestFit="1" customWidth="1"/>
    <col min="7941" max="7941" width="7" style="228" bestFit="1" customWidth="1"/>
    <col min="7942" max="7942" width="6.5703125" style="228" bestFit="1" customWidth="1"/>
    <col min="7943" max="7950" width="9.140625" style="228"/>
    <col min="7951" max="7951" width="8.5703125" style="228" customWidth="1"/>
    <col min="7952" max="8184" width="9.140625" style="228"/>
    <col min="8185" max="8185" width="30.5703125" style="228" bestFit="1" customWidth="1"/>
    <col min="8186" max="8186" width="10.42578125" style="228" customWidth="1"/>
    <col min="8187" max="8187" width="10.140625" style="228" bestFit="1" customWidth="1"/>
    <col min="8188" max="8188" width="8.7109375" style="228" customWidth="1"/>
    <col min="8189" max="8189" width="8.140625" style="228" bestFit="1" customWidth="1"/>
    <col min="8190" max="8190" width="9.7109375" style="228" customWidth="1"/>
    <col min="8191" max="8191" width="10.140625" style="228" customWidth="1"/>
    <col min="8192" max="8192" width="7.85546875" style="228" bestFit="1" customWidth="1"/>
    <col min="8193" max="8193" width="5.7109375" style="228" bestFit="1" customWidth="1"/>
    <col min="8194" max="8194" width="2.28515625" style="228" customWidth="1"/>
    <col min="8195" max="8195" width="7.85546875" style="228" bestFit="1" customWidth="1"/>
    <col min="8196" max="8196" width="6.28515625" style="228" bestFit="1" customWidth="1"/>
    <col min="8197" max="8197" width="7" style="228" bestFit="1" customWidth="1"/>
    <col min="8198" max="8198" width="6.5703125" style="228" bestFit="1" customWidth="1"/>
    <col min="8199" max="8206" width="9.140625" style="228"/>
    <col min="8207" max="8207" width="8.5703125" style="228" customWidth="1"/>
    <col min="8208" max="8440" width="9.140625" style="228"/>
    <col min="8441" max="8441" width="30.5703125" style="228" bestFit="1" customWidth="1"/>
    <col min="8442" max="8442" width="10.42578125" style="228" customWidth="1"/>
    <col min="8443" max="8443" width="10.140625" style="228" bestFit="1" customWidth="1"/>
    <col min="8444" max="8444" width="8.7109375" style="228" customWidth="1"/>
    <col min="8445" max="8445" width="8.140625" style="228" bestFit="1" customWidth="1"/>
    <col min="8446" max="8446" width="9.7109375" style="228" customWidth="1"/>
    <col min="8447" max="8447" width="10.140625" style="228" customWidth="1"/>
    <col min="8448" max="8448" width="7.85546875" style="228" bestFit="1" customWidth="1"/>
    <col min="8449" max="8449" width="5.7109375" style="228" bestFit="1" customWidth="1"/>
    <col min="8450" max="8450" width="2.28515625" style="228" customWidth="1"/>
    <col min="8451" max="8451" width="7.85546875" style="228" bestFit="1" customWidth="1"/>
    <col min="8452" max="8452" width="6.28515625" style="228" bestFit="1" customWidth="1"/>
    <col min="8453" max="8453" width="7" style="228" bestFit="1" customWidth="1"/>
    <col min="8454" max="8454" width="6.5703125" style="228" bestFit="1" customWidth="1"/>
    <col min="8455" max="8462" width="9.140625" style="228"/>
    <col min="8463" max="8463" width="8.5703125" style="228" customWidth="1"/>
    <col min="8464" max="8696" width="9.140625" style="228"/>
    <col min="8697" max="8697" width="30.5703125" style="228" bestFit="1" customWidth="1"/>
    <col min="8698" max="8698" width="10.42578125" style="228" customWidth="1"/>
    <col min="8699" max="8699" width="10.140625" style="228" bestFit="1" customWidth="1"/>
    <col min="8700" max="8700" width="8.7109375" style="228" customWidth="1"/>
    <col min="8701" max="8701" width="8.140625" style="228" bestFit="1" customWidth="1"/>
    <col min="8702" max="8702" width="9.7109375" style="228" customWidth="1"/>
    <col min="8703" max="8703" width="10.140625" style="228" customWidth="1"/>
    <col min="8704" max="8704" width="7.85546875" style="228" bestFit="1" customWidth="1"/>
    <col min="8705" max="8705" width="5.7109375" style="228" bestFit="1" customWidth="1"/>
    <col min="8706" max="8706" width="2.28515625" style="228" customWidth="1"/>
    <col min="8707" max="8707" width="7.85546875" style="228" bestFit="1" customWidth="1"/>
    <col min="8708" max="8708" width="6.28515625" style="228" bestFit="1" customWidth="1"/>
    <col min="8709" max="8709" width="7" style="228" bestFit="1" customWidth="1"/>
    <col min="8710" max="8710" width="6.5703125" style="228" bestFit="1" customWidth="1"/>
    <col min="8711" max="8718" width="9.140625" style="228"/>
    <col min="8719" max="8719" width="8.5703125" style="228" customWidth="1"/>
    <col min="8720" max="8952" width="9.140625" style="228"/>
    <col min="8953" max="8953" width="30.5703125" style="228" bestFit="1" customWidth="1"/>
    <col min="8954" max="8954" width="10.42578125" style="228" customWidth="1"/>
    <col min="8955" max="8955" width="10.140625" style="228" bestFit="1" customWidth="1"/>
    <col min="8956" max="8956" width="8.7109375" style="228" customWidth="1"/>
    <col min="8957" max="8957" width="8.140625" style="228" bestFit="1" customWidth="1"/>
    <col min="8958" max="8958" width="9.7109375" style="228" customWidth="1"/>
    <col min="8959" max="8959" width="10.140625" style="228" customWidth="1"/>
    <col min="8960" max="8960" width="7.85546875" style="228" bestFit="1" customWidth="1"/>
    <col min="8961" max="8961" width="5.7109375" style="228" bestFit="1" customWidth="1"/>
    <col min="8962" max="8962" width="2.28515625" style="228" customWidth="1"/>
    <col min="8963" max="8963" width="7.85546875" style="228" bestFit="1" customWidth="1"/>
    <col min="8964" max="8964" width="6.28515625" style="228" bestFit="1" customWidth="1"/>
    <col min="8965" max="8965" width="7" style="228" bestFit="1" customWidth="1"/>
    <col min="8966" max="8966" width="6.5703125" style="228" bestFit="1" customWidth="1"/>
    <col min="8967" max="8974" width="9.140625" style="228"/>
    <col min="8975" max="8975" width="8.5703125" style="228" customWidth="1"/>
    <col min="8976" max="9208" width="9.140625" style="228"/>
    <col min="9209" max="9209" width="30.5703125" style="228" bestFit="1" customWidth="1"/>
    <col min="9210" max="9210" width="10.42578125" style="228" customWidth="1"/>
    <col min="9211" max="9211" width="10.140625" style="228" bestFit="1" customWidth="1"/>
    <col min="9212" max="9212" width="8.7109375" style="228" customWidth="1"/>
    <col min="9213" max="9213" width="8.140625" style="228" bestFit="1" customWidth="1"/>
    <col min="9214" max="9214" width="9.7109375" style="228" customWidth="1"/>
    <col min="9215" max="9215" width="10.140625" style="228" customWidth="1"/>
    <col min="9216" max="9216" width="7.85546875" style="228" bestFit="1" customWidth="1"/>
    <col min="9217" max="9217" width="5.7109375" style="228" bestFit="1" customWidth="1"/>
    <col min="9218" max="9218" width="2.28515625" style="228" customWidth="1"/>
    <col min="9219" max="9219" width="7.85546875" style="228" bestFit="1" customWidth="1"/>
    <col min="9220" max="9220" width="6.28515625" style="228" bestFit="1" customWidth="1"/>
    <col min="9221" max="9221" width="7" style="228" bestFit="1" customWidth="1"/>
    <col min="9222" max="9222" width="6.5703125" style="228" bestFit="1" customWidth="1"/>
    <col min="9223" max="9230" width="9.140625" style="228"/>
    <col min="9231" max="9231" width="8.5703125" style="228" customWidth="1"/>
    <col min="9232" max="9464" width="9.140625" style="228"/>
    <col min="9465" max="9465" width="30.5703125" style="228" bestFit="1" customWidth="1"/>
    <col min="9466" max="9466" width="10.42578125" style="228" customWidth="1"/>
    <col min="9467" max="9467" width="10.140625" style="228" bestFit="1" customWidth="1"/>
    <col min="9468" max="9468" width="8.7109375" style="228" customWidth="1"/>
    <col min="9469" max="9469" width="8.140625" style="228" bestFit="1" customWidth="1"/>
    <col min="9470" max="9470" width="9.7109375" style="228" customWidth="1"/>
    <col min="9471" max="9471" width="10.140625" style="228" customWidth="1"/>
    <col min="9472" max="9472" width="7.85546875" style="228" bestFit="1" customWidth="1"/>
    <col min="9473" max="9473" width="5.7109375" style="228" bestFit="1" customWidth="1"/>
    <col min="9474" max="9474" width="2.28515625" style="228" customWidth="1"/>
    <col min="9475" max="9475" width="7.85546875" style="228" bestFit="1" customWidth="1"/>
    <col min="9476" max="9476" width="6.28515625" style="228" bestFit="1" customWidth="1"/>
    <col min="9477" max="9477" width="7" style="228" bestFit="1" customWidth="1"/>
    <col min="9478" max="9478" width="6.5703125" style="228" bestFit="1" customWidth="1"/>
    <col min="9479" max="9486" width="9.140625" style="228"/>
    <col min="9487" max="9487" width="8.5703125" style="228" customWidth="1"/>
    <col min="9488" max="9720" width="9.140625" style="228"/>
    <col min="9721" max="9721" width="30.5703125" style="228" bestFit="1" customWidth="1"/>
    <col min="9722" max="9722" width="10.42578125" style="228" customWidth="1"/>
    <col min="9723" max="9723" width="10.140625" style="228" bestFit="1" customWidth="1"/>
    <col min="9724" max="9724" width="8.7109375" style="228" customWidth="1"/>
    <col min="9725" max="9725" width="8.140625" style="228" bestFit="1" customWidth="1"/>
    <col min="9726" max="9726" width="9.7109375" style="228" customWidth="1"/>
    <col min="9727" max="9727" width="10.140625" style="228" customWidth="1"/>
    <col min="9728" max="9728" width="7.85546875" style="228" bestFit="1" customWidth="1"/>
    <col min="9729" max="9729" width="5.7109375" style="228" bestFit="1" customWidth="1"/>
    <col min="9730" max="9730" width="2.28515625" style="228" customWidth="1"/>
    <col min="9731" max="9731" width="7.85546875" style="228" bestFit="1" customWidth="1"/>
    <col min="9732" max="9732" width="6.28515625" style="228" bestFit="1" customWidth="1"/>
    <col min="9733" max="9733" width="7" style="228" bestFit="1" customWidth="1"/>
    <col min="9734" max="9734" width="6.5703125" style="228" bestFit="1" customWidth="1"/>
    <col min="9735" max="9742" width="9.140625" style="228"/>
    <col min="9743" max="9743" width="8.5703125" style="228" customWidth="1"/>
    <col min="9744" max="9976" width="9.140625" style="228"/>
    <col min="9977" max="9977" width="30.5703125" style="228" bestFit="1" customWidth="1"/>
    <col min="9978" max="9978" width="10.42578125" style="228" customWidth="1"/>
    <col min="9979" max="9979" width="10.140625" style="228" bestFit="1" customWidth="1"/>
    <col min="9980" max="9980" width="8.7109375" style="228" customWidth="1"/>
    <col min="9981" max="9981" width="8.140625" style="228" bestFit="1" customWidth="1"/>
    <col min="9982" max="9982" width="9.7109375" style="228" customWidth="1"/>
    <col min="9983" max="9983" width="10.140625" style="228" customWidth="1"/>
    <col min="9984" max="9984" width="7.85546875" style="228" bestFit="1" customWidth="1"/>
    <col min="9985" max="9985" width="5.7109375" style="228" bestFit="1" customWidth="1"/>
    <col min="9986" max="9986" width="2.28515625" style="228" customWidth="1"/>
    <col min="9987" max="9987" width="7.85546875" style="228" bestFit="1" customWidth="1"/>
    <col min="9988" max="9988" width="6.28515625" style="228" bestFit="1" customWidth="1"/>
    <col min="9989" max="9989" width="7" style="228" bestFit="1" customWidth="1"/>
    <col min="9990" max="9990" width="6.5703125" style="228" bestFit="1" customWidth="1"/>
    <col min="9991" max="9998" width="9.140625" style="228"/>
    <col min="9999" max="9999" width="8.5703125" style="228" customWidth="1"/>
    <col min="10000" max="10232" width="9.140625" style="228"/>
    <col min="10233" max="10233" width="30.5703125" style="228" bestFit="1" customWidth="1"/>
    <col min="10234" max="10234" width="10.42578125" style="228" customWidth="1"/>
    <col min="10235" max="10235" width="10.140625" style="228" bestFit="1" customWidth="1"/>
    <col min="10236" max="10236" width="8.7109375" style="228" customWidth="1"/>
    <col min="10237" max="10237" width="8.140625" style="228" bestFit="1" customWidth="1"/>
    <col min="10238" max="10238" width="9.7109375" style="228" customWidth="1"/>
    <col min="10239" max="10239" width="10.140625" style="228" customWidth="1"/>
    <col min="10240" max="10240" width="7.85546875" style="228" bestFit="1" customWidth="1"/>
    <col min="10241" max="10241" width="5.7109375" style="228" bestFit="1" customWidth="1"/>
    <col min="10242" max="10242" width="2.28515625" style="228" customWidth="1"/>
    <col min="10243" max="10243" width="7.85546875" style="228" bestFit="1" customWidth="1"/>
    <col min="10244" max="10244" width="6.28515625" style="228" bestFit="1" customWidth="1"/>
    <col min="10245" max="10245" width="7" style="228" bestFit="1" customWidth="1"/>
    <col min="10246" max="10246" width="6.5703125" style="228" bestFit="1" customWidth="1"/>
    <col min="10247" max="10254" width="9.140625" style="228"/>
    <col min="10255" max="10255" width="8.5703125" style="228" customWidth="1"/>
    <col min="10256" max="10488" width="9.140625" style="228"/>
    <col min="10489" max="10489" width="30.5703125" style="228" bestFit="1" customWidth="1"/>
    <col min="10490" max="10490" width="10.42578125" style="228" customWidth="1"/>
    <col min="10491" max="10491" width="10.140625" style="228" bestFit="1" customWidth="1"/>
    <col min="10492" max="10492" width="8.7109375" style="228" customWidth="1"/>
    <col min="10493" max="10493" width="8.140625" style="228" bestFit="1" customWidth="1"/>
    <col min="10494" max="10494" width="9.7109375" style="228" customWidth="1"/>
    <col min="10495" max="10495" width="10.140625" style="228" customWidth="1"/>
    <col min="10496" max="10496" width="7.85546875" style="228" bestFit="1" customWidth="1"/>
    <col min="10497" max="10497" width="5.7109375" style="228" bestFit="1" customWidth="1"/>
    <col min="10498" max="10498" width="2.28515625" style="228" customWidth="1"/>
    <col min="10499" max="10499" width="7.85546875" style="228" bestFit="1" customWidth="1"/>
    <col min="10500" max="10500" width="6.28515625" style="228" bestFit="1" customWidth="1"/>
    <col min="10501" max="10501" width="7" style="228" bestFit="1" customWidth="1"/>
    <col min="10502" max="10502" width="6.5703125" style="228" bestFit="1" customWidth="1"/>
    <col min="10503" max="10510" width="9.140625" style="228"/>
    <col min="10511" max="10511" width="8.5703125" style="228" customWidth="1"/>
    <col min="10512" max="10744" width="9.140625" style="228"/>
    <col min="10745" max="10745" width="30.5703125" style="228" bestFit="1" customWidth="1"/>
    <col min="10746" max="10746" width="10.42578125" style="228" customWidth="1"/>
    <col min="10747" max="10747" width="10.140625" style="228" bestFit="1" customWidth="1"/>
    <col min="10748" max="10748" width="8.7109375" style="228" customWidth="1"/>
    <col min="10749" max="10749" width="8.140625" style="228" bestFit="1" customWidth="1"/>
    <col min="10750" max="10750" width="9.7109375" style="228" customWidth="1"/>
    <col min="10751" max="10751" width="10.140625" style="228" customWidth="1"/>
    <col min="10752" max="10752" width="7.85546875" style="228" bestFit="1" customWidth="1"/>
    <col min="10753" max="10753" width="5.7109375" style="228" bestFit="1" customWidth="1"/>
    <col min="10754" max="10754" width="2.28515625" style="228" customWidth="1"/>
    <col min="10755" max="10755" width="7.85546875" style="228" bestFit="1" customWidth="1"/>
    <col min="10756" max="10756" width="6.28515625" style="228" bestFit="1" customWidth="1"/>
    <col min="10757" max="10757" width="7" style="228" bestFit="1" customWidth="1"/>
    <col min="10758" max="10758" width="6.5703125" style="228" bestFit="1" customWidth="1"/>
    <col min="10759" max="10766" width="9.140625" style="228"/>
    <col min="10767" max="10767" width="8.5703125" style="228" customWidth="1"/>
    <col min="10768" max="11000" width="9.140625" style="228"/>
    <col min="11001" max="11001" width="30.5703125" style="228" bestFit="1" customWidth="1"/>
    <col min="11002" max="11002" width="10.42578125" style="228" customWidth="1"/>
    <col min="11003" max="11003" width="10.140625" style="228" bestFit="1" customWidth="1"/>
    <col min="11004" max="11004" width="8.7109375" style="228" customWidth="1"/>
    <col min="11005" max="11005" width="8.140625" style="228" bestFit="1" customWidth="1"/>
    <col min="11006" max="11006" width="9.7109375" style="228" customWidth="1"/>
    <col min="11007" max="11007" width="10.140625" style="228" customWidth="1"/>
    <col min="11008" max="11008" width="7.85546875" style="228" bestFit="1" customWidth="1"/>
    <col min="11009" max="11009" width="5.7109375" style="228" bestFit="1" customWidth="1"/>
    <col min="11010" max="11010" width="2.28515625" style="228" customWidth="1"/>
    <col min="11011" max="11011" width="7.85546875" style="228" bestFit="1" customWidth="1"/>
    <col min="11012" max="11012" width="6.28515625" style="228" bestFit="1" customWidth="1"/>
    <col min="11013" max="11013" width="7" style="228" bestFit="1" customWidth="1"/>
    <col min="11014" max="11014" width="6.5703125" style="228" bestFit="1" customWidth="1"/>
    <col min="11015" max="11022" width="9.140625" style="228"/>
    <col min="11023" max="11023" width="8.5703125" style="228" customWidth="1"/>
    <col min="11024" max="11256" width="9.140625" style="228"/>
    <col min="11257" max="11257" width="30.5703125" style="228" bestFit="1" customWidth="1"/>
    <col min="11258" max="11258" width="10.42578125" style="228" customWidth="1"/>
    <col min="11259" max="11259" width="10.140625" style="228" bestFit="1" customWidth="1"/>
    <col min="11260" max="11260" width="8.7109375" style="228" customWidth="1"/>
    <col min="11261" max="11261" width="8.140625" style="228" bestFit="1" customWidth="1"/>
    <col min="11262" max="11262" width="9.7109375" style="228" customWidth="1"/>
    <col min="11263" max="11263" width="10.140625" style="228" customWidth="1"/>
    <col min="11264" max="11264" width="7.85546875" style="228" bestFit="1" customWidth="1"/>
    <col min="11265" max="11265" width="5.7109375" style="228" bestFit="1" customWidth="1"/>
    <col min="11266" max="11266" width="2.28515625" style="228" customWidth="1"/>
    <col min="11267" max="11267" width="7.85546875" style="228" bestFit="1" customWidth="1"/>
    <col min="11268" max="11268" width="6.28515625" style="228" bestFit="1" customWidth="1"/>
    <col min="11269" max="11269" width="7" style="228" bestFit="1" customWidth="1"/>
    <col min="11270" max="11270" width="6.5703125" style="228" bestFit="1" customWidth="1"/>
    <col min="11271" max="11278" width="9.140625" style="228"/>
    <col min="11279" max="11279" width="8.5703125" style="228" customWidth="1"/>
    <col min="11280" max="11512" width="9.140625" style="228"/>
    <col min="11513" max="11513" width="30.5703125" style="228" bestFit="1" customWidth="1"/>
    <col min="11514" max="11514" width="10.42578125" style="228" customWidth="1"/>
    <col min="11515" max="11515" width="10.140625" style="228" bestFit="1" customWidth="1"/>
    <col min="11516" max="11516" width="8.7109375" style="228" customWidth="1"/>
    <col min="11517" max="11517" width="8.140625" style="228" bestFit="1" customWidth="1"/>
    <col min="11518" max="11518" width="9.7109375" style="228" customWidth="1"/>
    <col min="11519" max="11519" width="10.140625" style="228" customWidth="1"/>
    <col min="11520" max="11520" width="7.85546875" style="228" bestFit="1" customWidth="1"/>
    <col min="11521" max="11521" width="5.7109375" style="228" bestFit="1" customWidth="1"/>
    <col min="11522" max="11522" width="2.28515625" style="228" customWidth="1"/>
    <col min="11523" max="11523" width="7.85546875" style="228" bestFit="1" customWidth="1"/>
    <col min="11524" max="11524" width="6.28515625" style="228" bestFit="1" customWidth="1"/>
    <col min="11525" max="11525" width="7" style="228" bestFit="1" customWidth="1"/>
    <col min="11526" max="11526" width="6.5703125" style="228" bestFit="1" customWidth="1"/>
    <col min="11527" max="11534" width="9.140625" style="228"/>
    <col min="11535" max="11535" width="8.5703125" style="228" customWidth="1"/>
    <col min="11536" max="11768" width="9.140625" style="228"/>
    <col min="11769" max="11769" width="30.5703125" style="228" bestFit="1" customWidth="1"/>
    <col min="11770" max="11770" width="10.42578125" style="228" customWidth="1"/>
    <col min="11771" max="11771" width="10.140625" style="228" bestFit="1" customWidth="1"/>
    <col min="11772" max="11772" width="8.7109375" style="228" customWidth="1"/>
    <col min="11773" max="11773" width="8.140625" style="228" bestFit="1" customWidth="1"/>
    <col min="11774" max="11774" width="9.7109375" style="228" customWidth="1"/>
    <col min="11775" max="11775" width="10.140625" style="228" customWidth="1"/>
    <col min="11776" max="11776" width="7.85546875" style="228" bestFit="1" customWidth="1"/>
    <col min="11777" max="11777" width="5.7109375" style="228" bestFit="1" customWidth="1"/>
    <col min="11778" max="11778" width="2.28515625" style="228" customWidth="1"/>
    <col min="11779" max="11779" width="7.85546875" style="228" bestFit="1" customWidth="1"/>
    <col min="11780" max="11780" width="6.28515625" style="228" bestFit="1" customWidth="1"/>
    <col min="11781" max="11781" width="7" style="228" bestFit="1" customWidth="1"/>
    <col min="11782" max="11782" width="6.5703125" style="228" bestFit="1" customWidth="1"/>
    <col min="11783" max="11790" width="9.140625" style="228"/>
    <col min="11791" max="11791" width="8.5703125" style="228" customWidth="1"/>
    <col min="11792" max="12024" width="9.140625" style="228"/>
    <col min="12025" max="12025" width="30.5703125" style="228" bestFit="1" customWidth="1"/>
    <col min="12026" max="12026" width="10.42578125" style="228" customWidth="1"/>
    <col min="12027" max="12027" width="10.140625" style="228" bestFit="1" customWidth="1"/>
    <col min="12028" max="12028" width="8.7109375" style="228" customWidth="1"/>
    <col min="12029" max="12029" width="8.140625" style="228" bestFit="1" customWidth="1"/>
    <col min="12030" max="12030" width="9.7109375" style="228" customWidth="1"/>
    <col min="12031" max="12031" width="10.140625" style="228" customWidth="1"/>
    <col min="12032" max="12032" width="7.85546875" style="228" bestFit="1" customWidth="1"/>
    <col min="12033" max="12033" width="5.7109375" style="228" bestFit="1" customWidth="1"/>
    <col min="12034" max="12034" width="2.28515625" style="228" customWidth="1"/>
    <col min="12035" max="12035" width="7.85546875" style="228" bestFit="1" customWidth="1"/>
    <col min="12036" max="12036" width="6.28515625" style="228" bestFit="1" customWidth="1"/>
    <col min="12037" max="12037" width="7" style="228" bestFit="1" customWidth="1"/>
    <col min="12038" max="12038" width="6.5703125" style="228" bestFit="1" customWidth="1"/>
    <col min="12039" max="12046" width="9.140625" style="228"/>
    <col min="12047" max="12047" width="8.5703125" style="228" customWidth="1"/>
    <col min="12048" max="12280" width="9.140625" style="228"/>
    <col min="12281" max="12281" width="30.5703125" style="228" bestFit="1" customWidth="1"/>
    <col min="12282" max="12282" width="10.42578125" style="228" customWidth="1"/>
    <col min="12283" max="12283" width="10.140625" style="228" bestFit="1" customWidth="1"/>
    <col min="12284" max="12284" width="8.7109375" style="228" customWidth="1"/>
    <col min="12285" max="12285" width="8.140625" style="228" bestFit="1" customWidth="1"/>
    <col min="12286" max="12286" width="9.7109375" style="228" customWidth="1"/>
    <col min="12287" max="12287" width="10.140625" style="228" customWidth="1"/>
    <col min="12288" max="12288" width="7.85546875" style="228" bestFit="1" customWidth="1"/>
    <col min="12289" max="12289" width="5.7109375" style="228" bestFit="1" customWidth="1"/>
    <col min="12290" max="12290" width="2.28515625" style="228" customWidth="1"/>
    <col min="12291" max="12291" width="7.85546875" style="228" bestFit="1" customWidth="1"/>
    <col min="12292" max="12292" width="6.28515625" style="228" bestFit="1" customWidth="1"/>
    <col min="12293" max="12293" width="7" style="228" bestFit="1" customWidth="1"/>
    <col min="12294" max="12294" width="6.5703125" style="228" bestFit="1" customWidth="1"/>
    <col min="12295" max="12302" width="9.140625" style="228"/>
    <col min="12303" max="12303" width="8.5703125" style="228" customWidth="1"/>
    <col min="12304" max="12536" width="9.140625" style="228"/>
    <col min="12537" max="12537" width="30.5703125" style="228" bestFit="1" customWidth="1"/>
    <col min="12538" max="12538" width="10.42578125" style="228" customWidth="1"/>
    <col min="12539" max="12539" width="10.140625" style="228" bestFit="1" customWidth="1"/>
    <col min="12540" max="12540" width="8.7109375" style="228" customWidth="1"/>
    <col min="12541" max="12541" width="8.140625" style="228" bestFit="1" customWidth="1"/>
    <col min="12542" max="12542" width="9.7109375" style="228" customWidth="1"/>
    <col min="12543" max="12543" width="10.140625" style="228" customWidth="1"/>
    <col min="12544" max="12544" width="7.85546875" style="228" bestFit="1" customWidth="1"/>
    <col min="12545" max="12545" width="5.7109375" style="228" bestFit="1" customWidth="1"/>
    <col min="12546" max="12546" width="2.28515625" style="228" customWidth="1"/>
    <col min="12547" max="12547" width="7.85546875" style="228" bestFit="1" customWidth="1"/>
    <col min="12548" max="12548" width="6.28515625" style="228" bestFit="1" customWidth="1"/>
    <col min="12549" max="12549" width="7" style="228" bestFit="1" customWidth="1"/>
    <col min="12550" max="12550" width="6.5703125" style="228" bestFit="1" customWidth="1"/>
    <col min="12551" max="12558" width="9.140625" style="228"/>
    <col min="12559" max="12559" width="8.5703125" style="228" customWidth="1"/>
    <col min="12560" max="12792" width="9.140625" style="228"/>
    <col min="12793" max="12793" width="30.5703125" style="228" bestFit="1" customWidth="1"/>
    <col min="12794" max="12794" width="10.42578125" style="228" customWidth="1"/>
    <col min="12795" max="12795" width="10.140625" style="228" bestFit="1" customWidth="1"/>
    <col min="12796" max="12796" width="8.7109375" style="228" customWidth="1"/>
    <col min="12797" max="12797" width="8.140625" style="228" bestFit="1" customWidth="1"/>
    <col min="12798" max="12798" width="9.7109375" style="228" customWidth="1"/>
    <col min="12799" max="12799" width="10.140625" style="228" customWidth="1"/>
    <col min="12800" max="12800" width="7.85546875" style="228" bestFit="1" customWidth="1"/>
    <col min="12801" max="12801" width="5.7109375" style="228" bestFit="1" customWidth="1"/>
    <col min="12802" max="12802" width="2.28515625" style="228" customWidth="1"/>
    <col min="12803" max="12803" width="7.85546875" style="228" bestFit="1" customWidth="1"/>
    <col min="12804" max="12804" width="6.28515625" style="228" bestFit="1" customWidth="1"/>
    <col min="12805" max="12805" width="7" style="228" bestFit="1" customWidth="1"/>
    <col min="12806" max="12806" width="6.5703125" style="228" bestFit="1" customWidth="1"/>
    <col min="12807" max="12814" width="9.140625" style="228"/>
    <col min="12815" max="12815" width="8.5703125" style="228" customWidth="1"/>
    <col min="12816" max="13048" width="9.140625" style="228"/>
    <col min="13049" max="13049" width="30.5703125" style="228" bestFit="1" customWidth="1"/>
    <col min="13050" max="13050" width="10.42578125" style="228" customWidth="1"/>
    <col min="13051" max="13051" width="10.140625" style="228" bestFit="1" customWidth="1"/>
    <col min="13052" max="13052" width="8.7109375" style="228" customWidth="1"/>
    <col min="13053" max="13053" width="8.140625" style="228" bestFit="1" customWidth="1"/>
    <col min="13054" max="13054" width="9.7109375" style="228" customWidth="1"/>
    <col min="13055" max="13055" width="10.140625" style="228" customWidth="1"/>
    <col min="13056" max="13056" width="7.85546875" style="228" bestFit="1" customWidth="1"/>
    <col min="13057" max="13057" width="5.7109375" style="228" bestFit="1" customWidth="1"/>
    <col min="13058" max="13058" width="2.28515625" style="228" customWidth="1"/>
    <col min="13059" max="13059" width="7.85546875" style="228" bestFit="1" customWidth="1"/>
    <col min="13060" max="13060" width="6.28515625" style="228" bestFit="1" customWidth="1"/>
    <col min="13061" max="13061" width="7" style="228" bestFit="1" customWidth="1"/>
    <col min="13062" max="13062" width="6.5703125" style="228" bestFit="1" customWidth="1"/>
    <col min="13063" max="13070" width="9.140625" style="228"/>
    <col min="13071" max="13071" width="8.5703125" style="228" customWidth="1"/>
    <col min="13072" max="13304" width="9.140625" style="228"/>
    <col min="13305" max="13305" width="30.5703125" style="228" bestFit="1" customWidth="1"/>
    <col min="13306" max="13306" width="10.42578125" style="228" customWidth="1"/>
    <col min="13307" max="13307" width="10.140625" style="228" bestFit="1" customWidth="1"/>
    <col min="13308" max="13308" width="8.7109375" style="228" customWidth="1"/>
    <col min="13309" max="13309" width="8.140625" style="228" bestFit="1" customWidth="1"/>
    <col min="13310" max="13310" width="9.7109375" style="228" customWidth="1"/>
    <col min="13311" max="13311" width="10.140625" style="228" customWidth="1"/>
    <col min="13312" max="13312" width="7.85546875" style="228" bestFit="1" customWidth="1"/>
    <col min="13313" max="13313" width="5.7109375" style="228" bestFit="1" customWidth="1"/>
    <col min="13314" max="13314" width="2.28515625" style="228" customWidth="1"/>
    <col min="13315" max="13315" width="7.85546875" style="228" bestFit="1" customWidth="1"/>
    <col min="13316" max="13316" width="6.28515625" style="228" bestFit="1" customWidth="1"/>
    <col min="13317" max="13317" width="7" style="228" bestFit="1" customWidth="1"/>
    <col min="13318" max="13318" width="6.5703125" style="228" bestFit="1" customWidth="1"/>
    <col min="13319" max="13326" width="9.140625" style="228"/>
    <col min="13327" max="13327" width="8.5703125" style="228" customWidth="1"/>
    <col min="13328" max="13560" width="9.140625" style="228"/>
    <col min="13561" max="13561" width="30.5703125" style="228" bestFit="1" customWidth="1"/>
    <col min="13562" max="13562" width="10.42578125" style="228" customWidth="1"/>
    <col min="13563" max="13563" width="10.140625" style="228" bestFit="1" customWidth="1"/>
    <col min="13564" max="13564" width="8.7109375" style="228" customWidth="1"/>
    <col min="13565" max="13565" width="8.140625" style="228" bestFit="1" customWidth="1"/>
    <col min="13566" max="13566" width="9.7109375" style="228" customWidth="1"/>
    <col min="13567" max="13567" width="10.140625" style="228" customWidth="1"/>
    <col min="13568" max="13568" width="7.85546875" style="228" bestFit="1" customWidth="1"/>
    <col min="13569" max="13569" width="5.7109375" style="228" bestFit="1" customWidth="1"/>
    <col min="13570" max="13570" width="2.28515625" style="228" customWidth="1"/>
    <col min="13571" max="13571" width="7.85546875" style="228" bestFit="1" customWidth="1"/>
    <col min="13572" max="13572" width="6.28515625" style="228" bestFit="1" customWidth="1"/>
    <col min="13573" max="13573" width="7" style="228" bestFit="1" customWidth="1"/>
    <col min="13574" max="13574" width="6.5703125" style="228" bestFit="1" customWidth="1"/>
    <col min="13575" max="13582" width="9.140625" style="228"/>
    <col min="13583" max="13583" width="8.5703125" style="228" customWidth="1"/>
    <col min="13584" max="13816" width="9.140625" style="228"/>
    <col min="13817" max="13817" width="30.5703125" style="228" bestFit="1" customWidth="1"/>
    <col min="13818" max="13818" width="10.42578125" style="228" customWidth="1"/>
    <col min="13819" max="13819" width="10.140625" style="228" bestFit="1" customWidth="1"/>
    <col min="13820" max="13820" width="8.7109375" style="228" customWidth="1"/>
    <col min="13821" max="13821" width="8.140625" style="228" bestFit="1" customWidth="1"/>
    <col min="13822" max="13822" width="9.7109375" style="228" customWidth="1"/>
    <col min="13823" max="13823" width="10.140625" style="228" customWidth="1"/>
    <col min="13824" max="13824" width="7.85546875" style="228" bestFit="1" customWidth="1"/>
    <col min="13825" max="13825" width="5.7109375" style="228" bestFit="1" customWidth="1"/>
    <col min="13826" max="13826" width="2.28515625" style="228" customWidth="1"/>
    <col min="13827" max="13827" width="7.85546875" style="228" bestFit="1" customWidth="1"/>
    <col min="13828" max="13828" width="6.28515625" style="228" bestFit="1" customWidth="1"/>
    <col min="13829" max="13829" width="7" style="228" bestFit="1" customWidth="1"/>
    <col min="13830" max="13830" width="6.5703125" style="228" bestFit="1" customWidth="1"/>
    <col min="13831" max="13838" width="9.140625" style="228"/>
    <col min="13839" max="13839" width="8.5703125" style="228" customWidth="1"/>
    <col min="13840" max="14072" width="9.140625" style="228"/>
    <col min="14073" max="14073" width="30.5703125" style="228" bestFit="1" customWidth="1"/>
    <col min="14074" max="14074" width="10.42578125" style="228" customWidth="1"/>
    <col min="14075" max="14075" width="10.140625" style="228" bestFit="1" customWidth="1"/>
    <col min="14076" max="14076" width="8.7109375" style="228" customWidth="1"/>
    <col min="14077" max="14077" width="8.140625" style="228" bestFit="1" customWidth="1"/>
    <col min="14078" max="14078" width="9.7109375" style="228" customWidth="1"/>
    <col min="14079" max="14079" width="10.140625" style="228" customWidth="1"/>
    <col min="14080" max="14080" width="7.85546875" style="228" bestFit="1" customWidth="1"/>
    <col min="14081" max="14081" width="5.7109375" style="228" bestFit="1" customWidth="1"/>
    <col min="14082" max="14082" width="2.28515625" style="228" customWidth="1"/>
    <col min="14083" max="14083" width="7.85546875" style="228" bestFit="1" customWidth="1"/>
    <col min="14084" max="14084" width="6.28515625" style="228" bestFit="1" customWidth="1"/>
    <col min="14085" max="14085" width="7" style="228" bestFit="1" customWidth="1"/>
    <col min="14086" max="14086" width="6.5703125" style="228" bestFit="1" customWidth="1"/>
    <col min="14087" max="14094" width="9.140625" style="228"/>
    <col min="14095" max="14095" width="8.5703125" style="228" customWidth="1"/>
    <col min="14096" max="14328" width="9.140625" style="228"/>
    <col min="14329" max="14329" width="30.5703125" style="228" bestFit="1" customWidth="1"/>
    <col min="14330" max="14330" width="10.42578125" style="228" customWidth="1"/>
    <col min="14331" max="14331" width="10.140625" style="228" bestFit="1" customWidth="1"/>
    <col min="14332" max="14332" width="8.7109375" style="228" customWidth="1"/>
    <col min="14333" max="14333" width="8.140625" style="228" bestFit="1" customWidth="1"/>
    <col min="14334" max="14334" width="9.7109375" style="228" customWidth="1"/>
    <col min="14335" max="14335" width="10.140625" style="228" customWidth="1"/>
    <col min="14336" max="14336" width="7.85546875" style="228" bestFit="1" customWidth="1"/>
    <col min="14337" max="14337" width="5.7109375" style="228" bestFit="1" customWidth="1"/>
    <col min="14338" max="14338" width="2.28515625" style="228" customWidth="1"/>
    <col min="14339" max="14339" width="7.85546875" style="228" bestFit="1" customWidth="1"/>
    <col min="14340" max="14340" width="6.28515625" style="228" bestFit="1" customWidth="1"/>
    <col min="14341" max="14341" width="7" style="228" bestFit="1" customWidth="1"/>
    <col min="14342" max="14342" width="6.5703125" style="228" bestFit="1" customWidth="1"/>
    <col min="14343" max="14350" width="9.140625" style="228"/>
    <col min="14351" max="14351" width="8.5703125" style="228" customWidth="1"/>
    <col min="14352" max="14584" width="9.140625" style="228"/>
    <col min="14585" max="14585" width="30.5703125" style="228" bestFit="1" customWidth="1"/>
    <col min="14586" max="14586" width="10.42578125" style="228" customWidth="1"/>
    <col min="14587" max="14587" width="10.140625" style="228" bestFit="1" customWidth="1"/>
    <col min="14588" max="14588" width="8.7109375" style="228" customWidth="1"/>
    <col min="14589" max="14589" width="8.140625" style="228" bestFit="1" customWidth="1"/>
    <col min="14590" max="14590" width="9.7109375" style="228" customWidth="1"/>
    <col min="14591" max="14591" width="10.140625" style="228" customWidth="1"/>
    <col min="14592" max="14592" width="7.85546875" style="228" bestFit="1" customWidth="1"/>
    <col min="14593" max="14593" width="5.7109375" style="228" bestFit="1" customWidth="1"/>
    <col min="14594" max="14594" width="2.28515625" style="228" customWidth="1"/>
    <col min="14595" max="14595" width="7.85546875" style="228" bestFit="1" customWidth="1"/>
    <col min="14596" max="14596" width="6.28515625" style="228" bestFit="1" customWidth="1"/>
    <col min="14597" max="14597" width="7" style="228" bestFit="1" customWidth="1"/>
    <col min="14598" max="14598" width="6.5703125" style="228" bestFit="1" customWidth="1"/>
    <col min="14599" max="14606" width="9.140625" style="228"/>
    <col min="14607" max="14607" width="8.5703125" style="228" customWidth="1"/>
    <col min="14608" max="14840" width="9.140625" style="228"/>
    <col min="14841" max="14841" width="30.5703125" style="228" bestFit="1" customWidth="1"/>
    <col min="14842" max="14842" width="10.42578125" style="228" customWidth="1"/>
    <col min="14843" max="14843" width="10.140625" style="228" bestFit="1" customWidth="1"/>
    <col min="14844" max="14844" width="8.7109375" style="228" customWidth="1"/>
    <col min="14845" max="14845" width="8.140625" style="228" bestFit="1" customWidth="1"/>
    <col min="14846" max="14846" width="9.7109375" style="228" customWidth="1"/>
    <col min="14847" max="14847" width="10.140625" style="228" customWidth="1"/>
    <col min="14848" max="14848" width="7.85546875" style="228" bestFit="1" customWidth="1"/>
    <col min="14849" max="14849" width="5.7109375" style="228" bestFit="1" customWidth="1"/>
    <col min="14850" max="14850" width="2.28515625" style="228" customWidth="1"/>
    <col min="14851" max="14851" width="7.85546875" style="228" bestFit="1" customWidth="1"/>
    <col min="14852" max="14852" width="6.28515625" style="228" bestFit="1" customWidth="1"/>
    <col min="14853" max="14853" width="7" style="228" bestFit="1" customWidth="1"/>
    <col min="14854" max="14854" width="6.5703125" style="228" bestFit="1" customWidth="1"/>
    <col min="14855" max="14862" width="9.140625" style="228"/>
    <col min="14863" max="14863" width="8.5703125" style="228" customWidth="1"/>
    <col min="14864" max="15096" width="9.140625" style="228"/>
    <col min="15097" max="15097" width="30.5703125" style="228" bestFit="1" customWidth="1"/>
    <col min="15098" max="15098" width="10.42578125" style="228" customWidth="1"/>
    <col min="15099" max="15099" width="10.140625" style="228" bestFit="1" customWidth="1"/>
    <col min="15100" max="15100" width="8.7109375" style="228" customWidth="1"/>
    <col min="15101" max="15101" width="8.140625" style="228" bestFit="1" customWidth="1"/>
    <col min="15102" max="15102" width="9.7109375" style="228" customWidth="1"/>
    <col min="15103" max="15103" width="10.140625" style="228" customWidth="1"/>
    <col min="15104" max="15104" width="7.85546875" style="228" bestFit="1" customWidth="1"/>
    <col min="15105" max="15105" width="5.7109375" style="228" bestFit="1" customWidth="1"/>
    <col min="15106" max="15106" width="2.28515625" style="228" customWidth="1"/>
    <col min="15107" max="15107" width="7.85546875" style="228" bestFit="1" customWidth="1"/>
    <col min="15108" max="15108" width="6.28515625" style="228" bestFit="1" customWidth="1"/>
    <col min="15109" max="15109" width="7" style="228" bestFit="1" customWidth="1"/>
    <col min="15110" max="15110" width="6.5703125" style="228" bestFit="1" customWidth="1"/>
    <col min="15111" max="15118" width="9.140625" style="228"/>
    <col min="15119" max="15119" width="8.5703125" style="228" customWidth="1"/>
    <col min="15120" max="15352" width="9.140625" style="228"/>
    <col min="15353" max="15353" width="30.5703125" style="228" bestFit="1" customWidth="1"/>
    <col min="15354" max="15354" width="10.42578125" style="228" customWidth="1"/>
    <col min="15355" max="15355" width="10.140625" style="228" bestFit="1" customWidth="1"/>
    <col min="15356" max="15356" width="8.7109375" style="228" customWidth="1"/>
    <col min="15357" max="15357" width="8.140625" style="228" bestFit="1" customWidth="1"/>
    <col min="15358" max="15358" width="9.7109375" style="228" customWidth="1"/>
    <col min="15359" max="15359" width="10.140625" style="228" customWidth="1"/>
    <col min="15360" max="15360" width="7.85546875" style="228" bestFit="1" customWidth="1"/>
    <col min="15361" max="15361" width="5.7109375" style="228" bestFit="1" customWidth="1"/>
    <col min="15362" max="15362" width="2.28515625" style="228" customWidth="1"/>
    <col min="15363" max="15363" width="7.85546875" style="228" bestFit="1" customWidth="1"/>
    <col min="15364" max="15364" width="6.28515625" style="228" bestFit="1" customWidth="1"/>
    <col min="15365" max="15365" width="7" style="228" bestFit="1" customWidth="1"/>
    <col min="15366" max="15366" width="6.5703125" style="228" bestFit="1" customWidth="1"/>
    <col min="15367" max="15374" width="9.140625" style="228"/>
    <col min="15375" max="15375" width="8.5703125" style="228" customWidth="1"/>
    <col min="15376" max="15608" width="9.140625" style="228"/>
    <col min="15609" max="15609" width="30.5703125" style="228" bestFit="1" customWidth="1"/>
    <col min="15610" max="15610" width="10.42578125" style="228" customWidth="1"/>
    <col min="15611" max="15611" width="10.140625" style="228" bestFit="1" customWidth="1"/>
    <col min="15612" max="15612" width="8.7109375" style="228" customWidth="1"/>
    <col min="15613" max="15613" width="8.140625" style="228" bestFit="1" customWidth="1"/>
    <col min="15614" max="15614" width="9.7109375" style="228" customWidth="1"/>
    <col min="15615" max="15615" width="10.140625" style="228" customWidth="1"/>
    <col min="15616" max="15616" width="7.85546875" style="228" bestFit="1" customWidth="1"/>
    <col min="15617" max="15617" width="5.7109375" style="228" bestFit="1" customWidth="1"/>
    <col min="15618" max="15618" width="2.28515625" style="228" customWidth="1"/>
    <col min="15619" max="15619" width="7.85546875" style="228" bestFit="1" customWidth="1"/>
    <col min="15620" max="15620" width="6.28515625" style="228" bestFit="1" customWidth="1"/>
    <col min="15621" max="15621" width="7" style="228" bestFit="1" customWidth="1"/>
    <col min="15622" max="15622" width="6.5703125" style="228" bestFit="1" customWidth="1"/>
    <col min="15623" max="15630" width="9.140625" style="228"/>
    <col min="15631" max="15631" width="8.5703125" style="228" customWidth="1"/>
    <col min="15632" max="15864" width="9.140625" style="228"/>
    <col min="15865" max="15865" width="30.5703125" style="228" bestFit="1" customWidth="1"/>
    <col min="15866" max="15866" width="10.42578125" style="228" customWidth="1"/>
    <col min="15867" max="15867" width="10.140625" style="228" bestFit="1" customWidth="1"/>
    <col min="15868" max="15868" width="8.7109375" style="228" customWidth="1"/>
    <col min="15869" max="15869" width="8.140625" style="228" bestFit="1" customWidth="1"/>
    <col min="15870" max="15870" width="9.7109375" style="228" customWidth="1"/>
    <col min="15871" max="15871" width="10.140625" style="228" customWidth="1"/>
    <col min="15872" max="15872" width="7.85546875" style="228" bestFit="1" customWidth="1"/>
    <col min="15873" max="15873" width="5.7109375" style="228" bestFit="1" customWidth="1"/>
    <col min="15874" max="15874" width="2.28515625" style="228" customWidth="1"/>
    <col min="15875" max="15875" width="7.85546875" style="228" bestFit="1" customWidth="1"/>
    <col min="15876" max="15876" width="6.28515625" style="228" bestFit="1" customWidth="1"/>
    <col min="15877" max="15877" width="7" style="228" bestFit="1" customWidth="1"/>
    <col min="15878" max="15878" width="6.5703125" style="228" bestFit="1" customWidth="1"/>
    <col min="15879" max="15886" width="9.140625" style="228"/>
    <col min="15887" max="15887" width="8.5703125" style="228" customWidth="1"/>
    <col min="15888" max="16120" width="9.140625" style="228"/>
    <col min="16121" max="16121" width="30.5703125" style="228" bestFit="1" customWidth="1"/>
    <col min="16122" max="16122" width="10.42578125" style="228" customWidth="1"/>
    <col min="16123" max="16123" width="10.140625" style="228" bestFit="1" customWidth="1"/>
    <col min="16124" max="16124" width="8.7109375" style="228" customWidth="1"/>
    <col min="16125" max="16125" width="8.140625" style="228" bestFit="1" customWidth="1"/>
    <col min="16126" max="16126" width="9.7109375" style="228" customWidth="1"/>
    <col min="16127" max="16127" width="10.140625" style="228" customWidth="1"/>
    <col min="16128" max="16128" width="7.85546875" style="228" bestFit="1" customWidth="1"/>
    <col min="16129" max="16129" width="5.7109375" style="228" bestFit="1" customWidth="1"/>
    <col min="16130" max="16130" width="2.28515625" style="228" customWidth="1"/>
    <col min="16131" max="16131" width="7.85546875" style="228" bestFit="1" customWidth="1"/>
    <col min="16132" max="16132" width="6.28515625" style="228" bestFit="1" customWidth="1"/>
    <col min="16133" max="16133" width="7" style="228" bestFit="1" customWidth="1"/>
    <col min="16134" max="16134" width="6.5703125" style="228" bestFit="1" customWidth="1"/>
    <col min="16135" max="16142" width="9.140625" style="228"/>
    <col min="16143" max="16143" width="8.5703125" style="228" customWidth="1"/>
    <col min="16144" max="16384" width="9.140625" style="228"/>
  </cols>
  <sheetData>
    <row r="1" spans="1:15" s="1541" customFormat="1">
      <c r="A1" s="1588" t="s">
        <v>443</v>
      </c>
      <c r="B1" s="1589"/>
      <c r="C1" s="1589"/>
      <c r="D1" s="1589"/>
      <c r="E1" s="1589"/>
      <c r="F1" s="1537"/>
      <c r="G1" s="1538"/>
      <c r="H1" s="1539"/>
      <c r="I1" s="1540"/>
      <c r="O1" s="1542"/>
    </row>
    <row r="2" spans="1:15" s="1541" customFormat="1">
      <c r="A2" s="1590" t="s">
        <v>444</v>
      </c>
      <c r="B2" s="1591"/>
      <c r="C2" s="1589"/>
      <c r="D2" s="1589"/>
      <c r="E2" s="1589"/>
      <c r="F2" s="1537"/>
      <c r="G2" s="1538"/>
      <c r="H2" s="1539"/>
      <c r="I2" s="1540"/>
      <c r="O2" s="1542"/>
    </row>
    <row r="3" spans="1:15" s="1541" customFormat="1">
      <c r="A3" s="1588" t="s">
        <v>736</v>
      </c>
      <c r="B3" s="1591"/>
      <c r="C3" s="1589"/>
      <c r="D3" s="1589"/>
      <c r="E3" s="1589"/>
      <c r="F3" s="1537"/>
      <c r="G3" s="1538"/>
      <c r="H3" s="1539"/>
      <c r="I3" s="1540"/>
      <c r="K3" s="1543"/>
      <c r="L3" s="1544"/>
      <c r="M3" s="1544"/>
      <c r="O3" s="1542"/>
    </row>
    <row r="4" spans="1:15" s="1541" customFormat="1" ht="11.25" customHeight="1">
      <c r="A4" s="1590"/>
      <c r="B4" s="1592"/>
      <c r="C4" s="1593"/>
      <c r="D4" s="1593"/>
      <c r="E4" s="1594"/>
      <c r="F4" s="1546"/>
      <c r="G4" s="1547"/>
      <c r="I4" s="1539"/>
    </row>
    <row r="5" spans="1:15" s="1541" customFormat="1" ht="31.5">
      <c r="A5" s="1595"/>
      <c r="B5" s="1668" t="s">
        <v>2114</v>
      </c>
      <c r="C5" s="1596" t="s">
        <v>445</v>
      </c>
      <c r="D5" s="1592" t="s">
        <v>328</v>
      </c>
      <c r="E5" s="1670" t="s">
        <v>584</v>
      </c>
      <c r="F5" s="1546"/>
      <c r="G5" s="1547"/>
      <c r="H5" s="1544"/>
      <c r="I5" s="1548"/>
      <c r="J5" s="1672"/>
      <c r="K5" s="1672"/>
      <c r="L5" s="1672"/>
      <c r="M5" s="1672"/>
      <c r="N5" s="1548"/>
    </row>
    <row r="6" spans="1:15" s="1541" customFormat="1">
      <c r="A6" s="1595"/>
      <c r="B6" s="1669"/>
      <c r="C6" s="1597">
        <f>'Whitman Reg - Price Out'!I5</f>
        <v>0.14180179125211698</v>
      </c>
      <c r="D6" s="1597">
        <f>'LG - Recycle'!J7</f>
        <v>0</v>
      </c>
      <c r="E6" s="1671"/>
      <c r="F6" s="1546"/>
      <c r="G6" s="1549" t="s">
        <v>321</v>
      </c>
      <c r="H6" s="1550"/>
      <c r="I6" s="1548"/>
      <c r="J6" s="1539"/>
      <c r="K6" s="1551"/>
      <c r="L6" s="1539"/>
      <c r="M6" s="1548"/>
      <c r="N6" s="1548"/>
    </row>
    <row r="7" spans="1:15" s="1541" customFormat="1">
      <c r="A7" s="1598" t="s">
        <v>446</v>
      </c>
      <c r="B7" s="1592"/>
      <c r="C7" s="1599"/>
      <c r="D7" s="1599"/>
      <c r="E7" s="1594"/>
      <c r="F7" s="1546"/>
      <c r="G7" s="1552"/>
      <c r="H7" s="1553"/>
      <c r="I7" s="1548"/>
      <c r="J7" s="1548"/>
      <c r="K7" s="1554"/>
      <c r="L7" s="1555"/>
      <c r="M7" s="1548"/>
      <c r="N7" s="1548"/>
    </row>
    <row r="8" spans="1:15" s="1541" customFormat="1">
      <c r="A8" s="1590" t="s">
        <v>447</v>
      </c>
      <c r="B8" s="1600"/>
      <c r="C8" s="1600"/>
      <c r="D8" s="1600"/>
      <c r="E8" s="1600"/>
      <c r="F8" s="1556"/>
      <c r="G8" s="1557"/>
      <c r="H8" s="1553"/>
      <c r="I8" s="1494"/>
      <c r="J8" s="1548"/>
      <c r="K8" s="1554"/>
      <c r="L8" s="1555"/>
      <c r="M8" s="1494"/>
      <c r="N8" s="1494"/>
    </row>
    <row r="9" spans="1:15" s="1541" customFormat="1">
      <c r="A9" s="1595" t="s">
        <v>448</v>
      </c>
      <c r="B9" s="1600">
        <v>19.010000000000002</v>
      </c>
      <c r="C9" s="1600">
        <f>ROUND(B9*$C$6,2)</f>
        <v>2.7</v>
      </c>
      <c r="D9" s="1600"/>
      <c r="E9" s="1600">
        <f>B9+C9</f>
        <v>21.71</v>
      </c>
      <c r="F9" s="1556"/>
      <c r="G9" s="1557">
        <f>(B9*C6)-C9</f>
        <v>-4.3479482972563765E-3</v>
      </c>
      <c r="H9" s="1553"/>
      <c r="I9" s="1494"/>
      <c r="J9" s="1494"/>
      <c r="K9" s="1494"/>
      <c r="L9" s="1558"/>
      <c r="M9" s="1494"/>
      <c r="N9" s="1494"/>
    </row>
    <row r="10" spans="1:15" s="1541" customFormat="1" ht="12" customHeight="1">
      <c r="A10" s="1595"/>
      <c r="B10" s="1600"/>
      <c r="C10" s="1600"/>
      <c r="D10" s="1600"/>
      <c r="E10" s="1600"/>
      <c r="F10" s="1556"/>
      <c r="G10" s="1557"/>
      <c r="H10" s="1553"/>
      <c r="I10" s="1494"/>
      <c r="J10" s="1494"/>
      <c r="K10" s="1494"/>
      <c r="L10" s="1494"/>
      <c r="M10" s="1494"/>
      <c r="N10" s="1494"/>
    </row>
    <row r="11" spans="1:15" s="1541" customFormat="1">
      <c r="A11" s="1598" t="s">
        <v>446</v>
      </c>
      <c r="B11" s="1600"/>
      <c r="C11" s="1600"/>
      <c r="D11" s="1600"/>
      <c r="E11" s="1600"/>
      <c r="F11" s="1556"/>
      <c r="G11" s="1557"/>
      <c r="H11" s="1553"/>
      <c r="I11" s="1494"/>
      <c r="J11" s="1494"/>
      <c r="K11" s="1550"/>
      <c r="L11" s="1555"/>
      <c r="M11" s="1494"/>
      <c r="N11" s="1494"/>
    </row>
    <row r="12" spans="1:15" s="1541" customFormat="1">
      <c r="A12" s="1590" t="s">
        <v>450</v>
      </c>
      <c r="B12" s="1600"/>
      <c r="C12" s="1600"/>
      <c r="D12" s="1600"/>
      <c r="E12" s="1600"/>
      <c r="F12" s="1556"/>
      <c r="G12" s="1557"/>
      <c r="H12" s="1553"/>
      <c r="I12" s="1494"/>
      <c r="J12" s="1494"/>
      <c r="K12" s="1494"/>
      <c r="L12" s="1558"/>
      <c r="M12" s="1494"/>
      <c r="N12" s="1494"/>
    </row>
    <row r="13" spans="1:15" s="1541" customFormat="1">
      <c r="A13" s="1595" t="s">
        <v>451</v>
      </c>
      <c r="B13" s="1600">
        <v>13.83</v>
      </c>
      <c r="C13" s="1600">
        <f>ROUND(B13*$C$6,2)</f>
        <v>1.96</v>
      </c>
      <c r="D13" s="1600"/>
      <c r="E13" s="1600">
        <f>B13+C13</f>
        <v>15.79</v>
      </c>
      <c r="F13" s="1556"/>
      <c r="G13" s="1557">
        <f>(B13*$C$6)-C13</f>
        <v>1.1187730167778742E-3</v>
      </c>
      <c r="H13" s="1553"/>
      <c r="I13" s="1539"/>
      <c r="J13" s="1539"/>
      <c r="K13" s="1539"/>
      <c r="L13" s="1559"/>
      <c r="M13" s="1539"/>
      <c r="N13" s="1539"/>
    </row>
    <row r="14" spans="1:15" s="1541" customFormat="1">
      <c r="A14" s="1595"/>
      <c r="B14" s="1600"/>
      <c r="C14" s="1600"/>
      <c r="D14" s="1600"/>
      <c r="E14" s="1600"/>
      <c r="F14" s="1556"/>
      <c r="G14" s="1557"/>
      <c r="H14" s="1553"/>
      <c r="I14" s="1560"/>
      <c r="J14" s="1539"/>
      <c r="K14" s="1551"/>
      <c r="L14" s="1539"/>
      <c r="M14" s="1539"/>
      <c r="N14" s="1539"/>
    </row>
    <row r="15" spans="1:15" s="1541" customFormat="1">
      <c r="A15" s="1598" t="s">
        <v>446</v>
      </c>
      <c r="B15" s="1600"/>
      <c r="C15" s="1600"/>
      <c r="D15" s="1600"/>
      <c r="E15" s="1600"/>
      <c r="F15" s="1556"/>
      <c r="G15" s="1557"/>
      <c r="H15" s="1544"/>
      <c r="I15" s="1539"/>
      <c r="J15" s="1539"/>
      <c r="K15" s="1554"/>
      <c r="L15" s="1555"/>
      <c r="M15" s="1539"/>
      <c r="N15" s="1539"/>
    </row>
    <row r="16" spans="1:15" s="1541" customFormat="1">
      <c r="A16" s="1590" t="s">
        <v>452</v>
      </c>
      <c r="B16" s="1600"/>
      <c r="C16" s="1600"/>
      <c r="D16" s="1600"/>
      <c r="E16" s="1600"/>
      <c r="F16" s="1556"/>
      <c r="G16" s="1557"/>
      <c r="H16" s="1550"/>
      <c r="I16" s="1539"/>
      <c r="J16" s="1539"/>
      <c r="K16" s="1554"/>
      <c r="L16" s="1555"/>
      <c r="M16" s="1539"/>
      <c r="N16" s="1539"/>
    </row>
    <row r="17" spans="1:248" s="1541" customFormat="1">
      <c r="A17" s="1595" t="s">
        <v>585</v>
      </c>
      <c r="B17" s="1600">
        <v>56.46</v>
      </c>
      <c r="C17" s="1600">
        <f t="shared" ref="C17:C18" si="0">ROUND(B17*$C$6,2)</f>
        <v>8.01</v>
      </c>
      <c r="D17" s="1600"/>
      <c r="E17" s="1600">
        <f>B17+C17</f>
        <v>64.47</v>
      </c>
      <c r="F17" s="1556"/>
      <c r="G17" s="1557">
        <f>(B17*$C$6)-C17</f>
        <v>-3.8708659054744743E-3</v>
      </c>
      <c r="H17" s="1553"/>
      <c r="I17" s="1561"/>
      <c r="J17" s="1539"/>
      <c r="K17" s="1494"/>
      <c r="L17" s="1558"/>
      <c r="M17" s="1539"/>
      <c r="N17" s="1539"/>
    </row>
    <row r="18" spans="1:248" s="1541" customFormat="1">
      <c r="A18" s="1595" t="s">
        <v>586</v>
      </c>
      <c r="B18" s="1600">
        <v>23.04</v>
      </c>
      <c r="C18" s="1600">
        <f t="shared" si="0"/>
        <v>3.27</v>
      </c>
      <c r="D18" s="1600"/>
      <c r="E18" s="1600">
        <f>B18+C18</f>
        <v>26.31</v>
      </c>
      <c r="F18" s="1556"/>
      <c r="G18" s="1557">
        <f>(B18*$C$6)-C18</f>
        <v>-2.8867295512249314E-3</v>
      </c>
      <c r="H18" s="1553"/>
      <c r="I18" s="1548"/>
      <c r="J18" s="1548"/>
      <c r="K18" s="1494"/>
      <c r="L18" s="1494"/>
      <c r="M18" s="1548"/>
      <c r="N18" s="1548"/>
    </row>
    <row r="19" spans="1:248" s="1541" customFormat="1">
      <c r="A19" s="1595"/>
      <c r="B19" s="1600"/>
      <c r="C19" s="1600"/>
      <c r="D19" s="1600"/>
      <c r="E19" s="1600"/>
      <c r="F19" s="1556"/>
      <c r="G19" s="1557"/>
      <c r="H19" s="1553"/>
      <c r="I19" s="1561"/>
      <c r="J19" s="1539"/>
      <c r="K19" s="1550"/>
      <c r="L19" s="1555"/>
      <c r="M19" s="1539"/>
      <c r="N19" s="1539"/>
    </row>
    <row r="20" spans="1:248" s="1541" customFormat="1">
      <c r="A20" s="1601" t="s">
        <v>453</v>
      </c>
      <c r="B20" s="1600"/>
      <c r="C20" s="1600"/>
      <c r="D20" s="1600"/>
      <c r="E20" s="1600"/>
      <c r="F20" s="1556"/>
      <c r="G20" s="1557"/>
      <c r="H20" s="1553"/>
      <c r="I20" s="1561"/>
      <c r="J20" s="1539"/>
      <c r="K20" s="1494"/>
      <c r="L20" s="1558"/>
      <c r="M20" s="1539"/>
      <c r="N20" s="1539"/>
    </row>
    <row r="21" spans="1:248" s="1541" customFormat="1">
      <c r="A21" s="1590" t="s">
        <v>454</v>
      </c>
      <c r="B21" s="1600"/>
      <c r="C21" s="1600"/>
      <c r="D21" s="1600"/>
      <c r="E21" s="1600"/>
      <c r="F21" s="1556"/>
      <c r="G21" s="1562"/>
      <c r="H21" s="1553"/>
      <c r="I21" s="1561"/>
      <c r="J21" s="1539"/>
      <c r="K21" s="1560"/>
      <c r="L21" s="1539"/>
      <c r="M21" s="1539"/>
      <c r="N21" s="1539"/>
    </row>
    <row r="22" spans="1:248" s="1541" customFormat="1">
      <c r="A22" s="1595" t="s">
        <v>455</v>
      </c>
      <c r="B22" s="1600">
        <v>4.16</v>
      </c>
      <c r="C22" s="1600">
        <f>ROUND(B22*$C$6,2)</f>
        <v>0.59</v>
      </c>
      <c r="D22" s="1600"/>
      <c r="E22" s="1600">
        <f>B22+C22</f>
        <v>4.75</v>
      </c>
      <c r="F22" s="1556"/>
      <c r="G22" s="1557">
        <f>(B22*$C$6)-C22</f>
        <v>-1.0454839119333759E-4</v>
      </c>
      <c r="H22" s="1553"/>
      <c r="I22" s="1561"/>
      <c r="J22" s="1539"/>
      <c r="K22" s="1560"/>
      <c r="L22" s="1539"/>
      <c r="M22" s="1539"/>
      <c r="N22" s="1539"/>
    </row>
    <row r="23" spans="1:248" s="1541" customFormat="1">
      <c r="A23" s="1595"/>
      <c r="B23" s="1600"/>
      <c r="C23" s="1600"/>
      <c r="D23" s="1600"/>
      <c r="E23" s="1600"/>
      <c r="F23" s="1556"/>
      <c r="G23" s="1562"/>
      <c r="H23" s="1553"/>
      <c r="I23" s="1563"/>
      <c r="K23" s="1564"/>
    </row>
    <row r="24" spans="1:248" s="1541" customFormat="1">
      <c r="A24" s="1590" t="s">
        <v>456</v>
      </c>
      <c r="B24" s="1600"/>
      <c r="C24" s="1600"/>
      <c r="D24" s="1600"/>
      <c r="E24" s="1600"/>
      <c r="F24" s="1556"/>
      <c r="G24" s="1562"/>
      <c r="H24" s="1553"/>
      <c r="I24" s="1563"/>
      <c r="K24" s="1564"/>
    </row>
    <row r="25" spans="1:248" s="1541" customFormat="1">
      <c r="A25" s="1595" t="s">
        <v>457</v>
      </c>
      <c r="B25" s="1600">
        <v>69.13</v>
      </c>
      <c r="C25" s="1600">
        <f t="shared" ref="C25:C26" si="1">ROUND(B25*$C$6,2)</f>
        <v>9.8000000000000007</v>
      </c>
      <c r="D25" s="1600"/>
      <c r="E25" s="1600">
        <f>B25+C25</f>
        <v>78.929999999999993</v>
      </c>
      <c r="F25" s="1556"/>
      <c r="G25" s="1557">
        <f>(B25*$C$6)-C25</f>
        <v>2.75782925884549E-3</v>
      </c>
    </row>
    <row r="26" spans="1:248" s="1541" customFormat="1">
      <c r="A26" s="1595" t="s">
        <v>458</v>
      </c>
      <c r="B26" s="1600">
        <v>69.13</v>
      </c>
      <c r="C26" s="1600">
        <f t="shared" si="1"/>
        <v>9.8000000000000007</v>
      </c>
      <c r="D26" s="1600"/>
      <c r="E26" s="1600">
        <f>B26+C26</f>
        <v>78.929999999999993</v>
      </c>
      <c r="F26" s="1556"/>
      <c r="G26" s="1557">
        <f>(B26*$C$6)-C26</f>
        <v>2.75782925884549E-3</v>
      </c>
    </row>
    <row r="27" spans="1:248" s="1541" customFormat="1">
      <c r="A27" s="1595"/>
      <c r="B27" s="1600"/>
      <c r="C27" s="1600"/>
      <c r="D27" s="1600"/>
      <c r="E27" s="1600"/>
      <c r="F27" s="1556"/>
      <c r="G27" s="1562"/>
      <c r="H27" s="1565"/>
      <c r="I27" s="1565"/>
      <c r="J27" s="1565"/>
      <c r="K27" s="1565"/>
      <c r="L27" s="1565"/>
    </row>
    <row r="28" spans="1:248" s="1541" customFormat="1">
      <c r="A28" s="1602" t="s">
        <v>459</v>
      </c>
      <c r="B28" s="1600"/>
      <c r="C28" s="1600"/>
      <c r="D28" s="1600"/>
      <c r="E28" s="1600"/>
      <c r="F28" s="1556"/>
      <c r="G28" s="1566"/>
      <c r="H28" s="1553"/>
      <c r="I28" s="1544"/>
      <c r="J28" s="1567"/>
      <c r="K28" s="1556"/>
      <c r="L28" s="1556"/>
      <c r="M28" s="1556"/>
      <c r="N28" s="1556"/>
      <c r="O28" s="1568"/>
      <c r="P28" s="1553"/>
      <c r="Q28" s="1544"/>
      <c r="R28" s="1567"/>
      <c r="S28" s="1556"/>
      <c r="T28" s="1556"/>
      <c r="U28" s="1556"/>
      <c r="V28" s="1556"/>
      <c r="W28" s="1568"/>
      <c r="X28" s="1553"/>
      <c r="Y28" s="1544"/>
      <c r="Z28" s="1567"/>
      <c r="AA28" s="1556"/>
      <c r="AB28" s="1556"/>
      <c r="AC28" s="1556"/>
      <c r="AD28" s="1556"/>
      <c r="AE28" s="1568"/>
      <c r="AF28" s="1553"/>
      <c r="AG28" s="1544"/>
      <c r="AH28" s="1567"/>
      <c r="AI28" s="1556"/>
      <c r="AJ28" s="1556"/>
      <c r="AK28" s="1556"/>
      <c r="AL28" s="1556"/>
      <c r="AM28" s="1568"/>
      <c r="AN28" s="1553"/>
      <c r="AO28" s="1544"/>
      <c r="AP28" s="1567"/>
      <c r="AQ28" s="1556"/>
      <c r="AR28" s="1556"/>
      <c r="AS28" s="1556"/>
      <c r="AT28" s="1556"/>
      <c r="AU28" s="1568"/>
      <c r="AV28" s="1553"/>
      <c r="AW28" s="1544"/>
      <c r="AX28" s="1567"/>
      <c r="AY28" s="1556"/>
      <c r="AZ28" s="1556"/>
      <c r="BA28" s="1556"/>
      <c r="BB28" s="1556"/>
      <c r="BC28" s="1568"/>
      <c r="BD28" s="1553"/>
      <c r="BE28" s="1544"/>
      <c r="BF28" s="1567"/>
      <c r="BG28" s="1556"/>
      <c r="BH28" s="1556"/>
      <c r="BI28" s="1556"/>
      <c r="BJ28" s="1556"/>
      <c r="BK28" s="1568"/>
      <c r="BL28" s="1553"/>
      <c r="BM28" s="1544"/>
      <c r="BN28" s="1567"/>
      <c r="BO28" s="1556"/>
      <c r="BP28" s="1556"/>
      <c r="BQ28" s="1556"/>
      <c r="BR28" s="1556"/>
      <c r="BS28" s="1568"/>
      <c r="BT28" s="1553"/>
      <c r="BU28" s="1544"/>
      <c r="BV28" s="1567"/>
      <c r="BW28" s="1556"/>
      <c r="BX28" s="1556"/>
      <c r="BY28" s="1556"/>
      <c r="BZ28" s="1556"/>
      <c r="CA28" s="1568"/>
      <c r="CB28" s="1553"/>
      <c r="CC28" s="1544"/>
      <c r="CD28" s="1567"/>
      <c r="CE28" s="1556"/>
      <c r="CF28" s="1556"/>
      <c r="CG28" s="1556"/>
      <c r="CH28" s="1556"/>
      <c r="CI28" s="1568"/>
      <c r="CJ28" s="1553"/>
      <c r="CK28" s="1544"/>
      <c r="CL28" s="1567"/>
      <c r="CM28" s="1556"/>
      <c r="CN28" s="1556"/>
      <c r="CO28" s="1556"/>
      <c r="CP28" s="1556"/>
      <c r="CQ28" s="1568"/>
      <c r="CR28" s="1553"/>
      <c r="CS28" s="1544"/>
      <c r="CT28" s="1567"/>
      <c r="CU28" s="1556"/>
      <c r="CV28" s="1556"/>
      <c r="CW28" s="1556"/>
      <c r="CX28" s="1556"/>
      <c r="CY28" s="1568"/>
      <c r="CZ28" s="1553"/>
      <c r="DA28" s="1544"/>
      <c r="DB28" s="1567"/>
      <c r="DC28" s="1556"/>
      <c r="DD28" s="1556"/>
      <c r="DE28" s="1556"/>
      <c r="DF28" s="1556"/>
      <c r="DG28" s="1568"/>
      <c r="DH28" s="1553"/>
      <c r="DI28" s="1544"/>
      <c r="DJ28" s="1567"/>
      <c r="DK28" s="1556"/>
      <c r="DL28" s="1556"/>
      <c r="DM28" s="1556"/>
      <c r="DN28" s="1556"/>
      <c r="DO28" s="1568"/>
      <c r="DP28" s="1553"/>
      <c r="DQ28" s="1544"/>
      <c r="DR28" s="1567"/>
      <c r="DS28" s="1556"/>
      <c r="DT28" s="1556"/>
      <c r="DU28" s="1556"/>
      <c r="DV28" s="1556"/>
      <c r="DW28" s="1568"/>
      <c r="DX28" s="1553"/>
      <c r="DY28" s="1544"/>
      <c r="DZ28" s="1567"/>
      <c r="EA28" s="1556"/>
      <c r="EB28" s="1556"/>
      <c r="EC28" s="1556"/>
      <c r="ED28" s="1556"/>
      <c r="EE28" s="1568"/>
      <c r="EF28" s="1553"/>
      <c r="EG28" s="1544"/>
      <c r="EH28" s="1567"/>
      <c r="EI28" s="1556"/>
      <c r="EJ28" s="1556"/>
      <c r="EK28" s="1556"/>
      <c r="EL28" s="1556"/>
      <c r="EM28" s="1568"/>
      <c r="EN28" s="1553"/>
      <c r="EO28" s="1544"/>
      <c r="EP28" s="1567"/>
      <c r="EQ28" s="1556"/>
      <c r="ER28" s="1556"/>
      <c r="ES28" s="1556"/>
      <c r="ET28" s="1556"/>
      <c r="EU28" s="1568"/>
      <c r="EV28" s="1553"/>
      <c r="EW28" s="1544"/>
      <c r="EX28" s="1567"/>
      <c r="EY28" s="1556"/>
      <c r="EZ28" s="1556"/>
      <c r="FA28" s="1556"/>
      <c r="FB28" s="1556"/>
      <c r="FC28" s="1568"/>
      <c r="FD28" s="1553"/>
      <c r="FE28" s="1544"/>
      <c r="FF28" s="1567"/>
      <c r="FG28" s="1556"/>
      <c r="FH28" s="1556"/>
      <c r="FI28" s="1556"/>
      <c r="FJ28" s="1556"/>
      <c r="FK28" s="1568"/>
      <c r="FL28" s="1553"/>
      <c r="FM28" s="1544"/>
      <c r="FN28" s="1567"/>
      <c r="FO28" s="1556"/>
      <c r="FP28" s="1556"/>
      <c r="FQ28" s="1556"/>
      <c r="FR28" s="1556"/>
      <c r="FS28" s="1568"/>
      <c r="FT28" s="1553"/>
      <c r="FU28" s="1544"/>
      <c r="FV28" s="1567"/>
      <c r="FW28" s="1556"/>
      <c r="FX28" s="1556"/>
      <c r="FY28" s="1556"/>
      <c r="FZ28" s="1556"/>
      <c r="GA28" s="1568"/>
      <c r="GB28" s="1553"/>
      <c r="GC28" s="1544"/>
      <c r="GD28" s="1567"/>
      <c r="GE28" s="1556"/>
      <c r="GF28" s="1556"/>
      <c r="GG28" s="1556"/>
      <c r="GH28" s="1556"/>
      <c r="GI28" s="1568"/>
      <c r="GJ28" s="1553"/>
      <c r="GK28" s="1544"/>
      <c r="GL28" s="1567"/>
      <c r="GM28" s="1556"/>
      <c r="GN28" s="1556"/>
      <c r="GO28" s="1556"/>
      <c r="GP28" s="1556"/>
      <c r="GQ28" s="1568"/>
      <c r="GR28" s="1553"/>
      <c r="GS28" s="1544"/>
      <c r="GT28" s="1567"/>
      <c r="GU28" s="1556"/>
      <c r="GV28" s="1556"/>
      <c r="GW28" s="1556"/>
      <c r="GX28" s="1556"/>
      <c r="GY28" s="1568"/>
      <c r="GZ28" s="1553"/>
      <c r="HA28" s="1544"/>
      <c r="HB28" s="1567"/>
      <c r="HC28" s="1556"/>
      <c r="HD28" s="1556"/>
      <c r="HE28" s="1556"/>
      <c r="HF28" s="1556"/>
      <c r="HG28" s="1568"/>
      <c r="HH28" s="1553"/>
      <c r="HI28" s="1544"/>
      <c r="HJ28" s="1567"/>
      <c r="HK28" s="1556"/>
      <c r="HL28" s="1556"/>
      <c r="HM28" s="1556"/>
      <c r="HN28" s="1556"/>
      <c r="HO28" s="1568"/>
      <c r="HP28" s="1553"/>
      <c r="HQ28" s="1544"/>
      <c r="HR28" s="1567"/>
      <c r="HS28" s="1556"/>
      <c r="HT28" s="1556"/>
      <c r="HU28" s="1556"/>
      <c r="HV28" s="1556"/>
      <c r="HW28" s="1568"/>
      <c r="HX28" s="1553"/>
      <c r="HY28" s="1544"/>
      <c r="HZ28" s="1567"/>
      <c r="IA28" s="1556"/>
      <c r="IB28" s="1556"/>
      <c r="IC28" s="1556"/>
      <c r="ID28" s="1556"/>
      <c r="IE28" s="1568"/>
      <c r="IF28" s="1553"/>
      <c r="IG28" s="1544"/>
      <c r="IH28" s="1567"/>
      <c r="II28" s="1556"/>
      <c r="IJ28" s="1556"/>
      <c r="IK28" s="1556"/>
      <c r="IL28" s="1556"/>
      <c r="IM28" s="1568"/>
      <c r="IN28" s="1553"/>
    </row>
    <row r="29" spans="1:248" s="1541" customFormat="1">
      <c r="A29" s="1590" t="s">
        <v>460</v>
      </c>
      <c r="B29" s="1600"/>
      <c r="C29" s="1600"/>
      <c r="D29" s="1600"/>
      <c r="E29" s="1600"/>
      <c r="F29" s="1556"/>
      <c r="G29" s="1566"/>
      <c r="H29" s="1553"/>
      <c r="I29" s="1569"/>
      <c r="J29" s="1546"/>
      <c r="K29" s="1545"/>
      <c r="L29" s="1545"/>
      <c r="M29" s="1570"/>
      <c r="N29" s="1556"/>
      <c r="O29" s="1564"/>
      <c r="P29" s="1553"/>
      <c r="Q29" s="1544"/>
      <c r="R29" s="1571"/>
      <c r="S29" s="1556"/>
      <c r="T29" s="1556"/>
      <c r="U29" s="1556"/>
      <c r="V29" s="1556"/>
      <c r="W29" s="1564"/>
      <c r="X29" s="1553"/>
      <c r="Y29" s="1544"/>
      <c r="Z29" s="1571"/>
      <c r="AA29" s="1556"/>
      <c r="AB29" s="1556"/>
      <c r="AC29" s="1556"/>
      <c r="AD29" s="1556"/>
      <c r="AE29" s="1564"/>
      <c r="AF29" s="1553"/>
      <c r="AG29" s="1544"/>
      <c r="AH29" s="1571"/>
      <c r="AI29" s="1556"/>
      <c r="AJ29" s="1556"/>
      <c r="AK29" s="1556"/>
      <c r="AL29" s="1556"/>
      <c r="AM29" s="1564"/>
      <c r="AN29" s="1553"/>
      <c r="AO29" s="1544"/>
      <c r="AP29" s="1571"/>
      <c r="AQ29" s="1556"/>
      <c r="AR29" s="1556"/>
      <c r="AS29" s="1556"/>
      <c r="AT29" s="1556"/>
      <c r="AU29" s="1564"/>
      <c r="AV29" s="1553"/>
      <c r="AW29" s="1544"/>
      <c r="AX29" s="1571"/>
      <c r="AY29" s="1556"/>
      <c r="AZ29" s="1556"/>
      <c r="BA29" s="1556"/>
      <c r="BB29" s="1556"/>
      <c r="BC29" s="1564"/>
      <c r="BD29" s="1553"/>
      <c r="BE29" s="1544"/>
      <c r="BF29" s="1571"/>
      <c r="BG29" s="1556"/>
      <c r="BH29" s="1556"/>
      <c r="BI29" s="1556"/>
      <c r="BJ29" s="1556"/>
      <c r="BK29" s="1564"/>
      <c r="BL29" s="1553"/>
      <c r="BM29" s="1544"/>
      <c r="BN29" s="1571"/>
      <c r="BO29" s="1556"/>
      <c r="BP29" s="1556"/>
      <c r="BQ29" s="1556"/>
      <c r="BR29" s="1556"/>
      <c r="BS29" s="1564"/>
      <c r="BT29" s="1553"/>
      <c r="BU29" s="1544"/>
      <c r="BV29" s="1571"/>
      <c r="BW29" s="1556"/>
      <c r="BX29" s="1556"/>
      <c r="BY29" s="1556"/>
      <c r="BZ29" s="1556"/>
      <c r="CA29" s="1564"/>
      <c r="CB29" s="1553"/>
      <c r="CC29" s="1544"/>
      <c r="CD29" s="1571"/>
      <c r="CE29" s="1556"/>
      <c r="CF29" s="1556"/>
      <c r="CG29" s="1556"/>
      <c r="CH29" s="1556"/>
      <c r="CI29" s="1564"/>
      <c r="CJ29" s="1553"/>
      <c r="CK29" s="1544"/>
      <c r="CL29" s="1571"/>
      <c r="CM29" s="1556"/>
      <c r="CN29" s="1556"/>
      <c r="CO29" s="1556"/>
      <c r="CP29" s="1556"/>
      <c r="CQ29" s="1564"/>
      <c r="CR29" s="1553"/>
      <c r="CS29" s="1544"/>
      <c r="CT29" s="1571"/>
      <c r="CU29" s="1556"/>
      <c r="CV29" s="1556"/>
      <c r="CW29" s="1556"/>
      <c r="CX29" s="1556"/>
      <c r="CY29" s="1564"/>
      <c r="CZ29" s="1553"/>
      <c r="DA29" s="1544"/>
      <c r="DB29" s="1571"/>
      <c r="DC29" s="1556"/>
      <c r="DD29" s="1556"/>
      <c r="DE29" s="1556"/>
      <c r="DF29" s="1556"/>
      <c r="DG29" s="1564"/>
      <c r="DH29" s="1553"/>
      <c r="DI29" s="1544"/>
      <c r="DJ29" s="1571"/>
      <c r="DK29" s="1556"/>
      <c r="DL29" s="1556"/>
      <c r="DM29" s="1556"/>
      <c r="DN29" s="1556"/>
      <c r="DO29" s="1564"/>
      <c r="DP29" s="1553"/>
      <c r="DQ29" s="1544"/>
      <c r="DR29" s="1571"/>
      <c r="DS29" s="1556"/>
      <c r="DT29" s="1556"/>
      <c r="DU29" s="1556"/>
      <c r="DV29" s="1556"/>
      <c r="DW29" s="1564"/>
      <c r="DX29" s="1553"/>
      <c r="DY29" s="1544"/>
      <c r="DZ29" s="1571"/>
      <c r="EA29" s="1556"/>
      <c r="EB29" s="1556"/>
      <c r="EC29" s="1556"/>
      <c r="ED29" s="1556"/>
      <c r="EE29" s="1564"/>
      <c r="EF29" s="1553"/>
      <c r="EG29" s="1544"/>
      <c r="EH29" s="1571"/>
      <c r="EI29" s="1556"/>
      <c r="EJ29" s="1556"/>
      <c r="EK29" s="1556"/>
      <c r="EL29" s="1556"/>
      <c r="EM29" s="1564"/>
      <c r="EN29" s="1553"/>
      <c r="EO29" s="1544"/>
      <c r="EP29" s="1571"/>
      <c r="EQ29" s="1556"/>
      <c r="ER29" s="1556"/>
      <c r="ES29" s="1556"/>
      <c r="ET29" s="1556"/>
      <c r="EU29" s="1564"/>
      <c r="EV29" s="1553"/>
      <c r="EW29" s="1544"/>
      <c r="EX29" s="1571"/>
      <c r="EY29" s="1556"/>
      <c r="EZ29" s="1556"/>
      <c r="FA29" s="1556"/>
      <c r="FB29" s="1556"/>
      <c r="FC29" s="1564"/>
      <c r="FD29" s="1553"/>
      <c r="FE29" s="1544"/>
      <c r="FF29" s="1571"/>
      <c r="FG29" s="1556"/>
      <c r="FH29" s="1556"/>
      <c r="FI29" s="1556"/>
      <c r="FJ29" s="1556"/>
      <c r="FK29" s="1564"/>
      <c r="FL29" s="1553"/>
      <c r="FM29" s="1544"/>
      <c r="FN29" s="1571"/>
      <c r="FO29" s="1556"/>
      <c r="FP29" s="1556"/>
      <c r="FQ29" s="1556"/>
      <c r="FR29" s="1556"/>
      <c r="FS29" s="1564"/>
      <c r="FT29" s="1553"/>
      <c r="FU29" s="1544"/>
      <c r="FV29" s="1571"/>
      <c r="FW29" s="1556"/>
      <c r="FX29" s="1556"/>
      <c r="FY29" s="1556"/>
      <c r="FZ29" s="1556"/>
      <c r="GA29" s="1564"/>
      <c r="GB29" s="1553"/>
      <c r="GC29" s="1544"/>
      <c r="GD29" s="1571"/>
      <c r="GE29" s="1556"/>
      <c r="GF29" s="1556"/>
      <c r="GG29" s="1556"/>
      <c r="GH29" s="1556"/>
      <c r="GI29" s="1564"/>
      <c r="GJ29" s="1553"/>
      <c r="GK29" s="1544"/>
      <c r="GL29" s="1571"/>
      <c r="GM29" s="1556"/>
      <c r="GN29" s="1556"/>
      <c r="GO29" s="1556"/>
      <c r="GP29" s="1556"/>
      <c r="GQ29" s="1564"/>
      <c r="GR29" s="1553"/>
      <c r="GS29" s="1544"/>
      <c r="GT29" s="1571"/>
      <c r="GU29" s="1556"/>
      <c r="GV29" s="1556"/>
      <c r="GW29" s="1556"/>
      <c r="GX29" s="1556"/>
      <c r="GY29" s="1564"/>
      <c r="GZ29" s="1553"/>
      <c r="HA29" s="1544"/>
      <c r="HB29" s="1571"/>
      <c r="HC29" s="1556"/>
      <c r="HD29" s="1556"/>
      <c r="HE29" s="1556"/>
      <c r="HF29" s="1556"/>
      <c r="HG29" s="1564"/>
      <c r="HH29" s="1553"/>
      <c r="HI29" s="1544"/>
      <c r="HJ29" s="1571"/>
      <c r="HK29" s="1556"/>
      <c r="HL29" s="1556"/>
      <c r="HM29" s="1556"/>
      <c r="HN29" s="1556"/>
      <c r="HO29" s="1564"/>
      <c r="HP29" s="1553"/>
      <c r="HQ29" s="1544"/>
      <c r="HR29" s="1571"/>
      <c r="HS29" s="1556"/>
      <c r="HT29" s="1556"/>
      <c r="HU29" s="1556"/>
      <c r="HV29" s="1556"/>
      <c r="HW29" s="1564"/>
      <c r="HX29" s="1553"/>
      <c r="HY29" s="1544"/>
      <c r="HZ29" s="1571"/>
      <c r="IA29" s="1556"/>
      <c r="IB29" s="1556"/>
      <c r="IC29" s="1556"/>
      <c r="ID29" s="1556"/>
      <c r="IE29" s="1564"/>
      <c r="IF29" s="1553"/>
      <c r="IG29" s="1544"/>
      <c r="IH29" s="1571"/>
      <c r="II29" s="1556"/>
      <c r="IJ29" s="1556"/>
      <c r="IK29" s="1556"/>
      <c r="IL29" s="1556"/>
      <c r="IM29" s="1564"/>
      <c r="IN29" s="1553"/>
    </row>
    <row r="30" spans="1:248" s="1541" customFormat="1">
      <c r="A30" s="1595" t="s">
        <v>455</v>
      </c>
      <c r="B30" s="1600">
        <v>4.47</v>
      </c>
      <c r="C30" s="1600">
        <f>ROUND(B30*$C$6,2)</f>
        <v>0.63</v>
      </c>
      <c r="D30" s="1600"/>
      <c r="E30" s="1600">
        <f>B30+C30</f>
        <v>5.0999999999999996</v>
      </c>
      <c r="F30" s="1556"/>
      <c r="G30" s="1557">
        <f>(B30*$C$6)-C30</f>
        <v>3.8540068969628027E-3</v>
      </c>
      <c r="H30" s="1572"/>
      <c r="I30" s="1573"/>
      <c r="J30" s="1573"/>
      <c r="K30" s="1574"/>
      <c r="L30" s="1573"/>
      <c r="M30" s="1556"/>
      <c r="N30" s="1556"/>
      <c r="O30" s="1564"/>
      <c r="P30" s="1575"/>
      <c r="R30" s="1567"/>
      <c r="S30" s="1556"/>
      <c r="T30" s="1576"/>
      <c r="U30" s="1556"/>
      <c r="V30" s="1556"/>
      <c r="W30" s="1564"/>
      <c r="X30" s="1575"/>
      <c r="Z30" s="1567"/>
      <c r="AA30" s="1556"/>
      <c r="AB30" s="1576"/>
      <c r="AC30" s="1556"/>
      <c r="AD30" s="1556"/>
      <c r="AE30" s="1564"/>
      <c r="AF30" s="1575"/>
      <c r="AH30" s="1567"/>
      <c r="AI30" s="1556"/>
      <c r="AJ30" s="1576"/>
      <c r="AK30" s="1556"/>
      <c r="AL30" s="1556"/>
      <c r="AM30" s="1564"/>
      <c r="AN30" s="1575"/>
      <c r="AP30" s="1567"/>
      <c r="AQ30" s="1556"/>
      <c r="AR30" s="1576"/>
      <c r="AS30" s="1556"/>
      <c r="AT30" s="1556"/>
      <c r="AU30" s="1564"/>
      <c r="AV30" s="1575"/>
      <c r="AX30" s="1567"/>
      <c r="AY30" s="1556"/>
      <c r="AZ30" s="1576"/>
      <c r="BA30" s="1556"/>
      <c r="BB30" s="1556"/>
      <c r="BC30" s="1564"/>
      <c r="BD30" s="1575"/>
      <c r="BF30" s="1567"/>
      <c r="BG30" s="1556"/>
      <c r="BH30" s="1576"/>
      <c r="BI30" s="1556"/>
      <c r="BJ30" s="1556"/>
      <c r="BK30" s="1564"/>
      <c r="BL30" s="1575"/>
      <c r="BN30" s="1567"/>
      <c r="BO30" s="1556"/>
      <c r="BP30" s="1576"/>
      <c r="BQ30" s="1556"/>
      <c r="BR30" s="1556"/>
      <c r="BS30" s="1564"/>
      <c r="BT30" s="1575"/>
      <c r="BV30" s="1567"/>
      <c r="BW30" s="1556"/>
      <c r="BX30" s="1576"/>
      <c r="BY30" s="1556"/>
      <c r="BZ30" s="1556"/>
      <c r="CA30" s="1564"/>
      <c r="CB30" s="1575"/>
      <c r="CD30" s="1567"/>
      <c r="CE30" s="1556"/>
      <c r="CF30" s="1576"/>
      <c r="CG30" s="1556"/>
      <c r="CH30" s="1556"/>
      <c r="CI30" s="1564"/>
      <c r="CJ30" s="1575"/>
      <c r="CL30" s="1567"/>
      <c r="CM30" s="1556"/>
      <c r="CN30" s="1576"/>
      <c r="CO30" s="1556"/>
      <c r="CP30" s="1556"/>
      <c r="CQ30" s="1564"/>
      <c r="CR30" s="1575"/>
      <c r="CT30" s="1567"/>
      <c r="CU30" s="1556"/>
      <c r="CV30" s="1576"/>
      <c r="CW30" s="1556"/>
      <c r="CX30" s="1556"/>
      <c r="CY30" s="1564"/>
      <c r="CZ30" s="1575"/>
      <c r="DB30" s="1567"/>
      <c r="DC30" s="1556"/>
      <c r="DD30" s="1576"/>
      <c r="DE30" s="1556"/>
      <c r="DF30" s="1556"/>
      <c r="DG30" s="1564"/>
      <c r="DH30" s="1575"/>
      <c r="DJ30" s="1567"/>
      <c r="DK30" s="1556"/>
      <c r="DL30" s="1576"/>
      <c r="DM30" s="1556"/>
      <c r="DN30" s="1556"/>
      <c r="DO30" s="1564"/>
      <c r="DP30" s="1575"/>
      <c r="DR30" s="1567"/>
      <c r="DS30" s="1556"/>
      <c r="DT30" s="1576"/>
      <c r="DU30" s="1556"/>
      <c r="DV30" s="1556"/>
      <c r="DW30" s="1564"/>
      <c r="DX30" s="1575"/>
      <c r="DZ30" s="1567"/>
      <c r="EA30" s="1556"/>
      <c r="EB30" s="1576"/>
      <c r="EC30" s="1556"/>
      <c r="ED30" s="1556"/>
      <c r="EE30" s="1564"/>
      <c r="EF30" s="1575"/>
      <c r="EH30" s="1567"/>
      <c r="EI30" s="1556"/>
      <c r="EJ30" s="1576"/>
      <c r="EK30" s="1556"/>
      <c r="EL30" s="1556"/>
      <c r="EM30" s="1564"/>
      <c r="EN30" s="1575"/>
      <c r="EP30" s="1567"/>
      <c r="EQ30" s="1556"/>
      <c r="ER30" s="1576"/>
      <c r="ES30" s="1556"/>
      <c r="ET30" s="1556"/>
      <c r="EU30" s="1564"/>
      <c r="EV30" s="1575"/>
      <c r="EX30" s="1567"/>
      <c r="EY30" s="1556"/>
      <c r="EZ30" s="1576"/>
      <c r="FA30" s="1556"/>
      <c r="FB30" s="1556"/>
      <c r="FC30" s="1564"/>
      <c r="FD30" s="1575"/>
      <c r="FF30" s="1567"/>
      <c r="FG30" s="1556"/>
      <c r="FH30" s="1576"/>
      <c r="FI30" s="1556"/>
      <c r="FJ30" s="1556"/>
      <c r="FK30" s="1564"/>
      <c r="FL30" s="1575"/>
      <c r="FN30" s="1567"/>
      <c r="FO30" s="1556"/>
      <c r="FP30" s="1576"/>
      <c r="FQ30" s="1556"/>
      <c r="FR30" s="1556"/>
      <c r="FS30" s="1564"/>
      <c r="FT30" s="1575"/>
      <c r="FV30" s="1567"/>
      <c r="FW30" s="1556"/>
      <c r="FX30" s="1576"/>
      <c r="FY30" s="1556"/>
      <c r="FZ30" s="1556"/>
      <c r="GA30" s="1564"/>
      <c r="GB30" s="1575"/>
      <c r="GD30" s="1567"/>
      <c r="GE30" s="1556"/>
      <c r="GF30" s="1576"/>
      <c r="GG30" s="1556"/>
      <c r="GH30" s="1556"/>
      <c r="GI30" s="1564"/>
      <c r="GJ30" s="1575"/>
      <c r="GL30" s="1567"/>
      <c r="GM30" s="1556"/>
      <c r="GN30" s="1576"/>
      <c r="GO30" s="1556"/>
      <c r="GP30" s="1556"/>
      <c r="GQ30" s="1564"/>
      <c r="GR30" s="1575"/>
      <c r="GT30" s="1567"/>
      <c r="GU30" s="1556"/>
      <c r="GV30" s="1576"/>
      <c r="GW30" s="1556"/>
      <c r="GX30" s="1556"/>
      <c r="GY30" s="1564"/>
      <c r="GZ30" s="1575"/>
      <c r="HB30" s="1567"/>
      <c r="HC30" s="1556"/>
      <c r="HD30" s="1576"/>
      <c r="HE30" s="1556"/>
      <c r="HF30" s="1556"/>
      <c r="HG30" s="1564"/>
      <c r="HH30" s="1575"/>
      <c r="HJ30" s="1567"/>
      <c r="HK30" s="1556"/>
      <c r="HL30" s="1576"/>
      <c r="HM30" s="1556"/>
      <c r="HN30" s="1556"/>
      <c r="HO30" s="1564"/>
      <c r="HP30" s="1575"/>
      <c r="HR30" s="1567"/>
      <c r="HS30" s="1556"/>
      <c r="HT30" s="1576"/>
      <c r="HU30" s="1556"/>
      <c r="HV30" s="1556"/>
      <c r="HW30" s="1564"/>
      <c r="HX30" s="1575"/>
      <c r="HZ30" s="1567"/>
      <c r="IA30" s="1556"/>
      <c r="IB30" s="1576"/>
      <c r="IC30" s="1556"/>
      <c r="ID30" s="1556"/>
      <c r="IE30" s="1564"/>
      <c r="IF30" s="1575"/>
      <c r="IH30" s="1567"/>
      <c r="II30" s="1556"/>
      <c r="IJ30" s="1576"/>
      <c r="IK30" s="1556"/>
      <c r="IL30" s="1556"/>
      <c r="IM30" s="1564"/>
      <c r="IN30" s="1575"/>
    </row>
    <row r="31" spans="1:248" s="1541" customFormat="1">
      <c r="A31" s="1595"/>
      <c r="B31" s="1600"/>
      <c r="C31" s="1600"/>
      <c r="D31" s="1600"/>
      <c r="E31" s="1600"/>
      <c r="F31" s="1556"/>
      <c r="G31" s="1562"/>
      <c r="H31" s="1572"/>
      <c r="I31" s="1573"/>
      <c r="J31" s="1577"/>
      <c r="K31" s="1574"/>
      <c r="L31" s="1574"/>
      <c r="M31" s="1556"/>
      <c r="N31" s="1556"/>
      <c r="O31" s="1564"/>
      <c r="P31" s="1553"/>
      <c r="R31" s="1567"/>
      <c r="S31" s="1556"/>
      <c r="T31" s="1556"/>
      <c r="U31" s="1556"/>
      <c r="V31" s="1556"/>
      <c r="W31" s="1564"/>
      <c r="X31" s="1553"/>
      <c r="Z31" s="1567"/>
      <c r="AA31" s="1556"/>
      <c r="AB31" s="1556"/>
      <c r="AC31" s="1556"/>
      <c r="AD31" s="1556"/>
      <c r="AE31" s="1564"/>
      <c r="AF31" s="1553"/>
      <c r="AH31" s="1567"/>
      <c r="AI31" s="1556"/>
      <c r="AJ31" s="1556"/>
      <c r="AK31" s="1556"/>
      <c r="AL31" s="1556"/>
      <c r="AM31" s="1564"/>
      <c r="AN31" s="1553"/>
      <c r="AP31" s="1567"/>
      <c r="AQ31" s="1556"/>
      <c r="AR31" s="1556"/>
      <c r="AS31" s="1556"/>
      <c r="AT31" s="1556"/>
      <c r="AU31" s="1564"/>
      <c r="AV31" s="1553"/>
      <c r="AX31" s="1567"/>
      <c r="AY31" s="1556"/>
      <c r="AZ31" s="1556"/>
      <c r="BA31" s="1556"/>
      <c r="BB31" s="1556"/>
      <c r="BC31" s="1564"/>
      <c r="BD31" s="1553"/>
      <c r="BF31" s="1567"/>
      <c r="BG31" s="1556"/>
      <c r="BH31" s="1556"/>
      <c r="BI31" s="1556"/>
      <c r="BJ31" s="1556"/>
      <c r="BK31" s="1564"/>
      <c r="BL31" s="1553"/>
      <c r="BN31" s="1567"/>
      <c r="BO31" s="1556"/>
      <c r="BP31" s="1556"/>
      <c r="BQ31" s="1556"/>
      <c r="BR31" s="1556"/>
      <c r="BS31" s="1564"/>
      <c r="BT31" s="1553"/>
      <c r="BV31" s="1567"/>
      <c r="BW31" s="1556"/>
      <c r="BX31" s="1556"/>
      <c r="BY31" s="1556"/>
      <c r="BZ31" s="1556"/>
      <c r="CA31" s="1564"/>
      <c r="CB31" s="1553"/>
      <c r="CD31" s="1567"/>
      <c r="CE31" s="1556"/>
      <c r="CF31" s="1556"/>
      <c r="CG31" s="1556"/>
      <c r="CH31" s="1556"/>
      <c r="CI31" s="1564"/>
      <c r="CJ31" s="1553"/>
      <c r="CL31" s="1567"/>
      <c r="CM31" s="1556"/>
      <c r="CN31" s="1556"/>
      <c r="CO31" s="1556"/>
      <c r="CP31" s="1556"/>
      <c r="CQ31" s="1564"/>
      <c r="CR31" s="1553"/>
      <c r="CT31" s="1567"/>
      <c r="CU31" s="1556"/>
      <c r="CV31" s="1556"/>
      <c r="CW31" s="1556"/>
      <c r="CX31" s="1556"/>
      <c r="CY31" s="1564"/>
      <c r="CZ31" s="1553"/>
      <c r="DB31" s="1567"/>
      <c r="DC31" s="1556"/>
      <c r="DD31" s="1556"/>
      <c r="DE31" s="1556"/>
      <c r="DF31" s="1556"/>
      <c r="DG31" s="1564"/>
      <c r="DH31" s="1553"/>
      <c r="DJ31" s="1567"/>
      <c r="DK31" s="1556"/>
      <c r="DL31" s="1556"/>
      <c r="DM31" s="1556"/>
      <c r="DN31" s="1556"/>
      <c r="DO31" s="1564"/>
      <c r="DP31" s="1553"/>
      <c r="DR31" s="1567"/>
      <c r="DS31" s="1556"/>
      <c r="DT31" s="1556"/>
      <c r="DU31" s="1556"/>
      <c r="DV31" s="1556"/>
      <c r="DW31" s="1564"/>
      <c r="DX31" s="1553"/>
      <c r="DZ31" s="1567"/>
      <c r="EA31" s="1556"/>
      <c r="EB31" s="1556"/>
      <c r="EC31" s="1556"/>
      <c r="ED31" s="1556"/>
      <c r="EE31" s="1564"/>
      <c r="EF31" s="1553"/>
      <c r="EH31" s="1567"/>
      <c r="EI31" s="1556"/>
      <c r="EJ31" s="1556"/>
      <c r="EK31" s="1556"/>
      <c r="EL31" s="1556"/>
      <c r="EM31" s="1564"/>
      <c r="EN31" s="1553"/>
      <c r="EP31" s="1567"/>
      <c r="EQ31" s="1556"/>
      <c r="ER31" s="1556"/>
      <c r="ES31" s="1556"/>
      <c r="ET31" s="1556"/>
      <c r="EU31" s="1564"/>
      <c r="EV31" s="1553"/>
      <c r="EX31" s="1567"/>
      <c r="EY31" s="1556"/>
      <c r="EZ31" s="1556"/>
      <c r="FA31" s="1556"/>
      <c r="FB31" s="1556"/>
      <c r="FC31" s="1564"/>
      <c r="FD31" s="1553"/>
      <c r="FF31" s="1567"/>
      <c r="FG31" s="1556"/>
      <c r="FH31" s="1556"/>
      <c r="FI31" s="1556"/>
      <c r="FJ31" s="1556"/>
      <c r="FK31" s="1564"/>
      <c r="FL31" s="1553"/>
      <c r="FN31" s="1567"/>
      <c r="FO31" s="1556"/>
      <c r="FP31" s="1556"/>
      <c r="FQ31" s="1556"/>
      <c r="FR31" s="1556"/>
      <c r="FS31" s="1564"/>
      <c r="FT31" s="1553"/>
      <c r="FV31" s="1567"/>
      <c r="FW31" s="1556"/>
      <c r="FX31" s="1556"/>
      <c r="FY31" s="1556"/>
      <c r="FZ31" s="1556"/>
      <c r="GA31" s="1564"/>
      <c r="GB31" s="1553"/>
      <c r="GD31" s="1567"/>
      <c r="GE31" s="1556"/>
      <c r="GF31" s="1556"/>
      <c r="GG31" s="1556"/>
      <c r="GH31" s="1556"/>
      <c r="GI31" s="1564"/>
      <c r="GJ31" s="1553"/>
      <c r="GL31" s="1567"/>
      <c r="GM31" s="1556"/>
      <c r="GN31" s="1556"/>
      <c r="GO31" s="1556"/>
      <c r="GP31" s="1556"/>
      <c r="GQ31" s="1564"/>
      <c r="GR31" s="1553"/>
      <c r="GT31" s="1567"/>
      <c r="GU31" s="1556"/>
      <c r="GV31" s="1556"/>
      <c r="GW31" s="1556"/>
      <c r="GX31" s="1556"/>
      <c r="GY31" s="1564"/>
      <c r="GZ31" s="1553"/>
      <c r="HB31" s="1567"/>
      <c r="HC31" s="1556"/>
      <c r="HD31" s="1556"/>
      <c r="HE31" s="1556"/>
      <c r="HF31" s="1556"/>
      <c r="HG31" s="1564"/>
      <c r="HH31" s="1553"/>
      <c r="HJ31" s="1567"/>
      <c r="HK31" s="1556"/>
      <c r="HL31" s="1556"/>
      <c r="HM31" s="1556"/>
      <c r="HN31" s="1556"/>
      <c r="HO31" s="1564"/>
      <c r="HP31" s="1553"/>
      <c r="HR31" s="1567"/>
      <c r="HS31" s="1556"/>
      <c r="HT31" s="1556"/>
      <c r="HU31" s="1556"/>
      <c r="HV31" s="1556"/>
      <c r="HW31" s="1564"/>
      <c r="HX31" s="1553"/>
      <c r="HZ31" s="1567"/>
      <c r="IA31" s="1556"/>
      <c r="IB31" s="1556"/>
      <c r="IC31" s="1556"/>
      <c r="ID31" s="1556"/>
      <c r="IE31" s="1564"/>
      <c r="IF31" s="1553"/>
      <c r="IH31" s="1567"/>
      <c r="II31" s="1556"/>
      <c r="IJ31" s="1556"/>
      <c r="IK31" s="1556"/>
      <c r="IL31" s="1556"/>
      <c r="IM31" s="1564"/>
      <c r="IN31" s="1553"/>
    </row>
    <row r="32" spans="1:248" s="1541" customFormat="1">
      <c r="A32" s="1590" t="s">
        <v>461</v>
      </c>
      <c r="B32" s="1600"/>
      <c r="C32" s="1600"/>
      <c r="D32" s="1600"/>
      <c r="E32" s="1600"/>
      <c r="F32" s="1556"/>
      <c r="G32" s="1566"/>
      <c r="H32" s="1553"/>
      <c r="I32" s="1578"/>
      <c r="J32" s="1578"/>
      <c r="K32" s="1579"/>
      <c r="L32" s="1579"/>
      <c r="M32" s="1556"/>
      <c r="N32" s="1556"/>
      <c r="O32" s="1564"/>
      <c r="P32" s="1553"/>
      <c r="Q32" s="1544"/>
      <c r="R32" s="1567"/>
      <c r="S32" s="1556"/>
      <c r="T32" s="1556"/>
      <c r="U32" s="1556"/>
      <c r="V32" s="1556"/>
      <c r="W32" s="1564"/>
      <c r="X32" s="1553"/>
      <c r="Y32" s="1544"/>
      <c r="Z32" s="1567"/>
      <c r="AA32" s="1556"/>
      <c r="AB32" s="1556"/>
      <c r="AC32" s="1556"/>
      <c r="AD32" s="1556"/>
      <c r="AE32" s="1564"/>
      <c r="AF32" s="1553"/>
      <c r="AG32" s="1544"/>
      <c r="AH32" s="1567"/>
      <c r="AI32" s="1556"/>
      <c r="AJ32" s="1556"/>
      <c r="AK32" s="1556"/>
      <c r="AL32" s="1556"/>
      <c r="AM32" s="1564"/>
      <c r="AN32" s="1553"/>
      <c r="AO32" s="1544"/>
      <c r="AP32" s="1567"/>
      <c r="AQ32" s="1556"/>
      <c r="AR32" s="1556"/>
      <c r="AS32" s="1556"/>
      <c r="AT32" s="1556"/>
      <c r="AU32" s="1564"/>
      <c r="AV32" s="1553"/>
      <c r="AW32" s="1544"/>
      <c r="AX32" s="1567"/>
      <c r="AY32" s="1556"/>
      <c r="AZ32" s="1556"/>
      <c r="BA32" s="1556"/>
      <c r="BB32" s="1556"/>
      <c r="BC32" s="1564"/>
      <c r="BD32" s="1553"/>
      <c r="BE32" s="1544"/>
      <c r="BF32" s="1567"/>
      <c r="BG32" s="1556"/>
      <c r="BH32" s="1556"/>
      <c r="BI32" s="1556"/>
      <c r="BJ32" s="1556"/>
      <c r="BK32" s="1564"/>
      <c r="BL32" s="1553"/>
      <c r="BM32" s="1544"/>
      <c r="BN32" s="1567"/>
      <c r="BO32" s="1556"/>
      <c r="BP32" s="1556"/>
      <c r="BQ32" s="1556"/>
      <c r="BR32" s="1556"/>
      <c r="BS32" s="1564"/>
      <c r="BT32" s="1553"/>
      <c r="BU32" s="1544"/>
      <c r="BV32" s="1567"/>
      <c r="BW32" s="1556"/>
      <c r="BX32" s="1556"/>
      <c r="BY32" s="1556"/>
      <c r="BZ32" s="1556"/>
      <c r="CA32" s="1564"/>
      <c r="CB32" s="1553"/>
      <c r="CC32" s="1544"/>
      <c r="CD32" s="1567"/>
      <c r="CE32" s="1556"/>
      <c r="CF32" s="1556"/>
      <c r="CG32" s="1556"/>
      <c r="CH32" s="1556"/>
      <c r="CI32" s="1564"/>
      <c r="CJ32" s="1553"/>
      <c r="CK32" s="1544"/>
      <c r="CL32" s="1567"/>
      <c r="CM32" s="1556"/>
      <c r="CN32" s="1556"/>
      <c r="CO32" s="1556"/>
      <c r="CP32" s="1556"/>
      <c r="CQ32" s="1564"/>
      <c r="CR32" s="1553"/>
      <c r="CS32" s="1544"/>
      <c r="CT32" s="1567"/>
      <c r="CU32" s="1556"/>
      <c r="CV32" s="1556"/>
      <c r="CW32" s="1556"/>
      <c r="CX32" s="1556"/>
      <c r="CY32" s="1564"/>
      <c r="CZ32" s="1553"/>
      <c r="DA32" s="1544"/>
      <c r="DB32" s="1567"/>
      <c r="DC32" s="1556"/>
      <c r="DD32" s="1556"/>
      <c r="DE32" s="1556"/>
      <c r="DF32" s="1556"/>
      <c r="DG32" s="1564"/>
      <c r="DH32" s="1553"/>
      <c r="DI32" s="1544"/>
      <c r="DJ32" s="1567"/>
      <c r="DK32" s="1556"/>
      <c r="DL32" s="1556"/>
      <c r="DM32" s="1556"/>
      <c r="DN32" s="1556"/>
      <c r="DO32" s="1564"/>
      <c r="DP32" s="1553"/>
      <c r="DQ32" s="1544"/>
      <c r="DR32" s="1567"/>
      <c r="DS32" s="1556"/>
      <c r="DT32" s="1556"/>
      <c r="DU32" s="1556"/>
      <c r="DV32" s="1556"/>
      <c r="DW32" s="1564"/>
      <c r="DX32" s="1553"/>
      <c r="DY32" s="1544"/>
      <c r="DZ32" s="1567"/>
      <c r="EA32" s="1556"/>
      <c r="EB32" s="1556"/>
      <c r="EC32" s="1556"/>
      <c r="ED32" s="1556"/>
      <c r="EE32" s="1564"/>
      <c r="EF32" s="1553"/>
      <c r="EG32" s="1544"/>
      <c r="EH32" s="1567"/>
      <c r="EI32" s="1556"/>
      <c r="EJ32" s="1556"/>
      <c r="EK32" s="1556"/>
      <c r="EL32" s="1556"/>
      <c r="EM32" s="1564"/>
      <c r="EN32" s="1553"/>
      <c r="EO32" s="1544"/>
      <c r="EP32" s="1567"/>
      <c r="EQ32" s="1556"/>
      <c r="ER32" s="1556"/>
      <c r="ES32" s="1556"/>
      <c r="ET32" s="1556"/>
      <c r="EU32" s="1564"/>
      <c r="EV32" s="1553"/>
      <c r="EW32" s="1544"/>
      <c r="EX32" s="1567"/>
      <c r="EY32" s="1556"/>
      <c r="EZ32" s="1556"/>
      <c r="FA32" s="1556"/>
      <c r="FB32" s="1556"/>
      <c r="FC32" s="1564"/>
      <c r="FD32" s="1553"/>
      <c r="FE32" s="1544"/>
      <c r="FF32" s="1567"/>
      <c r="FG32" s="1556"/>
      <c r="FH32" s="1556"/>
      <c r="FI32" s="1556"/>
      <c r="FJ32" s="1556"/>
      <c r="FK32" s="1564"/>
      <c r="FL32" s="1553"/>
      <c r="FM32" s="1544"/>
      <c r="FN32" s="1567"/>
      <c r="FO32" s="1556"/>
      <c r="FP32" s="1556"/>
      <c r="FQ32" s="1556"/>
      <c r="FR32" s="1556"/>
      <c r="FS32" s="1564"/>
      <c r="FT32" s="1553"/>
      <c r="FU32" s="1544"/>
      <c r="FV32" s="1567"/>
      <c r="FW32" s="1556"/>
      <c r="FX32" s="1556"/>
      <c r="FY32" s="1556"/>
      <c r="FZ32" s="1556"/>
      <c r="GA32" s="1564"/>
      <c r="GB32" s="1553"/>
      <c r="GC32" s="1544"/>
      <c r="GD32" s="1567"/>
      <c r="GE32" s="1556"/>
      <c r="GF32" s="1556"/>
      <c r="GG32" s="1556"/>
      <c r="GH32" s="1556"/>
      <c r="GI32" s="1564"/>
      <c r="GJ32" s="1553"/>
      <c r="GK32" s="1544"/>
      <c r="GL32" s="1567"/>
      <c r="GM32" s="1556"/>
      <c r="GN32" s="1556"/>
      <c r="GO32" s="1556"/>
      <c r="GP32" s="1556"/>
      <c r="GQ32" s="1564"/>
      <c r="GR32" s="1553"/>
      <c r="GS32" s="1544"/>
      <c r="GT32" s="1567"/>
      <c r="GU32" s="1556"/>
      <c r="GV32" s="1556"/>
      <c r="GW32" s="1556"/>
      <c r="GX32" s="1556"/>
      <c r="GY32" s="1564"/>
      <c r="GZ32" s="1553"/>
      <c r="HA32" s="1544"/>
      <c r="HB32" s="1567"/>
      <c r="HC32" s="1556"/>
      <c r="HD32" s="1556"/>
      <c r="HE32" s="1556"/>
      <c r="HF32" s="1556"/>
      <c r="HG32" s="1564"/>
      <c r="HH32" s="1553"/>
      <c r="HI32" s="1544"/>
      <c r="HJ32" s="1567"/>
      <c r="HK32" s="1556"/>
      <c r="HL32" s="1556"/>
      <c r="HM32" s="1556"/>
      <c r="HN32" s="1556"/>
      <c r="HO32" s="1564"/>
      <c r="HP32" s="1553"/>
      <c r="HQ32" s="1544"/>
      <c r="HR32" s="1567"/>
      <c r="HS32" s="1556"/>
      <c r="HT32" s="1556"/>
      <c r="HU32" s="1556"/>
      <c r="HV32" s="1556"/>
      <c r="HW32" s="1564"/>
      <c r="HX32" s="1553"/>
      <c r="HY32" s="1544"/>
      <c r="HZ32" s="1567"/>
      <c r="IA32" s="1556"/>
      <c r="IB32" s="1556"/>
      <c r="IC32" s="1556"/>
      <c r="ID32" s="1556"/>
      <c r="IE32" s="1564"/>
      <c r="IF32" s="1553"/>
      <c r="IG32" s="1544"/>
      <c r="IH32" s="1567"/>
      <c r="II32" s="1556"/>
      <c r="IJ32" s="1556"/>
      <c r="IK32" s="1556"/>
      <c r="IL32" s="1556"/>
      <c r="IM32" s="1564"/>
      <c r="IN32" s="1553"/>
    </row>
    <row r="33" spans="1:248" s="1541" customFormat="1">
      <c r="A33" s="1595" t="s">
        <v>457</v>
      </c>
      <c r="B33" s="1600">
        <f>B25</f>
        <v>69.13</v>
      </c>
      <c r="C33" s="1600">
        <f t="shared" ref="C33:C34" si="2">ROUND(B33*$C$6,2)</f>
        <v>9.8000000000000007</v>
      </c>
      <c r="D33" s="1600"/>
      <c r="E33" s="1600">
        <f>B33+C33</f>
        <v>78.929999999999993</v>
      </c>
      <c r="F33" s="1556"/>
      <c r="G33" s="1557">
        <f>(B33*$C$6)-C33</f>
        <v>2.75782925884549E-3</v>
      </c>
      <c r="H33" s="1575"/>
      <c r="J33" s="1580"/>
      <c r="K33" s="1556"/>
      <c r="L33" s="1556"/>
      <c r="M33" s="1556"/>
      <c r="N33" s="1556"/>
      <c r="O33" s="1564"/>
      <c r="P33" s="1575"/>
      <c r="R33" s="1580"/>
      <c r="S33" s="1556"/>
      <c r="T33" s="1556"/>
      <c r="U33" s="1556"/>
      <c r="V33" s="1556"/>
      <c r="W33" s="1564"/>
      <c r="X33" s="1575"/>
      <c r="Z33" s="1580"/>
      <c r="AA33" s="1556"/>
      <c r="AB33" s="1556"/>
      <c r="AC33" s="1556"/>
      <c r="AD33" s="1556"/>
      <c r="AE33" s="1564"/>
      <c r="AF33" s="1575"/>
      <c r="AH33" s="1580"/>
      <c r="AI33" s="1556"/>
      <c r="AJ33" s="1556"/>
      <c r="AK33" s="1556"/>
      <c r="AL33" s="1556"/>
      <c r="AM33" s="1564"/>
      <c r="AN33" s="1575"/>
      <c r="AP33" s="1580"/>
      <c r="AQ33" s="1556"/>
      <c r="AR33" s="1556"/>
      <c r="AS33" s="1556"/>
      <c r="AT33" s="1556"/>
      <c r="AU33" s="1564"/>
      <c r="AV33" s="1575"/>
      <c r="AX33" s="1580"/>
      <c r="AY33" s="1556"/>
      <c r="AZ33" s="1556"/>
      <c r="BA33" s="1556"/>
      <c r="BB33" s="1556"/>
      <c r="BC33" s="1564"/>
      <c r="BD33" s="1575"/>
      <c r="BF33" s="1580"/>
      <c r="BG33" s="1556"/>
      <c r="BH33" s="1556"/>
      <c r="BI33" s="1556"/>
      <c r="BJ33" s="1556"/>
      <c r="BK33" s="1564"/>
      <c r="BL33" s="1575"/>
      <c r="BN33" s="1580"/>
      <c r="BO33" s="1556"/>
      <c r="BP33" s="1556"/>
      <c r="BQ33" s="1556"/>
      <c r="BR33" s="1556"/>
      <c r="BS33" s="1564"/>
      <c r="BT33" s="1575"/>
      <c r="BV33" s="1580"/>
      <c r="BW33" s="1556"/>
      <c r="BX33" s="1556"/>
      <c r="BY33" s="1556"/>
      <c r="BZ33" s="1556"/>
      <c r="CA33" s="1564"/>
      <c r="CB33" s="1575"/>
      <c r="CD33" s="1580"/>
      <c r="CE33" s="1556"/>
      <c r="CF33" s="1556"/>
      <c r="CG33" s="1556"/>
      <c r="CH33" s="1556"/>
      <c r="CI33" s="1564"/>
      <c r="CJ33" s="1575"/>
      <c r="CL33" s="1580"/>
      <c r="CM33" s="1556"/>
      <c r="CN33" s="1556"/>
      <c r="CO33" s="1556"/>
      <c r="CP33" s="1556"/>
      <c r="CQ33" s="1564"/>
      <c r="CR33" s="1575"/>
      <c r="CT33" s="1580"/>
      <c r="CU33" s="1556"/>
      <c r="CV33" s="1556"/>
      <c r="CW33" s="1556"/>
      <c r="CX33" s="1556"/>
      <c r="CY33" s="1564"/>
      <c r="CZ33" s="1575"/>
      <c r="DB33" s="1580"/>
      <c r="DC33" s="1556"/>
      <c r="DD33" s="1556"/>
      <c r="DE33" s="1556"/>
      <c r="DF33" s="1556"/>
      <c r="DG33" s="1564"/>
      <c r="DH33" s="1575"/>
      <c r="DJ33" s="1580"/>
      <c r="DK33" s="1556"/>
      <c r="DL33" s="1556"/>
      <c r="DM33" s="1556"/>
      <c r="DN33" s="1556"/>
      <c r="DO33" s="1564"/>
      <c r="DP33" s="1575"/>
      <c r="DR33" s="1580"/>
      <c r="DS33" s="1556"/>
      <c r="DT33" s="1556"/>
      <c r="DU33" s="1556"/>
      <c r="DV33" s="1556"/>
      <c r="DW33" s="1564"/>
      <c r="DX33" s="1575"/>
      <c r="DZ33" s="1580"/>
      <c r="EA33" s="1556"/>
      <c r="EB33" s="1556"/>
      <c r="EC33" s="1556"/>
      <c r="ED33" s="1556"/>
      <c r="EE33" s="1564"/>
      <c r="EF33" s="1575"/>
      <c r="EH33" s="1580"/>
      <c r="EI33" s="1556"/>
      <c r="EJ33" s="1556"/>
      <c r="EK33" s="1556"/>
      <c r="EL33" s="1556"/>
      <c r="EM33" s="1564"/>
      <c r="EN33" s="1575"/>
      <c r="EP33" s="1580"/>
      <c r="EQ33" s="1556"/>
      <c r="ER33" s="1556"/>
      <c r="ES33" s="1556"/>
      <c r="ET33" s="1556"/>
      <c r="EU33" s="1564"/>
      <c r="EV33" s="1575"/>
      <c r="EX33" s="1580"/>
      <c r="EY33" s="1556"/>
      <c r="EZ33" s="1556"/>
      <c r="FA33" s="1556"/>
      <c r="FB33" s="1556"/>
      <c r="FC33" s="1564"/>
      <c r="FD33" s="1575"/>
      <c r="FF33" s="1580"/>
      <c r="FG33" s="1556"/>
      <c r="FH33" s="1556"/>
      <c r="FI33" s="1556"/>
      <c r="FJ33" s="1556"/>
      <c r="FK33" s="1564"/>
      <c r="FL33" s="1575"/>
      <c r="FN33" s="1580"/>
      <c r="FO33" s="1556"/>
      <c r="FP33" s="1556"/>
      <c r="FQ33" s="1556"/>
      <c r="FR33" s="1556"/>
      <c r="FS33" s="1564"/>
      <c r="FT33" s="1575"/>
      <c r="FV33" s="1580"/>
      <c r="FW33" s="1556"/>
      <c r="FX33" s="1556"/>
      <c r="FY33" s="1556"/>
      <c r="FZ33" s="1556"/>
      <c r="GA33" s="1564"/>
      <c r="GB33" s="1575"/>
      <c r="GD33" s="1580"/>
      <c r="GE33" s="1556"/>
      <c r="GF33" s="1556"/>
      <c r="GG33" s="1556"/>
      <c r="GH33" s="1556"/>
      <c r="GI33" s="1564"/>
      <c r="GJ33" s="1575"/>
      <c r="GL33" s="1580"/>
      <c r="GM33" s="1556"/>
      <c r="GN33" s="1556"/>
      <c r="GO33" s="1556"/>
      <c r="GP33" s="1556"/>
      <c r="GQ33" s="1564"/>
      <c r="GR33" s="1575"/>
      <c r="GT33" s="1580"/>
      <c r="GU33" s="1556"/>
      <c r="GV33" s="1556"/>
      <c r="GW33" s="1556"/>
      <c r="GX33" s="1556"/>
      <c r="GY33" s="1564"/>
      <c r="GZ33" s="1575"/>
      <c r="HB33" s="1580"/>
      <c r="HC33" s="1556"/>
      <c r="HD33" s="1556"/>
      <c r="HE33" s="1556"/>
      <c r="HF33" s="1556"/>
      <c r="HG33" s="1564"/>
      <c r="HH33" s="1575"/>
      <c r="HJ33" s="1580"/>
      <c r="HK33" s="1556"/>
      <c r="HL33" s="1556"/>
      <c r="HM33" s="1556"/>
      <c r="HN33" s="1556"/>
      <c r="HO33" s="1564"/>
      <c r="HP33" s="1575"/>
      <c r="HR33" s="1580"/>
      <c r="HS33" s="1556"/>
      <c r="HT33" s="1556"/>
      <c r="HU33" s="1556"/>
      <c r="HV33" s="1556"/>
      <c r="HW33" s="1564"/>
      <c r="HX33" s="1575"/>
      <c r="HZ33" s="1580"/>
      <c r="IA33" s="1556"/>
      <c r="IB33" s="1556"/>
      <c r="IC33" s="1556"/>
      <c r="ID33" s="1556"/>
      <c r="IE33" s="1564"/>
      <c r="IF33" s="1575"/>
      <c r="IH33" s="1580"/>
      <c r="II33" s="1556"/>
      <c r="IJ33" s="1556"/>
      <c r="IK33" s="1556"/>
      <c r="IL33" s="1556"/>
      <c r="IM33" s="1564"/>
      <c r="IN33" s="1575"/>
    </row>
    <row r="34" spans="1:248" s="1541" customFormat="1">
      <c r="A34" s="1595" t="s">
        <v>458</v>
      </c>
      <c r="B34" s="1600">
        <f>B26</f>
        <v>69.13</v>
      </c>
      <c r="C34" s="1600">
        <f t="shared" si="2"/>
        <v>9.8000000000000007</v>
      </c>
      <c r="D34" s="1600"/>
      <c r="E34" s="1600">
        <f>B34+C34</f>
        <v>78.929999999999993</v>
      </c>
      <c r="F34" s="1556"/>
      <c r="G34" s="1557">
        <f>(B34*$C$6)-C34</f>
        <v>2.75782925884549E-3</v>
      </c>
      <c r="H34" s="1575"/>
      <c r="J34" s="1580"/>
      <c r="K34" s="1556"/>
      <c r="L34" s="1556"/>
      <c r="M34" s="1556"/>
      <c r="N34" s="1556"/>
      <c r="O34" s="1564"/>
      <c r="P34" s="1575"/>
      <c r="R34" s="1580"/>
      <c r="S34" s="1556"/>
      <c r="T34" s="1556"/>
      <c r="U34" s="1556"/>
      <c r="V34" s="1556"/>
      <c r="W34" s="1564"/>
      <c r="X34" s="1575"/>
      <c r="Z34" s="1580"/>
      <c r="AA34" s="1556"/>
      <c r="AB34" s="1556"/>
      <c r="AC34" s="1556"/>
      <c r="AD34" s="1556"/>
      <c r="AE34" s="1564"/>
      <c r="AF34" s="1575"/>
      <c r="AH34" s="1580"/>
      <c r="AI34" s="1556"/>
      <c r="AJ34" s="1556"/>
      <c r="AK34" s="1556"/>
      <c r="AL34" s="1556"/>
      <c r="AM34" s="1564"/>
      <c r="AN34" s="1575"/>
      <c r="AP34" s="1580"/>
      <c r="AQ34" s="1556"/>
      <c r="AR34" s="1556"/>
      <c r="AS34" s="1556"/>
      <c r="AT34" s="1556"/>
      <c r="AU34" s="1564"/>
      <c r="AV34" s="1575"/>
      <c r="AX34" s="1580"/>
      <c r="AY34" s="1556"/>
      <c r="AZ34" s="1556"/>
      <c r="BA34" s="1556"/>
      <c r="BB34" s="1556"/>
      <c r="BC34" s="1564"/>
      <c r="BD34" s="1575"/>
      <c r="BF34" s="1580"/>
      <c r="BG34" s="1556"/>
      <c r="BH34" s="1556"/>
      <c r="BI34" s="1556"/>
      <c r="BJ34" s="1556"/>
      <c r="BK34" s="1564"/>
      <c r="BL34" s="1575"/>
      <c r="BN34" s="1580"/>
      <c r="BO34" s="1556"/>
      <c r="BP34" s="1556"/>
      <c r="BQ34" s="1556"/>
      <c r="BR34" s="1556"/>
      <c r="BS34" s="1564"/>
      <c r="BT34" s="1575"/>
      <c r="BV34" s="1580"/>
      <c r="BW34" s="1556"/>
      <c r="BX34" s="1556"/>
      <c r="BY34" s="1556"/>
      <c r="BZ34" s="1556"/>
      <c r="CA34" s="1564"/>
      <c r="CB34" s="1575"/>
      <c r="CD34" s="1580"/>
      <c r="CE34" s="1556"/>
      <c r="CF34" s="1556"/>
      <c r="CG34" s="1556"/>
      <c r="CH34" s="1556"/>
      <c r="CI34" s="1564"/>
      <c r="CJ34" s="1575"/>
      <c r="CL34" s="1580"/>
      <c r="CM34" s="1556"/>
      <c r="CN34" s="1556"/>
      <c r="CO34" s="1556"/>
      <c r="CP34" s="1556"/>
      <c r="CQ34" s="1564"/>
      <c r="CR34" s="1575"/>
      <c r="CT34" s="1580"/>
      <c r="CU34" s="1556"/>
      <c r="CV34" s="1556"/>
      <c r="CW34" s="1556"/>
      <c r="CX34" s="1556"/>
      <c r="CY34" s="1564"/>
      <c r="CZ34" s="1575"/>
      <c r="DB34" s="1580"/>
      <c r="DC34" s="1556"/>
      <c r="DD34" s="1556"/>
      <c r="DE34" s="1556"/>
      <c r="DF34" s="1556"/>
      <c r="DG34" s="1564"/>
      <c r="DH34" s="1575"/>
      <c r="DJ34" s="1580"/>
      <c r="DK34" s="1556"/>
      <c r="DL34" s="1556"/>
      <c r="DM34" s="1556"/>
      <c r="DN34" s="1556"/>
      <c r="DO34" s="1564"/>
      <c r="DP34" s="1575"/>
      <c r="DR34" s="1580"/>
      <c r="DS34" s="1556"/>
      <c r="DT34" s="1556"/>
      <c r="DU34" s="1556"/>
      <c r="DV34" s="1556"/>
      <c r="DW34" s="1564"/>
      <c r="DX34" s="1575"/>
      <c r="DZ34" s="1580"/>
      <c r="EA34" s="1556"/>
      <c r="EB34" s="1556"/>
      <c r="EC34" s="1556"/>
      <c r="ED34" s="1556"/>
      <c r="EE34" s="1564"/>
      <c r="EF34" s="1575"/>
      <c r="EH34" s="1580"/>
      <c r="EI34" s="1556"/>
      <c r="EJ34" s="1556"/>
      <c r="EK34" s="1556"/>
      <c r="EL34" s="1556"/>
      <c r="EM34" s="1564"/>
      <c r="EN34" s="1575"/>
      <c r="EP34" s="1580"/>
      <c r="EQ34" s="1556"/>
      <c r="ER34" s="1556"/>
      <c r="ES34" s="1556"/>
      <c r="ET34" s="1556"/>
      <c r="EU34" s="1564"/>
      <c r="EV34" s="1575"/>
      <c r="EX34" s="1580"/>
      <c r="EY34" s="1556"/>
      <c r="EZ34" s="1556"/>
      <c r="FA34" s="1556"/>
      <c r="FB34" s="1556"/>
      <c r="FC34" s="1564"/>
      <c r="FD34" s="1575"/>
      <c r="FF34" s="1580"/>
      <c r="FG34" s="1556"/>
      <c r="FH34" s="1556"/>
      <c r="FI34" s="1556"/>
      <c r="FJ34" s="1556"/>
      <c r="FK34" s="1564"/>
      <c r="FL34" s="1575"/>
      <c r="FN34" s="1580"/>
      <c r="FO34" s="1556"/>
      <c r="FP34" s="1556"/>
      <c r="FQ34" s="1556"/>
      <c r="FR34" s="1556"/>
      <c r="FS34" s="1564"/>
      <c r="FT34" s="1575"/>
      <c r="FV34" s="1580"/>
      <c r="FW34" s="1556"/>
      <c r="FX34" s="1556"/>
      <c r="FY34" s="1556"/>
      <c r="FZ34" s="1556"/>
      <c r="GA34" s="1564"/>
      <c r="GB34" s="1575"/>
      <c r="GD34" s="1580"/>
      <c r="GE34" s="1556"/>
      <c r="GF34" s="1556"/>
      <c r="GG34" s="1556"/>
      <c r="GH34" s="1556"/>
      <c r="GI34" s="1564"/>
      <c r="GJ34" s="1575"/>
      <c r="GL34" s="1580"/>
      <c r="GM34" s="1556"/>
      <c r="GN34" s="1556"/>
      <c r="GO34" s="1556"/>
      <c r="GP34" s="1556"/>
      <c r="GQ34" s="1564"/>
      <c r="GR34" s="1575"/>
      <c r="GT34" s="1580"/>
      <c r="GU34" s="1556"/>
      <c r="GV34" s="1556"/>
      <c r="GW34" s="1556"/>
      <c r="GX34" s="1556"/>
      <c r="GY34" s="1564"/>
      <c r="GZ34" s="1575"/>
      <c r="HB34" s="1580"/>
      <c r="HC34" s="1556"/>
      <c r="HD34" s="1556"/>
      <c r="HE34" s="1556"/>
      <c r="HF34" s="1556"/>
      <c r="HG34" s="1564"/>
      <c r="HH34" s="1575"/>
      <c r="HJ34" s="1580"/>
      <c r="HK34" s="1556"/>
      <c r="HL34" s="1556"/>
      <c r="HM34" s="1556"/>
      <c r="HN34" s="1556"/>
      <c r="HO34" s="1564"/>
      <c r="HP34" s="1575"/>
      <c r="HR34" s="1580"/>
      <c r="HS34" s="1556"/>
      <c r="HT34" s="1556"/>
      <c r="HU34" s="1556"/>
      <c r="HV34" s="1556"/>
      <c r="HW34" s="1564"/>
      <c r="HX34" s="1575"/>
      <c r="HZ34" s="1580"/>
      <c r="IA34" s="1556"/>
      <c r="IB34" s="1556"/>
      <c r="IC34" s="1556"/>
      <c r="ID34" s="1556"/>
      <c r="IE34" s="1564"/>
      <c r="IF34" s="1575"/>
      <c r="IH34" s="1580"/>
      <c r="II34" s="1556"/>
      <c r="IJ34" s="1556"/>
      <c r="IK34" s="1556"/>
      <c r="IL34" s="1556"/>
      <c r="IM34" s="1564"/>
      <c r="IN34" s="1575"/>
    </row>
    <row r="35" spans="1:248" s="1541" customFormat="1">
      <c r="A35" s="1595"/>
      <c r="B35" s="1600"/>
      <c r="C35" s="1600"/>
      <c r="D35" s="1600"/>
      <c r="E35" s="1600"/>
      <c r="F35" s="1556"/>
      <c r="G35" s="1562"/>
      <c r="H35" s="1553"/>
      <c r="J35" s="1567"/>
      <c r="K35" s="1556"/>
      <c r="L35" s="1556"/>
      <c r="M35" s="1556"/>
      <c r="N35" s="1556"/>
      <c r="O35" s="1564"/>
      <c r="P35" s="1553"/>
      <c r="R35" s="1567"/>
      <c r="S35" s="1556"/>
      <c r="T35" s="1556"/>
      <c r="U35" s="1556"/>
      <c r="V35" s="1556"/>
      <c r="W35" s="1564"/>
      <c r="X35" s="1553"/>
      <c r="Z35" s="1567"/>
      <c r="AA35" s="1556"/>
      <c r="AB35" s="1556"/>
      <c r="AC35" s="1556"/>
      <c r="AD35" s="1556"/>
      <c r="AE35" s="1564"/>
      <c r="AF35" s="1553"/>
      <c r="AH35" s="1567"/>
      <c r="AI35" s="1556"/>
      <c r="AJ35" s="1556"/>
      <c r="AK35" s="1556"/>
      <c r="AL35" s="1556"/>
      <c r="AM35" s="1564"/>
      <c r="AN35" s="1553"/>
      <c r="AP35" s="1567"/>
      <c r="AQ35" s="1556"/>
      <c r="AR35" s="1556"/>
      <c r="AS35" s="1556"/>
      <c r="AT35" s="1556"/>
      <c r="AU35" s="1564"/>
      <c r="AV35" s="1553"/>
      <c r="AX35" s="1567"/>
      <c r="AY35" s="1556"/>
      <c r="AZ35" s="1556"/>
      <c r="BA35" s="1556"/>
      <c r="BB35" s="1556"/>
      <c r="BC35" s="1564"/>
      <c r="BD35" s="1553"/>
      <c r="BF35" s="1567"/>
      <c r="BG35" s="1556"/>
      <c r="BH35" s="1556"/>
      <c r="BI35" s="1556"/>
      <c r="BJ35" s="1556"/>
      <c r="BK35" s="1564"/>
      <c r="BL35" s="1553"/>
      <c r="BN35" s="1567"/>
      <c r="BO35" s="1556"/>
      <c r="BP35" s="1556"/>
      <c r="BQ35" s="1556"/>
      <c r="BR35" s="1556"/>
      <c r="BS35" s="1564"/>
      <c r="BT35" s="1553"/>
      <c r="BV35" s="1567"/>
      <c r="BW35" s="1556"/>
      <c r="BX35" s="1556"/>
      <c r="BY35" s="1556"/>
      <c r="BZ35" s="1556"/>
      <c r="CA35" s="1564"/>
      <c r="CB35" s="1553"/>
      <c r="CD35" s="1567"/>
      <c r="CE35" s="1556"/>
      <c r="CF35" s="1556"/>
      <c r="CG35" s="1556"/>
      <c r="CH35" s="1556"/>
      <c r="CI35" s="1564"/>
      <c r="CJ35" s="1553"/>
      <c r="CL35" s="1567"/>
      <c r="CM35" s="1556"/>
      <c r="CN35" s="1556"/>
      <c r="CO35" s="1556"/>
      <c r="CP35" s="1556"/>
      <c r="CQ35" s="1564"/>
      <c r="CR35" s="1553"/>
      <c r="CT35" s="1567"/>
      <c r="CU35" s="1556"/>
      <c r="CV35" s="1556"/>
      <c r="CW35" s="1556"/>
      <c r="CX35" s="1556"/>
      <c r="CY35" s="1564"/>
      <c r="CZ35" s="1553"/>
      <c r="DB35" s="1567"/>
      <c r="DC35" s="1556"/>
      <c r="DD35" s="1556"/>
      <c r="DE35" s="1556"/>
      <c r="DF35" s="1556"/>
      <c r="DG35" s="1564"/>
      <c r="DH35" s="1553"/>
      <c r="DJ35" s="1567"/>
      <c r="DK35" s="1556"/>
      <c r="DL35" s="1556"/>
      <c r="DM35" s="1556"/>
      <c r="DN35" s="1556"/>
      <c r="DO35" s="1564"/>
      <c r="DP35" s="1553"/>
      <c r="DR35" s="1567"/>
      <c r="DS35" s="1556"/>
      <c r="DT35" s="1556"/>
      <c r="DU35" s="1556"/>
      <c r="DV35" s="1556"/>
      <c r="DW35" s="1564"/>
      <c r="DX35" s="1553"/>
      <c r="DZ35" s="1567"/>
      <c r="EA35" s="1556"/>
      <c r="EB35" s="1556"/>
      <c r="EC35" s="1556"/>
      <c r="ED35" s="1556"/>
      <c r="EE35" s="1564"/>
      <c r="EF35" s="1553"/>
      <c r="EH35" s="1567"/>
      <c r="EI35" s="1556"/>
      <c r="EJ35" s="1556"/>
      <c r="EK35" s="1556"/>
      <c r="EL35" s="1556"/>
      <c r="EM35" s="1564"/>
      <c r="EN35" s="1553"/>
      <c r="EP35" s="1567"/>
      <c r="EQ35" s="1556"/>
      <c r="ER35" s="1556"/>
      <c r="ES35" s="1556"/>
      <c r="ET35" s="1556"/>
      <c r="EU35" s="1564"/>
      <c r="EV35" s="1553"/>
      <c r="EX35" s="1567"/>
      <c r="EY35" s="1556"/>
      <c r="EZ35" s="1556"/>
      <c r="FA35" s="1556"/>
      <c r="FB35" s="1556"/>
      <c r="FC35" s="1564"/>
      <c r="FD35" s="1553"/>
      <c r="FF35" s="1567"/>
      <c r="FG35" s="1556"/>
      <c r="FH35" s="1556"/>
      <c r="FI35" s="1556"/>
      <c r="FJ35" s="1556"/>
      <c r="FK35" s="1564"/>
      <c r="FL35" s="1553"/>
      <c r="FN35" s="1567"/>
      <c r="FO35" s="1556"/>
      <c r="FP35" s="1556"/>
      <c r="FQ35" s="1556"/>
      <c r="FR35" s="1556"/>
      <c r="FS35" s="1564"/>
      <c r="FT35" s="1553"/>
      <c r="FV35" s="1567"/>
      <c r="FW35" s="1556"/>
      <c r="FX35" s="1556"/>
      <c r="FY35" s="1556"/>
      <c r="FZ35" s="1556"/>
      <c r="GA35" s="1564"/>
      <c r="GB35" s="1553"/>
      <c r="GD35" s="1567"/>
      <c r="GE35" s="1556"/>
      <c r="GF35" s="1556"/>
      <c r="GG35" s="1556"/>
      <c r="GH35" s="1556"/>
      <c r="GI35" s="1564"/>
      <c r="GJ35" s="1553"/>
      <c r="GL35" s="1567"/>
      <c r="GM35" s="1556"/>
      <c r="GN35" s="1556"/>
      <c r="GO35" s="1556"/>
      <c r="GP35" s="1556"/>
      <c r="GQ35" s="1564"/>
      <c r="GR35" s="1553"/>
      <c r="GT35" s="1567"/>
      <c r="GU35" s="1556"/>
      <c r="GV35" s="1556"/>
      <c r="GW35" s="1556"/>
      <c r="GX35" s="1556"/>
      <c r="GY35" s="1564"/>
      <c r="GZ35" s="1553"/>
      <c r="HB35" s="1567"/>
      <c r="HC35" s="1556"/>
      <c r="HD35" s="1556"/>
      <c r="HE35" s="1556"/>
      <c r="HF35" s="1556"/>
      <c r="HG35" s="1564"/>
      <c r="HH35" s="1553"/>
      <c r="HJ35" s="1567"/>
      <c r="HK35" s="1556"/>
      <c r="HL35" s="1556"/>
      <c r="HM35" s="1556"/>
      <c r="HN35" s="1556"/>
      <c r="HO35" s="1564"/>
      <c r="HP35" s="1553"/>
      <c r="HR35" s="1567"/>
      <c r="HS35" s="1556"/>
      <c r="HT35" s="1556"/>
      <c r="HU35" s="1556"/>
      <c r="HV35" s="1556"/>
      <c r="HW35" s="1564"/>
      <c r="HX35" s="1553"/>
      <c r="HZ35" s="1567"/>
      <c r="IA35" s="1556"/>
      <c r="IB35" s="1556"/>
      <c r="IC35" s="1556"/>
      <c r="ID35" s="1556"/>
      <c r="IE35" s="1564"/>
      <c r="IF35" s="1553"/>
      <c r="IH35" s="1567"/>
      <c r="II35" s="1556"/>
      <c r="IJ35" s="1556"/>
      <c r="IK35" s="1556"/>
      <c r="IL35" s="1556"/>
      <c r="IM35" s="1564"/>
      <c r="IN35" s="1553"/>
    </row>
    <row r="36" spans="1:248" s="1541" customFormat="1">
      <c r="A36" s="1598" t="s">
        <v>446</v>
      </c>
      <c r="B36" s="1600"/>
      <c r="C36" s="1600"/>
      <c r="D36" s="1600"/>
      <c r="E36" s="1600"/>
      <c r="F36" s="1556"/>
      <c r="G36" s="1562"/>
      <c r="H36" s="1553"/>
      <c r="J36" s="1567"/>
      <c r="K36" s="1556"/>
      <c r="L36" s="1556"/>
      <c r="M36" s="1556"/>
      <c r="N36" s="1556"/>
      <c r="O36" s="1564"/>
      <c r="P36" s="1553"/>
      <c r="R36" s="1567"/>
      <c r="S36" s="1556"/>
      <c r="T36" s="1556"/>
      <c r="U36" s="1556"/>
      <c r="V36" s="1556"/>
      <c r="W36" s="1564"/>
      <c r="X36" s="1553"/>
      <c r="Z36" s="1567"/>
      <c r="AA36" s="1556"/>
      <c r="AB36" s="1556"/>
      <c r="AC36" s="1556"/>
      <c r="AD36" s="1556"/>
      <c r="AE36" s="1564"/>
      <c r="AF36" s="1553"/>
      <c r="AH36" s="1567"/>
      <c r="AI36" s="1556"/>
      <c r="AJ36" s="1556"/>
      <c r="AK36" s="1556"/>
      <c r="AL36" s="1556"/>
      <c r="AM36" s="1564"/>
      <c r="AN36" s="1553"/>
      <c r="AP36" s="1567"/>
      <c r="AQ36" s="1556"/>
      <c r="AR36" s="1556"/>
      <c r="AS36" s="1556"/>
      <c r="AT36" s="1556"/>
      <c r="AU36" s="1564"/>
      <c r="AV36" s="1553"/>
      <c r="AX36" s="1567"/>
      <c r="AY36" s="1556"/>
      <c r="AZ36" s="1556"/>
      <c r="BA36" s="1556"/>
      <c r="BB36" s="1556"/>
      <c r="BC36" s="1564"/>
      <c r="BD36" s="1553"/>
      <c r="BF36" s="1567"/>
      <c r="BG36" s="1556"/>
      <c r="BH36" s="1556"/>
      <c r="BI36" s="1556"/>
      <c r="BJ36" s="1556"/>
      <c r="BK36" s="1564"/>
      <c r="BL36" s="1553"/>
      <c r="BN36" s="1567"/>
      <c r="BO36" s="1556"/>
      <c r="BP36" s="1556"/>
      <c r="BQ36" s="1556"/>
      <c r="BR36" s="1556"/>
      <c r="BS36" s="1564"/>
      <c r="BT36" s="1553"/>
      <c r="BV36" s="1567"/>
      <c r="BW36" s="1556"/>
      <c r="BX36" s="1556"/>
      <c r="BY36" s="1556"/>
      <c r="BZ36" s="1556"/>
      <c r="CA36" s="1564"/>
      <c r="CB36" s="1553"/>
      <c r="CD36" s="1567"/>
      <c r="CE36" s="1556"/>
      <c r="CF36" s="1556"/>
      <c r="CG36" s="1556"/>
      <c r="CH36" s="1556"/>
      <c r="CI36" s="1564"/>
      <c r="CJ36" s="1553"/>
      <c r="CL36" s="1567"/>
      <c r="CM36" s="1556"/>
      <c r="CN36" s="1556"/>
      <c r="CO36" s="1556"/>
      <c r="CP36" s="1556"/>
      <c r="CQ36" s="1564"/>
      <c r="CR36" s="1553"/>
      <c r="CT36" s="1567"/>
      <c r="CU36" s="1556"/>
      <c r="CV36" s="1556"/>
      <c r="CW36" s="1556"/>
      <c r="CX36" s="1556"/>
      <c r="CY36" s="1564"/>
      <c r="CZ36" s="1553"/>
      <c r="DB36" s="1567"/>
      <c r="DC36" s="1556"/>
      <c r="DD36" s="1556"/>
      <c r="DE36" s="1556"/>
      <c r="DF36" s="1556"/>
      <c r="DG36" s="1564"/>
      <c r="DH36" s="1553"/>
      <c r="DJ36" s="1567"/>
      <c r="DK36" s="1556"/>
      <c r="DL36" s="1556"/>
      <c r="DM36" s="1556"/>
      <c r="DN36" s="1556"/>
      <c r="DO36" s="1564"/>
      <c r="DP36" s="1553"/>
      <c r="DR36" s="1567"/>
      <c r="DS36" s="1556"/>
      <c r="DT36" s="1556"/>
      <c r="DU36" s="1556"/>
      <c r="DV36" s="1556"/>
      <c r="DW36" s="1564"/>
      <c r="DX36" s="1553"/>
      <c r="DZ36" s="1567"/>
      <c r="EA36" s="1556"/>
      <c r="EB36" s="1556"/>
      <c r="EC36" s="1556"/>
      <c r="ED36" s="1556"/>
      <c r="EE36" s="1564"/>
      <c r="EF36" s="1553"/>
      <c r="EH36" s="1567"/>
      <c r="EI36" s="1556"/>
      <c r="EJ36" s="1556"/>
      <c r="EK36" s="1556"/>
      <c r="EL36" s="1556"/>
      <c r="EM36" s="1564"/>
      <c r="EN36" s="1553"/>
      <c r="EP36" s="1567"/>
      <c r="EQ36" s="1556"/>
      <c r="ER36" s="1556"/>
      <c r="ES36" s="1556"/>
      <c r="ET36" s="1556"/>
      <c r="EU36" s="1564"/>
      <c r="EV36" s="1553"/>
      <c r="EX36" s="1567"/>
      <c r="EY36" s="1556"/>
      <c r="EZ36" s="1556"/>
      <c r="FA36" s="1556"/>
      <c r="FB36" s="1556"/>
      <c r="FC36" s="1564"/>
      <c r="FD36" s="1553"/>
      <c r="FF36" s="1567"/>
      <c r="FG36" s="1556"/>
      <c r="FH36" s="1556"/>
      <c r="FI36" s="1556"/>
      <c r="FJ36" s="1556"/>
      <c r="FK36" s="1564"/>
      <c r="FL36" s="1553"/>
      <c r="FN36" s="1567"/>
      <c r="FO36" s="1556"/>
      <c r="FP36" s="1556"/>
      <c r="FQ36" s="1556"/>
      <c r="FR36" s="1556"/>
      <c r="FS36" s="1564"/>
      <c r="FT36" s="1553"/>
      <c r="FV36" s="1567"/>
      <c r="FW36" s="1556"/>
      <c r="FX36" s="1556"/>
      <c r="FY36" s="1556"/>
      <c r="FZ36" s="1556"/>
      <c r="GA36" s="1564"/>
      <c r="GB36" s="1553"/>
      <c r="GD36" s="1567"/>
      <c r="GE36" s="1556"/>
      <c r="GF36" s="1556"/>
      <c r="GG36" s="1556"/>
      <c r="GH36" s="1556"/>
      <c r="GI36" s="1564"/>
      <c r="GJ36" s="1553"/>
      <c r="GL36" s="1567"/>
      <c r="GM36" s="1556"/>
      <c r="GN36" s="1556"/>
      <c r="GO36" s="1556"/>
      <c r="GP36" s="1556"/>
      <c r="GQ36" s="1564"/>
      <c r="GR36" s="1553"/>
      <c r="GT36" s="1567"/>
      <c r="GU36" s="1556"/>
      <c r="GV36" s="1556"/>
      <c r="GW36" s="1556"/>
      <c r="GX36" s="1556"/>
      <c r="GY36" s="1564"/>
      <c r="GZ36" s="1553"/>
      <c r="HB36" s="1567"/>
      <c r="HC36" s="1556"/>
      <c r="HD36" s="1556"/>
      <c r="HE36" s="1556"/>
      <c r="HF36" s="1556"/>
      <c r="HG36" s="1564"/>
      <c r="HH36" s="1553"/>
      <c r="HJ36" s="1567"/>
      <c r="HK36" s="1556"/>
      <c r="HL36" s="1556"/>
      <c r="HM36" s="1556"/>
      <c r="HN36" s="1556"/>
      <c r="HO36" s="1564"/>
      <c r="HP36" s="1553"/>
      <c r="HR36" s="1567"/>
      <c r="HS36" s="1556"/>
      <c r="HT36" s="1556"/>
      <c r="HU36" s="1556"/>
      <c r="HV36" s="1556"/>
      <c r="HW36" s="1564"/>
      <c r="HX36" s="1553"/>
      <c r="HZ36" s="1567"/>
      <c r="IA36" s="1556"/>
      <c r="IB36" s="1556"/>
      <c r="IC36" s="1556"/>
      <c r="ID36" s="1556"/>
      <c r="IE36" s="1564"/>
      <c r="IF36" s="1553"/>
      <c r="IH36" s="1567"/>
      <c r="II36" s="1556"/>
      <c r="IJ36" s="1556"/>
      <c r="IK36" s="1556"/>
      <c r="IL36" s="1556"/>
      <c r="IM36" s="1564"/>
      <c r="IN36" s="1553"/>
    </row>
    <row r="37" spans="1:248" s="1541" customFormat="1">
      <c r="A37" s="1590" t="s">
        <v>462</v>
      </c>
      <c r="B37" s="1600"/>
      <c r="C37" s="1600"/>
      <c r="D37" s="1600"/>
      <c r="E37" s="1600"/>
      <c r="F37" s="1556"/>
      <c r="G37" s="1562"/>
      <c r="I37" s="1581"/>
    </row>
    <row r="38" spans="1:248" s="1541" customFormat="1">
      <c r="A38" s="1590" t="s">
        <v>463</v>
      </c>
      <c r="B38" s="1600"/>
      <c r="C38" s="1600"/>
      <c r="D38" s="1600"/>
      <c r="E38" s="1600"/>
      <c r="F38" s="1556"/>
      <c r="G38" s="1562"/>
    </row>
    <row r="39" spans="1:248" s="1541" customFormat="1">
      <c r="A39" s="1595" t="s">
        <v>464</v>
      </c>
      <c r="B39" s="1600">
        <v>8.4700000000000006</v>
      </c>
      <c r="C39" s="1600">
        <f t="shared" ref="C39:C41" si="3">ROUND(B39*$C$6,2)</f>
        <v>1.2</v>
      </c>
      <c r="D39" s="1600"/>
      <c r="E39" s="1600">
        <f>B39+C39</f>
        <v>9.67</v>
      </c>
      <c r="F39" s="1556"/>
      <c r="G39" s="1557">
        <f>(B39*$C$6)-C39</f>
        <v>1.0611719054309798E-3</v>
      </c>
    </row>
    <row r="40" spans="1:248" s="1541" customFormat="1">
      <c r="A40" s="1595" t="s">
        <v>21</v>
      </c>
      <c r="B40" s="1600">
        <v>47.44</v>
      </c>
      <c r="C40" s="1600">
        <f t="shared" si="3"/>
        <v>6.73</v>
      </c>
      <c r="D40" s="1600"/>
      <c r="E40" s="1600">
        <f>B40+C40</f>
        <v>54.17</v>
      </c>
      <c r="F40" s="1556"/>
      <c r="G40" s="1557">
        <f>(B40*$C$6)-C40</f>
        <v>-2.9230229995711454E-3</v>
      </c>
    </row>
    <row r="41" spans="1:248" s="1541" customFormat="1">
      <c r="A41" s="1595" t="s">
        <v>465</v>
      </c>
      <c r="B41" s="1600">
        <v>40.33</v>
      </c>
      <c r="C41" s="1600">
        <f t="shared" si="3"/>
        <v>5.72</v>
      </c>
      <c r="D41" s="1600"/>
      <c r="E41" s="1600">
        <f>B41+C41</f>
        <v>46.05</v>
      </c>
      <c r="F41" s="1556"/>
      <c r="G41" s="1557">
        <f>(B41*$C$6)-C41</f>
        <v>-1.1337588021227418E-3</v>
      </c>
    </row>
    <row r="42" spans="1:248" s="1541" customFormat="1">
      <c r="A42" s="1595"/>
      <c r="B42" s="1600"/>
      <c r="C42" s="1600"/>
      <c r="D42" s="1600"/>
      <c r="E42" s="1600"/>
      <c r="F42" s="1556"/>
      <c r="G42" s="1562"/>
    </row>
    <row r="43" spans="1:248" s="1541" customFormat="1">
      <c r="A43" s="1598" t="s">
        <v>446</v>
      </c>
      <c r="B43" s="1600"/>
      <c r="C43" s="1600"/>
      <c r="D43" s="1600"/>
      <c r="E43" s="1600"/>
      <c r="F43" s="1556"/>
      <c r="G43" s="1562"/>
    </row>
    <row r="44" spans="1:248" s="1541" customFormat="1">
      <c r="A44" s="1590" t="s">
        <v>466</v>
      </c>
      <c r="B44" s="1600"/>
      <c r="C44" s="1600"/>
      <c r="D44" s="1600"/>
      <c r="E44" s="1600"/>
      <c r="F44" s="1556"/>
      <c r="G44" s="1562"/>
    </row>
    <row r="45" spans="1:248" s="1541" customFormat="1">
      <c r="A45" s="1590" t="s">
        <v>467</v>
      </c>
      <c r="B45" s="1600"/>
      <c r="C45" s="1600"/>
      <c r="D45" s="1600"/>
      <c r="E45" s="1600"/>
      <c r="F45" s="1556"/>
      <c r="G45" s="1562"/>
    </row>
    <row r="46" spans="1:248" s="1541" customFormat="1">
      <c r="A46" s="1595" t="s">
        <v>468</v>
      </c>
      <c r="B46" s="1600">
        <v>0.84</v>
      </c>
      <c r="C46" s="1600">
        <f t="shared" ref="C46:C47" si="4">ROUND(B46*$C$6,2)</f>
        <v>0.12</v>
      </c>
      <c r="D46" s="1600"/>
      <c r="E46" s="1600">
        <f>B46+C46</f>
        <v>0.96</v>
      </c>
      <c r="F46" s="1556"/>
      <c r="G46" s="1557">
        <f>(B46*$C$6)-C46</f>
        <v>-8.8649534822174414E-4</v>
      </c>
    </row>
    <row r="47" spans="1:248" s="1541" customFormat="1">
      <c r="A47" s="1595" t="s">
        <v>469</v>
      </c>
      <c r="B47" s="1600">
        <v>0.52</v>
      </c>
      <c r="C47" s="1600">
        <f t="shared" si="4"/>
        <v>7.0000000000000007E-2</v>
      </c>
      <c r="D47" s="1600"/>
      <c r="E47" s="1600">
        <f>B47+C47</f>
        <v>0.59000000000000008</v>
      </c>
      <c r="F47" s="1556"/>
      <c r="G47" s="1557">
        <f>(B47*$C$6)-C47</f>
        <v>3.7369314511008223E-3</v>
      </c>
    </row>
    <row r="48" spans="1:248" s="1541" customFormat="1">
      <c r="A48" s="1595"/>
      <c r="B48" s="1600"/>
      <c r="C48" s="1600"/>
      <c r="D48" s="1600"/>
      <c r="E48" s="1600"/>
      <c r="F48" s="1556"/>
      <c r="G48" s="1562"/>
    </row>
    <row r="49" spans="1:7" s="1541" customFormat="1">
      <c r="A49" s="1595" t="s">
        <v>468</v>
      </c>
      <c r="B49" s="1600">
        <f>B46</f>
        <v>0.84</v>
      </c>
      <c r="C49" s="1600">
        <f t="shared" ref="C49:C50" si="5">ROUND(B49*$C$6,2)</f>
        <v>0.12</v>
      </c>
      <c r="D49" s="1600"/>
      <c r="E49" s="1600">
        <f>B49+C49</f>
        <v>0.96</v>
      </c>
      <c r="F49" s="1556"/>
      <c r="G49" s="1557">
        <f>(B49*$C$6)-C49</f>
        <v>-8.8649534822174414E-4</v>
      </c>
    </row>
    <row r="50" spans="1:7" s="1541" customFormat="1">
      <c r="A50" s="1595" t="s">
        <v>469</v>
      </c>
      <c r="B50" s="1600">
        <f>B47</f>
        <v>0.52</v>
      </c>
      <c r="C50" s="1600">
        <f t="shared" si="5"/>
        <v>7.0000000000000007E-2</v>
      </c>
      <c r="D50" s="1600"/>
      <c r="E50" s="1600">
        <f>B50+C50</f>
        <v>0.59000000000000008</v>
      </c>
      <c r="F50" s="1556"/>
      <c r="G50" s="1557">
        <f>(B50*$C$6)-C50</f>
        <v>3.7369314511008223E-3</v>
      </c>
    </row>
    <row r="51" spans="1:7" s="1541" customFormat="1">
      <c r="A51" s="1595"/>
      <c r="B51" s="1600"/>
      <c r="C51" s="1600"/>
      <c r="D51" s="1600"/>
      <c r="E51" s="1600"/>
      <c r="F51" s="1556"/>
      <c r="G51" s="1562"/>
    </row>
    <row r="52" spans="1:7" s="1541" customFormat="1">
      <c r="A52" s="1590" t="s">
        <v>470</v>
      </c>
      <c r="B52" s="1600"/>
      <c r="C52" s="1600"/>
      <c r="D52" s="1600"/>
      <c r="E52" s="1600"/>
      <c r="F52" s="1556"/>
      <c r="G52" s="1562"/>
    </row>
    <row r="53" spans="1:7" s="1541" customFormat="1">
      <c r="A53" s="1595" t="s">
        <v>471</v>
      </c>
      <c r="B53" s="1600">
        <v>1.61</v>
      </c>
      <c r="C53" s="1600">
        <f t="shared" ref="C53:C54" si="6">ROUND(B53*$C$6,2)</f>
        <v>0.23</v>
      </c>
      <c r="D53" s="1600"/>
      <c r="E53" s="1600">
        <f>B53+C53</f>
        <v>1.84</v>
      </c>
      <c r="F53" s="1556"/>
      <c r="G53" s="1557">
        <f>(B53*$C$6)-C53</f>
        <v>-1.6991160840916508E-3</v>
      </c>
    </row>
    <row r="54" spans="1:7" s="1541" customFormat="1">
      <c r="A54" s="1595" t="s">
        <v>472</v>
      </c>
      <c r="B54" s="1600">
        <v>1.03</v>
      </c>
      <c r="C54" s="1600">
        <f t="shared" si="6"/>
        <v>0.15</v>
      </c>
      <c r="D54" s="1600"/>
      <c r="E54" s="1600">
        <f>B54+C54</f>
        <v>1.18</v>
      </c>
      <c r="F54" s="1556"/>
      <c r="G54" s="1557">
        <f>(B54*$C$6)-C54</f>
        <v>-3.9441550103195E-3</v>
      </c>
    </row>
    <row r="55" spans="1:7" s="1541" customFormat="1">
      <c r="A55" s="1595"/>
      <c r="B55" s="1600"/>
      <c r="C55" s="1600"/>
      <c r="D55" s="1600"/>
      <c r="E55" s="1600"/>
      <c r="F55" s="1556"/>
      <c r="G55" s="1562"/>
    </row>
    <row r="56" spans="1:7" s="1541" customFormat="1">
      <c r="A56" s="1595" t="s">
        <v>471</v>
      </c>
      <c r="B56" s="1600">
        <f>B53</f>
        <v>1.61</v>
      </c>
      <c r="C56" s="1600">
        <f t="shared" ref="C56:C57" si="7">ROUND(B56*$C$6,2)</f>
        <v>0.23</v>
      </c>
      <c r="D56" s="1600"/>
      <c r="E56" s="1600">
        <f>B56+C56</f>
        <v>1.84</v>
      </c>
      <c r="F56" s="1556"/>
      <c r="G56" s="1557">
        <f>(B56*$C$6)-C56</f>
        <v>-1.6991160840916508E-3</v>
      </c>
    </row>
    <row r="57" spans="1:7" s="1541" customFormat="1">
      <c r="A57" s="1595" t="s">
        <v>472</v>
      </c>
      <c r="B57" s="1600">
        <f>B54</f>
        <v>1.03</v>
      </c>
      <c r="C57" s="1600">
        <f t="shared" si="7"/>
        <v>0.15</v>
      </c>
      <c r="D57" s="1600"/>
      <c r="E57" s="1600">
        <f>B57+C57</f>
        <v>1.18</v>
      </c>
      <c r="F57" s="1556"/>
      <c r="G57" s="1557">
        <f>(B57*$C$6)-C57</f>
        <v>-3.9441550103195E-3</v>
      </c>
    </row>
    <row r="58" spans="1:7" s="1541" customFormat="1">
      <c r="A58" s="1595"/>
      <c r="B58" s="1600"/>
      <c r="C58" s="1600"/>
      <c r="D58" s="1600"/>
      <c r="E58" s="1600"/>
      <c r="F58" s="1556"/>
      <c r="G58" s="1562"/>
    </row>
    <row r="59" spans="1:7" s="1541" customFormat="1">
      <c r="A59" s="1598" t="s">
        <v>446</v>
      </c>
      <c r="B59" s="1600"/>
      <c r="C59" s="1600"/>
      <c r="D59" s="1600"/>
      <c r="E59" s="1600"/>
      <c r="F59" s="1556"/>
      <c r="G59" s="1562"/>
    </row>
    <row r="60" spans="1:7" s="1541" customFormat="1">
      <c r="A60" s="1590" t="s">
        <v>473</v>
      </c>
      <c r="B60" s="1600"/>
      <c r="C60" s="1600"/>
      <c r="D60" s="1600"/>
      <c r="E60" s="1600"/>
      <c r="F60" s="1556"/>
      <c r="G60" s="1562"/>
    </row>
    <row r="61" spans="1:7" s="1541" customFormat="1">
      <c r="A61" s="1595" t="s">
        <v>474</v>
      </c>
      <c r="B61" s="1600">
        <v>0.35</v>
      </c>
      <c r="C61" s="1600">
        <f t="shared" ref="C61:C63" si="8">ROUND(B61*$C$6,2)</f>
        <v>0.05</v>
      </c>
      <c r="D61" s="1600"/>
      <c r="E61" s="1600">
        <f>B61+C61</f>
        <v>0.39999999999999997</v>
      </c>
      <c r="F61" s="1556"/>
      <c r="G61" s="1557">
        <f>(B61*$C$6)-C61</f>
        <v>-3.6937306175906237E-4</v>
      </c>
    </row>
    <row r="62" spans="1:7" s="1541" customFormat="1">
      <c r="A62" s="1595" t="s">
        <v>475</v>
      </c>
      <c r="B62" s="1600">
        <f>B61</f>
        <v>0.35</v>
      </c>
      <c r="C62" s="1600">
        <f t="shared" si="8"/>
        <v>0.05</v>
      </c>
      <c r="D62" s="1600"/>
      <c r="E62" s="1600">
        <f>B62+C62</f>
        <v>0.39999999999999997</v>
      </c>
      <c r="F62" s="1556"/>
      <c r="G62" s="1557">
        <f>(B62*$C$6)-C62</f>
        <v>-3.6937306175906237E-4</v>
      </c>
    </row>
    <row r="63" spans="1:7" s="1541" customFormat="1">
      <c r="A63" s="1595" t="s">
        <v>476</v>
      </c>
      <c r="B63" s="1600">
        <f>B61</f>
        <v>0.35</v>
      </c>
      <c r="C63" s="1600">
        <f t="shared" si="8"/>
        <v>0.05</v>
      </c>
      <c r="D63" s="1600"/>
      <c r="E63" s="1600">
        <f>B63+C63</f>
        <v>0.39999999999999997</v>
      </c>
      <c r="F63" s="1556"/>
      <c r="G63" s="1557">
        <f>(B63*$C$6)-C63</f>
        <v>-3.6937306175906237E-4</v>
      </c>
    </row>
    <row r="64" spans="1:7" s="1541" customFormat="1">
      <c r="A64" s="1595"/>
      <c r="B64" s="1600"/>
      <c r="C64" s="1600"/>
      <c r="D64" s="1600"/>
      <c r="E64" s="1600"/>
      <c r="F64" s="1556"/>
      <c r="G64" s="1562"/>
    </row>
    <row r="65" spans="1:7" s="1541" customFormat="1">
      <c r="A65" s="1595" t="s">
        <v>474</v>
      </c>
      <c r="B65" s="1600">
        <f>B61</f>
        <v>0.35</v>
      </c>
      <c r="C65" s="1600">
        <f t="shared" ref="C65:C66" si="9">ROUND(B65*$C$6,2)</f>
        <v>0.05</v>
      </c>
      <c r="D65" s="1600"/>
      <c r="E65" s="1600">
        <f>B65+C65</f>
        <v>0.39999999999999997</v>
      </c>
      <c r="F65" s="1556"/>
      <c r="G65" s="1557">
        <f>(B65*$C$6)-C65</f>
        <v>-3.6937306175906237E-4</v>
      </c>
    </row>
    <row r="66" spans="1:7" s="1541" customFormat="1">
      <c r="A66" s="1595" t="s">
        <v>475</v>
      </c>
      <c r="B66" s="1600">
        <f>B61</f>
        <v>0.35</v>
      </c>
      <c r="C66" s="1600">
        <f t="shared" si="9"/>
        <v>0.05</v>
      </c>
      <c r="D66" s="1600"/>
      <c r="E66" s="1600">
        <f>B66+C66</f>
        <v>0.39999999999999997</v>
      </c>
      <c r="F66" s="1556"/>
      <c r="G66" s="1557">
        <f>(B66*$C$6)-C66</f>
        <v>-3.6937306175906237E-4</v>
      </c>
    </row>
    <row r="67" spans="1:7" s="1541" customFormat="1">
      <c r="A67" s="1595" t="s">
        <v>476</v>
      </c>
      <c r="B67" s="1600">
        <f>B61</f>
        <v>0.35</v>
      </c>
      <c r="C67" s="1600">
        <f t="shared" ref="C67" si="10">ROUND(B67*$C$6,2)</f>
        <v>0.05</v>
      </c>
      <c r="D67" s="1600"/>
      <c r="E67" s="1600">
        <f>B67+C67</f>
        <v>0.39999999999999997</v>
      </c>
      <c r="F67" s="1556"/>
      <c r="G67" s="1557">
        <f>(B67*$C$6)-C67</f>
        <v>-3.6937306175906237E-4</v>
      </c>
    </row>
    <row r="68" spans="1:7" s="1541" customFormat="1">
      <c r="A68" s="1595"/>
      <c r="B68" s="1600"/>
      <c r="C68" s="1600"/>
      <c r="D68" s="1600"/>
      <c r="E68" s="1600"/>
      <c r="F68" s="1556"/>
      <c r="G68" s="1562"/>
    </row>
    <row r="69" spans="1:7" s="1541" customFormat="1">
      <c r="A69" s="1601" t="s">
        <v>453</v>
      </c>
      <c r="B69" s="1600"/>
      <c r="C69" s="1600"/>
      <c r="D69" s="1600"/>
      <c r="E69" s="1600"/>
      <c r="F69" s="1556"/>
      <c r="G69" s="1562"/>
    </row>
    <row r="70" spans="1:7" s="1541" customFormat="1">
      <c r="A70" s="1590" t="s">
        <v>477</v>
      </c>
      <c r="B70" s="1600"/>
      <c r="C70" s="1600"/>
      <c r="D70" s="1600"/>
      <c r="E70" s="1600"/>
      <c r="F70" s="1556"/>
      <c r="G70" s="1562"/>
    </row>
    <row r="71" spans="1:7" s="1541" customFormat="1">
      <c r="A71" s="1595" t="s">
        <v>478</v>
      </c>
      <c r="B71" s="1600">
        <v>14.27</v>
      </c>
      <c r="C71" s="1600">
        <f t="shared" ref="C71:C80" si="11">ROUND(B71*$C$6,2)</f>
        <v>2.02</v>
      </c>
      <c r="D71" s="1600"/>
      <c r="E71" s="1600">
        <f t="shared" ref="E71:E80" si="12">B71+C71</f>
        <v>16.29</v>
      </c>
      <c r="F71" s="1556"/>
      <c r="G71" s="1557">
        <f t="shared" ref="G71:G80" si="13">(B71*$C$6)-C71</f>
        <v>3.5115611677092318E-3</v>
      </c>
    </row>
    <row r="72" spans="1:7" s="1541" customFormat="1">
      <c r="A72" s="1595" t="s">
        <v>479</v>
      </c>
      <c r="B72" s="1600">
        <v>18.2</v>
      </c>
      <c r="C72" s="1600">
        <f t="shared" si="11"/>
        <v>2.58</v>
      </c>
      <c r="D72" s="1600"/>
      <c r="E72" s="1600">
        <f t="shared" si="12"/>
        <v>20.78</v>
      </c>
      <c r="F72" s="1556"/>
      <c r="G72" s="1557">
        <f t="shared" si="13"/>
        <v>7.9260078852882998E-4</v>
      </c>
    </row>
    <row r="73" spans="1:7" s="1541" customFormat="1">
      <c r="A73" s="1595" t="s">
        <v>480</v>
      </c>
      <c r="B73" s="1600">
        <v>24.19</v>
      </c>
      <c r="C73" s="1600">
        <f t="shared" si="11"/>
        <v>3.43</v>
      </c>
      <c r="D73" s="1600"/>
      <c r="E73" s="1600">
        <f t="shared" si="12"/>
        <v>27.62</v>
      </c>
      <c r="F73" s="1556"/>
      <c r="G73" s="1557">
        <f t="shared" si="13"/>
        <v>1.8533038870982566E-4</v>
      </c>
    </row>
    <row r="74" spans="1:7" s="1541" customFormat="1">
      <c r="A74" s="1595" t="s">
        <v>481</v>
      </c>
      <c r="B74" s="1600">
        <v>32.11</v>
      </c>
      <c r="C74" s="1600">
        <f t="shared" si="11"/>
        <v>4.55</v>
      </c>
      <c r="D74" s="1600"/>
      <c r="E74" s="1600">
        <f t="shared" si="12"/>
        <v>36.659999999999997</v>
      </c>
      <c r="F74" s="1556"/>
      <c r="G74" s="1557">
        <f t="shared" si="13"/>
        <v>3.2555171054760024E-3</v>
      </c>
    </row>
    <row r="75" spans="1:7" s="1541" customFormat="1">
      <c r="A75" s="1595" t="s">
        <v>482</v>
      </c>
      <c r="B75" s="1600">
        <v>41.93</v>
      </c>
      <c r="C75" s="1600">
        <f t="shared" si="11"/>
        <v>5.95</v>
      </c>
      <c r="D75" s="1600"/>
      <c r="E75" s="1600">
        <f t="shared" si="12"/>
        <v>47.88</v>
      </c>
      <c r="F75" s="1556"/>
      <c r="G75" s="1557">
        <f t="shared" si="13"/>
        <v>-4.2508927987352507E-3</v>
      </c>
    </row>
    <row r="76" spans="1:7" s="1541" customFormat="1">
      <c r="A76" s="1595" t="s">
        <v>483</v>
      </c>
      <c r="B76" s="1600">
        <v>50.83</v>
      </c>
      <c r="C76" s="1600">
        <f t="shared" si="11"/>
        <v>7.21</v>
      </c>
      <c r="D76" s="1600"/>
      <c r="E76" s="1600">
        <f t="shared" si="12"/>
        <v>58.04</v>
      </c>
      <c r="F76" s="1556"/>
      <c r="G76" s="1557">
        <f t="shared" si="13"/>
        <v>-2.2149506548938547E-3</v>
      </c>
    </row>
    <row r="77" spans="1:7" s="1541" customFormat="1">
      <c r="A77" s="1595" t="s">
        <v>484</v>
      </c>
      <c r="B77" s="1600">
        <v>59.91</v>
      </c>
      <c r="C77" s="1600">
        <f t="shared" si="11"/>
        <v>8.5</v>
      </c>
      <c r="D77" s="1600"/>
      <c r="E77" s="1600">
        <f t="shared" si="12"/>
        <v>68.41</v>
      </c>
      <c r="F77" s="1556"/>
      <c r="G77" s="1557">
        <f t="shared" si="13"/>
        <v>-4.6546860856722105E-3</v>
      </c>
    </row>
    <row r="78" spans="1:7" s="1541" customFormat="1">
      <c r="A78" s="1595" t="s">
        <v>485</v>
      </c>
      <c r="B78" s="1600">
        <v>25.91</v>
      </c>
      <c r="C78" s="1600">
        <f t="shared" si="11"/>
        <v>3.67</v>
      </c>
      <c r="D78" s="1600"/>
      <c r="E78" s="1600">
        <f t="shared" si="12"/>
        <v>29.58</v>
      </c>
      <c r="F78" s="1556"/>
      <c r="G78" s="1557">
        <f t="shared" si="13"/>
        <v>4.0844113423510464E-3</v>
      </c>
    </row>
    <row r="79" spans="1:7" s="1541" customFormat="1">
      <c r="A79" s="1595" t="s">
        <v>486</v>
      </c>
      <c r="B79" s="1600">
        <v>32.06</v>
      </c>
      <c r="C79" s="1600">
        <f t="shared" si="11"/>
        <v>4.55</v>
      </c>
      <c r="D79" s="1600"/>
      <c r="E79" s="1600">
        <f t="shared" si="12"/>
        <v>36.61</v>
      </c>
      <c r="F79" s="1556"/>
      <c r="G79" s="1557">
        <f t="shared" si="13"/>
        <v>-3.8345724571291484E-3</v>
      </c>
    </row>
    <row r="80" spans="1:7" s="1541" customFormat="1">
      <c r="A80" s="1595" t="s">
        <v>487</v>
      </c>
      <c r="B80" s="1600">
        <v>11.46</v>
      </c>
      <c r="C80" s="1600">
        <f t="shared" si="11"/>
        <v>1.63</v>
      </c>
      <c r="D80" s="1600"/>
      <c r="E80" s="1600">
        <f t="shared" si="12"/>
        <v>13.09</v>
      </c>
      <c r="F80" s="1556"/>
      <c r="G80" s="1557">
        <f t="shared" si="13"/>
        <v>-4.9514722507393305E-3</v>
      </c>
    </row>
    <row r="81" spans="1:12" s="1541" customFormat="1">
      <c r="A81" s="1595"/>
      <c r="B81" s="1600"/>
      <c r="C81" s="1600"/>
      <c r="D81" s="1600"/>
      <c r="E81" s="1600"/>
      <c r="F81" s="1556"/>
      <c r="G81" s="1562"/>
    </row>
    <row r="82" spans="1:12" s="1541" customFormat="1">
      <c r="A82" s="1603" t="s">
        <v>328</v>
      </c>
      <c r="B82" s="1604">
        <v>9.98</v>
      </c>
      <c r="C82" s="1604"/>
      <c r="D82" s="1604">
        <f>B82*D6</f>
        <v>0</v>
      </c>
      <c r="E82" s="1604">
        <f>B82+D82</f>
        <v>9.98</v>
      </c>
      <c r="F82" s="1582"/>
      <c r="G82" s="1583">
        <f>(B82*$D$6)-D82</f>
        <v>0</v>
      </c>
    </row>
    <row r="83" spans="1:12" s="1541" customFormat="1">
      <c r="A83" s="1595"/>
      <c r="B83" s="1600"/>
      <c r="C83" s="1600"/>
      <c r="D83" s="1600"/>
      <c r="E83" s="1600"/>
      <c r="F83" s="1556"/>
      <c r="G83" s="1562"/>
    </row>
    <row r="84" spans="1:12" s="1541" customFormat="1">
      <c r="A84" s="1602" t="s">
        <v>459</v>
      </c>
      <c r="B84" s="1600"/>
      <c r="C84" s="1600"/>
      <c r="D84" s="1600"/>
      <c r="E84" s="1600"/>
      <c r="F84" s="1556"/>
      <c r="G84" s="1562"/>
    </row>
    <row r="85" spans="1:12" s="1541" customFormat="1">
      <c r="A85" s="1590" t="s">
        <v>488</v>
      </c>
      <c r="B85" s="1600"/>
      <c r="C85" s="1600"/>
      <c r="D85" s="1600"/>
      <c r="E85" s="1600"/>
      <c r="F85" s="1556"/>
      <c r="G85" s="1562"/>
    </row>
    <row r="86" spans="1:12" s="1541" customFormat="1">
      <c r="A86" s="1595" t="s">
        <v>478</v>
      </c>
      <c r="B86" s="1600">
        <v>15.3</v>
      </c>
      <c r="C86" s="1600">
        <f t="shared" ref="C86:C95" si="14">ROUND(B86*$C$6,2)</f>
        <v>2.17</v>
      </c>
      <c r="D86" s="1600"/>
      <c r="E86" s="1600">
        <f t="shared" ref="E86:E95" si="15">B86+C86</f>
        <v>17.47</v>
      </c>
      <c r="F86" s="1556"/>
      <c r="G86" s="1557">
        <f t="shared" ref="G86:G95" si="16">(B86*$C$6)-C86</f>
        <v>-4.3259384261018496E-4</v>
      </c>
    </row>
    <row r="87" spans="1:12" s="1541" customFormat="1">
      <c r="A87" s="1595" t="s">
        <v>479</v>
      </c>
      <c r="B87" s="1600">
        <v>18.82</v>
      </c>
      <c r="C87" s="1600">
        <f t="shared" si="14"/>
        <v>2.67</v>
      </c>
      <c r="D87" s="1600"/>
      <c r="E87" s="1600">
        <f t="shared" si="15"/>
        <v>21.490000000000002</v>
      </c>
      <c r="F87" s="1556"/>
      <c r="G87" s="1557">
        <f t="shared" si="16"/>
        <v>-1.2902886351584542E-3</v>
      </c>
    </row>
    <row r="88" spans="1:12" s="1541" customFormat="1">
      <c r="A88" s="1595" t="s">
        <v>480</v>
      </c>
      <c r="B88" s="1600">
        <v>26.58</v>
      </c>
      <c r="C88" s="1600">
        <f t="shared" si="14"/>
        <v>3.77</v>
      </c>
      <c r="D88" s="1600"/>
      <c r="E88" s="1600">
        <f t="shared" si="15"/>
        <v>30.349999999999998</v>
      </c>
      <c r="F88" s="1556"/>
      <c r="G88" s="1557">
        <f t="shared" si="16"/>
        <v>-9.0838851873087378E-4</v>
      </c>
      <c r="K88" s="514"/>
      <c r="L88" s="514"/>
    </row>
    <row r="89" spans="1:12" s="1541" customFormat="1">
      <c r="A89" s="1595" t="s">
        <v>481</v>
      </c>
      <c r="B89" s="1600">
        <v>37.94</v>
      </c>
      <c r="C89" s="1600">
        <f t="shared" si="14"/>
        <v>5.38</v>
      </c>
      <c r="D89" s="1600"/>
      <c r="E89" s="1600">
        <f t="shared" si="15"/>
        <v>43.32</v>
      </c>
      <c r="F89" s="1556"/>
      <c r="G89" s="1557">
        <f t="shared" si="16"/>
        <v>-4.0039894682486477E-5</v>
      </c>
      <c r="K89" s="514"/>
      <c r="L89" s="514"/>
    </row>
    <row r="90" spans="1:12" s="1541" customFormat="1">
      <c r="A90" s="1595" t="s">
        <v>482</v>
      </c>
      <c r="B90" s="1600">
        <v>54.86</v>
      </c>
      <c r="C90" s="1600">
        <f t="shared" si="14"/>
        <v>7.78</v>
      </c>
      <c r="D90" s="1600"/>
      <c r="E90" s="1600">
        <f t="shared" si="15"/>
        <v>62.64</v>
      </c>
      <c r="F90" s="1556"/>
      <c r="G90" s="1557">
        <f t="shared" si="16"/>
        <v>-7.5373190886285357E-4</v>
      </c>
      <c r="L90" s="514"/>
    </row>
    <row r="91" spans="1:12" s="1541" customFormat="1">
      <c r="A91" s="1595" t="s">
        <v>483</v>
      </c>
      <c r="B91" s="1600">
        <v>67.180000000000007</v>
      </c>
      <c r="C91" s="1600">
        <f t="shared" si="14"/>
        <v>9.5299999999999994</v>
      </c>
      <c r="D91" s="1600"/>
      <c r="E91" s="1600">
        <f t="shared" si="15"/>
        <v>76.710000000000008</v>
      </c>
      <c r="F91" s="1556"/>
      <c r="G91" s="1557">
        <f t="shared" si="16"/>
        <v>-3.7556636827797973E-3</v>
      </c>
      <c r="K91" s="514"/>
      <c r="L91" s="514"/>
    </row>
    <row r="92" spans="1:12" s="1541" customFormat="1">
      <c r="A92" s="1595" t="s">
        <v>484</v>
      </c>
      <c r="B92" s="1600">
        <v>77.81</v>
      </c>
      <c r="C92" s="1600">
        <f t="shared" si="14"/>
        <v>11.03</v>
      </c>
      <c r="D92" s="1600"/>
      <c r="E92" s="1600">
        <f t="shared" si="15"/>
        <v>88.84</v>
      </c>
      <c r="F92" s="1556"/>
      <c r="G92" s="1557">
        <f t="shared" si="16"/>
        <v>3.5973773272228726E-3</v>
      </c>
      <c r="K92" s="514"/>
      <c r="L92" s="514"/>
    </row>
    <row r="93" spans="1:12" s="1541" customFormat="1">
      <c r="A93" s="1595" t="s">
        <v>485</v>
      </c>
      <c r="B93" s="1600">
        <v>28.33</v>
      </c>
      <c r="C93" s="1600">
        <f t="shared" si="14"/>
        <v>4.0199999999999996</v>
      </c>
      <c r="D93" s="1600"/>
      <c r="E93" s="1600">
        <f t="shared" si="15"/>
        <v>32.349999999999994</v>
      </c>
      <c r="F93" s="1556"/>
      <c r="G93" s="1557">
        <f t="shared" si="16"/>
        <v>-2.7552538275257277E-3</v>
      </c>
      <c r="K93" s="514"/>
      <c r="L93" s="514"/>
    </row>
    <row r="94" spans="1:12" s="1541" customFormat="1">
      <c r="A94" s="1595" t="s">
        <v>486</v>
      </c>
      <c r="B94" s="1600">
        <v>35.43</v>
      </c>
      <c r="C94" s="1600">
        <f t="shared" si="14"/>
        <v>5.0199999999999996</v>
      </c>
      <c r="D94" s="1600"/>
      <c r="E94" s="1600">
        <f t="shared" si="15"/>
        <v>40.450000000000003</v>
      </c>
      <c r="F94" s="1556"/>
      <c r="G94" s="1557">
        <f t="shared" si="16"/>
        <v>4.0374640625051583E-3</v>
      </c>
      <c r="K94" s="514"/>
      <c r="L94" s="514"/>
    </row>
    <row r="95" spans="1:12" s="1541" customFormat="1">
      <c r="A95" s="1595" t="s">
        <v>479</v>
      </c>
      <c r="B95" s="1600">
        <v>11.89</v>
      </c>
      <c r="C95" s="1600">
        <f t="shared" si="14"/>
        <v>1.69</v>
      </c>
      <c r="D95" s="1600"/>
      <c r="E95" s="1600">
        <f t="shared" si="15"/>
        <v>13.58</v>
      </c>
      <c r="F95" s="1556"/>
      <c r="G95" s="1557">
        <f t="shared" si="16"/>
        <v>-3.9767020123289143E-3</v>
      </c>
      <c r="K95" s="514"/>
      <c r="L95" s="514"/>
    </row>
    <row r="96" spans="1:12" s="1541" customFormat="1">
      <c r="A96" s="1595"/>
      <c r="B96" s="1600"/>
      <c r="C96" s="1600"/>
      <c r="D96" s="1600"/>
      <c r="E96" s="1600"/>
      <c r="F96" s="1556"/>
      <c r="G96" s="1562"/>
      <c r="K96" s="514"/>
      <c r="L96" s="514"/>
    </row>
    <row r="97" spans="1:12" s="1541" customFormat="1">
      <c r="A97" s="1601" t="s">
        <v>453</v>
      </c>
      <c r="B97" s="1600"/>
      <c r="C97" s="1600"/>
      <c r="D97" s="1600"/>
      <c r="E97" s="1600"/>
      <c r="F97" s="1556"/>
      <c r="G97" s="1562"/>
      <c r="K97" s="514"/>
      <c r="L97" s="514"/>
    </row>
    <row r="98" spans="1:12" s="1541" customFormat="1">
      <c r="A98" s="1590" t="s">
        <v>489</v>
      </c>
      <c r="B98" s="1600"/>
      <c r="C98" s="1600"/>
      <c r="D98" s="1600"/>
      <c r="E98" s="1600"/>
      <c r="F98" s="1556"/>
      <c r="G98" s="1562"/>
      <c r="K98" s="1556"/>
    </row>
    <row r="99" spans="1:12" s="1541" customFormat="1">
      <c r="A99" s="1595" t="s">
        <v>490</v>
      </c>
      <c r="B99" s="1600">
        <v>4.16</v>
      </c>
      <c r="C99" s="1600">
        <f t="shared" ref="C99:C101" si="17">ROUND(B99*$C$6,2)</f>
        <v>0.59</v>
      </c>
      <c r="D99" s="1600"/>
      <c r="E99" s="1600">
        <f>B99+C99</f>
        <v>4.75</v>
      </c>
      <c r="F99" s="1556"/>
      <c r="G99" s="1557">
        <f>(B99*$C$6)-C99</f>
        <v>-1.0454839119333759E-4</v>
      </c>
      <c r="K99" s="1539"/>
    </row>
    <row r="100" spans="1:12" s="1541" customFormat="1">
      <c r="A100" s="1595" t="s">
        <v>491</v>
      </c>
      <c r="B100" s="1600">
        <f>B99</f>
        <v>4.16</v>
      </c>
      <c r="C100" s="1600">
        <f t="shared" si="17"/>
        <v>0.59</v>
      </c>
      <c r="D100" s="1600"/>
      <c r="E100" s="1600">
        <f>B100+C100</f>
        <v>4.75</v>
      </c>
      <c r="F100" s="1556"/>
      <c r="G100" s="1557">
        <f>(B100*$C$6)-C100</f>
        <v>-1.0454839119333759E-4</v>
      </c>
    </row>
    <row r="101" spans="1:12" s="1541" customFormat="1">
      <c r="A101" s="1595" t="s">
        <v>492</v>
      </c>
      <c r="B101" s="1600">
        <v>12.61</v>
      </c>
      <c r="C101" s="1600">
        <f t="shared" si="17"/>
        <v>1.79</v>
      </c>
      <c r="D101" s="1600"/>
      <c r="E101" s="1600">
        <f>B101+C101</f>
        <v>14.399999999999999</v>
      </c>
      <c r="F101" s="1556"/>
      <c r="G101" s="1557">
        <f>(B101*$C$6)-C101</f>
        <v>-1.8794123108050176E-3</v>
      </c>
    </row>
    <row r="102" spans="1:12" s="1541" customFormat="1">
      <c r="A102" s="1595"/>
      <c r="B102" s="1600"/>
      <c r="C102" s="1600"/>
      <c r="D102" s="1600"/>
      <c r="E102" s="1600"/>
      <c r="F102" s="1556"/>
      <c r="G102" s="1562"/>
    </row>
    <row r="103" spans="1:12" s="1541" customFormat="1">
      <c r="A103" s="1602" t="s">
        <v>459</v>
      </c>
      <c r="B103" s="1600"/>
      <c r="C103" s="1600"/>
      <c r="D103" s="1600"/>
      <c r="E103" s="1600"/>
      <c r="F103" s="1556"/>
      <c r="G103" s="1562"/>
    </row>
    <row r="104" spans="1:12" s="1541" customFormat="1">
      <c r="A104" s="1590" t="s">
        <v>493</v>
      </c>
      <c r="B104" s="1600"/>
      <c r="C104" s="1600"/>
      <c r="D104" s="1600"/>
      <c r="E104" s="1600"/>
      <c r="F104" s="1556"/>
      <c r="G104" s="1562"/>
    </row>
    <row r="105" spans="1:12" s="1541" customFormat="1">
      <c r="A105" s="1595" t="s">
        <v>490</v>
      </c>
      <c r="B105" s="1600">
        <v>4.47</v>
      </c>
      <c r="C105" s="1600">
        <f t="shared" ref="C105:C107" si="18">ROUND(B105*$C$6,2)</f>
        <v>0.63</v>
      </c>
      <c r="D105" s="1600"/>
      <c r="E105" s="1600">
        <f>B105+C105</f>
        <v>5.0999999999999996</v>
      </c>
      <c r="F105" s="1556"/>
      <c r="G105" s="1557">
        <f>(B105*$C$6)-C105</f>
        <v>3.8540068969628027E-3</v>
      </c>
    </row>
    <row r="106" spans="1:12" s="1541" customFormat="1">
      <c r="A106" s="1595" t="s">
        <v>491</v>
      </c>
      <c r="B106" s="1600">
        <f>B105</f>
        <v>4.47</v>
      </c>
      <c r="C106" s="1600">
        <f t="shared" si="18"/>
        <v>0.63</v>
      </c>
      <c r="D106" s="1600"/>
      <c r="E106" s="1600">
        <f>B106+C106</f>
        <v>5.0999999999999996</v>
      </c>
      <c r="F106" s="1556"/>
      <c r="G106" s="1557">
        <f>(B106*$C$6)-C106</f>
        <v>3.8540068969628027E-3</v>
      </c>
    </row>
    <row r="107" spans="1:12" s="1541" customFormat="1">
      <c r="A107" s="1595" t="s">
        <v>492</v>
      </c>
      <c r="B107" s="1600">
        <v>13.04</v>
      </c>
      <c r="C107" s="1600">
        <f t="shared" si="18"/>
        <v>1.85</v>
      </c>
      <c r="D107" s="1600"/>
      <c r="E107" s="1600">
        <f>B107+C107</f>
        <v>14.889999999999999</v>
      </c>
      <c r="F107" s="1556"/>
      <c r="G107" s="1557">
        <f>(B107*$C$6)-C107</f>
        <v>-9.0464207239482342E-4</v>
      </c>
    </row>
    <row r="108" spans="1:12" s="1541" customFormat="1">
      <c r="A108" s="1595"/>
      <c r="B108" s="1600"/>
      <c r="C108" s="1600"/>
      <c r="D108" s="1600"/>
      <c r="E108" s="1600"/>
      <c r="F108" s="1556"/>
      <c r="G108" s="1562"/>
    </row>
    <row r="109" spans="1:12" s="1541" customFormat="1">
      <c r="A109" s="1601" t="s">
        <v>453</v>
      </c>
      <c r="B109" s="1600"/>
      <c r="C109" s="1600"/>
      <c r="D109" s="1600"/>
      <c r="E109" s="1600"/>
      <c r="F109" s="1556"/>
      <c r="G109" s="1562"/>
    </row>
    <row r="110" spans="1:12" s="1541" customFormat="1">
      <c r="A110" s="1595"/>
      <c r="B110" s="1600"/>
      <c r="C110" s="1600"/>
      <c r="D110" s="1600"/>
      <c r="E110" s="1600"/>
      <c r="F110" s="1556"/>
      <c r="G110" s="1562"/>
    </row>
    <row r="111" spans="1:12" s="1541" customFormat="1">
      <c r="A111" s="1590" t="s">
        <v>494</v>
      </c>
      <c r="B111" s="1600"/>
      <c r="C111" s="1600"/>
      <c r="D111" s="1600"/>
      <c r="E111" s="1600"/>
      <c r="F111" s="1556"/>
      <c r="G111" s="1562"/>
    </row>
    <row r="112" spans="1:12" s="1541" customFormat="1">
      <c r="A112" s="1595" t="s">
        <v>495</v>
      </c>
      <c r="B112" s="1600">
        <v>20.78</v>
      </c>
      <c r="C112" s="1600">
        <f t="shared" ref="C112:C119" si="19">ROUND(B112*$C$6,2)</f>
        <v>2.95</v>
      </c>
      <c r="D112" s="1600"/>
      <c r="E112" s="1600">
        <f t="shared" ref="E112:E119" si="20">B112+C112</f>
        <v>23.73</v>
      </c>
      <c r="F112" s="1556"/>
      <c r="G112" s="1557">
        <f t="shared" ref="G112:G119" si="21">(B112*$C$6)-C112</f>
        <v>-3.3587777810093478E-3</v>
      </c>
    </row>
    <row r="113" spans="1:7" s="1541" customFormat="1">
      <c r="A113" s="1595" t="s">
        <v>496</v>
      </c>
      <c r="B113" s="1600">
        <f>B112</f>
        <v>20.78</v>
      </c>
      <c r="C113" s="1600">
        <f t="shared" si="19"/>
        <v>2.95</v>
      </c>
      <c r="D113" s="1600"/>
      <c r="E113" s="1600">
        <f t="shared" si="20"/>
        <v>23.73</v>
      </c>
      <c r="F113" s="1556"/>
      <c r="G113" s="1557">
        <f t="shared" si="21"/>
        <v>-3.3587777810093478E-3</v>
      </c>
    </row>
    <row r="114" spans="1:7" s="1541" customFormat="1">
      <c r="A114" s="1595" t="s">
        <v>497</v>
      </c>
      <c r="B114" s="1600">
        <f>B113</f>
        <v>20.78</v>
      </c>
      <c r="C114" s="1600">
        <f t="shared" si="19"/>
        <v>2.95</v>
      </c>
      <c r="D114" s="1600"/>
      <c r="E114" s="1600">
        <f t="shared" si="20"/>
        <v>23.73</v>
      </c>
      <c r="F114" s="1556"/>
      <c r="G114" s="1557">
        <f t="shared" si="21"/>
        <v>-3.3587777810093478E-3</v>
      </c>
    </row>
    <row r="115" spans="1:7" s="1541" customFormat="1">
      <c r="A115" s="1595" t="s">
        <v>497</v>
      </c>
      <c r="B115" s="1600">
        <f>B114</f>
        <v>20.78</v>
      </c>
      <c r="C115" s="1600">
        <f t="shared" si="19"/>
        <v>2.95</v>
      </c>
      <c r="D115" s="1600"/>
      <c r="E115" s="1600">
        <f t="shared" si="20"/>
        <v>23.73</v>
      </c>
      <c r="F115" s="1556"/>
      <c r="G115" s="1557">
        <f t="shared" si="21"/>
        <v>-3.3587777810093478E-3</v>
      </c>
    </row>
    <row r="116" spans="1:7" s="1541" customFormat="1">
      <c r="A116" s="1595" t="s">
        <v>498</v>
      </c>
      <c r="B116" s="1600">
        <f>B115</f>
        <v>20.78</v>
      </c>
      <c r="C116" s="1600">
        <f t="shared" si="19"/>
        <v>2.95</v>
      </c>
      <c r="D116" s="1600"/>
      <c r="E116" s="1600">
        <f t="shared" si="20"/>
        <v>23.73</v>
      </c>
      <c r="F116" s="1556"/>
      <c r="G116" s="1557">
        <f t="shared" si="21"/>
        <v>-3.3587777810093478E-3</v>
      </c>
    </row>
    <row r="117" spans="1:7" s="1541" customFormat="1">
      <c r="A117" s="1595" t="s">
        <v>498</v>
      </c>
      <c r="B117" s="1600">
        <f>B116</f>
        <v>20.78</v>
      </c>
      <c r="C117" s="1600">
        <f t="shared" si="19"/>
        <v>2.95</v>
      </c>
      <c r="D117" s="1600"/>
      <c r="E117" s="1600">
        <f t="shared" si="20"/>
        <v>23.73</v>
      </c>
      <c r="F117" s="1556"/>
      <c r="G117" s="1557">
        <f t="shared" si="21"/>
        <v>-3.3587777810093478E-3</v>
      </c>
    </row>
    <row r="118" spans="1:7" s="1541" customFormat="1">
      <c r="A118" s="1595" t="s">
        <v>499</v>
      </c>
      <c r="B118" s="1600">
        <v>2.76</v>
      </c>
      <c r="C118" s="1600">
        <f t="shared" si="19"/>
        <v>0.39</v>
      </c>
      <c r="D118" s="1600"/>
      <c r="E118" s="1600">
        <f t="shared" si="20"/>
        <v>3.15</v>
      </c>
      <c r="F118" s="1556"/>
      <c r="G118" s="1557">
        <f t="shared" si="21"/>
        <v>1.3729438558428009E-3</v>
      </c>
    </row>
    <row r="119" spans="1:7" s="1541" customFormat="1">
      <c r="A119" s="1595" t="s">
        <v>499</v>
      </c>
      <c r="B119" s="1600">
        <f>B118</f>
        <v>2.76</v>
      </c>
      <c r="C119" s="1600">
        <f t="shared" si="19"/>
        <v>0.39</v>
      </c>
      <c r="D119" s="1600"/>
      <c r="E119" s="1600">
        <f t="shared" si="20"/>
        <v>3.15</v>
      </c>
      <c r="F119" s="1556"/>
      <c r="G119" s="1557">
        <f t="shared" si="21"/>
        <v>1.3729438558428009E-3</v>
      </c>
    </row>
    <row r="120" spans="1:7" s="1541" customFormat="1">
      <c r="A120" s="1595"/>
      <c r="B120" s="1600"/>
      <c r="C120" s="1600"/>
      <c r="D120" s="1600"/>
      <c r="E120" s="1600"/>
      <c r="F120" s="1556"/>
      <c r="G120" s="1562"/>
    </row>
    <row r="121" spans="1:7" s="1541" customFormat="1">
      <c r="A121" s="1602" t="s">
        <v>459</v>
      </c>
      <c r="B121" s="1600"/>
      <c r="C121" s="1600"/>
      <c r="D121" s="1600"/>
      <c r="E121" s="1600"/>
      <c r="F121" s="1556"/>
      <c r="G121" s="1562"/>
    </row>
    <row r="122" spans="1:7" s="1541" customFormat="1">
      <c r="A122" s="1595"/>
      <c r="B122" s="1600"/>
      <c r="C122" s="1600"/>
      <c r="D122" s="1600"/>
      <c r="E122" s="1600"/>
      <c r="F122" s="1556"/>
      <c r="G122" s="1562"/>
    </row>
    <row r="123" spans="1:7" s="1541" customFormat="1">
      <c r="A123" s="1590" t="s">
        <v>500</v>
      </c>
      <c r="B123" s="1600"/>
      <c r="C123" s="1600"/>
      <c r="D123" s="1600"/>
      <c r="E123" s="1600"/>
      <c r="F123" s="1556"/>
      <c r="G123" s="1562"/>
    </row>
    <row r="124" spans="1:7" s="1541" customFormat="1">
      <c r="A124" s="1595" t="s">
        <v>495</v>
      </c>
      <c r="B124" s="1600">
        <v>22.74</v>
      </c>
      <c r="C124" s="1600">
        <f t="shared" ref="C124:C131" si="22">ROUND(B124*$C$6,2)</f>
        <v>3.22</v>
      </c>
      <c r="D124" s="1600"/>
      <c r="E124" s="1600">
        <f t="shared" ref="E124:E131" si="23">B124+C124</f>
        <v>25.959999999999997</v>
      </c>
      <c r="F124" s="1556"/>
      <c r="G124" s="1557">
        <f t="shared" ref="G124:G131" si="24">(B124*$C$6)-C124</f>
        <v>4.5727330731395455E-3</v>
      </c>
    </row>
    <row r="125" spans="1:7" s="1541" customFormat="1">
      <c r="A125" s="1595" t="s">
        <v>496</v>
      </c>
      <c r="B125" s="1600">
        <f>B124</f>
        <v>22.74</v>
      </c>
      <c r="C125" s="1600">
        <f t="shared" si="22"/>
        <v>3.22</v>
      </c>
      <c r="D125" s="1600"/>
      <c r="E125" s="1600">
        <f t="shared" si="23"/>
        <v>25.959999999999997</v>
      </c>
      <c r="F125" s="1556"/>
      <c r="G125" s="1557">
        <f t="shared" si="24"/>
        <v>4.5727330731395455E-3</v>
      </c>
    </row>
    <row r="126" spans="1:7" s="1541" customFormat="1">
      <c r="A126" s="1595" t="s">
        <v>497</v>
      </c>
      <c r="B126" s="1600">
        <f>B125</f>
        <v>22.74</v>
      </c>
      <c r="C126" s="1600">
        <f t="shared" si="22"/>
        <v>3.22</v>
      </c>
      <c r="D126" s="1600"/>
      <c r="E126" s="1600">
        <f t="shared" si="23"/>
        <v>25.959999999999997</v>
      </c>
      <c r="F126" s="1556"/>
      <c r="G126" s="1557">
        <f t="shared" si="24"/>
        <v>4.5727330731395455E-3</v>
      </c>
    </row>
    <row r="127" spans="1:7" s="1541" customFormat="1">
      <c r="A127" s="1595" t="s">
        <v>497</v>
      </c>
      <c r="B127" s="1600">
        <f>B126</f>
        <v>22.74</v>
      </c>
      <c r="C127" s="1600">
        <f t="shared" si="22"/>
        <v>3.22</v>
      </c>
      <c r="D127" s="1600"/>
      <c r="E127" s="1600">
        <f t="shared" si="23"/>
        <v>25.959999999999997</v>
      </c>
      <c r="F127" s="1556"/>
      <c r="G127" s="1557">
        <f t="shared" si="24"/>
        <v>4.5727330731395455E-3</v>
      </c>
    </row>
    <row r="128" spans="1:7" s="1541" customFormat="1">
      <c r="A128" s="1595" t="s">
        <v>498</v>
      </c>
      <c r="B128" s="1600">
        <f>B127</f>
        <v>22.74</v>
      </c>
      <c r="C128" s="1600">
        <f t="shared" si="22"/>
        <v>3.22</v>
      </c>
      <c r="D128" s="1600"/>
      <c r="E128" s="1600">
        <f t="shared" si="23"/>
        <v>25.959999999999997</v>
      </c>
      <c r="F128" s="1556"/>
      <c r="G128" s="1557">
        <f t="shared" si="24"/>
        <v>4.5727330731395455E-3</v>
      </c>
    </row>
    <row r="129" spans="1:7" s="1541" customFormat="1">
      <c r="A129" s="1595" t="s">
        <v>498</v>
      </c>
      <c r="B129" s="1600">
        <f>B128</f>
        <v>22.74</v>
      </c>
      <c r="C129" s="1600">
        <f t="shared" si="22"/>
        <v>3.22</v>
      </c>
      <c r="D129" s="1600"/>
      <c r="E129" s="1600">
        <f t="shared" si="23"/>
        <v>25.959999999999997</v>
      </c>
      <c r="F129" s="1556"/>
      <c r="G129" s="1557">
        <f t="shared" si="24"/>
        <v>4.5727330731395455E-3</v>
      </c>
    </row>
    <row r="130" spans="1:7" s="1541" customFormat="1">
      <c r="A130" s="1595" t="s">
        <v>499</v>
      </c>
      <c r="B130" s="1600">
        <v>2.76</v>
      </c>
      <c r="C130" s="1600">
        <f t="shared" si="22"/>
        <v>0.39</v>
      </c>
      <c r="D130" s="1600"/>
      <c r="E130" s="1600">
        <f t="shared" si="23"/>
        <v>3.15</v>
      </c>
      <c r="F130" s="1556"/>
      <c r="G130" s="1557">
        <f t="shared" si="24"/>
        <v>1.3729438558428009E-3</v>
      </c>
    </row>
    <row r="131" spans="1:7" s="1541" customFormat="1">
      <c r="A131" s="1595" t="s">
        <v>499</v>
      </c>
      <c r="B131" s="1600">
        <f>B130</f>
        <v>2.76</v>
      </c>
      <c r="C131" s="1600">
        <f t="shared" si="22"/>
        <v>0.39</v>
      </c>
      <c r="D131" s="1600"/>
      <c r="E131" s="1600">
        <f t="shared" si="23"/>
        <v>3.15</v>
      </c>
      <c r="F131" s="1556"/>
      <c r="G131" s="1557">
        <f t="shared" si="24"/>
        <v>1.3729438558428009E-3</v>
      </c>
    </row>
    <row r="132" spans="1:7" s="1541" customFormat="1">
      <c r="A132" s="1595"/>
      <c r="B132" s="1600"/>
      <c r="C132" s="1600"/>
      <c r="D132" s="1600"/>
      <c r="E132" s="1600"/>
      <c r="F132" s="1556"/>
      <c r="G132" s="1562"/>
    </row>
    <row r="133" spans="1:7" s="1541" customFormat="1">
      <c r="A133" s="1601" t="s">
        <v>453</v>
      </c>
      <c r="B133" s="1600"/>
      <c r="C133" s="1600"/>
      <c r="D133" s="1600"/>
      <c r="E133" s="1600"/>
      <c r="F133" s="1556"/>
      <c r="G133" s="1562"/>
    </row>
    <row r="134" spans="1:7" s="1541" customFormat="1">
      <c r="A134" s="1590" t="s">
        <v>501</v>
      </c>
      <c r="B134" s="1600"/>
      <c r="C134" s="1600"/>
      <c r="D134" s="1600"/>
      <c r="E134" s="1600"/>
      <c r="F134" s="1556"/>
      <c r="G134" s="1562"/>
    </row>
    <row r="135" spans="1:7" s="1541" customFormat="1">
      <c r="A135" s="1595" t="s">
        <v>502</v>
      </c>
      <c r="B135" s="1600"/>
      <c r="C135" s="1600"/>
      <c r="D135" s="1600"/>
      <c r="E135" s="1600"/>
      <c r="F135" s="1556"/>
      <c r="G135" s="1562"/>
    </row>
    <row r="136" spans="1:7" s="1541" customFormat="1">
      <c r="A136" s="1595" t="s">
        <v>503</v>
      </c>
      <c r="B136" s="1600">
        <v>107.53</v>
      </c>
      <c r="C136" s="1600">
        <f t="shared" ref="C136:C140" si="25">ROUND(B136*$C$6,2)</f>
        <v>15.25</v>
      </c>
      <c r="D136" s="1600"/>
      <c r="E136" s="1600">
        <f>B136+C136</f>
        <v>122.78</v>
      </c>
      <c r="F136" s="1556"/>
      <c r="G136" s="1557">
        <f>(B136*$C$6)-C136</f>
        <v>-2.0533866598615447E-3</v>
      </c>
    </row>
    <row r="137" spans="1:7" s="1541" customFormat="1">
      <c r="A137" s="1595" t="s">
        <v>504</v>
      </c>
      <c r="B137" s="1600">
        <v>107.53</v>
      </c>
      <c r="C137" s="1600">
        <f t="shared" si="25"/>
        <v>15.25</v>
      </c>
      <c r="D137" s="1600"/>
      <c r="E137" s="1600">
        <f>B137+C137</f>
        <v>122.78</v>
      </c>
      <c r="F137" s="1556"/>
      <c r="G137" s="1557">
        <f>(B137*$C$6)-C137</f>
        <v>-2.0533866598615447E-3</v>
      </c>
    </row>
    <row r="138" spans="1:7" s="1541" customFormat="1">
      <c r="A138" s="1595" t="s">
        <v>505</v>
      </c>
      <c r="B138" s="1600">
        <v>107.53</v>
      </c>
      <c r="C138" s="1600">
        <f t="shared" si="25"/>
        <v>15.25</v>
      </c>
      <c r="D138" s="1600"/>
      <c r="E138" s="1600">
        <f>B138+C138</f>
        <v>122.78</v>
      </c>
      <c r="F138" s="1556"/>
      <c r="G138" s="1557">
        <f>(B138*$C$6)-C138</f>
        <v>-2.0533866598615447E-3</v>
      </c>
    </row>
    <row r="139" spans="1:7" s="1541" customFormat="1">
      <c r="A139" s="1595" t="s">
        <v>506</v>
      </c>
      <c r="B139" s="1600">
        <v>33.21</v>
      </c>
      <c r="C139" s="1600">
        <f t="shared" si="25"/>
        <v>4.71</v>
      </c>
      <c r="D139" s="1600"/>
      <c r="E139" s="1600">
        <f>B139+C139</f>
        <v>37.92</v>
      </c>
      <c r="F139" s="1556"/>
      <c r="G139" s="1557">
        <f>(B139*$C$6)-C139</f>
        <v>-7.6251251719483548E-4</v>
      </c>
    </row>
    <row r="140" spans="1:7" s="1541" customFormat="1">
      <c r="A140" s="1595" t="s">
        <v>498</v>
      </c>
      <c r="B140" s="1600">
        <v>107.53</v>
      </c>
      <c r="C140" s="1600">
        <f t="shared" si="25"/>
        <v>15.25</v>
      </c>
      <c r="D140" s="1600"/>
      <c r="E140" s="1600">
        <f>B140+C140</f>
        <v>122.78</v>
      </c>
      <c r="F140" s="1556"/>
      <c r="G140" s="1557">
        <f>(B140*$C$6)-C140</f>
        <v>-2.0533866598615447E-3</v>
      </c>
    </row>
    <row r="141" spans="1:7" s="1541" customFormat="1">
      <c r="A141" s="1595"/>
      <c r="B141" s="1600"/>
      <c r="C141" s="1600"/>
      <c r="D141" s="1600"/>
      <c r="E141" s="1600"/>
      <c r="F141" s="1556"/>
      <c r="G141" s="1562"/>
    </row>
    <row r="142" spans="1:7" s="1541" customFormat="1">
      <c r="A142" s="1595" t="s">
        <v>507</v>
      </c>
      <c r="B142" s="1600"/>
      <c r="C142" s="1600"/>
      <c r="D142" s="1600"/>
      <c r="E142" s="1600"/>
      <c r="F142" s="1556"/>
      <c r="G142" s="1562"/>
    </row>
    <row r="143" spans="1:7" s="1541" customFormat="1">
      <c r="A143" s="1595" t="s">
        <v>503</v>
      </c>
      <c r="B143" s="1600">
        <v>107.53</v>
      </c>
      <c r="C143" s="1600">
        <f t="shared" ref="C143:C147" si="26">ROUND(B143*$C$6,2)</f>
        <v>15.25</v>
      </c>
      <c r="D143" s="1600"/>
      <c r="E143" s="1600">
        <f>B143+C143</f>
        <v>122.78</v>
      </c>
      <c r="F143" s="1556"/>
      <c r="G143" s="1557">
        <f>(B143*$C$6)-C143</f>
        <v>-2.0533866598615447E-3</v>
      </c>
    </row>
    <row r="144" spans="1:7" s="1541" customFormat="1">
      <c r="A144" s="1595" t="s">
        <v>504</v>
      </c>
      <c r="B144" s="1600">
        <v>107.53</v>
      </c>
      <c r="C144" s="1600">
        <f t="shared" si="26"/>
        <v>15.25</v>
      </c>
      <c r="D144" s="1600"/>
      <c r="E144" s="1600">
        <f>B144+C144</f>
        <v>122.78</v>
      </c>
      <c r="F144" s="1556"/>
      <c r="G144" s="1557">
        <f>(B144*$C$6)-C144</f>
        <v>-2.0533866598615447E-3</v>
      </c>
    </row>
    <row r="145" spans="1:7" s="1541" customFormat="1">
      <c r="A145" s="1595" t="s">
        <v>505</v>
      </c>
      <c r="B145" s="1600">
        <v>107.53</v>
      </c>
      <c r="C145" s="1600">
        <f t="shared" si="26"/>
        <v>15.25</v>
      </c>
      <c r="D145" s="1600"/>
      <c r="E145" s="1600">
        <f>B145+C145</f>
        <v>122.78</v>
      </c>
      <c r="F145" s="1556"/>
      <c r="G145" s="1557">
        <f>(B145*$C$6)-C145</f>
        <v>-2.0533866598615447E-3</v>
      </c>
    </row>
    <row r="146" spans="1:7" s="1541" customFormat="1">
      <c r="A146" s="1595" t="s">
        <v>506</v>
      </c>
      <c r="B146" s="1600">
        <v>33.21</v>
      </c>
      <c r="C146" s="1600">
        <f t="shared" si="26"/>
        <v>4.71</v>
      </c>
      <c r="D146" s="1600"/>
      <c r="E146" s="1600">
        <f>B146+C146</f>
        <v>37.92</v>
      </c>
      <c r="F146" s="1556"/>
      <c r="G146" s="1557">
        <f>(B146*$C$6)-C146</f>
        <v>-7.6251251719483548E-4</v>
      </c>
    </row>
    <row r="147" spans="1:7" s="1541" customFormat="1">
      <c r="A147" s="1595" t="s">
        <v>498</v>
      </c>
      <c r="B147" s="1600">
        <v>107.53</v>
      </c>
      <c r="C147" s="1600">
        <f t="shared" si="26"/>
        <v>15.25</v>
      </c>
      <c r="D147" s="1600"/>
      <c r="E147" s="1600">
        <f>B147+C147</f>
        <v>122.78</v>
      </c>
      <c r="F147" s="1556"/>
      <c r="G147" s="1557">
        <f>(B147*$C$6)-C147</f>
        <v>-2.0533866598615447E-3</v>
      </c>
    </row>
    <row r="148" spans="1:7" s="1541" customFormat="1">
      <c r="A148" s="1595"/>
      <c r="B148" s="1600"/>
      <c r="C148" s="1600"/>
      <c r="D148" s="1600"/>
      <c r="E148" s="1600"/>
      <c r="F148" s="1556"/>
      <c r="G148" s="1562"/>
    </row>
    <row r="149" spans="1:7" s="1541" customFormat="1">
      <c r="A149" s="1602" t="s">
        <v>459</v>
      </c>
      <c r="B149" s="1600"/>
      <c r="C149" s="1600"/>
      <c r="D149" s="1600"/>
      <c r="E149" s="1600"/>
      <c r="F149" s="1556"/>
      <c r="G149" s="1562"/>
    </row>
    <row r="150" spans="1:7" s="1541" customFormat="1">
      <c r="A150" s="1590" t="s">
        <v>508</v>
      </c>
      <c r="B150" s="1600"/>
      <c r="C150" s="1600"/>
      <c r="D150" s="1600"/>
      <c r="E150" s="1600"/>
      <c r="F150" s="1556"/>
      <c r="G150" s="1562"/>
    </row>
    <row r="151" spans="1:7" s="1541" customFormat="1">
      <c r="A151" s="1595" t="s">
        <v>502</v>
      </c>
      <c r="B151" s="1600"/>
      <c r="C151" s="1600"/>
      <c r="D151" s="1600"/>
      <c r="E151" s="1600"/>
      <c r="F151" s="1556"/>
      <c r="G151" s="1562"/>
    </row>
    <row r="152" spans="1:7" s="1541" customFormat="1">
      <c r="A152" s="1595" t="s">
        <v>503</v>
      </c>
      <c r="B152" s="1600">
        <v>95.4</v>
      </c>
      <c r="C152" s="1600">
        <f t="shared" ref="C152:C156" si="27">ROUND(B152*$C$6,2)</f>
        <v>13.53</v>
      </c>
      <c r="D152" s="1600"/>
      <c r="E152" s="1600">
        <f>B152+C152</f>
        <v>108.93</v>
      </c>
      <c r="F152" s="1556"/>
      <c r="G152" s="1557">
        <f>(B152*$C$6)-C152</f>
        <v>-2.1091145480394147E-3</v>
      </c>
    </row>
    <row r="153" spans="1:7" s="1541" customFormat="1">
      <c r="A153" s="1595" t="s">
        <v>504</v>
      </c>
      <c r="B153" s="1600">
        <v>95.4</v>
      </c>
      <c r="C153" s="1600">
        <f t="shared" si="27"/>
        <v>13.53</v>
      </c>
      <c r="D153" s="1600"/>
      <c r="E153" s="1600">
        <f>B153+C153</f>
        <v>108.93</v>
      </c>
      <c r="F153" s="1556"/>
      <c r="G153" s="1557">
        <f>(B153*$C$6)-C153</f>
        <v>-2.1091145480394147E-3</v>
      </c>
    </row>
    <row r="154" spans="1:7" s="1541" customFormat="1">
      <c r="A154" s="1595" t="s">
        <v>505</v>
      </c>
      <c r="B154" s="1600">
        <v>95.4</v>
      </c>
      <c r="C154" s="1600">
        <f t="shared" si="27"/>
        <v>13.53</v>
      </c>
      <c r="D154" s="1600"/>
      <c r="E154" s="1600">
        <f>B154+C154</f>
        <v>108.93</v>
      </c>
      <c r="F154" s="1556"/>
      <c r="G154" s="1557">
        <f>(B154*$C$6)-C154</f>
        <v>-2.1091145480394147E-3</v>
      </c>
    </row>
    <row r="155" spans="1:7" s="1541" customFormat="1">
      <c r="A155" s="1595" t="s">
        <v>506</v>
      </c>
      <c r="B155" s="1600">
        <v>37.44</v>
      </c>
      <c r="C155" s="1600">
        <f t="shared" si="27"/>
        <v>5.31</v>
      </c>
      <c r="D155" s="1600"/>
      <c r="E155" s="1600">
        <f>B155+C155</f>
        <v>42.75</v>
      </c>
      <c r="F155" s="1556"/>
      <c r="G155" s="1557">
        <f>(B155*$C$6)-C155</f>
        <v>-9.4093552073992726E-4</v>
      </c>
    </row>
    <row r="156" spans="1:7" s="1541" customFormat="1">
      <c r="A156" s="1595" t="s">
        <v>498</v>
      </c>
      <c r="B156" s="1600">
        <v>95.4</v>
      </c>
      <c r="C156" s="1600">
        <f t="shared" si="27"/>
        <v>13.53</v>
      </c>
      <c r="D156" s="1600"/>
      <c r="E156" s="1600">
        <f>B156+C156</f>
        <v>108.93</v>
      </c>
      <c r="F156" s="1556"/>
      <c r="G156" s="1557">
        <f>(B156*$C$6)-C156</f>
        <v>-2.1091145480394147E-3</v>
      </c>
    </row>
    <row r="157" spans="1:7" s="1541" customFormat="1">
      <c r="A157" s="1595"/>
      <c r="B157" s="1600"/>
      <c r="C157" s="1600"/>
      <c r="D157" s="1600"/>
      <c r="E157" s="1600"/>
      <c r="F157" s="1556"/>
      <c r="G157" s="1562"/>
    </row>
    <row r="158" spans="1:7" s="1541" customFormat="1">
      <c r="A158" s="1595" t="s">
        <v>507</v>
      </c>
      <c r="B158" s="1600"/>
      <c r="C158" s="1600"/>
      <c r="D158" s="1600"/>
      <c r="E158" s="1600"/>
      <c r="F158" s="1556"/>
      <c r="G158" s="1562"/>
    </row>
    <row r="159" spans="1:7" s="1541" customFormat="1">
      <c r="A159" s="1595" t="s">
        <v>503</v>
      </c>
      <c r="B159" s="1600">
        <v>95.4</v>
      </c>
      <c r="C159" s="1600">
        <f t="shared" ref="C159:C163" si="28">ROUND(B159*$C$6,2)</f>
        <v>13.53</v>
      </c>
      <c r="D159" s="1600"/>
      <c r="E159" s="1600">
        <f>B159+C159</f>
        <v>108.93</v>
      </c>
      <c r="F159" s="1556"/>
      <c r="G159" s="1557">
        <f>(B159*$C$6)-C159</f>
        <v>-2.1091145480394147E-3</v>
      </c>
    </row>
    <row r="160" spans="1:7" s="1541" customFormat="1">
      <c r="A160" s="1595" t="s">
        <v>504</v>
      </c>
      <c r="B160" s="1600">
        <v>95.4</v>
      </c>
      <c r="C160" s="1600">
        <f t="shared" si="28"/>
        <v>13.53</v>
      </c>
      <c r="D160" s="1600"/>
      <c r="E160" s="1600">
        <f>B160+C160</f>
        <v>108.93</v>
      </c>
      <c r="F160" s="1556"/>
      <c r="G160" s="1557">
        <f>(B160*$C$6)-C160</f>
        <v>-2.1091145480394147E-3</v>
      </c>
    </row>
    <row r="161" spans="1:7" s="1541" customFormat="1">
      <c r="A161" s="1595" t="s">
        <v>505</v>
      </c>
      <c r="B161" s="1600">
        <v>95.4</v>
      </c>
      <c r="C161" s="1600">
        <f t="shared" si="28"/>
        <v>13.53</v>
      </c>
      <c r="D161" s="1600"/>
      <c r="E161" s="1600">
        <f>B161+C161</f>
        <v>108.93</v>
      </c>
      <c r="F161" s="1556"/>
      <c r="G161" s="1557">
        <f>(B161*$C$6)-C161</f>
        <v>-2.1091145480394147E-3</v>
      </c>
    </row>
    <row r="162" spans="1:7" s="1541" customFormat="1">
      <c r="A162" s="1595" t="s">
        <v>506</v>
      </c>
      <c r="B162" s="1600">
        <v>37.44</v>
      </c>
      <c r="C162" s="1600">
        <f t="shared" si="28"/>
        <v>5.31</v>
      </c>
      <c r="D162" s="1600"/>
      <c r="E162" s="1600">
        <f>B162+C162</f>
        <v>42.75</v>
      </c>
      <c r="F162" s="1556"/>
      <c r="G162" s="1557">
        <f>(B162*$C$6)-C162</f>
        <v>-9.4093552073992726E-4</v>
      </c>
    </row>
    <row r="163" spans="1:7" s="1541" customFormat="1">
      <c r="A163" s="1595" t="s">
        <v>498</v>
      </c>
      <c r="B163" s="1600">
        <v>95.4</v>
      </c>
      <c r="C163" s="1600">
        <f t="shared" si="28"/>
        <v>13.53</v>
      </c>
      <c r="D163" s="1600"/>
      <c r="E163" s="1600">
        <f>B163+C163</f>
        <v>108.93</v>
      </c>
      <c r="F163" s="1556"/>
      <c r="G163" s="1557">
        <f>(B163*$C$6)-C163</f>
        <v>-2.1091145480394147E-3</v>
      </c>
    </row>
    <row r="164" spans="1:7" s="1541" customFormat="1">
      <c r="A164" s="1595"/>
      <c r="B164" s="1600"/>
      <c r="C164" s="1600"/>
      <c r="D164" s="1600"/>
      <c r="E164" s="1600"/>
      <c r="F164" s="1556"/>
      <c r="G164" s="1562"/>
    </row>
    <row r="165" spans="1:7" s="1541" customFormat="1">
      <c r="A165" s="1598" t="s">
        <v>446</v>
      </c>
      <c r="B165" s="1600"/>
      <c r="C165" s="1600"/>
      <c r="D165" s="1600"/>
      <c r="E165" s="1600"/>
      <c r="F165" s="1556"/>
      <c r="G165" s="1562"/>
    </row>
    <row r="166" spans="1:7" s="1541" customFormat="1">
      <c r="A166" s="1590" t="s">
        <v>509</v>
      </c>
      <c r="B166" s="1600"/>
      <c r="C166" s="1600"/>
      <c r="D166" s="1600"/>
      <c r="E166" s="1600"/>
      <c r="F166" s="1556"/>
      <c r="G166" s="1562"/>
    </row>
    <row r="167" spans="1:7" s="1541" customFormat="1">
      <c r="A167" s="1595" t="s">
        <v>510</v>
      </c>
      <c r="B167" s="1600">
        <v>5.89</v>
      </c>
      <c r="C167" s="1600">
        <f t="shared" ref="C167:C168" si="29">ROUND(B167*$C$6,2)</f>
        <v>0.84</v>
      </c>
      <c r="D167" s="1600"/>
      <c r="E167" s="1600">
        <f>B167+C167</f>
        <v>6.7299999999999995</v>
      </c>
      <c r="F167" s="1556"/>
      <c r="G167" s="1557">
        <f>(B167*$C$6)-C167</f>
        <v>-4.7874495250310733E-3</v>
      </c>
    </row>
    <row r="168" spans="1:7" s="1541" customFormat="1">
      <c r="A168" s="1595" t="s">
        <v>511</v>
      </c>
      <c r="B168" s="1600">
        <v>0.53</v>
      </c>
      <c r="C168" s="1600">
        <f t="shared" si="29"/>
        <v>0.08</v>
      </c>
      <c r="D168" s="1600"/>
      <c r="E168" s="1600">
        <f>B168+C168</f>
        <v>0.61</v>
      </c>
      <c r="F168" s="1556"/>
      <c r="G168" s="1557">
        <f>(B168*$C$6)-C168</f>
        <v>-4.8450506363779955E-3</v>
      </c>
    </row>
    <row r="169" spans="1:7" s="1541" customFormat="1">
      <c r="A169" s="1595"/>
      <c r="B169" s="1600"/>
      <c r="C169" s="1600"/>
      <c r="D169" s="1600"/>
      <c r="E169" s="1600"/>
      <c r="F169" s="1556"/>
      <c r="G169" s="1562"/>
    </row>
    <row r="170" spans="1:7" s="1541" customFormat="1">
      <c r="A170" s="1595" t="s">
        <v>512</v>
      </c>
      <c r="B170" s="1600">
        <v>3.92</v>
      </c>
      <c r="C170" s="1600">
        <f t="shared" ref="C170:C171" si="30">ROUND(B170*$C$6,2)</f>
        <v>0.56000000000000005</v>
      </c>
      <c r="D170" s="1600"/>
      <c r="E170" s="1600">
        <f>B170+C170</f>
        <v>4.4800000000000004</v>
      </c>
      <c r="F170" s="1556"/>
      <c r="G170" s="1557">
        <f>(B170*$C$6)-C170</f>
        <v>-4.1369782917015652E-3</v>
      </c>
    </row>
    <row r="171" spans="1:7" s="1541" customFormat="1">
      <c r="A171" s="1595" t="s">
        <v>513</v>
      </c>
      <c r="B171" s="1600">
        <v>0.26</v>
      </c>
      <c r="C171" s="1600">
        <f t="shared" si="30"/>
        <v>0.04</v>
      </c>
      <c r="D171" s="1600"/>
      <c r="E171" s="1600">
        <f>B171+C171</f>
        <v>0.3</v>
      </c>
      <c r="F171" s="1556"/>
      <c r="G171" s="1557">
        <f>(B171*$C$6)-C171</f>
        <v>-3.1315342744495864E-3</v>
      </c>
    </row>
    <row r="172" spans="1:7" s="1541" customFormat="1">
      <c r="A172" s="1595"/>
      <c r="B172" s="1600"/>
      <c r="C172" s="1600"/>
      <c r="D172" s="1600"/>
      <c r="E172" s="1600"/>
      <c r="F172" s="1556"/>
      <c r="G172" s="1562"/>
    </row>
    <row r="173" spans="1:7" s="1541" customFormat="1">
      <c r="A173" s="1590" t="s">
        <v>514</v>
      </c>
      <c r="B173" s="1600"/>
      <c r="C173" s="1600"/>
      <c r="D173" s="1600"/>
      <c r="E173" s="1600"/>
      <c r="F173" s="1556"/>
      <c r="G173" s="1562"/>
    </row>
    <row r="174" spans="1:7" s="1541" customFormat="1">
      <c r="A174" s="1595" t="s">
        <v>515</v>
      </c>
      <c r="B174" s="1600">
        <v>5.19</v>
      </c>
      <c r="C174" s="1600">
        <f t="shared" ref="C174:C179" si="31">ROUND(B174*$C$6,2)</f>
        <v>0.74</v>
      </c>
      <c r="D174" s="1600"/>
      <c r="E174" s="1600">
        <f t="shared" ref="E174:E179" si="32">B174+C174</f>
        <v>5.9300000000000006</v>
      </c>
      <c r="F174" s="1556"/>
      <c r="G174" s="1557">
        <f t="shared" ref="G174:G179" si="33">(B174*$C$6)-C174</f>
        <v>-4.0487034015128653E-3</v>
      </c>
    </row>
    <row r="175" spans="1:7" s="1541" customFormat="1">
      <c r="A175" s="1595" t="s">
        <v>516</v>
      </c>
      <c r="B175" s="1600">
        <v>15.56</v>
      </c>
      <c r="C175" s="1600">
        <f t="shared" si="31"/>
        <v>2.21</v>
      </c>
      <c r="D175" s="1600"/>
      <c r="E175" s="1600">
        <f t="shared" si="32"/>
        <v>17.77</v>
      </c>
      <c r="F175" s="1556"/>
      <c r="G175" s="1557">
        <f t="shared" si="33"/>
        <v>-3.5641281170595285E-3</v>
      </c>
    </row>
    <row r="176" spans="1:7" s="1541" customFormat="1">
      <c r="A176" s="1595" t="s">
        <v>517</v>
      </c>
      <c r="B176" s="1600">
        <v>6.34</v>
      </c>
      <c r="C176" s="1600">
        <f t="shared" si="31"/>
        <v>0.9</v>
      </c>
      <c r="D176" s="1600"/>
      <c r="E176" s="1600">
        <f t="shared" si="32"/>
        <v>7.24</v>
      </c>
      <c r="F176" s="1556"/>
      <c r="G176" s="1557">
        <f t="shared" si="33"/>
        <v>-9.766434615784414E-4</v>
      </c>
    </row>
    <row r="177" spans="1:7" s="1541" customFormat="1">
      <c r="A177" s="1595" t="s">
        <v>516</v>
      </c>
      <c r="B177" s="1600">
        <v>19.010000000000002</v>
      </c>
      <c r="C177" s="1600">
        <f t="shared" si="31"/>
        <v>2.7</v>
      </c>
      <c r="D177" s="1600"/>
      <c r="E177" s="1600">
        <f t="shared" si="32"/>
        <v>21.71</v>
      </c>
      <c r="F177" s="1556"/>
      <c r="G177" s="1557">
        <f t="shared" si="33"/>
        <v>-4.3479482972563765E-3</v>
      </c>
    </row>
    <row r="178" spans="1:7" s="1541" customFormat="1">
      <c r="A178" s="1595" t="s">
        <v>518</v>
      </c>
      <c r="B178" s="1600">
        <v>12.1</v>
      </c>
      <c r="C178" s="1600">
        <f t="shared" si="31"/>
        <v>1.72</v>
      </c>
      <c r="D178" s="1600"/>
      <c r="E178" s="1600">
        <f t="shared" si="32"/>
        <v>13.82</v>
      </c>
      <c r="F178" s="1556"/>
      <c r="G178" s="1557">
        <f t="shared" si="33"/>
        <v>-4.1983258493845099E-3</v>
      </c>
    </row>
    <row r="179" spans="1:7" s="1541" customFormat="1">
      <c r="A179" s="1595" t="s">
        <v>516</v>
      </c>
      <c r="B179" s="1600">
        <v>36.31</v>
      </c>
      <c r="C179" s="1600">
        <f t="shared" si="31"/>
        <v>5.15</v>
      </c>
      <c r="D179" s="1600"/>
      <c r="E179" s="1600">
        <f t="shared" si="32"/>
        <v>41.46</v>
      </c>
      <c r="F179" s="1556"/>
      <c r="G179" s="1557">
        <f t="shared" si="33"/>
        <v>-1.1769596356323575E-3</v>
      </c>
    </row>
    <row r="180" spans="1:7" s="1541" customFormat="1">
      <c r="A180" s="1595"/>
      <c r="B180" s="1600"/>
      <c r="C180" s="1600"/>
      <c r="D180" s="1600"/>
      <c r="E180" s="1600"/>
      <c r="F180" s="1556"/>
      <c r="G180" s="1562"/>
    </row>
    <row r="181" spans="1:7" s="1541" customFormat="1">
      <c r="A181" s="1595" t="s">
        <v>519</v>
      </c>
      <c r="B181" s="1600"/>
      <c r="C181" s="1600"/>
      <c r="D181" s="1600"/>
      <c r="E181" s="1600"/>
      <c r="F181" s="1556"/>
      <c r="G181" s="1562"/>
    </row>
    <row r="182" spans="1:7" s="1541" customFormat="1">
      <c r="A182" s="1595" t="s">
        <v>520</v>
      </c>
      <c r="B182" s="1600">
        <v>25.35</v>
      </c>
      <c r="C182" s="1600">
        <f t="shared" ref="C182:C183" si="34">ROUND(B182*$C$6,2)</f>
        <v>3.59</v>
      </c>
      <c r="D182" s="1600"/>
      <c r="E182" s="1600">
        <f>B182+C182</f>
        <v>28.94</v>
      </c>
      <c r="F182" s="1556"/>
      <c r="G182" s="1557">
        <f>(B182*$C$6)-C182</f>
        <v>4.675408241165524E-3</v>
      </c>
    </row>
    <row r="183" spans="1:7" s="1541" customFormat="1">
      <c r="A183" s="1595" t="s">
        <v>521</v>
      </c>
      <c r="B183" s="1600">
        <v>38.020000000000003</v>
      </c>
      <c r="C183" s="1600">
        <f t="shared" si="34"/>
        <v>5.39</v>
      </c>
      <c r="D183" s="1600"/>
      <c r="E183" s="1600">
        <f>B183+C183</f>
        <v>43.410000000000004</v>
      </c>
      <c r="F183" s="1556"/>
      <c r="G183" s="1557">
        <f>(B183*$C$6)-C183</f>
        <v>1.3041034054879219E-3</v>
      </c>
    </row>
    <row r="184" spans="1:7" s="1541" customFormat="1">
      <c r="A184" s="1595"/>
      <c r="B184" s="1600"/>
      <c r="C184" s="1600"/>
      <c r="D184" s="1600"/>
      <c r="E184" s="1600"/>
      <c r="F184" s="1556"/>
      <c r="G184" s="1562"/>
    </row>
    <row r="185" spans="1:7" s="1541" customFormat="1">
      <c r="A185" s="1590" t="s">
        <v>522</v>
      </c>
      <c r="B185" s="1600"/>
      <c r="C185" s="1600"/>
      <c r="D185" s="1600"/>
      <c r="E185" s="1600"/>
      <c r="F185" s="1556"/>
      <c r="G185" s="1562"/>
    </row>
    <row r="186" spans="1:7" s="1541" customFormat="1">
      <c r="A186" s="1595" t="s">
        <v>523</v>
      </c>
      <c r="B186" s="1600">
        <v>106</v>
      </c>
      <c r="C186" s="1600"/>
      <c r="D186" s="1600"/>
      <c r="E186" s="1600"/>
      <c r="F186" s="1556"/>
      <c r="G186" s="1562"/>
    </row>
    <row r="187" spans="1:7" s="1541" customFormat="1">
      <c r="A187" s="1595" t="s">
        <v>524</v>
      </c>
      <c r="B187" s="1600">
        <v>108.41</v>
      </c>
      <c r="C187" s="1600"/>
      <c r="D187" s="1600"/>
      <c r="E187" s="1600"/>
      <c r="F187" s="1556"/>
      <c r="G187" s="1562"/>
    </row>
    <row r="188" spans="1:7" s="1541" customFormat="1">
      <c r="A188" s="1595" t="s">
        <v>525</v>
      </c>
      <c r="B188" s="1600">
        <v>104.5</v>
      </c>
      <c r="C188" s="1600"/>
      <c r="D188" s="1600"/>
      <c r="E188" s="1600"/>
      <c r="F188" s="1556"/>
      <c r="G188" s="1562"/>
    </row>
    <row r="189" spans="1:7" s="1541" customFormat="1">
      <c r="A189" s="1595"/>
      <c r="B189" s="1600"/>
      <c r="C189" s="1600"/>
      <c r="D189" s="1600"/>
      <c r="E189" s="1600"/>
      <c r="F189" s="1556"/>
      <c r="G189" s="1562"/>
    </row>
    <row r="190" spans="1:7" s="1541" customFormat="1">
      <c r="A190" s="1605"/>
      <c r="B190" s="1600"/>
      <c r="C190" s="1600"/>
      <c r="D190" s="1600"/>
      <c r="E190" s="1600"/>
      <c r="F190" s="1556"/>
      <c r="G190" s="1562"/>
    </row>
    <row r="191" spans="1:7" s="1541" customFormat="1">
      <c r="A191" s="1601" t="s">
        <v>453</v>
      </c>
      <c r="B191" s="1600"/>
      <c r="C191" s="1600"/>
      <c r="D191" s="1600"/>
      <c r="E191" s="1600"/>
      <c r="F191" s="1556"/>
      <c r="G191" s="1562"/>
    </row>
    <row r="192" spans="1:7" s="1541" customFormat="1">
      <c r="A192" s="1590" t="s">
        <v>526</v>
      </c>
      <c r="B192" s="1600"/>
      <c r="C192" s="1600"/>
      <c r="D192" s="1600"/>
      <c r="E192" s="1600"/>
      <c r="F192" s="1556"/>
      <c r="G192" s="1562"/>
    </row>
    <row r="193" spans="1:7" s="1541" customFormat="1">
      <c r="A193" s="1590" t="s">
        <v>527</v>
      </c>
      <c r="B193" s="1600"/>
      <c r="C193" s="1600"/>
      <c r="D193" s="1600"/>
      <c r="E193" s="1600"/>
      <c r="F193" s="1556"/>
      <c r="G193" s="1562"/>
    </row>
    <row r="194" spans="1:7" s="1541" customFormat="1">
      <c r="A194" s="1595" t="s">
        <v>528</v>
      </c>
      <c r="B194" s="1600">
        <v>10.66</v>
      </c>
      <c r="C194" s="1600">
        <f t="shared" ref="C194:C200" si="35">ROUND(B194*$C$6,2)</f>
        <v>1.51</v>
      </c>
      <c r="D194" s="1600"/>
      <c r="E194" s="1600">
        <f t="shared" ref="E194:E200" si="36">B194+C194</f>
        <v>12.17</v>
      </c>
      <c r="F194" s="1556"/>
      <c r="G194" s="1557">
        <f t="shared" ref="G194:G200" si="37">(B194*$C$6)-C194</f>
        <v>1.6070947475670394E-3</v>
      </c>
    </row>
    <row r="195" spans="1:7" s="1541" customFormat="1">
      <c r="A195" s="1595" t="s">
        <v>529</v>
      </c>
      <c r="B195" s="1600">
        <v>12.81</v>
      </c>
      <c r="C195" s="1600">
        <f t="shared" si="35"/>
        <v>1.82</v>
      </c>
      <c r="D195" s="1600"/>
      <c r="E195" s="1600">
        <f t="shared" si="36"/>
        <v>14.63</v>
      </c>
      <c r="F195" s="1556"/>
      <c r="G195" s="1557">
        <f t="shared" si="37"/>
        <v>-3.5190540603815545E-3</v>
      </c>
    </row>
    <row r="196" spans="1:7" s="1541" customFormat="1">
      <c r="A196" s="1595" t="s">
        <v>530</v>
      </c>
      <c r="B196" s="1600">
        <v>17.59</v>
      </c>
      <c r="C196" s="1600">
        <f t="shared" si="35"/>
        <v>2.4900000000000002</v>
      </c>
      <c r="D196" s="1600"/>
      <c r="E196" s="1600">
        <f t="shared" si="36"/>
        <v>20.079999999999998</v>
      </c>
      <c r="F196" s="1556"/>
      <c r="G196" s="1557">
        <f t="shared" si="37"/>
        <v>4.2935081247374995E-3</v>
      </c>
    </row>
    <row r="197" spans="1:7" s="1541" customFormat="1">
      <c r="A197" s="1595" t="s">
        <v>531</v>
      </c>
      <c r="B197" s="1600">
        <v>21.71</v>
      </c>
      <c r="C197" s="1600">
        <f t="shared" si="35"/>
        <v>3.08</v>
      </c>
      <c r="D197" s="1600"/>
      <c r="E197" s="1600">
        <f t="shared" si="36"/>
        <v>24.79</v>
      </c>
      <c r="F197" s="1556"/>
      <c r="G197" s="1557">
        <f t="shared" si="37"/>
        <v>-1.4831119165403805E-3</v>
      </c>
    </row>
    <row r="198" spans="1:7" s="1541" customFormat="1">
      <c r="A198" s="1595" t="s">
        <v>532</v>
      </c>
      <c r="B198" s="1600">
        <v>24.58</v>
      </c>
      <c r="C198" s="1600">
        <f t="shared" si="35"/>
        <v>3.49</v>
      </c>
      <c r="D198" s="1600"/>
      <c r="E198" s="1600">
        <f t="shared" si="36"/>
        <v>28.07</v>
      </c>
      <c r="F198" s="1556"/>
      <c r="G198" s="1557">
        <f t="shared" si="37"/>
        <v>-4.5119710229650778E-3</v>
      </c>
    </row>
    <row r="199" spans="1:7" s="1541" customFormat="1">
      <c r="A199" s="1595" t="s">
        <v>533</v>
      </c>
      <c r="B199" s="1600">
        <v>32.56</v>
      </c>
      <c r="C199" s="1600">
        <f t="shared" si="35"/>
        <v>4.62</v>
      </c>
      <c r="D199" s="1600"/>
      <c r="E199" s="1600">
        <f t="shared" si="36"/>
        <v>37.18</v>
      </c>
      <c r="F199" s="1556"/>
      <c r="G199" s="1557">
        <f t="shared" si="37"/>
        <v>-2.9336768310708194E-3</v>
      </c>
    </row>
    <row r="200" spans="1:7" s="1541" customFormat="1">
      <c r="A200" s="1595" t="s">
        <v>534</v>
      </c>
      <c r="B200" s="1600">
        <v>39.36</v>
      </c>
      <c r="C200" s="1600">
        <f t="shared" si="35"/>
        <v>5.58</v>
      </c>
      <c r="D200" s="1600"/>
      <c r="E200" s="1600">
        <f t="shared" si="36"/>
        <v>44.94</v>
      </c>
      <c r="F200" s="1556"/>
      <c r="G200" s="1557">
        <f t="shared" si="37"/>
        <v>1.3185036833238684E-3</v>
      </c>
    </row>
    <row r="201" spans="1:7" s="1541" customFormat="1">
      <c r="A201" s="1590"/>
      <c r="B201" s="1600"/>
      <c r="C201" s="1600"/>
      <c r="D201" s="1600"/>
      <c r="E201" s="1600"/>
      <c r="F201" s="1556"/>
      <c r="G201" s="1562"/>
    </row>
    <row r="202" spans="1:7" s="1541" customFormat="1">
      <c r="A202" s="1590" t="s">
        <v>535</v>
      </c>
      <c r="B202" s="1600"/>
      <c r="C202" s="1600"/>
      <c r="D202" s="1600"/>
      <c r="E202" s="1600"/>
      <c r="F202" s="1556"/>
      <c r="G202" s="1562"/>
    </row>
    <row r="203" spans="1:7" s="1541" customFormat="1">
      <c r="A203" s="1595" t="s">
        <v>528</v>
      </c>
      <c r="B203" s="1600">
        <v>15.75</v>
      </c>
      <c r="C203" s="1600">
        <f t="shared" ref="C203:C209" si="38">ROUND(B203*$C$6,2)</f>
        <v>2.23</v>
      </c>
      <c r="D203" s="1600"/>
      <c r="E203" s="1600">
        <f t="shared" ref="E203:E209" si="39">B203+C203</f>
        <v>17.98</v>
      </c>
      <c r="F203" s="1556"/>
      <c r="G203" s="1557">
        <f t="shared" ref="G203:G209" si="40">(B203*$C$6)-C203</f>
        <v>3.378212220842336E-3</v>
      </c>
    </row>
    <row r="204" spans="1:7" s="1541" customFormat="1">
      <c r="A204" s="1595" t="s">
        <v>529</v>
      </c>
      <c r="B204" s="1600">
        <v>23.74</v>
      </c>
      <c r="C204" s="1600">
        <f t="shared" si="38"/>
        <v>3.37</v>
      </c>
      <c r="D204" s="1600"/>
      <c r="E204" s="1600">
        <f t="shared" si="39"/>
        <v>27.11</v>
      </c>
      <c r="F204" s="1556"/>
      <c r="G204" s="1557">
        <f t="shared" si="40"/>
        <v>-3.6254756747431394E-3</v>
      </c>
    </row>
    <row r="205" spans="1:7" s="1541" customFormat="1">
      <c r="A205" s="1595" t="s">
        <v>530</v>
      </c>
      <c r="B205" s="1600">
        <v>31.64</v>
      </c>
      <c r="C205" s="1600">
        <f t="shared" si="38"/>
        <v>4.49</v>
      </c>
      <c r="D205" s="1600"/>
      <c r="E205" s="1600">
        <f t="shared" si="39"/>
        <v>36.130000000000003</v>
      </c>
      <c r="F205" s="1556"/>
      <c r="G205" s="1557">
        <f t="shared" si="40"/>
        <v>-3.3913247830188453E-3</v>
      </c>
    </row>
    <row r="206" spans="1:7" s="1541" customFormat="1">
      <c r="A206" s="1595" t="s">
        <v>531</v>
      </c>
      <c r="B206" s="1600">
        <v>44.75</v>
      </c>
      <c r="C206" s="1600">
        <f t="shared" si="38"/>
        <v>6.35</v>
      </c>
      <c r="D206" s="1600"/>
      <c r="E206" s="1600">
        <f t="shared" si="39"/>
        <v>51.1</v>
      </c>
      <c r="F206" s="1556"/>
      <c r="G206" s="1557">
        <f t="shared" si="40"/>
        <v>-4.3698414677653119E-3</v>
      </c>
    </row>
    <row r="207" spans="1:7" s="1541" customFormat="1">
      <c r="A207" s="1595" t="s">
        <v>532</v>
      </c>
      <c r="B207" s="1600">
        <v>59.43</v>
      </c>
      <c r="C207" s="1600">
        <f t="shared" si="38"/>
        <v>8.43</v>
      </c>
      <c r="D207" s="1600"/>
      <c r="E207" s="1600">
        <f t="shared" si="39"/>
        <v>67.86</v>
      </c>
      <c r="F207" s="1556"/>
      <c r="G207" s="1557">
        <f t="shared" si="40"/>
        <v>-2.7195458866877686E-3</v>
      </c>
    </row>
    <row r="208" spans="1:7" s="1541" customFormat="1">
      <c r="A208" s="1595" t="s">
        <v>533</v>
      </c>
      <c r="B208" s="1600">
        <v>86.55</v>
      </c>
      <c r="C208" s="1600">
        <f t="shared" si="38"/>
        <v>12.27</v>
      </c>
      <c r="D208" s="1600"/>
      <c r="E208" s="1600">
        <f t="shared" si="39"/>
        <v>98.82</v>
      </c>
      <c r="F208" s="1556"/>
      <c r="G208" s="1557">
        <f t="shared" si="40"/>
        <v>2.9450328707252282E-3</v>
      </c>
    </row>
    <row r="209" spans="1:7" s="1541" customFormat="1">
      <c r="A209" s="1595" t="s">
        <v>534</v>
      </c>
      <c r="B209" s="1600">
        <v>112.65</v>
      </c>
      <c r="C209" s="1600">
        <f t="shared" si="38"/>
        <v>15.97</v>
      </c>
      <c r="D209" s="1600"/>
      <c r="E209" s="1600">
        <f t="shared" si="39"/>
        <v>128.62</v>
      </c>
      <c r="F209" s="1556"/>
      <c r="G209" s="1557">
        <f t="shared" si="40"/>
        <v>3.97178455097702E-3</v>
      </c>
    </row>
    <row r="210" spans="1:7" s="1541" customFormat="1">
      <c r="A210" s="1595"/>
      <c r="B210" s="1600"/>
      <c r="C210" s="1600"/>
      <c r="D210" s="1600"/>
      <c r="E210" s="1600"/>
      <c r="F210" s="1556"/>
      <c r="G210" s="1562"/>
    </row>
    <row r="211" spans="1:7" s="1541" customFormat="1">
      <c r="A211" s="1590" t="s">
        <v>536</v>
      </c>
      <c r="B211" s="1600"/>
      <c r="C211" s="1600"/>
      <c r="D211" s="1600"/>
      <c r="E211" s="1600"/>
      <c r="F211" s="1556"/>
      <c r="G211" s="1562"/>
    </row>
    <row r="212" spans="1:7" s="1541" customFormat="1">
      <c r="A212" s="1595" t="s">
        <v>528</v>
      </c>
      <c r="B212" s="1600">
        <v>38.159999999999997</v>
      </c>
      <c r="C212" s="1600">
        <f t="shared" ref="C212:C218" si="41">ROUND(B212*$C$6,2)</f>
        <v>5.41</v>
      </c>
      <c r="D212" s="1600"/>
      <c r="E212" s="1600">
        <f t="shared" ref="E212:E218" si="42">B212+C212</f>
        <v>43.569999999999993</v>
      </c>
      <c r="F212" s="1556"/>
      <c r="G212" s="1557">
        <f t="shared" ref="G212:G218" si="43">(B212*$C$6)-C212</f>
        <v>1.1563541807833033E-3</v>
      </c>
    </row>
    <row r="213" spans="1:7" s="1541" customFormat="1">
      <c r="A213" s="1595" t="s">
        <v>529</v>
      </c>
      <c r="B213" s="1600">
        <v>54.86</v>
      </c>
      <c r="C213" s="1600">
        <f t="shared" si="41"/>
        <v>7.78</v>
      </c>
      <c r="D213" s="1600"/>
      <c r="E213" s="1600">
        <f t="shared" si="42"/>
        <v>62.64</v>
      </c>
      <c r="F213" s="1556"/>
      <c r="G213" s="1557">
        <f t="shared" si="43"/>
        <v>-7.5373190886285357E-4</v>
      </c>
    </row>
    <row r="214" spans="1:7" s="1541" customFormat="1">
      <c r="A214" s="1595" t="s">
        <v>530</v>
      </c>
      <c r="B214" s="1600">
        <v>64.63</v>
      </c>
      <c r="C214" s="1600">
        <f t="shared" si="41"/>
        <v>9.16</v>
      </c>
      <c r="D214" s="1600"/>
      <c r="E214" s="1600">
        <f t="shared" si="42"/>
        <v>73.789999999999992</v>
      </c>
      <c r="F214" s="1556"/>
      <c r="G214" s="1557">
        <f t="shared" si="43"/>
        <v>4.6497686243185399E-3</v>
      </c>
    </row>
    <row r="215" spans="1:7" s="1541" customFormat="1">
      <c r="A215" s="1595" t="s">
        <v>531</v>
      </c>
      <c r="B215" s="1600">
        <v>83.33</v>
      </c>
      <c r="C215" s="1600">
        <f t="shared" si="41"/>
        <v>11.82</v>
      </c>
      <c r="D215" s="1600"/>
      <c r="E215" s="1600">
        <f t="shared" si="42"/>
        <v>95.15</v>
      </c>
      <c r="F215" s="1556"/>
      <c r="G215" s="1557">
        <f t="shared" si="43"/>
        <v>-3.6567349610923117E-3</v>
      </c>
    </row>
    <row r="216" spans="1:7" s="1541" customFormat="1">
      <c r="A216" s="1595" t="s">
        <v>532</v>
      </c>
      <c r="B216" s="1600">
        <v>103.23</v>
      </c>
      <c r="C216" s="1600">
        <f t="shared" si="41"/>
        <v>14.64</v>
      </c>
      <c r="D216" s="1600"/>
      <c r="E216" s="1600">
        <f t="shared" si="42"/>
        <v>117.87</v>
      </c>
      <c r="F216" s="1556"/>
      <c r="G216" s="1557">
        <f t="shared" si="43"/>
        <v>-1.8010890439636995E-3</v>
      </c>
    </row>
    <row r="217" spans="1:7" s="1541" customFormat="1">
      <c r="A217" s="1595" t="s">
        <v>533</v>
      </c>
      <c r="B217" s="1600">
        <v>139.16</v>
      </c>
      <c r="C217" s="1600">
        <f t="shared" si="41"/>
        <v>19.73</v>
      </c>
      <c r="D217" s="1600"/>
      <c r="E217" s="1600">
        <f t="shared" si="42"/>
        <v>158.88999999999999</v>
      </c>
      <c r="F217" s="1556"/>
      <c r="G217" s="1557">
        <f t="shared" si="43"/>
        <v>3.1372706445971232E-3</v>
      </c>
    </row>
    <row r="218" spans="1:7" s="1541" customFormat="1">
      <c r="A218" s="1595" t="s">
        <v>534</v>
      </c>
      <c r="B218" s="1600">
        <v>176.15</v>
      </c>
      <c r="C218" s="1600">
        <f t="shared" si="41"/>
        <v>24.98</v>
      </c>
      <c r="D218" s="1600"/>
      <c r="E218" s="1600">
        <f t="shared" si="42"/>
        <v>201.13</v>
      </c>
      <c r="F218" s="1556"/>
      <c r="G218" s="1557">
        <f t="shared" si="43"/>
        <v>-1.6144709395931045E-3</v>
      </c>
    </row>
    <row r="219" spans="1:7" s="1541" customFormat="1">
      <c r="A219" s="1595"/>
      <c r="B219" s="1600"/>
      <c r="C219" s="1600"/>
      <c r="D219" s="1600"/>
      <c r="E219" s="1600"/>
      <c r="F219" s="1556"/>
      <c r="G219" s="1562"/>
    </row>
    <row r="220" spans="1:7" s="1541" customFormat="1">
      <c r="A220" s="1590" t="s">
        <v>537</v>
      </c>
      <c r="B220" s="1600"/>
      <c r="C220" s="1600"/>
      <c r="D220" s="1600"/>
      <c r="E220" s="1600"/>
      <c r="F220" s="1556"/>
      <c r="G220" s="1562"/>
    </row>
    <row r="221" spans="1:7" s="1541" customFormat="1">
      <c r="A221" s="1595" t="s">
        <v>538</v>
      </c>
      <c r="B221" s="1600">
        <v>54.65</v>
      </c>
      <c r="C221" s="1600">
        <f t="shared" ref="C221:C222" si="44">ROUND(B221*$C$6,2)</f>
        <v>7.75</v>
      </c>
      <c r="D221" s="1600"/>
      <c r="E221" s="1600">
        <f>B221+C221</f>
        <v>62.4</v>
      </c>
      <c r="F221" s="1556"/>
      <c r="G221" s="1557">
        <f>(B221*$C$6)-C221</f>
        <v>-5.3210807180725794E-4</v>
      </c>
    </row>
    <row r="222" spans="1:7" s="1541" customFormat="1">
      <c r="A222" s="1595" t="s">
        <v>539</v>
      </c>
      <c r="B222" s="1600">
        <v>62.05</v>
      </c>
      <c r="C222" s="1600">
        <f t="shared" si="44"/>
        <v>8.8000000000000007</v>
      </c>
      <c r="D222" s="1600"/>
      <c r="E222" s="1600">
        <f>B222+C222</f>
        <v>70.849999999999994</v>
      </c>
      <c r="F222" s="1556"/>
      <c r="G222" s="1557">
        <f>(B222*$C$6)-C222</f>
        <v>-1.1988528061426251E-3</v>
      </c>
    </row>
    <row r="223" spans="1:7" s="1541" customFormat="1">
      <c r="A223" s="1595"/>
      <c r="B223" s="1600"/>
      <c r="C223" s="1600"/>
      <c r="D223" s="1600"/>
      <c r="E223" s="1600"/>
      <c r="F223" s="1556"/>
      <c r="G223" s="1562"/>
    </row>
    <row r="224" spans="1:7" s="1541" customFormat="1">
      <c r="A224" s="1590" t="s">
        <v>540</v>
      </c>
      <c r="B224" s="1600"/>
      <c r="C224" s="1600"/>
      <c r="D224" s="1600"/>
      <c r="E224" s="1600"/>
      <c r="F224" s="1556"/>
      <c r="G224" s="1562"/>
    </row>
    <row r="225" spans="1:7" s="1541" customFormat="1">
      <c r="A225" s="1595" t="s">
        <v>528</v>
      </c>
      <c r="B225" s="1600">
        <v>18.36</v>
      </c>
      <c r="C225" s="1600">
        <f t="shared" ref="C225:C231" si="45">ROUND(B225*$C$6,2)</f>
        <v>2.6</v>
      </c>
      <c r="D225" s="1600"/>
      <c r="E225" s="1600">
        <f t="shared" ref="E225:E231" si="46">B225+C225</f>
        <v>20.96</v>
      </c>
      <c r="F225" s="1556"/>
      <c r="G225" s="1557">
        <f t="shared" ref="G225:G231" si="47">(B225*$C$6)-C225</f>
        <v>3.4808873888674263E-3</v>
      </c>
    </row>
    <row r="226" spans="1:7" s="1541" customFormat="1">
      <c r="A226" s="1595" t="s">
        <v>529</v>
      </c>
      <c r="B226" s="1600">
        <v>27.66</v>
      </c>
      <c r="C226" s="1600">
        <f t="shared" si="45"/>
        <v>3.92</v>
      </c>
      <c r="D226" s="1600"/>
      <c r="E226" s="1600">
        <f t="shared" si="46"/>
        <v>31.58</v>
      </c>
      <c r="F226" s="1556"/>
      <c r="G226" s="1557">
        <f t="shared" si="47"/>
        <v>2.2375460335557484E-3</v>
      </c>
    </row>
    <row r="227" spans="1:7" s="1541" customFormat="1">
      <c r="A227" s="1595" t="s">
        <v>530</v>
      </c>
      <c r="B227" s="1600">
        <v>38.18</v>
      </c>
      <c r="C227" s="1600">
        <f t="shared" si="45"/>
        <v>5.41</v>
      </c>
      <c r="D227" s="1600"/>
      <c r="E227" s="1600">
        <f t="shared" si="46"/>
        <v>43.59</v>
      </c>
      <c r="F227" s="1556"/>
      <c r="G227" s="1557">
        <f t="shared" si="47"/>
        <v>3.9923900058260742E-3</v>
      </c>
    </row>
    <row r="228" spans="1:7" s="1541" customFormat="1">
      <c r="A228" s="1595" t="s">
        <v>531</v>
      </c>
      <c r="B228" s="1600">
        <v>51.27</v>
      </c>
      <c r="C228" s="1600">
        <f t="shared" si="45"/>
        <v>7.27</v>
      </c>
      <c r="D228" s="1600"/>
      <c r="E228" s="1600">
        <f t="shared" si="46"/>
        <v>58.540000000000006</v>
      </c>
      <c r="F228" s="1556"/>
      <c r="G228" s="1557">
        <f t="shared" si="47"/>
        <v>1.778374960386131E-4</v>
      </c>
    </row>
    <row r="229" spans="1:7" s="1541" customFormat="1">
      <c r="A229" s="1595" t="s">
        <v>532</v>
      </c>
      <c r="B229" s="1600">
        <v>67.27</v>
      </c>
      <c r="C229" s="1600">
        <f t="shared" si="45"/>
        <v>9.5399999999999991</v>
      </c>
      <c r="D229" s="1600"/>
      <c r="E229" s="1600">
        <f t="shared" si="46"/>
        <v>76.81</v>
      </c>
      <c r="F229" s="1556"/>
      <c r="G229" s="1557">
        <f t="shared" si="47"/>
        <v>-9.9350247009155623E-4</v>
      </c>
    </row>
    <row r="230" spans="1:7" s="1541" customFormat="1">
      <c r="A230" s="1595" t="s">
        <v>533</v>
      </c>
      <c r="B230" s="1600">
        <v>99.62</v>
      </c>
      <c r="C230" s="1600">
        <f t="shared" si="45"/>
        <v>14.13</v>
      </c>
      <c r="D230" s="1600"/>
      <c r="E230" s="1600">
        <f t="shared" si="46"/>
        <v>113.75</v>
      </c>
      <c r="F230" s="1556"/>
      <c r="G230" s="1557">
        <f t="shared" si="47"/>
        <v>-3.7055554641067801E-3</v>
      </c>
    </row>
    <row r="231" spans="1:7" s="1541" customFormat="1">
      <c r="A231" s="1595" t="s">
        <v>534</v>
      </c>
      <c r="B231" s="1600">
        <v>128.38999999999999</v>
      </c>
      <c r="C231" s="1600">
        <f t="shared" si="45"/>
        <v>18.21</v>
      </c>
      <c r="D231" s="1600"/>
      <c r="E231" s="1600">
        <f t="shared" si="46"/>
        <v>146.6</v>
      </c>
      <c r="F231" s="1556"/>
      <c r="G231" s="1557">
        <f t="shared" si="47"/>
        <v>-4.0680211407035927E-3</v>
      </c>
    </row>
    <row r="232" spans="1:7" s="1541" customFormat="1">
      <c r="A232" s="1595"/>
      <c r="B232" s="1600"/>
      <c r="C232" s="1600"/>
      <c r="D232" s="1600"/>
      <c r="E232" s="1600"/>
      <c r="F232" s="1556"/>
      <c r="G232" s="1562"/>
    </row>
    <row r="233" spans="1:7" s="1541" customFormat="1">
      <c r="A233" s="1590" t="s">
        <v>541</v>
      </c>
      <c r="B233" s="1600"/>
      <c r="C233" s="1600"/>
      <c r="D233" s="1600"/>
      <c r="E233" s="1600"/>
      <c r="F233" s="1556"/>
      <c r="G233" s="1562"/>
    </row>
    <row r="234" spans="1:7" s="1541" customFormat="1">
      <c r="A234" s="1595" t="s">
        <v>538</v>
      </c>
      <c r="B234" s="1600">
        <v>2.35</v>
      </c>
      <c r="C234" s="1600">
        <f t="shared" ref="C234:C236" si="48">ROUND(B234*$C$6,2)</f>
        <v>0.33</v>
      </c>
      <c r="D234" s="1600"/>
      <c r="E234" s="1600">
        <f>B234+C234</f>
        <v>2.68</v>
      </c>
      <c r="F234" s="1556"/>
      <c r="G234" s="1557">
        <f>(B234*$C$6)-C234</f>
        <v>3.234209442474878E-3</v>
      </c>
    </row>
    <row r="235" spans="1:7" s="1541" customFormat="1">
      <c r="A235" s="1595" t="s">
        <v>533</v>
      </c>
      <c r="B235" s="1600">
        <v>5.19</v>
      </c>
      <c r="C235" s="1600">
        <f t="shared" si="48"/>
        <v>0.74</v>
      </c>
      <c r="D235" s="1600"/>
      <c r="E235" s="1600">
        <f>B235+C235</f>
        <v>5.9300000000000006</v>
      </c>
      <c r="F235" s="1556"/>
      <c r="G235" s="1557">
        <f>(B235*$C$6)-C235</f>
        <v>-4.0487034015128653E-3</v>
      </c>
    </row>
    <row r="236" spans="1:7" s="1541" customFormat="1">
      <c r="A236" s="1595" t="s">
        <v>534</v>
      </c>
      <c r="B236" s="1600">
        <v>7.48</v>
      </c>
      <c r="C236" s="1600">
        <f t="shared" si="48"/>
        <v>1.06</v>
      </c>
      <c r="D236" s="1600"/>
      <c r="E236" s="1600">
        <f>B236+C236</f>
        <v>8.5400000000000009</v>
      </c>
      <c r="F236" s="1556"/>
      <c r="G236" s="1557">
        <f>(B236*$C$6)-C236</f>
        <v>6.7739856583504121E-4</v>
      </c>
    </row>
    <row r="237" spans="1:7" s="1541" customFormat="1">
      <c r="A237" s="1595"/>
      <c r="B237" s="1600"/>
      <c r="C237" s="1600"/>
      <c r="D237" s="1600"/>
      <c r="E237" s="1600"/>
      <c r="F237" s="1556"/>
      <c r="G237" s="1562"/>
    </row>
    <row r="238" spans="1:7" s="1541" customFormat="1">
      <c r="A238" s="1590" t="s">
        <v>542</v>
      </c>
      <c r="B238" s="1600"/>
      <c r="C238" s="1600"/>
      <c r="D238" s="1600"/>
      <c r="E238" s="1600"/>
      <c r="F238" s="1556"/>
      <c r="G238" s="1562"/>
    </row>
    <row r="239" spans="1:7" s="1541" customFormat="1">
      <c r="A239" s="1595" t="s">
        <v>528</v>
      </c>
      <c r="B239" s="1600">
        <v>23.51</v>
      </c>
      <c r="C239" s="1600">
        <f t="shared" ref="C239:C245" si="49">ROUND(B239*$C$6,2)</f>
        <v>3.33</v>
      </c>
      <c r="D239" s="1600"/>
      <c r="E239" s="1600">
        <f t="shared" ref="E239:E245" si="50">B239+C239</f>
        <v>26.840000000000003</v>
      </c>
      <c r="F239" s="1556"/>
      <c r="G239" s="1557">
        <f t="shared" ref="G239:G245" si="51">(B239*$C$6)-C239</f>
        <v>3.7601123372703604E-3</v>
      </c>
    </row>
    <row r="240" spans="1:7" s="1541" customFormat="1">
      <c r="A240" s="1595" t="s">
        <v>529</v>
      </c>
      <c r="B240" s="1600">
        <v>25.86</v>
      </c>
      <c r="C240" s="1600">
        <f t="shared" si="49"/>
        <v>3.67</v>
      </c>
      <c r="D240" s="1600"/>
      <c r="E240" s="1600">
        <f t="shared" si="50"/>
        <v>29.53</v>
      </c>
      <c r="F240" s="1556"/>
      <c r="G240" s="1557">
        <f t="shared" si="51"/>
        <v>-3.0056782202549925E-3</v>
      </c>
    </row>
    <row r="241" spans="1:7" s="1541" customFormat="1">
      <c r="A241" s="1595" t="s">
        <v>530</v>
      </c>
      <c r="B241" s="1600">
        <v>35.26</v>
      </c>
      <c r="C241" s="1600">
        <f t="shared" si="49"/>
        <v>5</v>
      </c>
      <c r="D241" s="1600"/>
      <c r="E241" s="1600">
        <f t="shared" si="50"/>
        <v>40.26</v>
      </c>
      <c r="F241" s="1556"/>
      <c r="G241" s="1557">
        <f t="shared" si="51"/>
        <v>-6.8840450355267535E-5</v>
      </c>
    </row>
    <row r="242" spans="1:7" s="1541" customFormat="1">
      <c r="A242" s="1595" t="s">
        <v>531</v>
      </c>
      <c r="B242" s="1600">
        <v>42.3</v>
      </c>
      <c r="C242" s="1600">
        <f t="shared" si="49"/>
        <v>6</v>
      </c>
      <c r="D242" s="1600"/>
      <c r="E242" s="1600">
        <f t="shared" si="50"/>
        <v>48.3</v>
      </c>
      <c r="F242" s="1556"/>
      <c r="G242" s="1557">
        <f t="shared" si="51"/>
        <v>-1.7842300354526941E-3</v>
      </c>
    </row>
    <row r="243" spans="1:7" s="1541" customFormat="1">
      <c r="A243" s="1595" t="s">
        <v>532</v>
      </c>
      <c r="B243" s="1600">
        <v>47.01</v>
      </c>
      <c r="C243" s="1600">
        <f t="shared" si="49"/>
        <v>6.67</v>
      </c>
      <c r="D243" s="1600"/>
      <c r="E243" s="1600">
        <f t="shared" si="50"/>
        <v>53.68</v>
      </c>
      <c r="F243" s="1556"/>
      <c r="G243" s="1557">
        <f t="shared" si="51"/>
        <v>-3.8977932379813396E-3</v>
      </c>
    </row>
    <row r="244" spans="1:7" s="1541" customFormat="1">
      <c r="A244" s="1595" t="s">
        <v>533</v>
      </c>
      <c r="B244" s="1600">
        <v>62.22</v>
      </c>
      <c r="C244" s="1600">
        <f t="shared" si="49"/>
        <v>8.82</v>
      </c>
      <c r="D244" s="1600"/>
      <c r="E244" s="1600">
        <f t="shared" si="50"/>
        <v>71.039999999999992</v>
      </c>
      <c r="F244" s="1556"/>
      <c r="G244" s="1557">
        <f t="shared" si="51"/>
        <v>2.9074517067186889E-3</v>
      </c>
    </row>
    <row r="245" spans="1:7" s="1541" customFormat="1">
      <c r="A245" s="1595" t="s">
        <v>534</v>
      </c>
      <c r="B245" s="1600">
        <v>89.87</v>
      </c>
      <c r="C245" s="1600">
        <f t="shared" si="49"/>
        <v>12.74</v>
      </c>
      <c r="D245" s="1600"/>
      <c r="E245" s="1600">
        <f t="shared" si="50"/>
        <v>102.61</v>
      </c>
      <c r="F245" s="1556"/>
      <c r="G245" s="1557">
        <f t="shared" si="51"/>
        <v>3.726979827753496E-3</v>
      </c>
    </row>
    <row r="246" spans="1:7" s="1541" customFormat="1">
      <c r="A246" s="1595"/>
      <c r="B246" s="1600"/>
      <c r="C246" s="1600"/>
      <c r="D246" s="1600"/>
      <c r="E246" s="1600"/>
      <c r="F246" s="1556"/>
      <c r="G246" s="1562"/>
    </row>
    <row r="247" spans="1:7" s="1541" customFormat="1">
      <c r="A247" s="1595" t="s">
        <v>543</v>
      </c>
      <c r="B247" s="1600">
        <v>6.85</v>
      </c>
      <c r="C247" s="1600">
        <f t="shared" ref="C247:C248" si="52">ROUND(B247*$C$6,2)</f>
        <v>0.97</v>
      </c>
      <c r="D247" s="1600"/>
      <c r="E247" s="1600">
        <f>B247+C247</f>
        <v>7.8199999999999994</v>
      </c>
      <c r="F247" s="1556"/>
      <c r="G247" s="1557">
        <f>(B247*$C$6)-C247</f>
        <v>1.342270077001273E-3</v>
      </c>
    </row>
    <row r="248" spans="1:7" s="1541" customFormat="1">
      <c r="A248" s="1595" t="s">
        <v>544</v>
      </c>
      <c r="B248" s="1600">
        <v>2.4900000000000002</v>
      </c>
      <c r="C248" s="1600">
        <f t="shared" si="52"/>
        <v>0.35</v>
      </c>
      <c r="D248" s="1600"/>
      <c r="E248" s="1600">
        <f>B248+C248</f>
        <v>2.8400000000000003</v>
      </c>
      <c r="F248" s="1556"/>
      <c r="G248" s="1557">
        <f>(B248*$C$6)-C248</f>
        <v>3.0864602177713141E-3</v>
      </c>
    </row>
    <row r="249" spans="1:7" s="1541" customFormat="1">
      <c r="A249" s="1595"/>
      <c r="B249" s="1600"/>
      <c r="C249" s="1600"/>
      <c r="D249" s="1600"/>
      <c r="E249" s="1600"/>
      <c r="F249" s="1556"/>
      <c r="G249" s="1562"/>
    </row>
    <row r="250" spans="1:7" s="1541" customFormat="1">
      <c r="A250" s="1602" t="s">
        <v>459</v>
      </c>
      <c r="B250" s="1600"/>
      <c r="C250" s="1600"/>
      <c r="D250" s="1600"/>
      <c r="E250" s="1600"/>
      <c r="F250" s="1556"/>
      <c r="G250" s="1562"/>
    </row>
    <row r="251" spans="1:7" s="1541" customFormat="1">
      <c r="A251" s="1590" t="s">
        <v>545</v>
      </c>
      <c r="B251" s="1600"/>
      <c r="C251" s="1600"/>
      <c r="D251" s="1600"/>
      <c r="E251" s="1600"/>
      <c r="F251" s="1556"/>
      <c r="G251" s="1562"/>
    </row>
    <row r="252" spans="1:7" s="1541" customFormat="1">
      <c r="A252" s="1590" t="s">
        <v>527</v>
      </c>
      <c r="B252" s="1600"/>
      <c r="C252" s="1600"/>
      <c r="D252" s="1600"/>
      <c r="E252" s="1600"/>
      <c r="F252" s="1556"/>
      <c r="G252" s="1562"/>
    </row>
    <row r="253" spans="1:7" s="1541" customFormat="1">
      <c r="A253" s="1595" t="s">
        <v>528</v>
      </c>
      <c r="B253" s="1600">
        <f>B194</f>
        <v>10.66</v>
      </c>
      <c r="C253" s="1600">
        <f t="shared" ref="C253:C259" si="53">ROUND(B253*$C$6,2)</f>
        <v>1.51</v>
      </c>
      <c r="D253" s="1600"/>
      <c r="E253" s="1600">
        <f t="shared" ref="E253:E259" si="54">B253+C253</f>
        <v>12.17</v>
      </c>
      <c r="F253" s="1556"/>
      <c r="G253" s="1557">
        <f t="shared" ref="G253:G259" si="55">(B253*$C$6)-C253</f>
        <v>1.6070947475670394E-3</v>
      </c>
    </row>
    <row r="254" spans="1:7" s="1541" customFormat="1">
      <c r="A254" s="1595" t="s">
        <v>529</v>
      </c>
      <c r="B254" s="1600">
        <f t="shared" ref="B254:B259" si="56">B195</f>
        <v>12.81</v>
      </c>
      <c r="C254" s="1600">
        <f t="shared" si="53"/>
        <v>1.82</v>
      </c>
      <c r="D254" s="1600"/>
      <c r="E254" s="1600">
        <f t="shared" si="54"/>
        <v>14.63</v>
      </c>
      <c r="F254" s="1556"/>
      <c r="G254" s="1557">
        <f t="shared" si="55"/>
        <v>-3.5190540603815545E-3</v>
      </c>
    </row>
    <row r="255" spans="1:7" s="1541" customFormat="1">
      <c r="A255" s="1595" t="s">
        <v>530</v>
      </c>
      <c r="B255" s="1600">
        <f t="shared" si="56"/>
        <v>17.59</v>
      </c>
      <c r="C255" s="1600">
        <f t="shared" si="53"/>
        <v>2.4900000000000002</v>
      </c>
      <c r="D255" s="1600"/>
      <c r="E255" s="1600">
        <f t="shared" si="54"/>
        <v>20.079999999999998</v>
      </c>
      <c r="F255" s="1556"/>
      <c r="G255" s="1557">
        <f t="shared" si="55"/>
        <v>4.2935081247374995E-3</v>
      </c>
    </row>
    <row r="256" spans="1:7" s="1541" customFormat="1">
      <c r="A256" s="1595" t="s">
        <v>531</v>
      </c>
      <c r="B256" s="1600">
        <f t="shared" si="56"/>
        <v>21.71</v>
      </c>
      <c r="C256" s="1600">
        <f t="shared" si="53"/>
        <v>3.08</v>
      </c>
      <c r="D256" s="1600"/>
      <c r="E256" s="1600">
        <f t="shared" si="54"/>
        <v>24.79</v>
      </c>
      <c r="F256" s="1556"/>
      <c r="G256" s="1557">
        <f t="shared" si="55"/>
        <v>-1.4831119165403805E-3</v>
      </c>
    </row>
    <row r="257" spans="1:7" s="1541" customFormat="1">
      <c r="A257" s="1595" t="s">
        <v>532</v>
      </c>
      <c r="B257" s="1600">
        <f t="shared" si="56"/>
        <v>24.58</v>
      </c>
      <c r="C257" s="1600">
        <f t="shared" si="53"/>
        <v>3.49</v>
      </c>
      <c r="D257" s="1600"/>
      <c r="E257" s="1600">
        <f t="shared" si="54"/>
        <v>28.07</v>
      </c>
      <c r="F257" s="1556"/>
      <c r="G257" s="1557">
        <f t="shared" si="55"/>
        <v>-4.5119710229650778E-3</v>
      </c>
    </row>
    <row r="258" spans="1:7" s="1541" customFormat="1">
      <c r="A258" s="1595" t="s">
        <v>533</v>
      </c>
      <c r="B258" s="1600">
        <f t="shared" si="56"/>
        <v>32.56</v>
      </c>
      <c r="C258" s="1600">
        <f t="shared" si="53"/>
        <v>4.62</v>
      </c>
      <c r="D258" s="1600"/>
      <c r="E258" s="1600">
        <f t="shared" si="54"/>
        <v>37.18</v>
      </c>
      <c r="F258" s="1556"/>
      <c r="G258" s="1557">
        <f t="shared" si="55"/>
        <v>-2.9336768310708194E-3</v>
      </c>
    </row>
    <row r="259" spans="1:7" s="1541" customFormat="1">
      <c r="A259" s="1595" t="s">
        <v>534</v>
      </c>
      <c r="B259" s="1600">
        <f t="shared" si="56"/>
        <v>39.36</v>
      </c>
      <c r="C259" s="1600">
        <f t="shared" si="53"/>
        <v>5.58</v>
      </c>
      <c r="D259" s="1600"/>
      <c r="E259" s="1600">
        <f t="shared" si="54"/>
        <v>44.94</v>
      </c>
      <c r="F259" s="1556"/>
      <c r="G259" s="1557">
        <f t="shared" si="55"/>
        <v>1.3185036833238684E-3</v>
      </c>
    </row>
    <row r="260" spans="1:7" s="1541" customFormat="1">
      <c r="A260" s="1590"/>
      <c r="B260" s="1600"/>
      <c r="C260" s="1600"/>
      <c r="D260" s="1600"/>
      <c r="E260" s="1600"/>
      <c r="F260" s="1556"/>
      <c r="G260" s="1562"/>
    </row>
    <row r="261" spans="1:7" s="1541" customFormat="1">
      <c r="A261" s="1590" t="s">
        <v>535</v>
      </c>
      <c r="B261" s="1600"/>
      <c r="C261" s="1600"/>
      <c r="D261" s="1600"/>
      <c r="E261" s="1600"/>
      <c r="F261" s="1556"/>
      <c r="G261" s="1562"/>
    </row>
    <row r="262" spans="1:7" s="1541" customFormat="1">
      <c r="A262" s="1595" t="s">
        <v>528</v>
      </c>
      <c r="B262" s="1600">
        <v>17.75</v>
      </c>
      <c r="C262" s="1600">
        <f t="shared" ref="C262:C268" si="57">ROUND(B262*$C$6,2)</f>
        <v>2.52</v>
      </c>
      <c r="D262" s="1600"/>
      <c r="E262" s="1600">
        <f t="shared" ref="E262:E268" si="58">B262+C262</f>
        <v>20.27</v>
      </c>
      <c r="F262" s="1556"/>
      <c r="G262" s="1557">
        <f t="shared" ref="G262:G268" si="59">(B262*$C$6)-C262</f>
        <v>-3.018205274923691E-3</v>
      </c>
    </row>
    <row r="263" spans="1:7" s="1541" customFormat="1">
      <c r="A263" s="1595" t="s">
        <v>529</v>
      </c>
      <c r="B263" s="1600">
        <v>26.58</v>
      </c>
      <c r="C263" s="1600">
        <f t="shared" si="57"/>
        <v>3.77</v>
      </c>
      <c r="D263" s="1600"/>
      <c r="E263" s="1600">
        <f t="shared" si="58"/>
        <v>30.349999999999998</v>
      </c>
      <c r="F263" s="1556"/>
      <c r="G263" s="1557">
        <f t="shared" si="59"/>
        <v>-9.0838851873087378E-4</v>
      </c>
    </row>
    <row r="264" spans="1:7" s="1541" customFormat="1">
      <c r="A264" s="1595" t="s">
        <v>530</v>
      </c>
      <c r="B264" s="1600">
        <v>35.33</v>
      </c>
      <c r="C264" s="1600">
        <f t="shared" si="57"/>
        <v>5.01</v>
      </c>
      <c r="D264" s="1600"/>
      <c r="E264" s="1600">
        <f t="shared" si="58"/>
        <v>40.339999999999996</v>
      </c>
      <c r="F264" s="1556"/>
      <c r="G264" s="1557">
        <f t="shared" si="59"/>
        <v>-1.4271506270713274E-4</v>
      </c>
    </row>
    <row r="265" spans="1:7" s="1541" customFormat="1">
      <c r="A265" s="1595" t="s">
        <v>531</v>
      </c>
      <c r="B265" s="1600">
        <v>49.63</v>
      </c>
      <c r="C265" s="1600">
        <f t="shared" si="57"/>
        <v>7.04</v>
      </c>
      <c r="D265" s="1600"/>
      <c r="E265" s="1600">
        <f t="shared" si="58"/>
        <v>56.67</v>
      </c>
      <c r="F265" s="1556"/>
      <c r="G265" s="1557">
        <f t="shared" si="59"/>
        <v>-2.3771001574344197E-3</v>
      </c>
    </row>
    <row r="266" spans="1:7" s="1541" customFormat="1">
      <c r="A266" s="1595" t="s">
        <v>532</v>
      </c>
      <c r="B266" s="1600">
        <v>65.73</v>
      </c>
      <c r="C266" s="1600">
        <f t="shared" si="57"/>
        <v>9.32</v>
      </c>
      <c r="D266" s="1600"/>
      <c r="E266" s="1600">
        <f t="shared" si="58"/>
        <v>75.050000000000011</v>
      </c>
      <c r="F266" s="1556"/>
      <c r="G266" s="1557">
        <f t="shared" si="59"/>
        <v>6.3173900164947838E-4</v>
      </c>
    </row>
    <row r="267" spans="1:7" s="1541" customFormat="1">
      <c r="A267" s="1595" t="s">
        <v>533</v>
      </c>
      <c r="B267" s="1600">
        <v>95.33</v>
      </c>
      <c r="C267" s="1600">
        <f t="shared" si="57"/>
        <v>13.52</v>
      </c>
      <c r="D267" s="1600"/>
      <c r="E267" s="1600">
        <f t="shared" si="58"/>
        <v>108.85</v>
      </c>
      <c r="F267" s="1556"/>
      <c r="G267" s="1557">
        <f t="shared" si="59"/>
        <v>-2.0352399356884376E-3</v>
      </c>
    </row>
    <row r="268" spans="1:7" s="1541" customFormat="1">
      <c r="A268" s="1595" t="s">
        <v>534</v>
      </c>
      <c r="B268" s="1600">
        <v>124.95</v>
      </c>
      <c r="C268" s="1600">
        <f t="shared" si="57"/>
        <v>17.72</v>
      </c>
      <c r="D268" s="1600"/>
      <c r="E268" s="1600">
        <f t="shared" si="58"/>
        <v>142.67000000000002</v>
      </c>
      <c r="F268" s="1556"/>
      <c r="G268" s="1557">
        <f t="shared" si="59"/>
        <v>-1.8661830479835828E-3</v>
      </c>
    </row>
    <row r="269" spans="1:7" s="1541" customFormat="1">
      <c r="A269" s="1595"/>
      <c r="B269" s="1600"/>
      <c r="C269" s="1600"/>
      <c r="D269" s="1600"/>
      <c r="E269" s="1600"/>
      <c r="F269" s="1556"/>
      <c r="G269" s="1562"/>
    </row>
    <row r="270" spans="1:7" s="1541" customFormat="1">
      <c r="A270" s="1590" t="s">
        <v>536</v>
      </c>
      <c r="B270" s="1600"/>
      <c r="C270" s="1600"/>
      <c r="D270" s="1600"/>
      <c r="E270" s="1600"/>
      <c r="F270" s="1556"/>
      <c r="G270" s="1562"/>
    </row>
    <row r="271" spans="1:7" s="1541" customFormat="1">
      <c r="A271" s="1595" t="s">
        <v>528</v>
      </c>
      <c r="B271" s="1600">
        <v>47.42</v>
      </c>
      <c r="C271" s="1600">
        <f t="shared" ref="C271:C277" si="60">ROUND(B271*$C$6,2)</f>
        <v>6.72</v>
      </c>
      <c r="D271" s="1600"/>
      <c r="E271" s="1600">
        <f t="shared" ref="E271:E277" si="61">B271+C271</f>
        <v>54.14</v>
      </c>
      <c r="F271" s="1556"/>
      <c r="G271" s="1557">
        <f t="shared" ref="G271:G277" si="62">(B271*$C$6)-C271</f>
        <v>4.2409411753876469E-3</v>
      </c>
    </row>
    <row r="272" spans="1:7" s="1541" customFormat="1">
      <c r="A272" s="1595" t="s">
        <v>529</v>
      </c>
      <c r="B272" s="1600">
        <v>67.38</v>
      </c>
      <c r="C272" s="1600">
        <f t="shared" si="60"/>
        <v>9.5500000000000007</v>
      </c>
      <c r="D272" s="1600"/>
      <c r="E272" s="1600">
        <f t="shared" si="61"/>
        <v>76.929999999999993</v>
      </c>
      <c r="F272" s="1556"/>
      <c r="G272" s="1557">
        <f t="shared" si="62"/>
        <v>4.6046945676412321E-3</v>
      </c>
    </row>
    <row r="273" spans="1:8" s="1541" customFormat="1">
      <c r="A273" s="1595" t="s">
        <v>530</v>
      </c>
      <c r="B273" s="1600">
        <v>78.62</v>
      </c>
      <c r="C273" s="1600">
        <f t="shared" si="60"/>
        <v>11.15</v>
      </c>
      <c r="D273" s="1600"/>
      <c r="E273" s="1600">
        <f t="shared" si="61"/>
        <v>89.77000000000001</v>
      </c>
      <c r="F273" s="1556"/>
      <c r="G273" s="1557">
        <f t="shared" si="62"/>
        <v>-1.543171758562778E-3</v>
      </c>
    </row>
    <row r="274" spans="1:8" s="1541" customFormat="1">
      <c r="A274" s="1595" t="s">
        <v>531</v>
      </c>
      <c r="B274" s="1600">
        <v>103.6</v>
      </c>
      <c r="C274" s="1600">
        <f t="shared" si="60"/>
        <v>14.69</v>
      </c>
      <c r="D274" s="1600"/>
      <c r="E274" s="1600">
        <f t="shared" si="61"/>
        <v>118.28999999999999</v>
      </c>
      <c r="F274" s="1556"/>
      <c r="G274" s="1557">
        <f t="shared" si="62"/>
        <v>6.6557371931885712E-4</v>
      </c>
    </row>
    <row r="275" spans="1:8" s="1541" customFormat="1">
      <c r="A275" s="1595" t="s">
        <v>532</v>
      </c>
      <c r="B275" s="1600">
        <v>121.77</v>
      </c>
      <c r="C275" s="1600">
        <f t="shared" si="60"/>
        <v>17.27</v>
      </c>
      <c r="D275" s="1600"/>
      <c r="E275" s="1600">
        <f t="shared" si="61"/>
        <v>139.04</v>
      </c>
      <c r="F275" s="1556"/>
      <c r="G275" s="1557">
        <f t="shared" si="62"/>
        <v>-2.795879229715581E-3</v>
      </c>
    </row>
    <row r="276" spans="1:8" s="1541" customFormat="1">
      <c r="A276" s="1595" t="s">
        <v>533</v>
      </c>
      <c r="B276" s="1600">
        <v>163.61000000000001</v>
      </c>
      <c r="C276" s="1600">
        <f t="shared" si="60"/>
        <v>23.2</v>
      </c>
      <c r="D276" s="1600"/>
      <c r="E276" s="1600">
        <f t="shared" si="61"/>
        <v>186.81</v>
      </c>
      <c r="F276" s="1556"/>
      <c r="G276" s="1557">
        <f t="shared" si="62"/>
        <v>1.9106675886249036E-4</v>
      </c>
    </row>
    <row r="277" spans="1:8" s="1541" customFormat="1">
      <c r="A277" s="1595" t="s">
        <v>534</v>
      </c>
      <c r="B277" s="1600">
        <v>203.08</v>
      </c>
      <c r="C277" s="1600">
        <f t="shared" si="60"/>
        <v>28.8</v>
      </c>
      <c r="D277" s="1600"/>
      <c r="E277" s="1600">
        <f t="shared" si="61"/>
        <v>231.88000000000002</v>
      </c>
      <c r="F277" s="1556"/>
      <c r="G277" s="1557">
        <f t="shared" si="62"/>
        <v>-2.8922325200824162E-3</v>
      </c>
    </row>
    <row r="278" spans="1:8" s="1541" customFormat="1">
      <c r="A278" s="1595"/>
      <c r="B278" s="1600"/>
      <c r="C278" s="1600"/>
      <c r="D278" s="1600"/>
      <c r="E278" s="1600"/>
      <c r="F278" s="1556"/>
      <c r="G278" s="1562"/>
    </row>
    <row r="279" spans="1:8" s="1541" customFormat="1">
      <c r="A279" s="1590" t="s">
        <v>537</v>
      </c>
      <c r="B279" s="1600"/>
      <c r="C279" s="1600"/>
      <c r="D279" s="1600"/>
      <c r="E279" s="1600"/>
      <c r="F279" s="1556"/>
      <c r="G279" s="1562"/>
    </row>
    <row r="280" spans="1:8" s="1541" customFormat="1">
      <c r="A280" s="1595" t="s">
        <v>538</v>
      </c>
      <c r="B280" s="1600">
        <v>54.65</v>
      </c>
      <c r="C280" s="1600">
        <f t="shared" ref="C280:C281" si="63">ROUND(B280*$C$6,2)</f>
        <v>7.75</v>
      </c>
      <c r="D280" s="1600"/>
      <c r="E280" s="1600">
        <f>B280+C280</f>
        <v>62.4</v>
      </c>
      <c r="F280" s="1556"/>
      <c r="G280" s="1557">
        <f>(B280*$C$6)-C280</f>
        <v>-5.3210807180725794E-4</v>
      </c>
    </row>
    <row r="281" spans="1:8" s="1541" customFormat="1">
      <c r="A281" s="1595" t="s">
        <v>539</v>
      </c>
      <c r="B281" s="1600">
        <v>62.05</v>
      </c>
      <c r="C281" s="1600">
        <f t="shared" si="63"/>
        <v>8.8000000000000007</v>
      </c>
      <c r="D281" s="1600"/>
      <c r="E281" s="1600">
        <f>B281+C281</f>
        <v>70.849999999999994</v>
      </c>
      <c r="F281" s="1556"/>
      <c r="G281" s="1557">
        <f>(B281*$C$6)-C281</f>
        <v>-1.1988528061426251E-3</v>
      </c>
    </row>
    <row r="282" spans="1:8" s="1541" customFormat="1">
      <c r="A282" s="1595"/>
      <c r="B282" s="1600"/>
      <c r="C282" s="1600"/>
      <c r="D282" s="1600"/>
      <c r="E282" s="1600"/>
      <c r="F282" s="1556"/>
      <c r="G282" s="1562"/>
    </row>
    <row r="283" spans="1:8" s="1541" customFormat="1">
      <c r="A283" s="1590" t="s">
        <v>540</v>
      </c>
      <c r="B283" s="1600"/>
      <c r="C283" s="1600"/>
      <c r="D283" s="1600"/>
      <c r="E283" s="1600"/>
      <c r="F283" s="1556"/>
      <c r="G283" s="1562"/>
    </row>
    <row r="284" spans="1:8" s="1541" customFormat="1">
      <c r="A284" s="1595" t="s">
        <v>528</v>
      </c>
      <c r="B284" s="1600">
        <v>21.71</v>
      </c>
      <c r="C284" s="1600">
        <f t="shared" ref="C284:C290" si="64">ROUND(B284*$C$6,2)</f>
        <v>3.08</v>
      </c>
      <c r="D284" s="1600"/>
      <c r="E284" s="1600">
        <f t="shared" ref="E284:E290" si="65">B284+C284</f>
        <v>24.79</v>
      </c>
      <c r="F284" s="1556"/>
      <c r="G284" s="1557">
        <f t="shared" ref="G284:G290" si="66">(B284*$C$6)-C284</f>
        <v>-1.4831119165403805E-3</v>
      </c>
    </row>
    <row r="285" spans="1:8" s="1541" customFormat="1">
      <c r="A285" s="1595" t="s">
        <v>529</v>
      </c>
      <c r="B285" s="1600">
        <v>32.659999999999997</v>
      </c>
      <c r="C285" s="1600">
        <f t="shared" si="64"/>
        <v>4.63</v>
      </c>
      <c r="D285" s="1600"/>
      <c r="E285" s="1600">
        <f t="shared" si="65"/>
        <v>37.29</v>
      </c>
      <c r="F285" s="1556"/>
      <c r="G285" s="1557">
        <f t="shared" si="66"/>
        <v>1.2465022941396953E-3</v>
      </c>
    </row>
    <row r="286" spans="1:8" s="1541" customFormat="1">
      <c r="A286" s="1595" t="s">
        <v>530</v>
      </c>
      <c r="B286" s="1600">
        <v>41.85</v>
      </c>
      <c r="C286" s="1600">
        <f t="shared" si="64"/>
        <v>5.93</v>
      </c>
      <c r="D286" s="1600"/>
      <c r="E286" s="1600">
        <f t="shared" si="65"/>
        <v>47.78</v>
      </c>
      <c r="F286" s="1556"/>
      <c r="G286" s="1557">
        <f t="shared" si="66"/>
        <v>4.4049639010959041E-3</v>
      </c>
    </row>
    <row r="287" spans="1:8" s="1541" customFormat="1">
      <c r="A287" s="1595" t="s">
        <v>531</v>
      </c>
      <c r="B287" s="1600">
        <v>58.91</v>
      </c>
      <c r="C287" s="1600">
        <f t="shared" si="64"/>
        <v>8.35</v>
      </c>
      <c r="D287" s="1600"/>
      <c r="E287" s="1600">
        <f t="shared" si="65"/>
        <v>67.259999999999991</v>
      </c>
      <c r="F287" s="1556"/>
      <c r="G287" s="1557">
        <f t="shared" si="66"/>
        <v>3.5435226622109184E-3</v>
      </c>
    </row>
    <row r="288" spans="1:8" s="1541" customFormat="1">
      <c r="A288" s="1595" t="s">
        <v>532</v>
      </c>
      <c r="B288" s="1600">
        <v>78.62</v>
      </c>
      <c r="C288" s="1600">
        <f t="shared" si="64"/>
        <v>11.15</v>
      </c>
      <c r="D288" s="1600"/>
      <c r="E288" s="1600">
        <f t="shared" si="65"/>
        <v>89.77000000000001</v>
      </c>
      <c r="F288" s="1556"/>
      <c r="G288" s="1557">
        <f t="shared" si="66"/>
        <v>-1.543171758562778E-3</v>
      </c>
      <c r="H288" s="1553"/>
    </row>
    <row r="289" spans="1:8" s="1541" customFormat="1">
      <c r="A289" s="1595" t="s">
        <v>533</v>
      </c>
      <c r="B289" s="1600">
        <v>111.52</v>
      </c>
      <c r="C289" s="1600">
        <f t="shared" si="64"/>
        <v>15.81</v>
      </c>
      <c r="D289" s="1600"/>
      <c r="E289" s="1600">
        <f t="shared" si="65"/>
        <v>127.33</v>
      </c>
      <c r="F289" s="1556"/>
      <c r="G289" s="1557">
        <f t="shared" si="66"/>
        <v>3.7357604360845897E-3</v>
      </c>
      <c r="H289" s="1553"/>
    </row>
    <row r="290" spans="1:8" s="1541" customFormat="1">
      <c r="A290" s="1595" t="s">
        <v>534</v>
      </c>
      <c r="B290" s="1600">
        <v>150.19999999999999</v>
      </c>
      <c r="C290" s="1600">
        <f t="shared" si="64"/>
        <v>21.3</v>
      </c>
      <c r="D290" s="1600"/>
      <c r="E290" s="1600">
        <f t="shared" si="65"/>
        <v>171.5</v>
      </c>
      <c r="F290" s="1556"/>
      <c r="G290" s="1557">
        <f t="shared" si="66"/>
        <v>-1.3709539320316821E-3</v>
      </c>
      <c r="H290" s="1553"/>
    </row>
    <row r="291" spans="1:8" s="1541" customFormat="1">
      <c r="A291" s="1595"/>
      <c r="B291" s="1600"/>
      <c r="C291" s="1600"/>
      <c r="D291" s="1600"/>
      <c r="E291" s="1600"/>
      <c r="F291" s="1556"/>
      <c r="G291" s="1562"/>
      <c r="H291" s="1553"/>
    </row>
    <row r="292" spans="1:8" s="1541" customFormat="1">
      <c r="A292" s="1590" t="s">
        <v>541</v>
      </c>
      <c r="B292" s="1600"/>
      <c r="C292" s="1600"/>
      <c r="D292" s="1600"/>
      <c r="E292" s="1600"/>
      <c r="F292" s="1556"/>
      <c r="G292" s="1562"/>
      <c r="H292" s="1553"/>
    </row>
    <row r="293" spans="1:8" s="1541" customFormat="1">
      <c r="A293" s="1595" t="s">
        <v>538</v>
      </c>
      <c r="B293" s="1600">
        <v>2.35</v>
      </c>
      <c r="C293" s="1600">
        <f t="shared" ref="C293:C295" si="67">ROUND(B293*$C$6,2)</f>
        <v>0.33</v>
      </c>
      <c r="D293" s="1600"/>
      <c r="E293" s="1600">
        <f>B293+C293</f>
        <v>2.68</v>
      </c>
      <c r="F293" s="1556"/>
      <c r="G293" s="1557">
        <f>(B293*$C$6)-C293</f>
        <v>3.234209442474878E-3</v>
      </c>
      <c r="H293" s="1553"/>
    </row>
    <row r="294" spans="1:8" s="1541" customFormat="1">
      <c r="A294" s="1595" t="s">
        <v>533</v>
      </c>
      <c r="B294" s="1600">
        <v>5.19</v>
      </c>
      <c r="C294" s="1600">
        <f t="shared" si="67"/>
        <v>0.74</v>
      </c>
      <c r="D294" s="1600"/>
      <c r="E294" s="1600">
        <f>B294+C294</f>
        <v>5.9300000000000006</v>
      </c>
      <c r="F294" s="1556"/>
      <c r="G294" s="1557">
        <f>(B294*$C$6)-C294</f>
        <v>-4.0487034015128653E-3</v>
      </c>
      <c r="H294" s="1553"/>
    </row>
    <row r="295" spans="1:8" s="1541" customFormat="1">
      <c r="A295" s="1595" t="s">
        <v>534</v>
      </c>
      <c r="B295" s="1600">
        <v>7.48</v>
      </c>
      <c r="C295" s="1600">
        <f t="shared" si="67"/>
        <v>1.06</v>
      </c>
      <c r="D295" s="1600"/>
      <c r="E295" s="1600">
        <f>B295+C295</f>
        <v>8.5400000000000009</v>
      </c>
      <c r="F295" s="1556"/>
      <c r="G295" s="1557">
        <f>(B295*$C$6)-C295</f>
        <v>6.7739856583504121E-4</v>
      </c>
      <c r="H295" s="1553"/>
    </row>
    <row r="296" spans="1:8" s="1541" customFormat="1">
      <c r="A296" s="1595"/>
      <c r="B296" s="1600"/>
      <c r="C296" s="1600"/>
      <c r="D296" s="1600"/>
      <c r="E296" s="1600"/>
      <c r="F296" s="1556"/>
      <c r="G296" s="1562"/>
    </row>
    <row r="297" spans="1:8" s="1541" customFormat="1">
      <c r="A297" s="1590" t="s">
        <v>542</v>
      </c>
      <c r="B297" s="1600"/>
      <c r="C297" s="1600"/>
      <c r="D297" s="1600"/>
      <c r="E297" s="1600"/>
      <c r="F297" s="1556"/>
      <c r="G297" s="1562"/>
    </row>
    <row r="298" spans="1:8" s="1541" customFormat="1">
      <c r="A298" s="1595" t="s">
        <v>528</v>
      </c>
      <c r="B298" s="1600">
        <v>23.51</v>
      </c>
      <c r="C298" s="1600">
        <f t="shared" ref="C298:C304" si="68">ROUND(B298*$C$6,2)</f>
        <v>3.33</v>
      </c>
      <c r="D298" s="1600"/>
      <c r="E298" s="1600">
        <f t="shared" ref="E298:E304" si="69">B298+C298</f>
        <v>26.840000000000003</v>
      </c>
      <c r="F298" s="1556"/>
      <c r="G298" s="1557">
        <f t="shared" ref="G298:G304" si="70">(B298*$C$6)-C298</f>
        <v>3.7601123372703604E-3</v>
      </c>
    </row>
    <row r="299" spans="1:8" s="1541" customFormat="1">
      <c r="A299" s="1595" t="s">
        <v>529</v>
      </c>
      <c r="B299" s="1600">
        <v>25.86</v>
      </c>
      <c r="C299" s="1600">
        <f t="shared" si="68"/>
        <v>3.67</v>
      </c>
      <c r="D299" s="1600"/>
      <c r="E299" s="1600">
        <f t="shared" si="69"/>
        <v>29.53</v>
      </c>
      <c r="F299" s="1556"/>
      <c r="G299" s="1557">
        <f t="shared" si="70"/>
        <v>-3.0056782202549925E-3</v>
      </c>
    </row>
    <row r="300" spans="1:8" s="1541" customFormat="1">
      <c r="A300" s="1595" t="s">
        <v>530</v>
      </c>
      <c r="B300" s="1600">
        <v>35.26</v>
      </c>
      <c r="C300" s="1600">
        <f t="shared" si="68"/>
        <v>5</v>
      </c>
      <c r="D300" s="1600"/>
      <c r="E300" s="1600">
        <f t="shared" si="69"/>
        <v>40.26</v>
      </c>
      <c r="F300" s="1556"/>
      <c r="G300" s="1557">
        <f t="shared" si="70"/>
        <v>-6.8840450355267535E-5</v>
      </c>
    </row>
    <row r="301" spans="1:8" s="1541" customFormat="1">
      <c r="A301" s="1595" t="s">
        <v>531</v>
      </c>
      <c r="B301" s="1600">
        <v>42.3</v>
      </c>
      <c r="C301" s="1600">
        <f t="shared" si="68"/>
        <v>6</v>
      </c>
      <c r="D301" s="1600"/>
      <c r="E301" s="1600">
        <f t="shared" si="69"/>
        <v>48.3</v>
      </c>
      <c r="F301" s="1556"/>
      <c r="G301" s="1557">
        <f t="shared" si="70"/>
        <v>-1.7842300354526941E-3</v>
      </c>
    </row>
    <row r="302" spans="1:8" s="1541" customFormat="1">
      <c r="A302" s="1595" t="s">
        <v>532</v>
      </c>
      <c r="B302" s="1600">
        <v>47.01</v>
      </c>
      <c r="C302" s="1600">
        <f t="shared" si="68"/>
        <v>6.67</v>
      </c>
      <c r="D302" s="1600"/>
      <c r="E302" s="1600">
        <f t="shared" si="69"/>
        <v>53.68</v>
      </c>
      <c r="F302" s="1556"/>
      <c r="G302" s="1557">
        <f t="shared" si="70"/>
        <v>-3.8977932379813396E-3</v>
      </c>
    </row>
    <row r="303" spans="1:8" s="1541" customFormat="1">
      <c r="A303" s="1595" t="s">
        <v>533</v>
      </c>
      <c r="B303" s="1600">
        <v>62.22</v>
      </c>
      <c r="C303" s="1600">
        <f t="shared" si="68"/>
        <v>8.82</v>
      </c>
      <c r="D303" s="1600"/>
      <c r="E303" s="1600">
        <f t="shared" si="69"/>
        <v>71.039999999999992</v>
      </c>
      <c r="F303" s="1556"/>
      <c r="G303" s="1557">
        <f t="shared" si="70"/>
        <v>2.9074517067186889E-3</v>
      </c>
    </row>
    <row r="304" spans="1:8" s="1541" customFormat="1">
      <c r="A304" s="1595" t="s">
        <v>534</v>
      </c>
      <c r="B304" s="1600">
        <v>89.87</v>
      </c>
      <c r="C304" s="1600">
        <f t="shared" si="68"/>
        <v>12.74</v>
      </c>
      <c r="D304" s="1600"/>
      <c r="E304" s="1600">
        <f t="shared" si="69"/>
        <v>102.61</v>
      </c>
      <c r="F304" s="1556"/>
      <c r="G304" s="1557">
        <f t="shared" si="70"/>
        <v>3.726979827753496E-3</v>
      </c>
    </row>
    <row r="305" spans="1:7" s="1541" customFormat="1">
      <c r="A305" s="1595"/>
      <c r="B305" s="1600"/>
      <c r="C305" s="1600"/>
      <c r="D305" s="1600"/>
      <c r="E305" s="1600"/>
      <c r="F305" s="1556"/>
      <c r="G305" s="1562"/>
    </row>
    <row r="306" spans="1:7" s="1541" customFormat="1">
      <c r="A306" s="1595" t="s">
        <v>543</v>
      </c>
      <c r="B306" s="1600">
        <v>6.85</v>
      </c>
      <c r="C306" s="1600">
        <f t="shared" ref="C306:C307" si="71">ROUND(B306*$C$6,2)</f>
        <v>0.97</v>
      </c>
      <c r="D306" s="1600"/>
      <c r="E306" s="1600">
        <f>B306+C306</f>
        <v>7.8199999999999994</v>
      </c>
      <c r="F306" s="1556"/>
      <c r="G306" s="1557">
        <f>(B306*$C$6)-C306</f>
        <v>1.342270077001273E-3</v>
      </c>
    </row>
    <row r="307" spans="1:7" s="1541" customFormat="1">
      <c r="A307" s="1595" t="s">
        <v>544</v>
      </c>
      <c r="B307" s="1600">
        <v>2.4900000000000002</v>
      </c>
      <c r="C307" s="1600">
        <f t="shared" si="71"/>
        <v>0.35</v>
      </c>
      <c r="D307" s="1600"/>
      <c r="E307" s="1600">
        <f>B307+C307</f>
        <v>2.8400000000000003</v>
      </c>
      <c r="F307" s="1556"/>
      <c r="G307" s="1557">
        <f>(B307*$C$6)-C307</f>
        <v>3.0864602177713141E-3</v>
      </c>
    </row>
    <row r="308" spans="1:7" s="1541" customFormat="1">
      <c r="A308" s="1595"/>
      <c r="B308" s="1600"/>
      <c r="C308" s="1600"/>
      <c r="D308" s="1600"/>
      <c r="E308" s="1600"/>
      <c r="F308" s="1556"/>
      <c r="G308" s="1562"/>
    </row>
    <row r="309" spans="1:7" s="1541" customFormat="1">
      <c r="A309" s="1601" t="s">
        <v>453</v>
      </c>
      <c r="B309" s="1600"/>
      <c r="C309" s="1600"/>
      <c r="D309" s="1600"/>
      <c r="E309" s="1600"/>
      <c r="F309" s="1556"/>
      <c r="G309" s="1562"/>
    </row>
    <row r="310" spans="1:7" s="1541" customFormat="1">
      <c r="A310" s="1590" t="s">
        <v>546</v>
      </c>
      <c r="B310" s="1600"/>
      <c r="C310" s="1600"/>
      <c r="D310" s="1600"/>
      <c r="E310" s="1600"/>
      <c r="F310" s="1556"/>
      <c r="G310" s="1562"/>
    </row>
    <row r="311" spans="1:7" s="1541" customFormat="1">
      <c r="A311" s="1595" t="s">
        <v>547</v>
      </c>
      <c r="B311" s="1600">
        <v>4.26</v>
      </c>
      <c r="C311" s="1600">
        <f t="shared" ref="C311:C314" si="72">ROUND(B311*$C$6,2)</f>
        <v>0.6</v>
      </c>
      <c r="D311" s="1600"/>
      <c r="E311" s="1600">
        <f>B311+C311</f>
        <v>4.8599999999999994</v>
      </c>
      <c r="F311" s="1556"/>
      <c r="G311" s="1557">
        <f>(B311*$C$6)-C311</f>
        <v>4.0756307340182873E-3</v>
      </c>
    </row>
    <row r="312" spans="1:7" s="1541" customFormat="1">
      <c r="A312" s="1595" t="s">
        <v>548</v>
      </c>
      <c r="B312" s="1600">
        <v>4.26</v>
      </c>
      <c r="C312" s="1600">
        <f t="shared" si="72"/>
        <v>0.6</v>
      </c>
      <c r="D312" s="1600"/>
      <c r="E312" s="1600">
        <f>B312+C312</f>
        <v>4.8599999999999994</v>
      </c>
      <c r="F312" s="1556"/>
      <c r="G312" s="1557">
        <f>(B312*$C$6)-C312</f>
        <v>4.0756307340182873E-3</v>
      </c>
    </row>
    <row r="313" spans="1:7" s="1541" customFormat="1">
      <c r="A313" s="1595" t="s">
        <v>549</v>
      </c>
      <c r="B313" s="1600">
        <v>11.64</v>
      </c>
      <c r="C313" s="1600">
        <f t="shared" si="72"/>
        <v>1.65</v>
      </c>
      <c r="D313" s="1600"/>
      <c r="E313" s="1600">
        <f>B313+C313</f>
        <v>13.290000000000001</v>
      </c>
      <c r="F313" s="1556"/>
      <c r="G313" s="1557">
        <f>(B313*$C$6)-C313</f>
        <v>5.7285017464181465E-4</v>
      </c>
    </row>
    <row r="314" spans="1:7" s="1541" customFormat="1">
      <c r="A314" s="1595" t="s">
        <v>550</v>
      </c>
      <c r="B314" s="1600">
        <v>18.5</v>
      </c>
      <c r="C314" s="1600">
        <f t="shared" si="72"/>
        <v>2.62</v>
      </c>
      <c r="D314" s="1600"/>
      <c r="E314" s="1600">
        <f>B314+C314</f>
        <v>21.12</v>
      </c>
      <c r="F314" s="1556"/>
      <c r="G314" s="1557">
        <f>(B314*$C$6)-C314</f>
        <v>3.33313816416414E-3</v>
      </c>
    </row>
    <row r="315" spans="1:7" s="1541" customFormat="1">
      <c r="A315" s="1595"/>
      <c r="B315" s="1600"/>
      <c r="C315" s="1600"/>
      <c r="D315" s="1600"/>
      <c r="E315" s="1600"/>
      <c r="F315" s="1556"/>
      <c r="G315" s="1562"/>
    </row>
    <row r="316" spans="1:7" s="1541" customFormat="1">
      <c r="A316" s="1595" t="s">
        <v>485</v>
      </c>
      <c r="B316" s="1600">
        <v>7.94</v>
      </c>
      <c r="C316" s="1600">
        <f t="shared" ref="C316:C318" si="73">ROUND(B316*$C$6,2)</f>
        <v>1.1299999999999999</v>
      </c>
      <c r="D316" s="1600"/>
      <c r="E316" s="1600">
        <f>B316+C316</f>
        <v>9.07</v>
      </c>
      <c r="F316" s="1556"/>
      <c r="G316" s="1557">
        <f>(B316*$C$6)-C316</f>
        <v>-4.0937774581910613E-3</v>
      </c>
    </row>
    <row r="317" spans="1:7" s="1541" customFormat="1">
      <c r="A317" s="1595" t="s">
        <v>549</v>
      </c>
      <c r="B317" s="1600">
        <v>15.86</v>
      </c>
      <c r="C317" s="1600">
        <f t="shared" si="73"/>
        <v>2.25</v>
      </c>
      <c r="D317" s="1600"/>
      <c r="E317" s="1600">
        <f>B317+C317</f>
        <v>18.11</v>
      </c>
      <c r="F317" s="1556"/>
      <c r="G317" s="1557">
        <f>(B317*$C$6)-C317</f>
        <v>-1.0235907414246626E-3</v>
      </c>
    </row>
    <row r="318" spans="1:7" s="1541" customFormat="1">
      <c r="A318" s="1595" t="s">
        <v>551</v>
      </c>
      <c r="B318" s="1600">
        <v>34.409999999999997</v>
      </c>
      <c r="C318" s="1600">
        <f t="shared" si="73"/>
        <v>4.88</v>
      </c>
      <c r="D318" s="1600"/>
      <c r="E318" s="1600">
        <f>B318+C318</f>
        <v>39.29</v>
      </c>
      <c r="F318" s="1556"/>
      <c r="G318" s="1557">
        <f>(B318*$C$6)-C318</f>
        <v>-6.0036301465515862E-4</v>
      </c>
    </row>
    <row r="319" spans="1:7" s="1541" customFormat="1">
      <c r="A319" s="1595"/>
      <c r="B319" s="1600"/>
      <c r="C319" s="1600"/>
      <c r="D319" s="1600"/>
      <c r="E319" s="1600"/>
      <c r="F319" s="1556"/>
      <c r="G319" s="1562"/>
    </row>
    <row r="320" spans="1:7" s="1541" customFormat="1">
      <c r="A320" s="1595" t="s">
        <v>486</v>
      </c>
      <c r="B320" s="1600">
        <v>9.5</v>
      </c>
      <c r="C320" s="1600">
        <f t="shared" ref="C320:C322" si="74">ROUND(B320*$C$6,2)</f>
        <v>1.35</v>
      </c>
      <c r="D320" s="1600"/>
      <c r="E320" s="1600">
        <f>B320+C320</f>
        <v>10.85</v>
      </c>
      <c r="F320" s="1556"/>
      <c r="G320" s="1557">
        <f>(B320*$C$6)-C320</f>
        <v>-2.882983104888881E-3</v>
      </c>
    </row>
    <row r="321" spans="1:33" s="1541" customFormat="1">
      <c r="A321" s="1595" t="s">
        <v>549</v>
      </c>
      <c r="B321" s="1600">
        <v>18.95</v>
      </c>
      <c r="C321" s="1600">
        <f t="shared" si="74"/>
        <v>2.69</v>
      </c>
      <c r="D321" s="1600"/>
      <c r="E321" s="1600">
        <f>B321+C321</f>
        <v>21.64</v>
      </c>
      <c r="F321" s="1556"/>
      <c r="G321" s="1557">
        <f>(B321*$C$6)-C321</f>
        <v>-2.8560557723831259E-3</v>
      </c>
    </row>
    <row r="322" spans="1:33" s="1541" customFormat="1">
      <c r="A322" s="1595" t="s">
        <v>551</v>
      </c>
      <c r="B322" s="1600">
        <v>41.17</v>
      </c>
      <c r="C322" s="1600">
        <f t="shared" si="74"/>
        <v>5.84</v>
      </c>
      <c r="D322" s="1600"/>
      <c r="E322" s="1600">
        <f>B322+C322</f>
        <v>47.010000000000005</v>
      </c>
      <c r="F322" s="1556"/>
      <c r="G322" s="1557">
        <f>(B322*$C$6)-C322</f>
        <v>-2.020254150343348E-3</v>
      </c>
    </row>
    <row r="323" spans="1:33" s="1541" customFormat="1">
      <c r="A323" s="1595"/>
      <c r="B323" s="1600"/>
      <c r="C323" s="1600"/>
      <c r="D323" s="1600"/>
      <c r="E323" s="1600"/>
      <c r="F323" s="1556"/>
      <c r="G323" s="1562"/>
    </row>
    <row r="324" spans="1:33" s="1541" customFormat="1">
      <c r="A324" s="1602" t="s">
        <v>459</v>
      </c>
      <c r="B324" s="1600"/>
      <c r="C324" s="1600"/>
      <c r="D324" s="1600"/>
      <c r="E324" s="1600"/>
      <c r="F324" s="1556"/>
      <c r="G324" s="1562"/>
    </row>
    <row r="325" spans="1:33" s="1541" customFormat="1">
      <c r="A325" s="1590" t="s">
        <v>552</v>
      </c>
      <c r="B325" s="1600"/>
      <c r="C325" s="1600"/>
      <c r="D325" s="1600"/>
      <c r="E325" s="1600"/>
      <c r="F325" s="1556"/>
      <c r="G325" s="1562"/>
      <c r="H325" s="1494"/>
      <c r="I325" s="1584"/>
      <c r="J325" s="1584"/>
      <c r="K325" s="1584"/>
      <c r="L325" s="1584"/>
      <c r="M325" s="1584"/>
      <c r="N325" s="1584"/>
      <c r="O325" s="1584"/>
      <c r="P325" s="1584"/>
      <c r="Q325" s="1584"/>
      <c r="R325" s="1584"/>
      <c r="S325" s="1584"/>
      <c r="T325" s="1584"/>
      <c r="U325" s="1584"/>
      <c r="V325" s="1584"/>
      <c r="W325" s="1584"/>
      <c r="X325" s="1584"/>
      <c r="Y325" s="1584"/>
      <c r="Z325" s="1584"/>
      <c r="AA325" s="1584"/>
      <c r="AB325" s="1584"/>
      <c r="AC325" s="1584"/>
      <c r="AD325" s="1584"/>
      <c r="AE325" s="1584"/>
      <c r="AF325" s="1584"/>
      <c r="AG325" s="1585" t="s">
        <v>553</v>
      </c>
    </row>
    <row r="326" spans="1:33" s="1541" customFormat="1">
      <c r="A326" s="1595" t="s">
        <v>547</v>
      </c>
      <c r="B326" s="1600">
        <v>4.2699999999999996</v>
      </c>
      <c r="C326" s="1600">
        <f t="shared" ref="C326:C329" si="75">ROUND(B326*$C$6,2)</f>
        <v>0.61</v>
      </c>
      <c r="D326" s="1600"/>
      <c r="E326" s="1600">
        <f>B326+C326</f>
        <v>4.88</v>
      </c>
      <c r="F326" s="1556"/>
      <c r="G326" s="1557">
        <f>(B326*$C$6)-C326</f>
        <v>-4.5063513534605582E-3</v>
      </c>
      <c r="H326" s="1586"/>
      <c r="I326" s="1584"/>
      <c r="J326" s="1584"/>
      <c r="K326" s="1584"/>
      <c r="L326" s="1584"/>
      <c r="M326" s="1584"/>
      <c r="N326" s="1584"/>
      <c r="O326" s="1584"/>
      <c r="P326" s="1584"/>
      <c r="Q326" s="1584"/>
      <c r="R326" s="1584"/>
      <c r="S326" s="1584"/>
      <c r="T326" s="1584"/>
      <c r="U326" s="1584"/>
      <c r="V326" s="1584"/>
      <c r="W326" s="1584"/>
      <c r="X326" s="1584"/>
      <c r="Y326" s="1584"/>
      <c r="Z326" s="1584"/>
      <c r="AA326" s="1584"/>
      <c r="AB326" s="1584"/>
      <c r="AC326" s="1584"/>
      <c r="AD326" s="1584"/>
      <c r="AE326" s="1584"/>
      <c r="AF326" s="1584"/>
      <c r="AG326" s="1587">
        <v>0.12569444444444444</v>
      </c>
    </row>
    <row r="327" spans="1:33" s="1541" customFormat="1">
      <c r="A327" s="1595" t="s">
        <v>548</v>
      </c>
      <c r="B327" s="1600">
        <f>B326</f>
        <v>4.2699999999999996</v>
      </c>
      <c r="C327" s="1600">
        <f t="shared" si="75"/>
        <v>0.61</v>
      </c>
      <c r="D327" s="1600"/>
      <c r="E327" s="1600">
        <f>B327+C327</f>
        <v>4.88</v>
      </c>
      <c r="F327" s="1556"/>
      <c r="G327" s="1557">
        <f>(B327*$C$6)-C327</f>
        <v>-4.5063513534605582E-3</v>
      </c>
      <c r="H327" s="1553"/>
      <c r="I327" s="1584"/>
      <c r="J327" s="1584"/>
      <c r="K327" s="1584"/>
      <c r="L327" s="1584"/>
      <c r="M327" s="1584"/>
      <c r="N327" s="1584"/>
      <c r="O327" s="1584"/>
      <c r="P327" s="1584"/>
      <c r="Q327" s="1584"/>
      <c r="R327" s="1584"/>
      <c r="S327" s="1584"/>
      <c r="T327" s="1584"/>
      <c r="U327" s="1584"/>
      <c r="V327" s="1584"/>
      <c r="W327" s="1584"/>
      <c r="X327" s="1584"/>
      <c r="Y327" s="1584"/>
      <c r="Z327" s="1584"/>
      <c r="AA327" s="1584"/>
      <c r="AB327" s="1584"/>
      <c r="AC327" s="1584"/>
      <c r="AD327" s="1584"/>
      <c r="AE327" s="1584"/>
      <c r="AF327" s="1584"/>
      <c r="AG327" s="1584">
        <v>1</v>
      </c>
    </row>
    <row r="328" spans="1:33" s="1541" customFormat="1">
      <c r="A328" s="1595" t="s">
        <v>549</v>
      </c>
      <c r="B328" s="1600">
        <v>12.2</v>
      </c>
      <c r="C328" s="1600">
        <f t="shared" si="75"/>
        <v>1.73</v>
      </c>
      <c r="D328" s="1600"/>
      <c r="E328" s="1600">
        <f>B328+C328</f>
        <v>13.93</v>
      </c>
      <c r="F328" s="1556"/>
      <c r="G328" s="1557">
        <f>(B328*$C$6)-C328</f>
        <v>-1.8146724172884987E-5</v>
      </c>
      <c r="H328" s="1553"/>
      <c r="I328" s="1584"/>
      <c r="J328" s="1584"/>
      <c r="K328" s="1584"/>
      <c r="L328" s="1584"/>
      <c r="M328" s="1584"/>
      <c r="N328" s="1584"/>
      <c r="O328" s="1584"/>
      <c r="P328" s="1584"/>
      <c r="Q328" s="1584"/>
      <c r="R328" s="1584"/>
      <c r="S328" s="1584"/>
      <c r="T328" s="1584"/>
      <c r="U328" s="1584"/>
      <c r="V328" s="1584"/>
      <c r="W328" s="1584"/>
      <c r="X328" s="1584"/>
      <c r="Y328" s="1584"/>
      <c r="Z328" s="1584"/>
      <c r="AA328" s="1584"/>
      <c r="AB328" s="1584"/>
      <c r="AC328" s="1584"/>
      <c r="AD328" s="1584"/>
      <c r="AE328" s="1584"/>
      <c r="AF328" s="1584"/>
      <c r="AG328" s="1584">
        <v>1.5</v>
      </c>
    </row>
    <row r="329" spans="1:33" s="1541" customFormat="1">
      <c r="A329" s="1595" t="s">
        <v>550</v>
      </c>
      <c r="B329" s="1600">
        <v>19.27</v>
      </c>
      <c r="C329" s="1600">
        <f t="shared" si="75"/>
        <v>2.73</v>
      </c>
      <c r="D329" s="1600"/>
      <c r="E329" s="1600">
        <f>B329+C329</f>
        <v>22</v>
      </c>
      <c r="F329" s="1556"/>
      <c r="G329" s="1557">
        <f>(B329*$C$6)-C329</f>
        <v>2.5205174282940668E-3</v>
      </c>
      <c r="H329" s="1553"/>
      <c r="I329" s="1584"/>
      <c r="J329" s="1584"/>
      <c r="K329" s="1584"/>
      <c r="L329" s="1584"/>
      <c r="M329" s="1584"/>
      <c r="N329" s="1584"/>
      <c r="O329" s="1584"/>
      <c r="P329" s="1584"/>
      <c r="Q329" s="1584"/>
      <c r="R329" s="1584"/>
      <c r="S329" s="1584"/>
      <c r="T329" s="1584"/>
      <c r="U329" s="1584"/>
      <c r="V329" s="1584"/>
      <c r="W329" s="1584"/>
      <c r="X329" s="1584"/>
      <c r="Y329" s="1584"/>
      <c r="Z329" s="1584"/>
      <c r="AA329" s="1584"/>
      <c r="AB329" s="1584"/>
      <c r="AC329" s="1584"/>
      <c r="AD329" s="1584"/>
      <c r="AE329" s="1584"/>
      <c r="AF329" s="1584"/>
      <c r="AG329" s="1584">
        <v>2</v>
      </c>
    </row>
    <row r="330" spans="1:33" s="1541" customFormat="1">
      <c r="A330" s="1595"/>
      <c r="B330" s="1600"/>
      <c r="C330" s="1600"/>
      <c r="D330" s="1600"/>
      <c r="E330" s="1600"/>
      <c r="F330" s="1556"/>
      <c r="G330" s="1562"/>
      <c r="H330" s="1553"/>
      <c r="I330" s="1584"/>
      <c r="J330" s="1584"/>
      <c r="K330" s="1584"/>
      <c r="L330" s="1584"/>
      <c r="M330" s="1584"/>
      <c r="N330" s="1584"/>
      <c r="O330" s="1584"/>
      <c r="P330" s="1584"/>
      <c r="Q330" s="1584"/>
      <c r="R330" s="1584"/>
      <c r="S330" s="1584"/>
      <c r="T330" s="1584"/>
      <c r="U330" s="1584"/>
      <c r="V330" s="1584"/>
      <c r="W330" s="1584"/>
      <c r="X330" s="1584"/>
      <c r="Y330" s="1584"/>
      <c r="Z330" s="1584"/>
      <c r="AA330" s="1584"/>
      <c r="AB330" s="1584"/>
      <c r="AC330" s="1584"/>
      <c r="AD330" s="1584"/>
      <c r="AE330" s="1584"/>
      <c r="AF330" s="1584"/>
      <c r="AG330" s="1584">
        <v>3</v>
      </c>
    </row>
    <row r="331" spans="1:33" s="1541" customFormat="1">
      <c r="A331" s="1595" t="s">
        <v>485</v>
      </c>
      <c r="B331" s="1600">
        <v>8.34</v>
      </c>
      <c r="C331" s="1600">
        <f t="shared" ref="C331:C333" si="76">ROUND(B331*$C$6,2)</f>
        <v>1.18</v>
      </c>
      <c r="D331" s="1600"/>
      <c r="E331" s="1600">
        <f>B331+C331</f>
        <v>9.52</v>
      </c>
      <c r="F331" s="1556"/>
      <c r="G331" s="1557">
        <f>(B331*$C$6)-C331</f>
        <v>2.6269390426556516E-3</v>
      </c>
      <c r="H331" s="1553"/>
      <c r="I331" s="1584"/>
      <c r="J331" s="1584"/>
      <c r="K331" s="1584"/>
      <c r="L331" s="1584"/>
      <c r="M331" s="1584"/>
      <c r="N331" s="1584"/>
      <c r="O331" s="1584"/>
      <c r="P331" s="1584"/>
      <c r="Q331" s="1584"/>
      <c r="R331" s="1584"/>
      <c r="S331" s="1584"/>
      <c r="T331" s="1584"/>
      <c r="U331" s="1584"/>
      <c r="V331" s="1584"/>
      <c r="W331" s="1584"/>
      <c r="X331" s="1584"/>
      <c r="Y331" s="1584"/>
      <c r="Z331" s="1584"/>
      <c r="AA331" s="1584"/>
      <c r="AB331" s="1584"/>
      <c r="AC331" s="1584"/>
      <c r="AD331" s="1584"/>
      <c r="AE331" s="1584"/>
      <c r="AF331" s="1584"/>
      <c r="AG331" s="1584">
        <v>4</v>
      </c>
    </row>
    <row r="332" spans="1:33" s="1541" customFormat="1">
      <c r="A332" s="1595" t="s">
        <v>549</v>
      </c>
      <c r="B332" s="1600">
        <v>16.61</v>
      </c>
      <c r="C332" s="1600">
        <f t="shared" si="76"/>
        <v>2.36</v>
      </c>
      <c r="D332" s="1600"/>
      <c r="E332" s="1600">
        <f>B332+C332</f>
        <v>18.97</v>
      </c>
      <c r="F332" s="1556"/>
      <c r="G332" s="1557">
        <f>(B332*$C$6)-C332</f>
        <v>-4.6722473023370625E-3</v>
      </c>
      <c r="H332" s="1553"/>
      <c r="I332" s="1584"/>
      <c r="J332" s="1584"/>
      <c r="K332" s="1584"/>
      <c r="L332" s="1584"/>
      <c r="M332" s="1584"/>
      <c r="N332" s="1584"/>
      <c r="O332" s="1584"/>
      <c r="P332" s="1584"/>
      <c r="Q332" s="1584"/>
      <c r="R332" s="1584"/>
      <c r="S332" s="1584"/>
      <c r="T332" s="1584"/>
      <c r="U332" s="1584"/>
      <c r="V332" s="1584"/>
      <c r="W332" s="1584"/>
      <c r="X332" s="1584"/>
      <c r="Y332" s="1584"/>
      <c r="Z332" s="1584"/>
      <c r="AA332" s="1584"/>
      <c r="AB332" s="1584"/>
      <c r="AC332" s="1584"/>
      <c r="AD332" s="1584"/>
      <c r="AE332" s="1584"/>
      <c r="AF332" s="1584"/>
      <c r="AG332" s="1584">
        <v>5</v>
      </c>
    </row>
    <row r="333" spans="1:33" s="1541" customFormat="1">
      <c r="A333" s="1595" t="s">
        <v>551</v>
      </c>
      <c r="B333" s="1600">
        <v>36.08</v>
      </c>
      <c r="C333" s="1600">
        <f t="shared" si="76"/>
        <v>5.12</v>
      </c>
      <c r="D333" s="1600"/>
      <c r="E333" s="1600">
        <f>B333+C333</f>
        <v>41.199999999999996</v>
      </c>
      <c r="F333" s="1556"/>
      <c r="G333" s="1557">
        <f>(B333*$C$6)-C333</f>
        <v>-3.7913716236195327E-3</v>
      </c>
      <c r="H333" s="1553"/>
      <c r="I333" s="1584"/>
      <c r="J333" s="1584"/>
      <c r="K333" s="1584"/>
      <c r="L333" s="1584"/>
      <c r="M333" s="1584"/>
      <c r="N333" s="1584"/>
      <c r="O333" s="1584"/>
      <c r="P333" s="1584"/>
      <c r="Q333" s="1584"/>
      <c r="R333" s="1584"/>
      <c r="S333" s="1584"/>
      <c r="T333" s="1584"/>
      <c r="U333" s="1584"/>
      <c r="V333" s="1584"/>
      <c r="W333" s="1584"/>
      <c r="X333" s="1584"/>
      <c r="Y333" s="1584"/>
      <c r="Z333" s="1584"/>
      <c r="AA333" s="1584"/>
      <c r="AB333" s="1584"/>
      <c r="AC333" s="1584"/>
      <c r="AD333" s="1584"/>
      <c r="AE333" s="1584"/>
      <c r="AF333" s="1584"/>
      <c r="AG333" s="1584">
        <v>6</v>
      </c>
    </row>
    <row r="334" spans="1:33" s="1541" customFormat="1">
      <c r="A334" s="1595"/>
      <c r="B334" s="1600"/>
      <c r="C334" s="1600"/>
      <c r="D334" s="1600"/>
      <c r="E334" s="1600"/>
      <c r="F334" s="1556"/>
      <c r="G334" s="1562"/>
    </row>
    <row r="335" spans="1:33" s="1541" customFormat="1">
      <c r="A335" s="1595" t="s">
        <v>486</v>
      </c>
      <c r="B335" s="1600">
        <v>10.24</v>
      </c>
      <c r="C335" s="1600">
        <f t="shared" ref="C335:C337" si="77">ROUND(B335*$C$6,2)</f>
        <v>1.45</v>
      </c>
      <c r="D335" s="1600"/>
      <c r="E335" s="1600">
        <f>B335+C335</f>
        <v>11.69</v>
      </c>
      <c r="F335" s="1556"/>
      <c r="G335" s="1557">
        <f>(B335*$C$6)-C335</f>
        <v>2.0503424216780086E-3</v>
      </c>
    </row>
    <row r="336" spans="1:33" s="1541" customFormat="1">
      <c r="A336" s="1595" t="s">
        <v>549</v>
      </c>
      <c r="B336" s="1600">
        <v>20.39</v>
      </c>
      <c r="C336" s="1600">
        <f t="shared" si="77"/>
        <v>2.89</v>
      </c>
      <c r="D336" s="1600"/>
      <c r="E336" s="1600">
        <f>B336+C336</f>
        <v>23.28</v>
      </c>
      <c r="F336" s="1556"/>
      <c r="G336" s="1557">
        <f>(B336*$C$6)-C336</f>
        <v>1.3385236306651116E-3</v>
      </c>
    </row>
    <row r="337" spans="1:7" s="1541" customFormat="1">
      <c r="A337" s="1595" t="s">
        <v>551</v>
      </c>
      <c r="B337" s="1600">
        <v>44.37</v>
      </c>
      <c r="C337" s="1600">
        <f t="shared" si="77"/>
        <v>6.29</v>
      </c>
      <c r="D337" s="1600"/>
      <c r="E337" s="1600">
        <f>B337+C337</f>
        <v>50.66</v>
      </c>
      <c r="F337" s="1556"/>
      <c r="G337" s="1557">
        <f>(B337*$C$6)-C337</f>
        <v>1.7454778564296447E-3</v>
      </c>
    </row>
    <row r="338" spans="1:7" s="1541" customFormat="1">
      <c r="A338" s="1595"/>
      <c r="B338" s="1600"/>
      <c r="C338" s="1600"/>
      <c r="D338" s="1600"/>
      <c r="E338" s="1600"/>
      <c r="F338" s="1556"/>
      <c r="G338" s="1562"/>
    </row>
    <row r="339" spans="1:7" s="1541" customFormat="1">
      <c r="A339" s="1601" t="s">
        <v>453</v>
      </c>
      <c r="B339" s="1600"/>
      <c r="C339" s="1600"/>
      <c r="D339" s="1600"/>
      <c r="E339" s="1600"/>
      <c r="F339" s="1556"/>
      <c r="G339" s="1562"/>
    </row>
    <row r="340" spans="1:7" s="1541" customFormat="1">
      <c r="A340" s="1590" t="s">
        <v>554</v>
      </c>
      <c r="B340" s="1600"/>
      <c r="C340" s="1600"/>
      <c r="D340" s="1600"/>
      <c r="E340" s="1600"/>
      <c r="F340" s="1556"/>
      <c r="G340" s="1562"/>
    </row>
    <row r="341" spans="1:7" s="1541" customFormat="1">
      <c r="A341" s="1590" t="s">
        <v>555</v>
      </c>
      <c r="B341" s="1600"/>
      <c r="C341" s="1600"/>
      <c r="D341" s="1600"/>
      <c r="E341" s="1600"/>
      <c r="F341" s="1556"/>
      <c r="G341" s="1562"/>
    </row>
    <row r="342" spans="1:7" s="1541" customFormat="1">
      <c r="A342" s="1595" t="s">
        <v>528</v>
      </c>
      <c r="B342" s="1600">
        <v>53.62</v>
      </c>
      <c r="C342" s="1600">
        <f t="shared" ref="C342:C348" si="78">ROUND(B342*$C$6,2)</f>
        <v>7.6</v>
      </c>
      <c r="D342" s="1600"/>
      <c r="E342" s="1600">
        <f t="shared" ref="E342:E348" si="79">B342+C342</f>
        <v>61.22</v>
      </c>
      <c r="F342" s="1556"/>
      <c r="G342" s="1557">
        <f t="shared" ref="G342:G348" si="80">(B342*$C$6)-C342</f>
        <v>3.4120469385126029E-3</v>
      </c>
    </row>
    <row r="343" spans="1:7" s="1541" customFormat="1">
      <c r="A343" s="1595" t="s">
        <v>529</v>
      </c>
      <c r="B343" s="1600">
        <v>81.709999999999994</v>
      </c>
      <c r="C343" s="1600">
        <f t="shared" si="78"/>
        <v>11.59</v>
      </c>
      <c r="D343" s="1600"/>
      <c r="E343" s="1600">
        <f t="shared" si="79"/>
        <v>93.3</v>
      </c>
      <c r="F343" s="1556"/>
      <c r="G343" s="1557">
        <f t="shared" si="80"/>
        <v>-3.3756367895225736E-3</v>
      </c>
    </row>
    <row r="344" spans="1:7" s="1541" customFormat="1">
      <c r="A344" s="1595" t="s">
        <v>530</v>
      </c>
      <c r="B344" s="1600">
        <v>108.64</v>
      </c>
      <c r="C344" s="1600">
        <f t="shared" si="78"/>
        <v>15.41</v>
      </c>
      <c r="D344" s="1600"/>
      <c r="E344" s="1600">
        <f t="shared" si="79"/>
        <v>124.05</v>
      </c>
      <c r="F344" s="1556"/>
      <c r="G344" s="1557">
        <f t="shared" si="80"/>
        <v>-4.6533983700118853E-3</v>
      </c>
    </row>
    <row r="345" spans="1:7" s="1541" customFormat="1">
      <c r="A345" s="1595" t="s">
        <v>531</v>
      </c>
      <c r="B345" s="1600">
        <v>153.16</v>
      </c>
      <c r="C345" s="1600">
        <f t="shared" si="78"/>
        <v>21.72</v>
      </c>
      <c r="D345" s="1600"/>
      <c r="E345" s="1600">
        <f t="shared" si="79"/>
        <v>174.88</v>
      </c>
      <c r="F345" s="1556"/>
      <c r="G345" s="1557">
        <f t="shared" si="80"/>
        <v>-1.6376518257636974E-3</v>
      </c>
    </row>
    <row r="346" spans="1:7" s="1541" customFormat="1">
      <c r="A346" s="1595" t="s">
        <v>532</v>
      </c>
      <c r="B346" s="1600">
        <v>203.53</v>
      </c>
      <c r="C346" s="1600">
        <f t="shared" si="78"/>
        <v>28.86</v>
      </c>
      <c r="D346" s="1600"/>
      <c r="E346" s="1600">
        <f t="shared" si="79"/>
        <v>232.39</v>
      </c>
      <c r="F346" s="1556"/>
      <c r="G346" s="1557">
        <f t="shared" si="80"/>
        <v>9.1857354336966068E-4</v>
      </c>
    </row>
    <row r="347" spans="1:7" s="1541" customFormat="1">
      <c r="A347" s="1595" t="s">
        <v>533</v>
      </c>
      <c r="B347" s="1600">
        <v>279.82</v>
      </c>
      <c r="C347" s="1600">
        <f t="shared" si="78"/>
        <v>39.68</v>
      </c>
      <c r="D347" s="1600"/>
      <c r="E347" s="1600">
        <f t="shared" si="79"/>
        <v>319.5</v>
      </c>
      <c r="F347" s="1556"/>
      <c r="G347" s="1557">
        <f t="shared" si="80"/>
        <v>-1.0227718326305535E-3</v>
      </c>
    </row>
    <row r="348" spans="1:7" s="1541" customFormat="1">
      <c r="A348" s="1595" t="s">
        <v>534</v>
      </c>
      <c r="B348" s="1600">
        <v>331.94</v>
      </c>
      <c r="C348" s="1600">
        <f t="shared" si="78"/>
        <v>47.07</v>
      </c>
      <c r="D348" s="1600"/>
      <c r="E348" s="1600">
        <f t="shared" si="79"/>
        <v>379.01</v>
      </c>
      <c r="F348" s="1556"/>
      <c r="G348" s="1557">
        <f t="shared" si="80"/>
        <v>-3.1341177228938477E-4</v>
      </c>
    </row>
    <row r="349" spans="1:7" s="1541" customFormat="1">
      <c r="A349" s="1590" t="s">
        <v>556</v>
      </c>
      <c r="B349" s="1600"/>
      <c r="C349" s="1600"/>
      <c r="D349" s="1600"/>
      <c r="E349" s="1600"/>
      <c r="F349" s="1556"/>
      <c r="G349" s="1562"/>
    </row>
    <row r="350" spans="1:7" s="1541" customFormat="1">
      <c r="A350" s="1595" t="s">
        <v>528</v>
      </c>
      <c r="B350" s="1600">
        <v>92.01</v>
      </c>
      <c r="C350" s="1600">
        <f t="shared" ref="C350:C356" si="81">ROUND(B350*$C$6,2)</f>
        <v>13.05</v>
      </c>
      <c r="D350" s="1600"/>
      <c r="E350" s="1600">
        <f t="shared" ref="E350:E356" si="82">B350+C350</f>
        <v>105.06</v>
      </c>
      <c r="F350" s="1556"/>
      <c r="G350" s="1557">
        <f t="shared" ref="G350:G356" si="83">(B350*$C$6)-C350</f>
        <v>-2.8171868927167054E-3</v>
      </c>
    </row>
    <row r="351" spans="1:7" s="1541" customFormat="1">
      <c r="A351" s="1595" t="s">
        <v>529</v>
      </c>
      <c r="B351" s="1600">
        <v>142.97</v>
      </c>
      <c r="C351" s="1600">
        <f t="shared" si="81"/>
        <v>20.27</v>
      </c>
      <c r="D351" s="1600"/>
      <c r="E351" s="1600">
        <f t="shared" si="82"/>
        <v>163.24</v>
      </c>
      <c r="F351" s="1556"/>
      <c r="G351" s="1557">
        <f t="shared" si="83"/>
        <v>3.4020953151632227E-3</v>
      </c>
    </row>
    <row r="352" spans="1:7" s="1541" customFormat="1">
      <c r="A352" s="1595" t="s">
        <v>530</v>
      </c>
      <c r="B352" s="1600">
        <v>187</v>
      </c>
      <c r="C352" s="1600">
        <f t="shared" si="81"/>
        <v>26.52</v>
      </c>
      <c r="D352" s="1600"/>
      <c r="E352" s="1600">
        <f t="shared" si="82"/>
        <v>213.52</v>
      </c>
      <c r="F352" s="1556"/>
      <c r="G352" s="1557">
        <f t="shared" si="83"/>
        <v>-3.0650358541244316E-3</v>
      </c>
    </row>
    <row r="353" spans="1:7" s="1541" customFormat="1">
      <c r="A353" s="1595" t="s">
        <v>531</v>
      </c>
      <c r="B353" s="1600">
        <v>273.88</v>
      </c>
      <c r="C353" s="1600">
        <f t="shared" si="81"/>
        <v>38.840000000000003</v>
      </c>
      <c r="D353" s="1600"/>
      <c r="E353" s="1600">
        <f t="shared" si="82"/>
        <v>312.72000000000003</v>
      </c>
      <c r="F353" s="1556"/>
      <c r="G353" s="1557">
        <f t="shared" si="83"/>
        <v>-3.3254118702075175E-3</v>
      </c>
    </row>
    <row r="354" spans="1:7" s="1541" customFormat="1">
      <c r="A354" s="1595" t="s">
        <v>532</v>
      </c>
      <c r="B354" s="1600">
        <v>364.17</v>
      </c>
      <c r="C354" s="1600">
        <f t="shared" si="81"/>
        <v>51.64</v>
      </c>
      <c r="D354" s="1600"/>
      <c r="E354" s="1600">
        <f t="shared" si="82"/>
        <v>415.81</v>
      </c>
      <c r="F354" s="1556"/>
      <c r="G354" s="1557">
        <f t="shared" si="83"/>
        <v>-4.1679716559883673E-5</v>
      </c>
    </row>
    <row r="355" spans="1:7" s="1541" customFormat="1">
      <c r="A355" s="1595" t="s">
        <v>533</v>
      </c>
      <c r="B355" s="1600">
        <v>468.68</v>
      </c>
      <c r="C355" s="1600">
        <f t="shared" si="81"/>
        <v>66.459999999999994</v>
      </c>
      <c r="D355" s="1600"/>
      <c r="E355" s="1600">
        <f t="shared" si="82"/>
        <v>535.14</v>
      </c>
      <c r="F355" s="1556"/>
      <c r="G355" s="1557">
        <f t="shared" si="83"/>
        <v>-3.3647595780905704E-4</v>
      </c>
    </row>
    <row r="356" spans="1:7" s="1541" customFormat="1">
      <c r="A356" s="1595" t="s">
        <v>534</v>
      </c>
      <c r="B356" s="1600">
        <v>560.85</v>
      </c>
      <c r="C356" s="1600">
        <f t="shared" si="81"/>
        <v>79.53</v>
      </c>
      <c r="D356" s="1600"/>
      <c r="E356" s="1600">
        <f t="shared" si="82"/>
        <v>640.38</v>
      </c>
      <c r="F356" s="1556"/>
      <c r="G356" s="1557">
        <f t="shared" si="83"/>
        <v>-4.6537625019027473E-4</v>
      </c>
    </row>
    <row r="357" spans="1:7" s="1541" customFormat="1">
      <c r="A357" s="1595"/>
      <c r="B357" s="1600"/>
      <c r="C357" s="1600"/>
      <c r="D357" s="1600"/>
      <c r="E357" s="1600"/>
      <c r="F357" s="1556"/>
      <c r="G357" s="1562"/>
    </row>
    <row r="358" spans="1:7" s="1541" customFormat="1">
      <c r="A358" s="1595" t="s">
        <v>557</v>
      </c>
      <c r="B358" s="1600">
        <v>6.06</v>
      </c>
      <c r="C358" s="1600">
        <f t="shared" ref="C358" si="84">ROUND(B358*$C$6,2)</f>
        <v>0.86</v>
      </c>
      <c r="D358" s="1600"/>
      <c r="E358" s="1600">
        <f>B358+C358</f>
        <v>6.92</v>
      </c>
      <c r="F358" s="1556"/>
      <c r="G358" s="1557">
        <f>(B358*$C$6)-C358</f>
        <v>-6.811450121712026E-4</v>
      </c>
    </row>
    <row r="359" spans="1:7" s="1541" customFormat="1">
      <c r="A359" s="1595"/>
      <c r="B359" s="1600"/>
      <c r="C359" s="1600"/>
      <c r="D359" s="1600"/>
      <c r="E359" s="1600"/>
      <c r="F359" s="1556"/>
      <c r="G359" s="1562"/>
    </row>
    <row r="360" spans="1:7" s="1541" customFormat="1">
      <c r="A360" s="1602" t="s">
        <v>459</v>
      </c>
      <c r="B360" s="1600"/>
      <c r="C360" s="1600"/>
      <c r="D360" s="1600"/>
      <c r="E360" s="1600"/>
      <c r="F360" s="1556"/>
      <c r="G360" s="1562"/>
    </row>
    <row r="361" spans="1:7" s="1541" customFormat="1">
      <c r="A361" s="1590" t="s">
        <v>558</v>
      </c>
      <c r="B361" s="1600"/>
      <c r="C361" s="1600"/>
      <c r="D361" s="1600"/>
      <c r="E361" s="1600"/>
      <c r="F361" s="1556"/>
      <c r="G361" s="1562"/>
    </row>
    <row r="362" spans="1:7" s="1541" customFormat="1">
      <c r="A362" s="1590" t="s">
        <v>559</v>
      </c>
      <c r="B362" s="1600"/>
      <c r="C362" s="1600"/>
      <c r="D362" s="1600"/>
      <c r="E362" s="1600"/>
      <c r="F362" s="1556"/>
      <c r="G362" s="1562"/>
    </row>
    <row r="363" spans="1:7" s="1541" customFormat="1">
      <c r="A363" s="1595" t="s">
        <v>528</v>
      </c>
      <c r="B363" s="1600">
        <v>61.58</v>
      </c>
      <c r="C363" s="1600">
        <f t="shared" ref="C363:C369" si="85">ROUND(B363*$C$6,2)</f>
        <v>8.73</v>
      </c>
      <c r="D363" s="1600"/>
      <c r="E363" s="1600">
        <f t="shared" ref="E363:E369" si="86">B363+C363</f>
        <v>70.31</v>
      </c>
      <c r="F363" s="1556"/>
      <c r="G363" s="1557">
        <f t="shared" ref="G363:G369" si="87">(B363*$C$6)-C363</f>
        <v>2.154305305362314E-3</v>
      </c>
    </row>
    <row r="364" spans="1:7" s="1541" customFormat="1">
      <c r="A364" s="1595" t="s">
        <v>529</v>
      </c>
      <c r="B364" s="1600">
        <v>78.930000000000007</v>
      </c>
      <c r="C364" s="1600">
        <f t="shared" si="85"/>
        <v>11.19</v>
      </c>
      <c r="D364" s="1600"/>
      <c r="E364" s="1600">
        <f t="shared" si="86"/>
        <v>90.12</v>
      </c>
      <c r="F364" s="1556"/>
      <c r="G364" s="1557">
        <f t="shared" si="87"/>
        <v>2.4153835295948056E-3</v>
      </c>
    </row>
    <row r="365" spans="1:7" s="1541" customFormat="1">
      <c r="A365" s="1595" t="s">
        <v>530</v>
      </c>
      <c r="B365" s="1600">
        <v>104.98</v>
      </c>
      <c r="C365" s="1600">
        <f t="shared" si="85"/>
        <v>14.89</v>
      </c>
      <c r="D365" s="1600"/>
      <c r="E365" s="1600">
        <f t="shared" si="86"/>
        <v>119.87</v>
      </c>
      <c r="F365" s="1556"/>
      <c r="G365" s="1557">
        <f t="shared" si="87"/>
        <v>-3.6479543527594416E-3</v>
      </c>
    </row>
    <row r="366" spans="1:7" s="1541" customFormat="1">
      <c r="A366" s="1595" t="s">
        <v>531</v>
      </c>
      <c r="B366" s="1600">
        <v>147.44</v>
      </c>
      <c r="C366" s="1600">
        <f t="shared" si="85"/>
        <v>20.91</v>
      </c>
      <c r="D366" s="1600"/>
      <c r="E366" s="1600">
        <f t="shared" si="86"/>
        <v>168.35</v>
      </c>
      <c r="F366" s="1556"/>
      <c r="G366" s="1557">
        <f t="shared" si="87"/>
        <v>-2.7438977878730952E-3</v>
      </c>
    </row>
    <row r="367" spans="1:7" s="1541" customFormat="1">
      <c r="A367" s="1595" t="s">
        <v>532</v>
      </c>
      <c r="B367" s="1600">
        <v>195.33</v>
      </c>
      <c r="C367" s="1600">
        <f t="shared" si="85"/>
        <v>27.7</v>
      </c>
      <c r="D367" s="1600"/>
      <c r="E367" s="1600">
        <f t="shared" si="86"/>
        <v>223.03</v>
      </c>
      <c r="F367" s="1556"/>
      <c r="G367" s="1557">
        <f t="shared" si="87"/>
        <v>-1.8561147239886111E-3</v>
      </c>
    </row>
    <row r="368" spans="1:7" s="1541" customFormat="1">
      <c r="A368" s="1595" t="s">
        <v>533</v>
      </c>
      <c r="B368" s="1600">
        <v>283.38</v>
      </c>
      <c r="C368" s="1600">
        <f t="shared" si="85"/>
        <v>40.18</v>
      </c>
      <c r="D368" s="1600"/>
      <c r="E368" s="1600">
        <f t="shared" si="86"/>
        <v>323.56</v>
      </c>
      <c r="F368" s="1556"/>
      <c r="G368" s="1557">
        <f t="shared" si="87"/>
        <v>3.7916050249080513E-3</v>
      </c>
    </row>
    <row r="369" spans="1:7" s="1541" customFormat="1">
      <c r="A369" s="1595" t="s">
        <v>534</v>
      </c>
      <c r="B369" s="1600">
        <v>310.02999999999997</v>
      </c>
      <c r="C369" s="1600">
        <f t="shared" si="85"/>
        <v>43.96</v>
      </c>
      <c r="D369" s="1600"/>
      <c r="E369" s="1600">
        <f t="shared" si="86"/>
        <v>353.98999999999995</v>
      </c>
      <c r="F369" s="1556"/>
      <c r="G369" s="1557">
        <f t="shared" si="87"/>
        <v>2.8093418938226478E-3</v>
      </c>
    </row>
    <row r="370" spans="1:7" s="1541" customFormat="1">
      <c r="A370" s="1590" t="s">
        <v>556</v>
      </c>
      <c r="B370" s="1600"/>
      <c r="C370" s="1600"/>
      <c r="D370" s="1600"/>
      <c r="E370" s="1600"/>
      <c r="F370" s="1556"/>
      <c r="G370" s="1562"/>
    </row>
    <row r="371" spans="1:7" s="1541" customFormat="1">
      <c r="A371" s="1595" t="s">
        <v>528</v>
      </c>
      <c r="B371" s="1600">
        <v>109.96</v>
      </c>
      <c r="C371" s="1600">
        <f t="shared" ref="C371:C377" si="88">ROUND(B371*$C$6,2)</f>
        <v>15.59</v>
      </c>
      <c r="D371" s="1600"/>
      <c r="E371" s="1600">
        <f t="shared" ref="E371:E377" si="89">B371+C371</f>
        <v>125.55</v>
      </c>
      <c r="F371" s="1556"/>
      <c r="G371" s="1557">
        <f t="shared" ref="G371:G377" si="90">(B371*$C$6)-C371</f>
        <v>2.5249660827828535E-3</v>
      </c>
    </row>
    <row r="372" spans="1:7" s="1541" customFormat="1">
      <c r="A372" s="1595" t="s">
        <v>529</v>
      </c>
      <c r="B372" s="1600">
        <v>151.33000000000001</v>
      </c>
      <c r="C372" s="1600">
        <f t="shared" si="88"/>
        <v>21.46</v>
      </c>
      <c r="D372" s="1600"/>
      <c r="E372" s="1600">
        <f t="shared" si="89"/>
        <v>172.79000000000002</v>
      </c>
      <c r="F372" s="1556"/>
      <c r="G372" s="1557">
        <f t="shared" si="90"/>
        <v>-1.1349298171374755E-3</v>
      </c>
    </row>
    <row r="373" spans="1:7" s="1541" customFormat="1">
      <c r="A373" s="1595" t="s">
        <v>530</v>
      </c>
      <c r="B373" s="1600">
        <v>200.63</v>
      </c>
      <c r="C373" s="1600">
        <f t="shared" si="88"/>
        <v>28.45</v>
      </c>
      <c r="D373" s="1600"/>
      <c r="E373" s="1600">
        <f t="shared" si="89"/>
        <v>229.07999999999998</v>
      </c>
      <c r="F373" s="1556"/>
      <c r="G373" s="1557">
        <f t="shared" si="90"/>
        <v>-3.0662108776979835E-4</v>
      </c>
    </row>
    <row r="374" spans="1:7" s="1541" customFormat="1">
      <c r="A374" s="1595" t="s">
        <v>531</v>
      </c>
      <c r="B374" s="1600">
        <v>300.04000000000002</v>
      </c>
      <c r="C374" s="1600">
        <f t="shared" si="88"/>
        <v>42.55</v>
      </c>
      <c r="D374" s="1600"/>
      <c r="E374" s="1600">
        <f t="shared" si="89"/>
        <v>342.59000000000003</v>
      </c>
      <c r="F374" s="1556"/>
      <c r="G374" s="1557">
        <f t="shared" si="90"/>
        <v>-3.7905527148183182E-3</v>
      </c>
    </row>
    <row r="375" spans="1:7" s="1541" customFormat="1">
      <c r="A375" s="1595" t="s">
        <v>532</v>
      </c>
      <c r="B375" s="1600">
        <v>397</v>
      </c>
      <c r="C375" s="1600">
        <f t="shared" si="88"/>
        <v>56.3</v>
      </c>
      <c r="D375" s="1600"/>
      <c r="E375" s="1600">
        <f t="shared" si="89"/>
        <v>453.3</v>
      </c>
      <c r="F375" s="1556"/>
      <c r="G375" s="1557">
        <f t="shared" si="90"/>
        <v>-4.6888729095542203E-3</v>
      </c>
    </row>
    <row r="376" spans="1:7" s="1541" customFormat="1">
      <c r="A376" s="1595" t="s">
        <v>533</v>
      </c>
      <c r="B376" s="1600">
        <v>505.04</v>
      </c>
      <c r="C376" s="1600">
        <f t="shared" si="88"/>
        <v>71.62</v>
      </c>
      <c r="D376" s="1600"/>
      <c r="E376" s="1600">
        <f t="shared" si="89"/>
        <v>576.66000000000008</v>
      </c>
      <c r="F376" s="1556"/>
      <c r="G376" s="1557">
        <f t="shared" si="90"/>
        <v>-4.4233460308475969E-3</v>
      </c>
    </row>
    <row r="377" spans="1:7" s="1541" customFormat="1">
      <c r="A377" s="1595" t="s">
        <v>534</v>
      </c>
      <c r="B377" s="1600">
        <v>589.28</v>
      </c>
      <c r="C377" s="1600">
        <f t="shared" si="88"/>
        <v>83.56</v>
      </c>
      <c r="D377" s="1600"/>
      <c r="E377" s="1600">
        <f t="shared" si="89"/>
        <v>672.83999999999992</v>
      </c>
      <c r="F377" s="1556"/>
      <c r="G377" s="1557">
        <f t="shared" si="90"/>
        <v>9.5954904747941328E-4</v>
      </c>
    </row>
    <row r="378" spans="1:7" s="1541" customFormat="1">
      <c r="A378" s="1595"/>
      <c r="B378" s="1600"/>
      <c r="C378" s="1600"/>
      <c r="D378" s="1600"/>
      <c r="E378" s="1600"/>
      <c r="F378" s="1556"/>
      <c r="G378" s="1562"/>
    </row>
    <row r="379" spans="1:7" s="1541" customFormat="1">
      <c r="A379" s="1595" t="s">
        <v>557</v>
      </c>
      <c r="B379" s="1600">
        <v>6.06</v>
      </c>
      <c r="C379" s="1600">
        <f t="shared" ref="C379" si="91">ROUND(B379*$C$6,2)</f>
        <v>0.86</v>
      </c>
      <c r="D379" s="1600"/>
      <c r="E379" s="1600">
        <f>B379+C379</f>
        <v>6.92</v>
      </c>
      <c r="F379" s="1556"/>
      <c r="G379" s="1557">
        <f>(B379*$C$6)-C379</f>
        <v>-6.811450121712026E-4</v>
      </c>
    </row>
    <row r="380" spans="1:7" s="1541" customFormat="1">
      <c r="A380" s="1595"/>
      <c r="B380" s="1600"/>
      <c r="C380" s="1600"/>
      <c r="D380" s="1600"/>
      <c r="E380" s="1600"/>
      <c r="F380" s="1556"/>
      <c r="G380" s="1562"/>
    </row>
    <row r="381" spans="1:7" s="1541" customFormat="1">
      <c r="A381" s="1601" t="s">
        <v>453</v>
      </c>
      <c r="B381" s="1600"/>
      <c r="C381" s="1600"/>
      <c r="D381" s="1600"/>
      <c r="E381" s="1600"/>
      <c r="F381" s="1556"/>
      <c r="G381" s="1562"/>
    </row>
    <row r="382" spans="1:7" s="1541" customFormat="1">
      <c r="A382" s="1590" t="s">
        <v>560</v>
      </c>
      <c r="B382" s="1600"/>
      <c r="C382" s="1600"/>
      <c r="D382" s="1600"/>
      <c r="E382" s="1600"/>
      <c r="F382" s="1556"/>
      <c r="G382" s="1562"/>
    </row>
    <row r="383" spans="1:7" s="1541" customFormat="1">
      <c r="A383" s="1590" t="s">
        <v>561</v>
      </c>
      <c r="B383" s="1600"/>
      <c r="C383" s="1600"/>
      <c r="D383" s="1600"/>
      <c r="E383" s="1600"/>
      <c r="F383" s="1556"/>
      <c r="G383" s="1562"/>
    </row>
    <row r="384" spans="1:7" s="1541" customFormat="1">
      <c r="A384" s="1590" t="s">
        <v>562</v>
      </c>
      <c r="B384" s="1600"/>
      <c r="C384" s="1600"/>
      <c r="D384" s="1600"/>
      <c r="E384" s="1600"/>
      <c r="F384" s="1556"/>
      <c r="G384" s="1562"/>
    </row>
    <row r="385" spans="1:7" s="1539" customFormat="1">
      <c r="A385" s="1595" t="s">
        <v>563</v>
      </c>
      <c r="B385" s="1600">
        <v>43.01</v>
      </c>
      <c r="C385" s="1600">
        <f t="shared" ref="C385:C391" si="92">ROUND(B385*$C$6,2)</f>
        <v>6.1</v>
      </c>
      <c r="D385" s="1600"/>
      <c r="E385" s="1600">
        <f t="shared" ref="E385:E391" si="93">B385+C385+D385</f>
        <v>49.11</v>
      </c>
      <c r="F385" s="1556"/>
      <c r="G385" s="1557">
        <f t="shared" ref="G385:G391" si="94">(B385*$C$6)-C385</f>
        <v>-1.1049582464490726E-3</v>
      </c>
    </row>
    <row r="386" spans="1:7" s="1541" customFormat="1">
      <c r="A386" s="1595" t="s">
        <v>564</v>
      </c>
      <c r="B386" s="1600">
        <v>43.01</v>
      </c>
      <c r="C386" s="1600">
        <f t="shared" si="92"/>
        <v>6.1</v>
      </c>
      <c r="D386" s="1600"/>
      <c r="E386" s="1600">
        <f t="shared" si="93"/>
        <v>49.11</v>
      </c>
      <c r="F386" s="1556"/>
      <c r="G386" s="1557">
        <f t="shared" si="94"/>
        <v>-1.1049582464490726E-3</v>
      </c>
    </row>
    <row r="387" spans="1:7" s="1541" customFormat="1">
      <c r="A387" s="1595" t="s">
        <v>565</v>
      </c>
      <c r="B387" s="1600">
        <v>43.01</v>
      </c>
      <c r="C387" s="1600">
        <f t="shared" si="92"/>
        <v>6.1</v>
      </c>
      <c r="D387" s="1600"/>
      <c r="E387" s="1600">
        <f t="shared" si="93"/>
        <v>49.11</v>
      </c>
      <c r="F387" s="1556"/>
      <c r="G387" s="1557">
        <f t="shared" si="94"/>
        <v>-1.1049582464490726E-3</v>
      </c>
    </row>
    <row r="388" spans="1:7" s="1541" customFormat="1">
      <c r="A388" s="1595" t="s">
        <v>566</v>
      </c>
      <c r="B388" s="1600">
        <v>54.5</v>
      </c>
      <c r="C388" s="1600">
        <f t="shared" si="92"/>
        <v>7.73</v>
      </c>
      <c r="D388" s="1600"/>
      <c r="E388" s="1600">
        <f t="shared" si="93"/>
        <v>62.230000000000004</v>
      </c>
      <c r="F388" s="1556"/>
      <c r="G388" s="1557">
        <f t="shared" si="94"/>
        <v>-1.8023767596249129E-3</v>
      </c>
    </row>
    <row r="389" spans="1:7" s="1541" customFormat="1">
      <c r="A389" s="1595" t="s">
        <v>567</v>
      </c>
      <c r="B389" s="1600">
        <v>55.26</v>
      </c>
      <c r="C389" s="1600">
        <f t="shared" si="92"/>
        <v>7.84</v>
      </c>
      <c r="D389" s="1600"/>
      <c r="E389" s="1600">
        <f t="shared" si="93"/>
        <v>63.099999999999994</v>
      </c>
      <c r="F389" s="1556"/>
      <c r="G389" s="1557">
        <f t="shared" si="94"/>
        <v>-4.0330154080159275E-3</v>
      </c>
    </row>
    <row r="390" spans="1:7" s="1541" customFormat="1">
      <c r="A390" s="1595" t="s">
        <v>568</v>
      </c>
      <c r="B390" s="1600">
        <v>55.26</v>
      </c>
      <c r="C390" s="1600">
        <f t="shared" si="92"/>
        <v>7.84</v>
      </c>
      <c r="D390" s="1600"/>
      <c r="E390" s="1600">
        <f t="shared" si="93"/>
        <v>63.099999999999994</v>
      </c>
      <c r="F390" s="1556"/>
      <c r="G390" s="1557">
        <f t="shared" si="94"/>
        <v>-4.0330154080159275E-3</v>
      </c>
    </row>
    <row r="391" spans="1:7" s="1541" customFormat="1">
      <c r="A391" s="1595" t="s">
        <v>569</v>
      </c>
      <c r="B391" s="1600">
        <v>74.27</v>
      </c>
      <c r="C391" s="1600">
        <f t="shared" si="92"/>
        <v>10.53</v>
      </c>
      <c r="D391" s="1600"/>
      <c r="E391" s="1600">
        <f t="shared" si="93"/>
        <v>84.8</v>
      </c>
      <c r="F391" s="1556"/>
      <c r="G391" s="1557">
        <f t="shared" si="94"/>
        <v>1.6190362947270387E-3</v>
      </c>
    </row>
    <row r="392" spans="1:7" s="1541" customFormat="1">
      <c r="A392" s="1595"/>
      <c r="B392" s="1600"/>
      <c r="C392" s="1600"/>
      <c r="D392" s="1600"/>
      <c r="E392" s="1600"/>
      <c r="F392" s="1556"/>
      <c r="G392" s="1562"/>
    </row>
    <row r="393" spans="1:7" s="1541" customFormat="1">
      <c r="A393" s="1590" t="s">
        <v>570</v>
      </c>
      <c r="B393" s="1600"/>
      <c r="C393" s="1600"/>
      <c r="D393" s="1600"/>
      <c r="E393" s="1600"/>
      <c r="F393" s="1556"/>
      <c r="G393" s="1562"/>
    </row>
    <row r="394" spans="1:7" s="1541" customFormat="1">
      <c r="A394" s="1595" t="s">
        <v>563</v>
      </c>
      <c r="B394" s="1600">
        <v>163.49</v>
      </c>
      <c r="C394" s="1600">
        <f t="shared" ref="C394:C400" si="95">ROUND(B394*$C$6,2)</f>
        <v>23.18</v>
      </c>
      <c r="D394" s="1600"/>
      <c r="E394" s="1600">
        <f t="shared" ref="E394:E400" si="96">B394+C394+D394</f>
        <v>186.67000000000002</v>
      </c>
      <c r="F394" s="1556"/>
      <c r="G394" s="1557">
        <f t="shared" ref="G394:G400" si="97">(B394*$C$6)-C394</f>
        <v>3.1748518086054389E-3</v>
      </c>
    </row>
    <row r="395" spans="1:7" s="1541" customFormat="1">
      <c r="A395" s="1595" t="s">
        <v>564</v>
      </c>
      <c r="B395" s="1600">
        <v>180.16</v>
      </c>
      <c r="C395" s="1600">
        <f t="shared" si="95"/>
        <v>25.55</v>
      </c>
      <c r="D395" s="1600"/>
      <c r="E395" s="1600">
        <f t="shared" si="96"/>
        <v>205.71</v>
      </c>
      <c r="F395" s="1556"/>
      <c r="G395" s="1557">
        <f t="shared" si="97"/>
        <v>-2.9892880186075388E-3</v>
      </c>
    </row>
    <row r="396" spans="1:7" s="1541" customFormat="1">
      <c r="A396" s="1595" t="s">
        <v>565</v>
      </c>
      <c r="B396" s="1600">
        <v>197.59</v>
      </c>
      <c r="C396" s="1600">
        <f t="shared" si="95"/>
        <v>28.02</v>
      </c>
      <c r="D396" s="1600"/>
      <c r="E396" s="1600">
        <f t="shared" si="96"/>
        <v>225.61</v>
      </c>
      <c r="F396" s="1556"/>
      <c r="G396" s="1557">
        <f t="shared" si="97"/>
        <v>-1.3840664942073033E-3</v>
      </c>
    </row>
    <row r="397" spans="1:7" s="1541" customFormat="1">
      <c r="A397" s="1595" t="s">
        <v>566</v>
      </c>
      <c r="B397" s="1600">
        <v>241.93</v>
      </c>
      <c r="C397" s="1600">
        <f t="shared" si="95"/>
        <v>34.31</v>
      </c>
      <c r="D397" s="1600"/>
      <c r="E397" s="1600">
        <f t="shared" si="96"/>
        <v>276.24</v>
      </c>
      <c r="F397" s="1556"/>
      <c r="G397" s="1557">
        <f t="shared" si="97"/>
        <v>-3.8926423753409267E-3</v>
      </c>
    </row>
    <row r="398" spans="1:7" s="1541" customFormat="1">
      <c r="A398" s="1595" t="s">
        <v>567</v>
      </c>
      <c r="B398" s="1600">
        <v>270.48</v>
      </c>
      <c r="C398" s="1600">
        <f t="shared" si="95"/>
        <v>38.35</v>
      </c>
      <c r="D398" s="1600"/>
      <c r="E398" s="1600">
        <f t="shared" si="96"/>
        <v>308.83000000000004</v>
      </c>
      <c r="F398" s="1556"/>
      <c r="G398" s="1557">
        <f t="shared" si="97"/>
        <v>4.5484978725980341E-3</v>
      </c>
    </row>
    <row r="399" spans="1:7" s="1541" customFormat="1">
      <c r="A399" s="1595" t="s">
        <v>568</v>
      </c>
      <c r="B399" s="1600">
        <v>313.64999999999998</v>
      </c>
      <c r="C399" s="1600">
        <f t="shared" si="95"/>
        <v>44.48</v>
      </c>
      <c r="D399" s="1600"/>
      <c r="E399" s="1600">
        <f t="shared" si="96"/>
        <v>358.13</v>
      </c>
      <c r="F399" s="1556"/>
      <c r="G399" s="1557">
        <f t="shared" si="97"/>
        <v>-3.8681737735117849E-3</v>
      </c>
    </row>
    <row r="400" spans="1:7" s="1541" customFormat="1">
      <c r="A400" s="1595" t="s">
        <v>569</v>
      </c>
      <c r="B400" s="1600">
        <v>346.56</v>
      </c>
      <c r="C400" s="1600">
        <f t="shared" si="95"/>
        <v>49.14</v>
      </c>
      <c r="D400" s="1600"/>
      <c r="E400" s="1600">
        <f t="shared" si="96"/>
        <v>395.7</v>
      </c>
      <c r="F400" s="1556"/>
      <c r="G400" s="1557">
        <f t="shared" si="97"/>
        <v>2.8287763336578564E-3</v>
      </c>
    </row>
    <row r="401" spans="1:7" s="1541" customFormat="1">
      <c r="A401" s="1595"/>
      <c r="B401" s="1600"/>
      <c r="C401" s="1600"/>
      <c r="D401" s="1600"/>
      <c r="E401" s="1600"/>
      <c r="F401" s="1556"/>
      <c r="G401" s="1562"/>
    </row>
    <row r="402" spans="1:7" s="1541" customFormat="1">
      <c r="A402" s="1590" t="s">
        <v>571</v>
      </c>
      <c r="B402" s="1600"/>
      <c r="C402" s="1600"/>
      <c r="D402" s="1600"/>
      <c r="E402" s="1600"/>
      <c r="F402" s="1556"/>
      <c r="G402" s="1562"/>
    </row>
    <row r="403" spans="1:7" s="1541" customFormat="1">
      <c r="A403" s="1595" t="s">
        <v>563</v>
      </c>
      <c r="B403" s="1600">
        <v>120.48</v>
      </c>
      <c r="C403" s="1600">
        <f t="shared" ref="C403:C409" si="98">ROUND(B403*$C$6,2)</f>
        <v>17.079999999999998</v>
      </c>
      <c r="D403" s="1600"/>
      <c r="E403" s="1600">
        <f t="shared" ref="E403:E409" si="99">B403+C403+D403</f>
        <v>137.56</v>
      </c>
      <c r="F403" s="1556"/>
      <c r="G403" s="1557">
        <f t="shared" ref="G403:G409" si="100">(B403*$C$6)-C403</f>
        <v>4.2798100550562879E-3</v>
      </c>
    </row>
    <row r="404" spans="1:7" s="1541" customFormat="1">
      <c r="A404" s="1595" t="s">
        <v>564</v>
      </c>
      <c r="B404" s="1600">
        <v>137.18</v>
      </c>
      <c r="C404" s="1600">
        <f t="shared" si="98"/>
        <v>19.45</v>
      </c>
      <c r="D404" s="1600"/>
      <c r="E404" s="1600">
        <f t="shared" si="99"/>
        <v>156.63</v>
      </c>
      <c r="F404" s="1556"/>
      <c r="G404" s="1557">
        <f t="shared" si="100"/>
        <v>2.3697239654083546E-3</v>
      </c>
    </row>
    <row r="405" spans="1:7" s="1541" customFormat="1">
      <c r="A405" s="1595" t="s">
        <v>565</v>
      </c>
      <c r="B405" s="1600">
        <v>154.62</v>
      </c>
      <c r="C405" s="1600">
        <f t="shared" si="98"/>
        <v>21.93</v>
      </c>
      <c r="D405" s="1600"/>
      <c r="E405" s="1600">
        <f t="shared" si="99"/>
        <v>176.55</v>
      </c>
      <c r="F405" s="1556"/>
      <c r="G405" s="1557">
        <f t="shared" si="100"/>
        <v>-4.6070365976724759E-3</v>
      </c>
    </row>
    <row r="406" spans="1:7" s="1541" customFormat="1">
      <c r="A406" s="1595" t="s">
        <v>566</v>
      </c>
      <c r="B406" s="1600">
        <v>187.43</v>
      </c>
      <c r="C406" s="1600">
        <f t="shared" si="98"/>
        <v>26.58</v>
      </c>
      <c r="D406" s="1600"/>
      <c r="E406" s="1600">
        <f t="shared" si="99"/>
        <v>214.01</v>
      </c>
      <c r="F406" s="1556"/>
      <c r="G406" s="1557">
        <f t="shared" si="100"/>
        <v>-2.0902656157133492E-3</v>
      </c>
    </row>
    <row r="407" spans="1:7" s="1541" customFormat="1">
      <c r="A407" s="1595" t="s">
        <v>567</v>
      </c>
      <c r="B407" s="1600">
        <v>215.22</v>
      </c>
      <c r="C407" s="1600">
        <f t="shared" si="98"/>
        <v>30.52</v>
      </c>
      <c r="D407" s="1600"/>
      <c r="E407" s="1600">
        <f t="shared" si="99"/>
        <v>245.74</v>
      </c>
      <c r="F407" s="1556"/>
      <c r="G407" s="1557">
        <f t="shared" si="100"/>
        <v>-1.4184867193840489E-3</v>
      </c>
    </row>
    <row r="408" spans="1:7" s="1541" customFormat="1">
      <c r="A408" s="1595" t="s">
        <v>568</v>
      </c>
      <c r="B408" s="1600">
        <v>258.39</v>
      </c>
      <c r="C408" s="1600">
        <f t="shared" si="98"/>
        <v>36.64</v>
      </c>
      <c r="D408" s="1600"/>
      <c r="E408" s="1600">
        <f t="shared" si="99"/>
        <v>295.02999999999997</v>
      </c>
      <c r="F408" s="1556"/>
      <c r="G408" s="1557">
        <f t="shared" si="100"/>
        <v>1.6484163450058986E-4</v>
      </c>
    </row>
    <row r="409" spans="1:7" s="1541" customFormat="1">
      <c r="A409" s="1595" t="s">
        <v>569</v>
      </c>
      <c r="B409" s="1600">
        <v>272.29000000000002</v>
      </c>
      <c r="C409" s="1600">
        <f t="shared" si="98"/>
        <v>38.61</v>
      </c>
      <c r="D409" s="1600"/>
      <c r="E409" s="1600">
        <f t="shared" si="99"/>
        <v>310.90000000000003</v>
      </c>
      <c r="F409" s="1556"/>
      <c r="G409" s="1557">
        <f t="shared" si="100"/>
        <v>1.2097400389379231E-3</v>
      </c>
    </row>
    <row r="410" spans="1:7" s="1541" customFormat="1">
      <c r="A410" s="1595"/>
      <c r="B410" s="1600"/>
      <c r="C410" s="1600"/>
      <c r="D410" s="1600"/>
      <c r="E410" s="1600"/>
      <c r="F410" s="1556"/>
      <c r="G410" s="1562"/>
    </row>
    <row r="411" spans="1:7" s="1541" customFormat="1">
      <c r="A411" s="1590" t="s">
        <v>572</v>
      </c>
      <c r="B411" s="1600"/>
      <c r="C411" s="1600"/>
      <c r="D411" s="1600"/>
      <c r="E411" s="1600"/>
      <c r="F411" s="1556"/>
      <c r="G411" s="1562"/>
    </row>
    <row r="412" spans="1:7" s="1541" customFormat="1">
      <c r="A412" s="1595" t="s">
        <v>573</v>
      </c>
      <c r="B412" s="1600">
        <v>74.37</v>
      </c>
      <c r="C412" s="1600">
        <f t="shared" ref="C412" si="101">ROUND(B412*$C$6,2)</f>
        <v>10.55</v>
      </c>
      <c r="D412" s="1600"/>
      <c r="E412" s="1600">
        <f>B412+C412+D412</f>
        <v>84.92</v>
      </c>
      <c r="F412" s="1556"/>
      <c r="G412" s="1557">
        <f>(B412*$C$6)-C412</f>
        <v>-4.2007845800604571E-3</v>
      </c>
    </row>
    <row r="413" spans="1:7" s="1541" customFormat="1">
      <c r="A413" s="1595"/>
      <c r="B413" s="1600"/>
      <c r="C413" s="1600"/>
      <c r="D413" s="1600"/>
      <c r="E413" s="1600"/>
      <c r="F413" s="1556"/>
      <c r="G413" s="1562"/>
    </row>
    <row r="414" spans="1:7" s="1541" customFormat="1">
      <c r="A414" s="1590" t="s">
        <v>574</v>
      </c>
      <c r="B414" s="1600"/>
      <c r="C414" s="1600"/>
      <c r="D414" s="1600"/>
      <c r="E414" s="1600"/>
      <c r="F414" s="1556"/>
      <c r="G414" s="1562"/>
    </row>
    <row r="415" spans="1:7" s="1541" customFormat="1">
      <c r="A415" s="1595" t="s">
        <v>563</v>
      </c>
      <c r="B415" s="1600">
        <v>142.88</v>
      </c>
      <c r="C415" s="1600">
        <f t="shared" ref="C415:C421" si="102">ROUND(B415*$C$6,2)</f>
        <v>20.260000000000002</v>
      </c>
      <c r="D415" s="1600"/>
      <c r="E415" s="1600">
        <f t="shared" ref="E415:E421" si="103">B415+C415+D415</f>
        <v>163.13999999999999</v>
      </c>
      <c r="F415" s="1556"/>
      <c r="G415" s="1557">
        <f t="shared" ref="G415:G421" si="104">(B415*$C$6)-C415</f>
        <v>6.3993410246965254E-4</v>
      </c>
    </row>
    <row r="416" spans="1:7" s="1541" customFormat="1">
      <c r="A416" s="1595" t="s">
        <v>564</v>
      </c>
      <c r="B416" s="1600">
        <v>162.24</v>
      </c>
      <c r="C416" s="1600">
        <f t="shared" si="102"/>
        <v>23.01</v>
      </c>
      <c r="D416" s="1600"/>
      <c r="E416" s="1600">
        <f t="shared" si="103"/>
        <v>185.25</v>
      </c>
      <c r="F416" s="1556"/>
      <c r="G416" s="1557">
        <f t="shared" si="104"/>
        <v>-4.0773872565402769E-3</v>
      </c>
    </row>
    <row r="417" spans="1:7" s="1541" customFormat="1">
      <c r="A417" s="1595" t="s">
        <v>565</v>
      </c>
      <c r="B417" s="1600">
        <v>181.27</v>
      </c>
      <c r="C417" s="1600">
        <f t="shared" si="102"/>
        <v>25.7</v>
      </c>
      <c r="D417" s="1600"/>
      <c r="E417" s="1600">
        <f t="shared" si="103"/>
        <v>206.97</v>
      </c>
      <c r="F417" s="1556"/>
      <c r="G417" s="1557">
        <f t="shared" si="104"/>
        <v>4.4107002712472365E-3</v>
      </c>
    </row>
    <row r="418" spans="1:7" s="1541" customFormat="1">
      <c r="A418" s="1595" t="s">
        <v>566</v>
      </c>
      <c r="B418" s="1600">
        <v>223.49</v>
      </c>
      <c r="C418" s="1600">
        <f t="shared" si="102"/>
        <v>31.69</v>
      </c>
      <c r="D418" s="1600"/>
      <c r="E418" s="1600">
        <f t="shared" si="103"/>
        <v>255.18</v>
      </c>
      <c r="F418" s="1556"/>
      <c r="G418" s="1557">
        <f t="shared" si="104"/>
        <v>1.2823269356232458E-3</v>
      </c>
    </row>
    <row r="419" spans="1:7" s="1541" customFormat="1">
      <c r="A419" s="1595" t="s">
        <v>567</v>
      </c>
      <c r="B419" s="1600">
        <v>258.39</v>
      </c>
      <c r="C419" s="1600">
        <f t="shared" si="102"/>
        <v>36.64</v>
      </c>
      <c r="D419" s="1600"/>
      <c r="E419" s="1600">
        <f t="shared" si="103"/>
        <v>295.02999999999997</v>
      </c>
      <c r="F419" s="1556"/>
      <c r="G419" s="1557">
        <f t="shared" si="104"/>
        <v>1.6484163450058986E-4</v>
      </c>
    </row>
    <row r="420" spans="1:7" s="1541" customFormat="1">
      <c r="A420" s="1595" t="s">
        <v>568</v>
      </c>
      <c r="B420" s="1600">
        <v>303.33</v>
      </c>
      <c r="C420" s="1600">
        <f t="shared" si="102"/>
        <v>43.01</v>
      </c>
      <c r="D420" s="1600"/>
      <c r="E420" s="1600">
        <f t="shared" si="103"/>
        <v>346.34</v>
      </c>
      <c r="F420" s="1556"/>
      <c r="G420" s="1557">
        <f t="shared" si="104"/>
        <v>2.7373405046446919E-3</v>
      </c>
    </row>
    <row r="421" spans="1:7" s="1541" customFormat="1">
      <c r="A421" s="1595" t="s">
        <v>569</v>
      </c>
      <c r="B421" s="1600">
        <v>330.7</v>
      </c>
      <c r="C421" s="1600">
        <f t="shared" si="102"/>
        <v>46.89</v>
      </c>
      <c r="D421" s="1600"/>
      <c r="E421" s="1600">
        <f t="shared" si="103"/>
        <v>377.59</v>
      </c>
      <c r="F421" s="1556"/>
      <c r="G421" s="1557">
        <f t="shared" si="104"/>
        <v>3.8523670750834071E-3</v>
      </c>
    </row>
    <row r="422" spans="1:7" s="1541" customFormat="1">
      <c r="A422" s="1595"/>
      <c r="B422" s="1600"/>
      <c r="C422" s="1600"/>
      <c r="D422" s="1600"/>
      <c r="E422" s="1600"/>
      <c r="F422" s="1556"/>
      <c r="G422" s="1562"/>
    </row>
    <row r="423" spans="1:7" s="1541" customFormat="1">
      <c r="A423" s="1590" t="s">
        <v>575</v>
      </c>
      <c r="B423" s="1600"/>
      <c r="C423" s="1600"/>
      <c r="D423" s="1600"/>
      <c r="E423" s="1600"/>
      <c r="F423" s="1556"/>
      <c r="G423" s="1562"/>
    </row>
    <row r="424" spans="1:7" s="1541" customFormat="1">
      <c r="A424" s="1595" t="s">
        <v>563</v>
      </c>
      <c r="B424" s="1600">
        <v>2.34</v>
      </c>
      <c r="C424" s="1600">
        <f t="shared" ref="C424:C430" si="105">ROUND(B424*$C$6,2)</f>
        <v>0.33</v>
      </c>
      <c r="D424" s="1600"/>
      <c r="E424" s="1600">
        <f t="shared" ref="E424:E430" si="106">B424+C424+D424</f>
        <v>2.67</v>
      </c>
      <c r="F424" s="1556"/>
      <c r="G424" s="1557">
        <f t="shared" ref="G424:G430" si="107">(B424*$C$6)-C424</f>
        <v>1.8161915299537146E-3</v>
      </c>
    </row>
    <row r="425" spans="1:7" s="1541" customFormat="1">
      <c r="A425" s="1595" t="s">
        <v>564</v>
      </c>
      <c r="B425" s="1600">
        <v>2.58</v>
      </c>
      <c r="C425" s="1600">
        <f t="shared" si="105"/>
        <v>0.37</v>
      </c>
      <c r="D425" s="1600"/>
      <c r="E425" s="1600">
        <f t="shared" si="106"/>
        <v>2.95</v>
      </c>
      <c r="F425" s="1556"/>
      <c r="G425" s="1557">
        <f t="shared" si="107"/>
        <v>-4.1513785695381777E-3</v>
      </c>
    </row>
    <row r="426" spans="1:7" s="1541" customFormat="1">
      <c r="A426" s="1595" t="s">
        <v>565</v>
      </c>
      <c r="B426" s="1600">
        <v>2.83</v>
      </c>
      <c r="C426" s="1600">
        <f t="shared" si="105"/>
        <v>0.4</v>
      </c>
      <c r="D426" s="1600"/>
      <c r="E426" s="1600">
        <f t="shared" si="106"/>
        <v>3.23</v>
      </c>
      <c r="F426" s="1556"/>
      <c r="G426" s="1557">
        <f t="shared" si="107"/>
        <v>1.2990692434910467E-3</v>
      </c>
    </row>
    <row r="427" spans="1:7" s="1541" customFormat="1">
      <c r="A427" s="1595" t="s">
        <v>566</v>
      </c>
      <c r="B427" s="1600">
        <v>3.38</v>
      </c>
      <c r="C427" s="1600">
        <f t="shared" si="105"/>
        <v>0.48</v>
      </c>
      <c r="D427" s="1600"/>
      <c r="E427" s="1600">
        <f t="shared" si="106"/>
        <v>3.86</v>
      </c>
      <c r="F427" s="1556"/>
      <c r="G427" s="1557">
        <f t="shared" si="107"/>
        <v>-7.0994556784459428E-4</v>
      </c>
    </row>
    <row r="428" spans="1:7" s="1541" customFormat="1">
      <c r="A428" s="1595" t="s">
        <v>567</v>
      </c>
      <c r="B428" s="1600">
        <v>3.68</v>
      </c>
      <c r="C428" s="1600">
        <f t="shared" si="105"/>
        <v>0.52</v>
      </c>
      <c r="D428" s="1600"/>
      <c r="E428" s="1600">
        <f t="shared" si="106"/>
        <v>4.2</v>
      </c>
      <c r="F428" s="1556"/>
      <c r="G428" s="1557">
        <f t="shared" si="107"/>
        <v>1.8305918077904382E-3</v>
      </c>
    </row>
    <row r="429" spans="1:7" s="1541" customFormat="1">
      <c r="A429" s="1595" t="s">
        <v>568</v>
      </c>
      <c r="B429" s="1600">
        <v>3.93</v>
      </c>
      <c r="C429" s="1600">
        <f t="shared" si="105"/>
        <v>0.56000000000000005</v>
      </c>
      <c r="D429" s="1600"/>
      <c r="E429" s="1600">
        <f t="shared" si="106"/>
        <v>4.49</v>
      </c>
      <c r="F429" s="1556"/>
      <c r="G429" s="1557">
        <f t="shared" si="107"/>
        <v>-2.7189603791802908E-3</v>
      </c>
    </row>
    <row r="430" spans="1:7" s="1541" customFormat="1">
      <c r="A430" s="1595" t="s">
        <v>569</v>
      </c>
      <c r="B430" s="1600">
        <v>4.2300000000000004</v>
      </c>
      <c r="C430" s="1600">
        <f t="shared" si="105"/>
        <v>0.6</v>
      </c>
      <c r="D430" s="1600"/>
      <c r="E430" s="1600">
        <f t="shared" si="106"/>
        <v>4.83</v>
      </c>
      <c r="F430" s="1556"/>
      <c r="G430" s="1557">
        <f t="shared" si="107"/>
        <v>-1.7842300354509177E-4</v>
      </c>
    </row>
    <row r="431" spans="1:7" s="1541" customFormat="1">
      <c r="A431" s="1595"/>
      <c r="B431" s="1600"/>
      <c r="C431" s="1600"/>
      <c r="D431" s="1600"/>
      <c r="E431" s="1600"/>
      <c r="F431" s="1556"/>
      <c r="G431" s="1562"/>
    </row>
    <row r="432" spans="1:7" s="1541" customFormat="1">
      <c r="A432" s="1590" t="s">
        <v>576</v>
      </c>
      <c r="B432" s="1600"/>
      <c r="C432" s="1600"/>
      <c r="D432" s="1600"/>
      <c r="E432" s="1600"/>
      <c r="F432" s="1556"/>
      <c r="G432" s="1562"/>
    </row>
    <row r="433" spans="1:7" s="1541" customFormat="1">
      <c r="A433" s="1595" t="s">
        <v>563</v>
      </c>
      <c r="B433" s="1600">
        <v>70.209999999999994</v>
      </c>
      <c r="C433" s="1600">
        <f t="shared" ref="C433:C439" si="108">ROUND(B433*$C$6,2)</f>
        <v>9.9600000000000009</v>
      </c>
      <c r="D433" s="1600"/>
      <c r="E433" s="1600">
        <f t="shared" ref="E433:E439" si="109">B433+C433+D433</f>
        <v>80.169999999999987</v>
      </c>
      <c r="F433" s="1556"/>
      <c r="G433" s="1557">
        <f t="shared" ref="G433:G439" si="110">(B433*$C$6)-C433</f>
        <v>-4.0962361888681187E-3</v>
      </c>
    </row>
    <row r="434" spans="1:7" s="1541" customFormat="1">
      <c r="A434" s="1595" t="s">
        <v>564</v>
      </c>
      <c r="B434" s="1600">
        <v>77.48</v>
      </c>
      <c r="C434" s="1600">
        <f t="shared" si="108"/>
        <v>10.99</v>
      </c>
      <c r="D434" s="1600"/>
      <c r="E434" s="1600">
        <f t="shared" si="109"/>
        <v>88.47</v>
      </c>
      <c r="F434" s="1556"/>
      <c r="G434" s="1557">
        <f t="shared" si="110"/>
        <v>-3.1972137859757055E-3</v>
      </c>
    </row>
    <row r="435" spans="1:7" s="1541" customFormat="1">
      <c r="A435" s="1595" t="s">
        <v>565</v>
      </c>
      <c r="B435" s="1600">
        <v>84.76</v>
      </c>
      <c r="C435" s="1600">
        <f t="shared" si="108"/>
        <v>12.02</v>
      </c>
      <c r="D435" s="1600"/>
      <c r="E435" s="1600">
        <f t="shared" si="109"/>
        <v>96.78</v>
      </c>
      <c r="F435" s="1556"/>
      <c r="G435" s="1557">
        <f t="shared" si="110"/>
        <v>-8.801734705645714E-4</v>
      </c>
    </row>
    <row r="436" spans="1:7" s="1541" customFormat="1">
      <c r="A436" s="1595" t="s">
        <v>566</v>
      </c>
      <c r="B436" s="1600">
        <v>101.52</v>
      </c>
      <c r="C436" s="1600">
        <f t="shared" si="108"/>
        <v>14.4</v>
      </c>
      <c r="D436" s="1600"/>
      <c r="E436" s="1600">
        <f t="shared" si="109"/>
        <v>115.92</v>
      </c>
      <c r="F436" s="1556"/>
      <c r="G436" s="1557">
        <f t="shared" si="110"/>
        <v>-4.2821520850857553E-3</v>
      </c>
    </row>
    <row r="437" spans="1:7" s="1541" customFormat="1">
      <c r="A437" s="1595" t="s">
        <v>567</v>
      </c>
      <c r="B437" s="1600">
        <v>110.37</v>
      </c>
      <c r="C437" s="1600">
        <f t="shared" si="108"/>
        <v>15.65</v>
      </c>
      <c r="D437" s="1600"/>
      <c r="E437" s="1600">
        <f t="shared" si="109"/>
        <v>126.02000000000001</v>
      </c>
      <c r="F437" s="1556"/>
      <c r="G437" s="1557">
        <f t="shared" si="110"/>
        <v>6.63700496151165E-4</v>
      </c>
    </row>
    <row r="438" spans="1:7" s="1541" customFormat="1">
      <c r="A438" s="1595" t="s">
        <v>568</v>
      </c>
      <c r="B438" s="1600">
        <v>117.96</v>
      </c>
      <c r="C438" s="1600">
        <f t="shared" si="108"/>
        <v>16.73</v>
      </c>
      <c r="D438" s="1600"/>
      <c r="E438" s="1600">
        <f t="shared" si="109"/>
        <v>134.69</v>
      </c>
      <c r="F438" s="1556"/>
      <c r="G438" s="1557">
        <f t="shared" si="110"/>
        <v>-3.0607039002816805E-3</v>
      </c>
    </row>
    <row r="439" spans="1:7" s="1541" customFormat="1">
      <c r="A439" s="1595" t="s">
        <v>569</v>
      </c>
      <c r="B439" s="1600">
        <v>126.82</v>
      </c>
      <c r="C439" s="1600">
        <f t="shared" si="108"/>
        <v>17.98</v>
      </c>
      <c r="D439" s="1600"/>
      <c r="E439" s="1600">
        <f t="shared" si="109"/>
        <v>144.79999999999998</v>
      </c>
      <c r="F439" s="1556"/>
      <c r="G439" s="1557">
        <f t="shared" si="110"/>
        <v>3.3031665934721843E-3</v>
      </c>
    </row>
    <row r="440" spans="1:7" s="1541" customFormat="1">
      <c r="A440" s="1595"/>
      <c r="B440" s="1600"/>
      <c r="C440" s="1600"/>
      <c r="D440" s="1600"/>
      <c r="E440" s="1600"/>
      <c r="F440" s="1556"/>
      <c r="G440" s="1562"/>
    </row>
    <row r="441" spans="1:7" s="1541" customFormat="1">
      <c r="A441" s="1595" t="s">
        <v>577</v>
      </c>
      <c r="B441" s="1600">
        <v>5.54</v>
      </c>
      <c r="C441" s="1600">
        <f t="shared" ref="C441" si="111">ROUND(B441*$C$6,2)</f>
        <v>0.79</v>
      </c>
      <c r="D441" s="1600"/>
      <c r="E441" s="1600">
        <f>B441+C441+D441</f>
        <v>6.33</v>
      </c>
      <c r="F441" s="1556"/>
      <c r="G441" s="1557">
        <f>(B441*$C$6)-C441</f>
        <v>-4.4180764632719693E-3</v>
      </c>
    </row>
    <row r="442" spans="1:7" s="1541" customFormat="1">
      <c r="A442" s="1595"/>
      <c r="B442" s="1600"/>
      <c r="C442" s="1600"/>
      <c r="D442" s="1600"/>
      <c r="E442" s="1600"/>
      <c r="F442" s="1556"/>
      <c r="G442" s="1562"/>
    </row>
    <row r="443" spans="1:7" s="1541" customFormat="1">
      <c r="A443" s="1602" t="s">
        <v>459</v>
      </c>
      <c r="B443" s="1600"/>
      <c r="C443" s="1600"/>
      <c r="D443" s="1600"/>
      <c r="E443" s="1600"/>
      <c r="F443" s="1556"/>
      <c r="G443" s="1562"/>
    </row>
    <row r="444" spans="1:7" s="1541" customFormat="1">
      <c r="A444" s="1590" t="s">
        <v>578</v>
      </c>
      <c r="B444" s="1600"/>
      <c r="C444" s="1600"/>
      <c r="D444" s="1600"/>
      <c r="E444" s="1600"/>
      <c r="F444" s="1556"/>
      <c r="G444" s="1562"/>
    </row>
    <row r="445" spans="1:7" s="1541" customFormat="1">
      <c r="A445" s="1590" t="s">
        <v>561</v>
      </c>
      <c r="B445" s="1600"/>
      <c r="C445" s="1600"/>
      <c r="D445" s="1600"/>
      <c r="E445" s="1600"/>
      <c r="F445" s="1556"/>
      <c r="G445" s="1562"/>
    </row>
    <row r="446" spans="1:7" s="1541" customFormat="1">
      <c r="A446" s="1590" t="s">
        <v>562</v>
      </c>
      <c r="B446" s="1600"/>
      <c r="C446" s="1600"/>
      <c r="D446" s="1600"/>
      <c r="E446" s="1600"/>
      <c r="F446" s="1556"/>
      <c r="G446" s="1562"/>
    </row>
    <row r="447" spans="1:7" s="1541" customFormat="1">
      <c r="A447" s="1595" t="s">
        <v>563</v>
      </c>
      <c r="B447" s="1600">
        <v>41.53</v>
      </c>
      <c r="C447" s="1600">
        <f t="shared" ref="C447:C453" si="112">ROUND(B447*$C$6,2)</f>
        <v>5.89</v>
      </c>
      <c r="D447" s="1600"/>
      <c r="E447" s="1600">
        <f t="shared" ref="E447:E453" si="113">B447+C447+D447</f>
        <v>47.42</v>
      </c>
      <c r="F447" s="1556"/>
      <c r="G447" s="1557">
        <f t="shared" ref="G447:G453" si="114">(B447*$C$6)-C447</f>
        <v>-9.7160929958128861E-4</v>
      </c>
    </row>
    <row r="448" spans="1:7" s="1541" customFormat="1">
      <c r="A448" s="1595" t="s">
        <v>564</v>
      </c>
      <c r="B448" s="1600">
        <v>45.75</v>
      </c>
      <c r="C448" s="1600">
        <f t="shared" si="112"/>
        <v>6.49</v>
      </c>
      <c r="D448" s="1600"/>
      <c r="E448" s="1600">
        <f t="shared" si="113"/>
        <v>52.24</v>
      </c>
      <c r="F448" s="1556"/>
      <c r="G448" s="1557">
        <f t="shared" si="114"/>
        <v>-2.568050215648654E-3</v>
      </c>
    </row>
    <row r="449" spans="1:7" s="1541" customFormat="1">
      <c r="A449" s="1595" t="s">
        <v>565</v>
      </c>
      <c r="B449" s="1600">
        <v>49.28</v>
      </c>
      <c r="C449" s="1600">
        <f t="shared" si="112"/>
        <v>6.99</v>
      </c>
      <c r="D449" s="1600"/>
      <c r="E449" s="1600">
        <f t="shared" si="113"/>
        <v>56.27</v>
      </c>
      <c r="F449" s="1556"/>
      <c r="G449" s="1557">
        <f t="shared" si="114"/>
        <v>-2.0077270956750937E-3</v>
      </c>
    </row>
    <row r="450" spans="1:7" s="1541" customFormat="1">
      <c r="A450" s="1595" t="s">
        <v>566</v>
      </c>
      <c r="B450" s="1600">
        <v>57.03</v>
      </c>
      <c r="C450" s="1600">
        <f t="shared" si="112"/>
        <v>8.09</v>
      </c>
      <c r="D450" s="1600"/>
      <c r="E450" s="1600">
        <f t="shared" si="113"/>
        <v>65.12</v>
      </c>
      <c r="F450" s="1556"/>
      <c r="G450" s="1557">
        <f t="shared" si="114"/>
        <v>-3.0438448917688987E-3</v>
      </c>
    </row>
    <row r="451" spans="1:7" s="1541" customFormat="1">
      <c r="A451" s="1595" t="s">
        <v>567</v>
      </c>
      <c r="B451" s="1600">
        <v>64.3</v>
      </c>
      <c r="C451" s="1600">
        <f t="shared" si="112"/>
        <v>9.1199999999999992</v>
      </c>
      <c r="D451" s="1600"/>
      <c r="E451" s="1600">
        <f t="shared" si="113"/>
        <v>73.42</v>
      </c>
      <c r="F451" s="1556"/>
      <c r="G451" s="1557">
        <f t="shared" si="114"/>
        <v>-2.1448224888782619E-3</v>
      </c>
    </row>
    <row r="452" spans="1:7" s="1541" customFormat="1">
      <c r="A452" s="1595" t="s">
        <v>568</v>
      </c>
      <c r="B452" s="1600">
        <v>64.3</v>
      </c>
      <c r="C452" s="1600">
        <f t="shared" si="112"/>
        <v>9.1199999999999992</v>
      </c>
      <c r="D452" s="1600"/>
      <c r="E452" s="1600">
        <f t="shared" si="113"/>
        <v>73.42</v>
      </c>
      <c r="F452" s="1556"/>
      <c r="G452" s="1557">
        <f t="shared" si="114"/>
        <v>-2.1448224888782619E-3</v>
      </c>
    </row>
    <row r="453" spans="1:7" s="1541" customFormat="1">
      <c r="A453" s="1595" t="s">
        <v>569</v>
      </c>
      <c r="B453" s="1600">
        <v>79.540000000000006</v>
      </c>
      <c r="C453" s="1600">
        <f t="shared" si="112"/>
        <v>11.28</v>
      </c>
      <c r="D453" s="1600"/>
      <c r="E453" s="1600">
        <f t="shared" si="113"/>
        <v>90.820000000000007</v>
      </c>
      <c r="F453" s="1556"/>
      <c r="G453" s="1557">
        <f t="shared" si="114"/>
        <v>-1.0855238066138639E-3</v>
      </c>
    </row>
    <row r="454" spans="1:7" s="1541" customFormat="1">
      <c r="A454" s="1595"/>
      <c r="B454" s="1600"/>
      <c r="C454" s="1600"/>
      <c r="D454" s="1600"/>
      <c r="E454" s="1600"/>
      <c r="F454" s="1556"/>
      <c r="G454" s="1562"/>
    </row>
    <row r="455" spans="1:7" s="1541" customFormat="1">
      <c r="A455" s="1590" t="s">
        <v>570</v>
      </c>
      <c r="B455" s="1600"/>
      <c r="C455" s="1600"/>
      <c r="D455" s="1600"/>
      <c r="E455" s="1600"/>
      <c r="F455" s="1556"/>
      <c r="G455" s="1562"/>
    </row>
    <row r="456" spans="1:7" s="1541" customFormat="1">
      <c r="A456" s="1595" t="s">
        <v>563</v>
      </c>
      <c r="B456" s="1600">
        <v>169.85</v>
      </c>
      <c r="C456" s="1600">
        <f t="shared" ref="C456:C462" si="115">ROUND(B456*$C$6,2)</f>
        <v>24.09</v>
      </c>
      <c r="D456" s="1600"/>
      <c r="E456" s="1600">
        <f t="shared" ref="E456:E462" si="116">B456+C456+D456</f>
        <v>193.94</v>
      </c>
      <c r="F456" s="1556"/>
      <c r="G456" s="1557">
        <f t="shared" ref="G456:G462" si="117">(B456*$C$6)-C456</f>
        <v>-4.9657558279321279E-3</v>
      </c>
    </row>
    <row r="457" spans="1:7" s="1541" customFormat="1">
      <c r="A457" s="1595" t="s">
        <v>564</v>
      </c>
      <c r="B457" s="1600">
        <v>192.38</v>
      </c>
      <c r="C457" s="1600">
        <f t="shared" si="115"/>
        <v>27.28</v>
      </c>
      <c r="D457" s="1600"/>
      <c r="E457" s="1600">
        <f t="shared" si="116"/>
        <v>219.66</v>
      </c>
      <c r="F457" s="1556"/>
      <c r="G457" s="1557">
        <f t="shared" si="117"/>
        <v>-1.7139891773609861E-4</v>
      </c>
    </row>
    <row r="458" spans="1:7" s="1541" customFormat="1">
      <c r="A458" s="1595" t="s">
        <v>565</v>
      </c>
      <c r="B458" s="1600">
        <v>214.32</v>
      </c>
      <c r="C458" s="1600">
        <f t="shared" si="115"/>
        <v>30.39</v>
      </c>
      <c r="D458" s="1600"/>
      <c r="E458" s="1600">
        <f t="shared" si="116"/>
        <v>244.70999999999998</v>
      </c>
      <c r="F458" s="1556"/>
      <c r="G458" s="1557">
        <f t="shared" si="117"/>
        <v>9.5990115370980789E-4</v>
      </c>
    </row>
    <row r="459" spans="1:7" s="1541" customFormat="1">
      <c r="A459" s="1595" t="s">
        <v>566</v>
      </c>
      <c r="B459" s="1600">
        <v>258.64</v>
      </c>
      <c r="C459" s="1600">
        <f t="shared" si="115"/>
        <v>36.68</v>
      </c>
      <c r="D459" s="1600"/>
      <c r="E459" s="1600">
        <f t="shared" si="116"/>
        <v>295.32</v>
      </c>
      <c r="F459" s="1556"/>
      <c r="G459" s="1557">
        <f t="shared" si="117"/>
        <v>-4.38471055246481E-3</v>
      </c>
    </row>
    <row r="460" spans="1:7" s="1541" customFormat="1">
      <c r="A460" s="1595" t="s">
        <v>567</v>
      </c>
      <c r="B460" s="1600">
        <v>296.41000000000003</v>
      </c>
      <c r="C460" s="1600">
        <f t="shared" si="115"/>
        <v>42.03</v>
      </c>
      <c r="D460" s="1600"/>
      <c r="E460" s="1600">
        <f t="shared" si="116"/>
        <v>338.44000000000005</v>
      </c>
      <c r="F460" s="1556"/>
      <c r="G460" s="1557">
        <f t="shared" si="117"/>
        <v>1.4689450399956172E-3</v>
      </c>
    </row>
    <row r="461" spans="1:7" s="1541" customFormat="1">
      <c r="A461" s="1595" t="s">
        <v>568</v>
      </c>
      <c r="B461" s="1600">
        <v>322.2</v>
      </c>
      <c r="C461" s="1600">
        <f t="shared" si="115"/>
        <v>45.69</v>
      </c>
      <c r="D461" s="1600"/>
      <c r="E461" s="1600">
        <f t="shared" si="116"/>
        <v>367.89</v>
      </c>
      <c r="F461" s="1556"/>
      <c r="G461" s="1557">
        <f t="shared" si="117"/>
        <v>-1.462858567911951E-3</v>
      </c>
    </row>
    <row r="462" spans="1:7" s="1541" customFormat="1">
      <c r="A462" s="1595" t="s">
        <v>569</v>
      </c>
      <c r="B462" s="1600">
        <v>372.65</v>
      </c>
      <c r="C462" s="1600">
        <f t="shared" si="115"/>
        <v>52.84</v>
      </c>
      <c r="D462" s="1600"/>
      <c r="E462" s="1600">
        <f t="shared" si="116"/>
        <v>425.49</v>
      </c>
      <c r="F462" s="1556"/>
      <c r="G462" s="1557">
        <f t="shared" si="117"/>
        <v>2.4375101013873746E-3</v>
      </c>
    </row>
    <row r="463" spans="1:7" s="1541" customFormat="1">
      <c r="A463" s="1595"/>
      <c r="B463" s="1600"/>
      <c r="C463" s="1600"/>
      <c r="D463" s="1600"/>
      <c r="E463" s="1600"/>
      <c r="F463" s="1556"/>
      <c r="G463" s="1562"/>
    </row>
    <row r="464" spans="1:7" s="1541" customFormat="1">
      <c r="A464" s="1590" t="s">
        <v>571</v>
      </c>
      <c r="B464" s="1600"/>
      <c r="C464" s="1600"/>
      <c r="D464" s="1600"/>
      <c r="E464" s="1600"/>
      <c r="F464" s="1556"/>
      <c r="G464" s="1562"/>
    </row>
    <row r="465" spans="1:7" s="1541" customFormat="1">
      <c r="A465" s="1595" t="s">
        <v>563</v>
      </c>
      <c r="B465" s="1600">
        <v>128.31</v>
      </c>
      <c r="C465" s="1600">
        <f t="shared" ref="C465:C471" si="118">ROUND(B465*$C$6,2)</f>
        <v>18.190000000000001</v>
      </c>
      <c r="D465" s="1600"/>
      <c r="E465" s="1600">
        <f t="shared" ref="E465:E471" si="119">B465+C465+D465</f>
        <v>146.5</v>
      </c>
      <c r="F465" s="1556"/>
      <c r="G465" s="1557">
        <f t="shared" ref="G465:G471" si="120">(B465*$C$6)-C465</f>
        <v>4.5878355591284503E-3</v>
      </c>
    </row>
    <row r="466" spans="1:7" s="1541" customFormat="1">
      <c r="A466" s="1595" t="s">
        <v>564</v>
      </c>
      <c r="B466" s="1600">
        <v>146.63</v>
      </c>
      <c r="C466" s="1600">
        <f t="shared" si="118"/>
        <v>20.79</v>
      </c>
      <c r="D466" s="1600"/>
      <c r="E466" s="1600">
        <f t="shared" si="119"/>
        <v>167.42</v>
      </c>
      <c r="F466" s="1556"/>
      <c r="G466" s="1557">
        <f t="shared" si="120"/>
        <v>2.396651297910779E-3</v>
      </c>
    </row>
    <row r="467" spans="1:7" s="1541" customFormat="1">
      <c r="A467" s="1595" t="s">
        <v>565</v>
      </c>
      <c r="B467" s="1600">
        <v>165.04</v>
      </c>
      <c r="C467" s="1600">
        <f t="shared" si="118"/>
        <v>23.4</v>
      </c>
      <c r="D467" s="1600"/>
      <c r="E467" s="1600">
        <f t="shared" si="119"/>
        <v>188.44</v>
      </c>
      <c r="F467" s="1556"/>
      <c r="G467" s="1557">
        <f t="shared" si="120"/>
        <v>2.9676282493866779E-3</v>
      </c>
    </row>
    <row r="468" spans="1:7" s="1541" customFormat="1">
      <c r="A468" s="1595" t="s">
        <v>566</v>
      </c>
      <c r="B468" s="1600">
        <v>201.61</v>
      </c>
      <c r="C468" s="1600">
        <f t="shared" si="118"/>
        <v>28.59</v>
      </c>
      <c r="D468" s="1600"/>
      <c r="E468" s="1600">
        <f t="shared" si="119"/>
        <v>230.20000000000002</v>
      </c>
      <c r="F468" s="1556"/>
      <c r="G468" s="1557">
        <f t="shared" si="120"/>
        <v>-1.3408656606941349E-3</v>
      </c>
    </row>
    <row r="469" spans="1:7" s="1541" customFormat="1">
      <c r="A469" s="1595" t="s">
        <v>567</v>
      </c>
      <c r="B469" s="1600">
        <v>232.11</v>
      </c>
      <c r="C469" s="1600">
        <f t="shared" si="118"/>
        <v>32.909999999999997</v>
      </c>
      <c r="D469" s="1600"/>
      <c r="E469" s="1600">
        <f t="shared" si="119"/>
        <v>265.02</v>
      </c>
      <c r="F469" s="1556"/>
      <c r="G469" s="1557">
        <f t="shared" si="120"/>
        <v>3.6137675288756554E-3</v>
      </c>
    </row>
    <row r="470" spans="1:7" s="1541" customFormat="1">
      <c r="A470" s="1595" t="s">
        <v>568</v>
      </c>
      <c r="B470" s="1600">
        <v>257.89</v>
      </c>
      <c r="C470" s="1600">
        <f t="shared" si="118"/>
        <v>36.57</v>
      </c>
      <c r="D470" s="1600"/>
      <c r="E470" s="1600">
        <f t="shared" si="119"/>
        <v>294.45999999999998</v>
      </c>
      <c r="F470" s="1556"/>
      <c r="G470" s="1557">
        <f t="shared" si="120"/>
        <v>-7.3605399155241003E-4</v>
      </c>
    </row>
    <row r="471" spans="1:7" s="1541" customFormat="1">
      <c r="A471" s="1595" t="s">
        <v>569</v>
      </c>
      <c r="B471" s="1600">
        <v>293.11</v>
      </c>
      <c r="C471" s="1600">
        <f t="shared" si="118"/>
        <v>41.56</v>
      </c>
      <c r="D471" s="1600"/>
      <c r="E471" s="1600">
        <f t="shared" si="119"/>
        <v>334.67</v>
      </c>
      <c r="F471" s="1556"/>
      <c r="G471" s="1557">
        <f t="shared" si="120"/>
        <v>3.5230339080101203E-3</v>
      </c>
    </row>
    <row r="472" spans="1:7" s="1541" customFormat="1">
      <c r="A472" s="1595"/>
      <c r="B472" s="1600"/>
      <c r="C472" s="1600"/>
      <c r="D472" s="1600"/>
      <c r="E472" s="1600"/>
      <c r="F472" s="1556"/>
      <c r="G472" s="1562"/>
    </row>
    <row r="473" spans="1:7" s="1541" customFormat="1">
      <c r="A473" s="1590" t="s">
        <v>572</v>
      </c>
      <c r="B473" s="1600"/>
      <c r="C473" s="1600"/>
      <c r="D473" s="1600"/>
      <c r="E473" s="1600"/>
      <c r="F473" s="1556"/>
      <c r="G473" s="1562"/>
    </row>
    <row r="474" spans="1:7" s="1541" customFormat="1">
      <c r="A474" s="1595" t="s">
        <v>573</v>
      </c>
      <c r="B474" s="1600">
        <v>76.48</v>
      </c>
      <c r="C474" s="1600">
        <f t="shared" ref="C474" si="121">ROUND(B474*$C$6,2)</f>
        <v>10.85</v>
      </c>
      <c r="D474" s="1600"/>
      <c r="E474" s="1600">
        <f>B474+C474+D474</f>
        <v>87.33</v>
      </c>
      <c r="F474" s="1556"/>
      <c r="G474" s="1557">
        <f>(B474*$C$6)-C474</f>
        <v>-4.9990050380923634E-3</v>
      </c>
    </row>
    <row r="475" spans="1:7" s="1541" customFormat="1">
      <c r="A475" s="1595"/>
      <c r="B475" s="1600"/>
      <c r="C475" s="1600"/>
      <c r="D475" s="1600"/>
      <c r="E475" s="1600"/>
      <c r="F475" s="1556"/>
      <c r="G475" s="1562"/>
    </row>
    <row r="476" spans="1:7" s="1541" customFormat="1">
      <c r="A476" s="1590" t="s">
        <v>574</v>
      </c>
      <c r="B476" s="1600"/>
      <c r="C476" s="1600"/>
      <c r="D476" s="1600"/>
      <c r="E476" s="1600"/>
      <c r="F476" s="1556"/>
      <c r="G476" s="1562"/>
    </row>
    <row r="477" spans="1:7" s="1541" customFormat="1">
      <c r="A477" s="1595" t="s">
        <v>563</v>
      </c>
      <c r="B477" s="1600">
        <v>151.41999999999999</v>
      </c>
      <c r="C477" s="1600">
        <f t="shared" ref="C477:C483" si="122">ROUND(B477*$C$6,2)</f>
        <v>21.47</v>
      </c>
      <c r="D477" s="1600"/>
      <c r="E477" s="1600">
        <f t="shared" ref="E477:E483" si="123">B477+C477+D477</f>
        <v>172.89</v>
      </c>
      <c r="F477" s="1556"/>
      <c r="G477" s="1557">
        <f t="shared" ref="G477:G483" si="124">(B477*$C$6)-C477</f>
        <v>1.6272313955525419E-3</v>
      </c>
    </row>
    <row r="478" spans="1:7" s="1541" customFormat="1">
      <c r="A478" s="1595" t="s">
        <v>564</v>
      </c>
      <c r="B478" s="1600">
        <v>173.96</v>
      </c>
      <c r="C478" s="1600">
        <f t="shared" si="122"/>
        <v>24.67</v>
      </c>
      <c r="D478" s="1600"/>
      <c r="E478" s="1600">
        <f t="shared" si="123"/>
        <v>198.63</v>
      </c>
      <c r="F478" s="1556"/>
      <c r="G478" s="1557">
        <f t="shared" si="124"/>
        <v>-2.1603937817324947E-3</v>
      </c>
    </row>
    <row r="479" spans="1:7" s="1541" customFormat="1">
      <c r="A479" s="1595" t="s">
        <v>565</v>
      </c>
      <c r="B479" s="1600">
        <v>194.27</v>
      </c>
      <c r="C479" s="1600">
        <f t="shared" si="122"/>
        <v>27.55</v>
      </c>
      <c r="D479" s="1600"/>
      <c r="E479" s="1600">
        <f t="shared" si="123"/>
        <v>221.82000000000002</v>
      </c>
      <c r="F479" s="1556"/>
      <c r="G479" s="1557">
        <f t="shared" si="124"/>
        <v>-2.1660134512337947E-3</v>
      </c>
    </row>
    <row r="480" spans="1:7" s="1541" customFormat="1">
      <c r="A480" s="1595" t="s">
        <v>566</v>
      </c>
      <c r="B480" s="1600">
        <v>240.22</v>
      </c>
      <c r="C480" s="1600">
        <f t="shared" si="122"/>
        <v>34.06</v>
      </c>
      <c r="D480" s="1600"/>
      <c r="E480" s="1600">
        <f t="shared" si="123"/>
        <v>274.27999999999997</v>
      </c>
      <c r="F480" s="1556"/>
      <c r="G480" s="1557">
        <f t="shared" si="124"/>
        <v>3.6262945835403571E-3</v>
      </c>
    </row>
    <row r="481" spans="1:7" s="1541" customFormat="1">
      <c r="A481" s="1595" t="s">
        <v>567</v>
      </c>
      <c r="B481" s="1600">
        <v>278.02999999999997</v>
      </c>
      <c r="C481" s="1600">
        <f t="shared" si="122"/>
        <v>39.43</v>
      </c>
      <c r="D481" s="1600"/>
      <c r="E481" s="1600">
        <f t="shared" si="123"/>
        <v>317.45999999999998</v>
      </c>
      <c r="F481" s="1556"/>
      <c r="G481" s="1557">
        <f t="shared" si="124"/>
        <v>-4.8479781739203531E-3</v>
      </c>
    </row>
    <row r="482" spans="1:7" s="1541" customFormat="1">
      <c r="A482" s="1595" t="s">
        <v>568</v>
      </c>
      <c r="B482" s="1600">
        <v>316.05</v>
      </c>
      <c r="C482" s="1600">
        <f t="shared" si="122"/>
        <v>44.82</v>
      </c>
      <c r="D482" s="1600"/>
      <c r="E482" s="1600">
        <f t="shared" si="123"/>
        <v>360.87</v>
      </c>
      <c r="F482" s="1556"/>
      <c r="G482" s="1557">
        <f t="shared" si="124"/>
        <v>-3.5438747684253258E-3</v>
      </c>
    </row>
    <row r="483" spans="1:7" s="1541" customFormat="1">
      <c r="A483" s="1595" t="s">
        <v>569</v>
      </c>
      <c r="B483" s="1600">
        <v>356.68</v>
      </c>
      <c r="C483" s="1600">
        <f t="shared" si="122"/>
        <v>50.58</v>
      </c>
      <c r="D483" s="1600"/>
      <c r="E483" s="1600">
        <f t="shared" si="123"/>
        <v>407.26</v>
      </c>
      <c r="F483" s="1556"/>
      <c r="G483" s="1557">
        <f t="shared" si="124"/>
        <v>-2.137096194914534E-3</v>
      </c>
    </row>
    <row r="484" spans="1:7" s="1541" customFormat="1">
      <c r="A484" s="1595"/>
      <c r="B484" s="1600"/>
      <c r="C484" s="1600"/>
      <c r="D484" s="1600"/>
      <c r="E484" s="1600"/>
      <c r="F484" s="1556"/>
      <c r="G484" s="1562"/>
    </row>
    <row r="485" spans="1:7" s="1541" customFormat="1">
      <c r="A485" s="1590" t="s">
        <v>575</v>
      </c>
      <c r="B485" s="1600"/>
      <c r="C485" s="1600"/>
      <c r="D485" s="1600"/>
      <c r="E485" s="1600"/>
      <c r="F485" s="1556"/>
      <c r="G485" s="1562"/>
    </row>
    <row r="486" spans="1:7" s="1541" customFormat="1">
      <c r="A486" s="1595" t="s">
        <v>563</v>
      </c>
      <c r="B486" s="1600">
        <v>2.34</v>
      </c>
      <c r="C486" s="1600">
        <f t="shared" ref="C486:C492" si="125">ROUND(B486*$C$6,2)</f>
        <v>0.33</v>
      </c>
      <c r="D486" s="1600"/>
      <c r="E486" s="1600">
        <f t="shared" ref="E486:E492" si="126">B486+C486+D486</f>
        <v>2.67</v>
      </c>
      <c r="F486" s="1556"/>
      <c r="G486" s="1557">
        <f t="shared" ref="G486:G492" si="127">(B486*$C$6)-C486</f>
        <v>1.8161915299537146E-3</v>
      </c>
    </row>
    <row r="487" spans="1:7" s="1541" customFormat="1">
      <c r="A487" s="1595" t="s">
        <v>564</v>
      </c>
      <c r="B487" s="1600">
        <v>2.58</v>
      </c>
      <c r="C487" s="1600">
        <f t="shared" si="125"/>
        <v>0.37</v>
      </c>
      <c r="D487" s="1600"/>
      <c r="E487" s="1600">
        <f t="shared" si="126"/>
        <v>2.95</v>
      </c>
      <c r="F487" s="1556"/>
      <c r="G487" s="1557">
        <f t="shared" si="127"/>
        <v>-4.1513785695381777E-3</v>
      </c>
    </row>
    <row r="488" spans="1:7" s="1541" customFormat="1">
      <c r="A488" s="1595" t="s">
        <v>565</v>
      </c>
      <c r="B488" s="1600">
        <v>2.83</v>
      </c>
      <c r="C488" s="1600">
        <f t="shared" si="125"/>
        <v>0.4</v>
      </c>
      <c r="D488" s="1600"/>
      <c r="E488" s="1600">
        <f t="shared" si="126"/>
        <v>3.23</v>
      </c>
      <c r="F488" s="1556"/>
      <c r="G488" s="1557">
        <f t="shared" si="127"/>
        <v>1.2990692434910467E-3</v>
      </c>
    </row>
    <row r="489" spans="1:7" s="1541" customFormat="1">
      <c r="A489" s="1595" t="s">
        <v>566</v>
      </c>
      <c r="B489" s="1600">
        <v>3.38</v>
      </c>
      <c r="C489" s="1600">
        <f t="shared" si="125"/>
        <v>0.48</v>
      </c>
      <c r="D489" s="1600"/>
      <c r="E489" s="1600">
        <f t="shared" si="126"/>
        <v>3.86</v>
      </c>
      <c r="F489" s="1556"/>
      <c r="G489" s="1557">
        <f t="shared" si="127"/>
        <v>-7.0994556784459428E-4</v>
      </c>
    </row>
    <row r="490" spans="1:7" s="1541" customFormat="1">
      <c r="A490" s="1595" t="s">
        <v>567</v>
      </c>
      <c r="B490" s="1600">
        <v>3.68</v>
      </c>
      <c r="C490" s="1600">
        <f t="shared" si="125"/>
        <v>0.52</v>
      </c>
      <c r="D490" s="1600"/>
      <c r="E490" s="1600">
        <f t="shared" si="126"/>
        <v>4.2</v>
      </c>
      <c r="F490" s="1556"/>
      <c r="G490" s="1557">
        <f t="shared" si="127"/>
        <v>1.8305918077904382E-3</v>
      </c>
    </row>
    <row r="491" spans="1:7" s="1541" customFormat="1">
      <c r="A491" s="1595" t="s">
        <v>568</v>
      </c>
      <c r="B491" s="1600">
        <v>3.93</v>
      </c>
      <c r="C491" s="1600">
        <f t="shared" si="125"/>
        <v>0.56000000000000005</v>
      </c>
      <c r="D491" s="1600"/>
      <c r="E491" s="1600">
        <f t="shared" si="126"/>
        <v>4.49</v>
      </c>
      <c r="F491" s="1556"/>
      <c r="G491" s="1557">
        <f t="shared" si="127"/>
        <v>-2.7189603791802908E-3</v>
      </c>
    </row>
    <row r="492" spans="1:7" s="1541" customFormat="1">
      <c r="A492" s="1595" t="s">
        <v>569</v>
      </c>
      <c r="B492" s="1600">
        <v>4.2300000000000004</v>
      </c>
      <c r="C492" s="1600">
        <f t="shared" si="125"/>
        <v>0.6</v>
      </c>
      <c r="D492" s="1600"/>
      <c r="E492" s="1600">
        <f t="shared" si="126"/>
        <v>4.83</v>
      </c>
      <c r="F492" s="1556"/>
      <c r="G492" s="1557">
        <f t="shared" si="127"/>
        <v>-1.7842300354509177E-4</v>
      </c>
    </row>
    <row r="493" spans="1:7" s="1541" customFormat="1">
      <c r="A493" s="1595"/>
      <c r="B493" s="1600"/>
      <c r="C493" s="1600"/>
      <c r="D493" s="1600"/>
      <c r="E493" s="1600"/>
      <c r="F493" s="1556"/>
      <c r="G493" s="1562"/>
    </row>
    <row r="494" spans="1:7" s="1541" customFormat="1">
      <c r="A494" s="1590" t="s">
        <v>576</v>
      </c>
      <c r="B494" s="1600"/>
      <c r="C494" s="1600"/>
      <c r="D494" s="1600"/>
      <c r="E494" s="1600"/>
      <c r="F494" s="1556"/>
      <c r="G494" s="1562"/>
    </row>
    <row r="495" spans="1:7" s="1541" customFormat="1">
      <c r="A495" s="1595" t="s">
        <v>563</v>
      </c>
      <c r="B495" s="1600">
        <v>70.209999999999994</v>
      </c>
      <c r="C495" s="1600">
        <f t="shared" ref="C495:C501" si="128">ROUND(B495*$C$6,2)</f>
        <v>9.9600000000000009</v>
      </c>
      <c r="D495" s="1600"/>
      <c r="E495" s="1600">
        <f t="shared" ref="E495:E501" si="129">B495+C495+D495</f>
        <v>80.169999999999987</v>
      </c>
      <c r="F495" s="1556"/>
      <c r="G495" s="1557">
        <f t="shared" ref="G495:G501" si="130">(B495*$C$6)-C495</f>
        <v>-4.0962361888681187E-3</v>
      </c>
    </row>
    <row r="496" spans="1:7" s="1541" customFormat="1">
      <c r="A496" s="1595" t="s">
        <v>564</v>
      </c>
      <c r="B496" s="1600">
        <v>77.48</v>
      </c>
      <c r="C496" s="1600">
        <f t="shared" si="128"/>
        <v>10.99</v>
      </c>
      <c r="D496" s="1600"/>
      <c r="E496" s="1600">
        <f t="shared" si="129"/>
        <v>88.47</v>
      </c>
      <c r="F496" s="1556"/>
      <c r="G496" s="1557">
        <f t="shared" si="130"/>
        <v>-3.1972137859757055E-3</v>
      </c>
    </row>
    <row r="497" spans="1:248" s="1541" customFormat="1">
      <c r="A497" s="1595" t="s">
        <v>565</v>
      </c>
      <c r="B497" s="1600">
        <v>84.76</v>
      </c>
      <c r="C497" s="1600">
        <f t="shared" si="128"/>
        <v>12.02</v>
      </c>
      <c r="D497" s="1600"/>
      <c r="E497" s="1600">
        <f t="shared" si="129"/>
        <v>96.78</v>
      </c>
      <c r="F497" s="1556"/>
      <c r="G497" s="1557">
        <f t="shared" si="130"/>
        <v>-8.801734705645714E-4</v>
      </c>
    </row>
    <row r="498" spans="1:248" s="1541" customFormat="1">
      <c r="A498" s="1595" t="s">
        <v>566</v>
      </c>
      <c r="B498" s="1600">
        <v>101.52</v>
      </c>
      <c r="C498" s="1600">
        <f t="shared" si="128"/>
        <v>14.4</v>
      </c>
      <c r="D498" s="1600"/>
      <c r="E498" s="1600">
        <f t="shared" si="129"/>
        <v>115.92</v>
      </c>
      <c r="F498" s="1556"/>
      <c r="G498" s="1557">
        <f t="shared" si="130"/>
        <v>-4.2821520850857553E-3</v>
      </c>
    </row>
    <row r="499" spans="1:248" s="1541" customFormat="1">
      <c r="A499" s="1595" t="s">
        <v>567</v>
      </c>
      <c r="B499" s="1600">
        <v>110.37</v>
      </c>
      <c r="C499" s="1600">
        <f t="shared" si="128"/>
        <v>15.65</v>
      </c>
      <c r="D499" s="1600"/>
      <c r="E499" s="1600">
        <f t="shared" si="129"/>
        <v>126.02000000000001</v>
      </c>
      <c r="F499" s="1556"/>
      <c r="G499" s="1557">
        <f t="shared" si="130"/>
        <v>6.63700496151165E-4</v>
      </c>
    </row>
    <row r="500" spans="1:248" s="1541" customFormat="1">
      <c r="A500" s="1595" t="s">
        <v>568</v>
      </c>
      <c r="B500" s="1600">
        <v>117.96</v>
      </c>
      <c r="C500" s="1600">
        <f t="shared" si="128"/>
        <v>16.73</v>
      </c>
      <c r="D500" s="1600"/>
      <c r="E500" s="1600">
        <f t="shared" si="129"/>
        <v>134.69</v>
      </c>
      <c r="F500" s="1556"/>
      <c r="G500" s="1557">
        <f t="shared" si="130"/>
        <v>-3.0607039002816805E-3</v>
      </c>
    </row>
    <row r="501" spans="1:248" s="1541" customFormat="1">
      <c r="A501" s="1595" t="s">
        <v>569</v>
      </c>
      <c r="B501" s="1600">
        <v>126.82</v>
      </c>
      <c r="C501" s="1600">
        <f t="shared" si="128"/>
        <v>17.98</v>
      </c>
      <c r="D501" s="1600"/>
      <c r="E501" s="1600">
        <f t="shared" si="129"/>
        <v>144.79999999999998</v>
      </c>
      <c r="F501" s="1556"/>
      <c r="G501" s="1557">
        <f t="shared" si="130"/>
        <v>3.3031665934721843E-3</v>
      </c>
    </row>
    <row r="502" spans="1:248" s="1541" customFormat="1">
      <c r="A502" s="1595"/>
      <c r="B502" s="1600"/>
      <c r="C502" s="1600"/>
      <c r="D502" s="1600"/>
      <c r="E502" s="1600"/>
      <c r="F502" s="1556"/>
      <c r="G502" s="1562"/>
    </row>
    <row r="503" spans="1:248" s="1541" customFormat="1">
      <c r="A503" s="1595" t="s">
        <v>577</v>
      </c>
      <c r="B503" s="1600">
        <v>5.54</v>
      </c>
      <c r="C503" s="1600">
        <f t="shared" ref="C503" si="131">ROUND(B503*$C$6,2)</f>
        <v>0.79</v>
      </c>
      <c r="D503" s="1600"/>
      <c r="E503" s="1600">
        <f>B503+C503+D503</f>
        <v>6.33</v>
      </c>
      <c r="F503" s="1556"/>
      <c r="G503" s="1557">
        <f>(B503*$C$6)-C503</f>
        <v>-4.4180764632719693E-3</v>
      </c>
    </row>
    <row r="504" spans="1:248" s="1541" customFormat="1">
      <c r="A504" s="1595"/>
      <c r="B504" s="1600"/>
      <c r="C504" s="1600"/>
      <c r="D504" s="1600"/>
      <c r="E504" s="1600"/>
      <c r="F504" s="1556"/>
      <c r="G504" s="1562"/>
    </row>
    <row r="505" spans="1:248" s="1541" customFormat="1">
      <c r="A505" s="1595"/>
      <c r="B505" s="1600"/>
      <c r="C505" s="1600"/>
      <c r="D505" s="1600"/>
      <c r="E505" s="1600"/>
      <c r="F505" s="1556"/>
      <c r="G505" s="1538"/>
    </row>
    <row r="506" spans="1:248" s="1556" customFormat="1">
      <c r="A506" s="1598" t="s">
        <v>446</v>
      </c>
      <c r="B506" s="1600"/>
      <c r="C506" s="1600"/>
      <c r="D506" s="1600"/>
      <c r="E506" s="1600"/>
      <c r="G506" s="1538"/>
      <c r="H506" s="1541"/>
      <c r="I506" s="1541"/>
      <c r="J506" s="1541"/>
      <c r="K506" s="1541"/>
      <c r="L506" s="1541"/>
      <c r="M506" s="1541"/>
      <c r="N506" s="1541"/>
      <c r="O506" s="1541"/>
      <c r="P506" s="1541"/>
      <c r="Q506" s="1541"/>
      <c r="R506" s="1541"/>
      <c r="S506" s="1541"/>
      <c r="T506" s="1541"/>
      <c r="U506" s="1541"/>
      <c r="V506" s="1541"/>
      <c r="W506" s="1541"/>
      <c r="X506" s="1541"/>
      <c r="Y506" s="1541"/>
      <c r="Z506" s="1541"/>
      <c r="AA506" s="1541"/>
      <c r="AB506" s="1541"/>
      <c r="AC506" s="1541"/>
      <c r="AD506" s="1541"/>
      <c r="AE506" s="1541"/>
      <c r="AF506" s="1541"/>
      <c r="AG506" s="1541"/>
      <c r="AH506" s="1541"/>
      <c r="AI506" s="1541"/>
      <c r="AJ506" s="1541"/>
      <c r="AK506" s="1541"/>
      <c r="AL506" s="1541"/>
      <c r="AM506" s="1541"/>
      <c r="AN506" s="1541"/>
      <c r="AO506" s="1541"/>
      <c r="AP506" s="1541"/>
      <c r="AQ506" s="1541"/>
      <c r="AR506" s="1541"/>
      <c r="AS506" s="1541"/>
      <c r="AT506" s="1541"/>
      <c r="AU506" s="1541"/>
      <c r="AV506" s="1541"/>
      <c r="AW506" s="1541"/>
      <c r="AX506" s="1541"/>
      <c r="AY506" s="1541"/>
      <c r="AZ506" s="1541"/>
      <c r="BA506" s="1541"/>
      <c r="BB506" s="1541"/>
      <c r="BC506" s="1541"/>
      <c r="BD506" s="1541"/>
      <c r="BE506" s="1541"/>
      <c r="BF506" s="1541"/>
      <c r="BG506" s="1541"/>
      <c r="BH506" s="1541"/>
      <c r="BI506" s="1541"/>
      <c r="BJ506" s="1541"/>
      <c r="BK506" s="1541"/>
      <c r="BL506" s="1541"/>
      <c r="BM506" s="1541"/>
      <c r="BN506" s="1541"/>
      <c r="BO506" s="1541"/>
      <c r="BP506" s="1541"/>
      <c r="BQ506" s="1541"/>
      <c r="BR506" s="1541"/>
      <c r="BS506" s="1541"/>
      <c r="BT506" s="1541"/>
      <c r="BU506" s="1541"/>
      <c r="BV506" s="1541"/>
      <c r="BW506" s="1541"/>
      <c r="BX506" s="1541"/>
      <c r="BY506" s="1541"/>
      <c r="BZ506" s="1541"/>
      <c r="CA506" s="1541"/>
      <c r="CB506" s="1541"/>
      <c r="CC506" s="1541"/>
      <c r="CD506" s="1541"/>
      <c r="CE506" s="1541"/>
      <c r="CF506" s="1541"/>
      <c r="CG506" s="1541"/>
      <c r="CH506" s="1541"/>
      <c r="CI506" s="1541"/>
      <c r="CJ506" s="1541"/>
      <c r="CK506" s="1541"/>
      <c r="CL506" s="1541"/>
      <c r="CM506" s="1541"/>
      <c r="CN506" s="1541"/>
      <c r="CO506" s="1541"/>
      <c r="CP506" s="1541"/>
      <c r="CQ506" s="1541"/>
      <c r="CR506" s="1541"/>
      <c r="CS506" s="1541"/>
      <c r="CT506" s="1541"/>
      <c r="CU506" s="1541"/>
      <c r="CV506" s="1541"/>
      <c r="CW506" s="1541"/>
      <c r="CX506" s="1541"/>
      <c r="CY506" s="1541"/>
      <c r="CZ506" s="1541"/>
      <c r="DA506" s="1541"/>
      <c r="DB506" s="1541"/>
      <c r="DC506" s="1541"/>
      <c r="DD506" s="1541"/>
      <c r="DE506" s="1541"/>
      <c r="DF506" s="1541"/>
      <c r="DG506" s="1541"/>
      <c r="DH506" s="1541"/>
      <c r="DI506" s="1541"/>
      <c r="DJ506" s="1541"/>
      <c r="DK506" s="1541"/>
      <c r="DL506" s="1541"/>
      <c r="DM506" s="1541"/>
      <c r="DN506" s="1541"/>
      <c r="DO506" s="1541"/>
      <c r="DP506" s="1541"/>
      <c r="DQ506" s="1541"/>
      <c r="DR506" s="1541"/>
      <c r="DS506" s="1541"/>
      <c r="DT506" s="1541"/>
      <c r="DU506" s="1541"/>
      <c r="DV506" s="1541"/>
      <c r="DW506" s="1541"/>
      <c r="DX506" s="1541"/>
      <c r="DY506" s="1541"/>
      <c r="DZ506" s="1541"/>
      <c r="EA506" s="1541"/>
      <c r="EB506" s="1541"/>
      <c r="EC506" s="1541"/>
      <c r="ED506" s="1541"/>
      <c r="EE506" s="1541"/>
      <c r="EF506" s="1541"/>
      <c r="EG506" s="1541"/>
      <c r="EH506" s="1541"/>
      <c r="EI506" s="1541"/>
      <c r="EJ506" s="1541"/>
      <c r="EK506" s="1541"/>
      <c r="EL506" s="1541"/>
      <c r="EM506" s="1541"/>
      <c r="EN506" s="1541"/>
      <c r="EO506" s="1541"/>
      <c r="EP506" s="1541"/>
      <c r="EQ506" s="1541"/>
      <c r="ER506" s="1541"/>
      <c r="ES506" s="1541"/>
      <c r="ET506" s="1541"/>
      <c r="EU506" s="1541"/>
      <c r="EV506" s="1541"/>
      <c r="EW506" s="1541"/>
      <c r="EX506" s="1541"/>
      <c r="EY506" s="1541"/>
      <c r="EZ506" s="1541"/>
      <c r="FA506" s="1541"/>
      <c r="FB506" s="1541"/>
      <c r="FC506" s="1541"/>
      <c r="FD506" s="1541"/>
      <c r="FE506" s="1541"/>
      <c r="FF506" s="1541"/>
      <c r="FG506" s="1541"/>
      <c r="FH506" s="1541"/>
      <c r="FI506" s="1541"/>
      <c r="FJ506" s="1541"/>
      <c r="FK506" s="1541"/>
      <c r="FL506" s="1541"/>
      <c r="FM506" s="1541"/>
      <c r="FN506" s="1541"/>
      <c r="FO506" s="1541"/>
      <c r="FP506" s="1541"/>
      <c r="FQ506" s="1541"/>
      <c r="FR506" s="1541"/>
      <c r="FS506" s="1541"/>
      <c r="FT506" s="1541"/>
      <c r="FU506" s="1541"/>
      <c r="FV506" s="1541"/>
      <c r="FW506" s="1541"/>
      <c r="FX506" s="1541"/>
      <c r="FY506" s="1541"/>
      <c r="FZ506" s="1541"/>
      <c r="GA506" s="1541"/>
      <c r="GB506" s="1541"/>
      <c r="GC506" s="1541"/>
      <c r="GD506" s="1541"/>
      <c r="GE506" s="1541"/>
      <c r="GF506" s="1541"/>
      <c r="GG506" s="1541"/>
      <c r="GH506" s="1541"/>
      <c r="GI506" s="1541"/>
      <c r="GJ506" s="1541"/>
      <c r="GK506" s="1541"/>
      <c r="GL506" s="1541"/>
      <c r="GM506" s="1541"/>
      <c r="GN506" s="1541"/>
      <c r="GO506" s="1541"/>
      <c r="GP506" s="1541"/>
      <c r="GQ506" s="1541"/>
      <c r="GR506" s="1541"/>
      <c r="GS506" s="1541"/>
      <c r="GT506" s="1541"/>
      <c r="GU506" s="1541"/>
      <c r="GV506" s="1541"/>
      <c r="GW506" s="1541"/>
      <c r="GX506" s="1541"/>
      <c r="GY506" s="1541"/>
      <c r="GZ506" s="1541"/>
      <c r="HA506" s="1541"/>
      <c r="HB506" s="1541"/>
      <c r="HC506" s="1541"/>
      <c r="HD506" s="1541"/>
      <c r="HE506" s="1541"/>
      <c r="HF506" s="1541"/>
      <c r="HG506" s="1541"/>
      <c r="HH506" s="1541"/>
      <c r="HI506" s="1541"/>
      <c r="HJ506" s="1541"/>
      <c r="HK506" s="1541"/>
      <c r="HL506" s="1541"/>
      <c r="HM506" s="1541"/>
      <c r="HN506" s="1541"/>
      <c r="HO506" s="1541"/>
      <c r="HP506" s="1541"/>
      <c r="HQ506" s="1541"/>
      <c r="HR506" s="1541"/>
      <c r="HS506" s="1541"/>
      <c r="HT506" s="1541"/>
      <c r="HU506" s="1541"/>
      <c r="HV506" s="1541"/>
      <c r="HW506" s="1541"/>
      <c r="HX506" s="1541"/>
      <c r="HY506" s="1541"/>
      <c r="HZ506" s="1541"/>
      <c r="IA506" s="1541"/>
      <c r="IB506" s="1541"/>
      <c r="IC506" s="1541"/>
      <c r="ID506" s="1541"/>
      <c r="IE506" s="1541"/>
      <c r="IF506" s="1541"/>
      <c r="IG506" s="1541"/>
      <c r="IH506" s="1541"/>
      <c r="II506" s="1541"/>
      <c r="IJ506" s="1541"/>
      <c r="IK506" s="1541"/>
      <c r="IL506" s="1541"/>
      <c r="IM506" s="1541"/>
      <c r="IN506" s="1541"/>
    </row>
    <row r="507" spans="1:248" s="1556" customFormat="1">
      <c r="A507" s="1590" t="s">
        <v>579</v>
      </c>
      <c r="B507" s="1600"/>
      <c r="C507" s="1600"/>
      <c r="D507" s="1600"/>
      <c r="E507" s="1600"/>
      <c r="G507" s="1538"/>
      <c r="H507" s="1541"/>
      <c r="I507" s="1541"/>
      <c r="J507" s="1541"/>
      <c r="K507" s="1541"/>
      <c r="L507" s="1541"/>
      <c r="M507" s="1541"/>
      <c r="N507" s="1541"/>
      <c r="O507" s="1541"/>
      <c r="P507" s="1541"/>
      <c r="Q507" s="1541"/>
      <c r="R507" s="1541"/>
      <c r="S507" s="1541"/>
      <c r="T507" s="1541"/>
      <c r="U507" s="1541"/>
      <c r="V507" s="1541"/>
      <c r="W507" s="1541"/>
      <c r="X507" s="1541"/>
      <c r="Y507" s="1541"/>
      <c r="Z507" s="1541"/>
      <c r="AA507" s="1541"/>
      <c r="AB507" s="1541"/>
      <c r="AC507" s="1541"/>
      <c r="AD507" s="1541"/>
      <c r="AE507" s="1541"/>
      <c r="AF507" s="1541"/>
      <c r="AG507" s="1541"/>
      <c r="AH507" s="1541"/>
      <c r="AI507" s="1541"/>
      <c r="AJ507" s="1541"/>
      <c r="AK507" s="1541"/>
      <c r="AL507" s="1541"/>
      <c r="AM507" s="1541"/>
      <c r="AN507" s="1541"/>
      <c r="AO507" s="1541"/>
      <c r="AP507" s="1541"/>
      <c r="AQ507" s="1541"/>
      <c r="AR507" s="1541"/>
      <c r="AS507" s="1541"/>
      <c r="AT507" s="1541"/>
      <c r="AU507" s="1541"/>
      <c r="AV507" s="1541"/>
      <c r="AW507" s="1541"/>
      <c r="AX507" s="1541"/>
      <c r="AY507" s="1541"/>
      <c r="AZ507" s="1541"/>
      <c r="BA507" s="1541"/>
      <c r="BB507" s="1541"/>
      <c r="BC507" s="1541"/>
      <c r="BD507" s="1541"/>
      <c r="BE507" s="1541"/>
      <c r="BF507" s="1541"/>
      <c r="BG507" s="1541"/>
      <c r="BH507" s="1541"/>
      <c r="BI507" s="1541"/>
      <c r="BJ507" s="1541"/>
      <c r="BK507" s="1541"/>
      <c r="BL507" s="1541"/>
      <c r="BM507" s="1541"/>
      <c r="BN507" s="1541"/>
      <c r="BO507" s="1541"/>
      <c r="BP507" s="1541"/>
      <c r="BQ507" s="1541"/>
      <c r="BR507" s="1541"/>
      <c r="BS507" s="1541"/>
      <c r="BT507" s="1541"/>
      <c r="BU507" s="1541"/>
      <c r="BV507" s="1541"/>
      <c r="BW507" s="1541"/>
      <c r="BX507" s="1541"/>
      <c r="BY507" s="1541"/>
      <c r="BZ507" s="1541"/>
      <c r="CA507" s="1541"/>
      <c r="CB507" s="1541"/>
      <c r="CC507" s="1541"/>
      <c r="CD507" s="1541"/>
      <c r="CE507" s="1541"/>
      <c r="CF507" s="1541"/>
      <c r="CG507" s="1541"/>
      <c r="CH507" s="1541"/>
      <c r="CI507" s="1541"/>
      <c r="CJ507" s="1541"/>
      <c r="CK507" s="1541"/>
      <c r="CL507" s="1541"/>
      <c r="CM507" s="1541"/>
      <c r="CN507" s="1541"/>
      <c r="CO507" s="1541"/>
      <c r="CP507" s="1541"/>
      <c r="CQ507" s="1541"/>
      <c r="CR507" s="1541"/>
      <c r="CS507" s="1541"/>
      <c r="CT507" s="1541"/>
      <c r="CU507" s="1541"/>
      <c r="CV507" s="1541"/>
      <c r="CW507" s="1541"/>
      <c r="CX507" s="1541"/>
      <c r="CY507" s="1541"/>
      <c r="CZ507" s="1541"/>
      <c r="DA507" s="1541"/>
      <c r="DB507" s="1541"/>
      <c r="DC507" s="1541"/>
      <c r="DD507" s="1541"/>
      <c r="DE507" s="1541"/>
      <c r="DF507" s="1541"/>
      <c r="DG507" s="1541"/>
      <c r="DH507" s="1541"/>
      <c r="DI507" s="1541"/>
      <c r="DJ507" s="1541"/>
      <c r="DK507" s="1541"/>
      <c r="DL507" s="1541"/>
      <c r="DM507" s="1541"/>
      <c r="DN507" s="1541"/>
      <c r="DO507" s="1541"/>
      <c r="DP507" s="1541"/>
      <c r="DQ507" s="1541"/>
      <c r="DR507" s="1541"/>
      <c r="DS507" s="1541"/>
      <c r="DT507" s="1541"/>
      <c r="DU507" s="1541"/>
      <c r="DV507" s="1541"/>
      <c r="DW507" s="1541"/>
      <c r="DX507" s="1541"/>
      <c r="DY507" s="1541"/>
      <c r="DZ507" s="1541"/>
      <c r="EA507" s="1541"/>
      <c r="EB507" s="1541"/>
      <c r="EC507" s="1541"/>
      <c r="ED507" s="1541"/>
      <c r="EE507" s="1541"/>
      <c r="EF507" s="1541"/>
      <c r="EG507" s="1541"/>
      <c r="EH507" s="1541"/>
      <c r="EI507" s="1541"/>
      <c r="EJ507" s="1541"/>
      <c r="EK507" s="1541"/>
      <c r="EL507" s="1541"/>
      <c r="EM507" s="1541"/>
      <c r="EN507" s="1541"/>
      <c r="EO507" s="1541"/>
      <c r="EP507" s="1541"/>
      <c r="EQ507" s="1541"/>
      <c r="ER507" s="1541"/>
      <c r="ES507" s="1541"/>
      <c r="ET507" s="1541"/>
      <c r="EU507" s="1541"/>
      <c r="EV507" s="1541"/>
      <c r="EW507" s="1541"/>
      <c r="EX507" s="1541"/>
      <c r="EY507" s="1541"/>
      <c r="EZ507" s="1541"/>
      <c r="FA507" s="1541"/>
      <c r="FB507" s="1541"/>
      <c r="FC507" s="1541"/>
      <c r="FD507" s="1541"/>
      <c r="FE507" s="1541"/>
      <c r="FF507" s="1541"/>
      <c r="FG507" s="1541"/>
      <c r="FH507" s="1541"/>
      <c r="FI507" s="1541"/>
      <c r="FJ507" s="1541"/>
      <c r="FK507" s="1541"/>
      <c r="FL507" s="1541"/>
      <c r="FM507" s="1541"/>
      <c r="FN507" s="1541"/>
      <c r="FO507" s="1541"/>
      <c r="FP507" s="1541"/>
      <c r="FQ507" s="1541"/>
      <c r="FR507" s="1541"/>
      <c r="FS507" s="1541"/>
      <c r="FT507" s="1541"/>
      <c r="FU507" s="1541"/>
      <c r="FV507" s="1541"/>
      <c r="FW507" s="1541"/>
      <c r="FX507" s="1541"/>
      <c r="FY507" s="1541"/>
      <c r="FZ507" s="1541"/>
      <c r="GA507" s="1541"/>
      <c r="GB507" s="1541"/>
      <c r="GC507" s="1541"/>
      <c r="GD507" s="1541"/>
      <c r="GE507" s="1541"/>
      <c r="GF507" s="1541"/>
      <c r="GG507" s="1541"/>
      <c r="GH507" s="1541"/>
      <c r="GI507" s="1541"/>
      <c r="GJ507" s="1541"/>
      <c r="GK507" s="1541"/>
      <c r="GL507" s="1541"/>
      <c r="GM507" s="1541"/>
      <c r="GN507" s="1541"/>
      <c r="GO507" s="1541"/>
      <c r="GP507" s="1541"/>
      <c r="GQ507" s="1541"/>
      <c r="GR507" s="1541"/>
      <c r="GS507" s="1541"/>
      <c r="GT507" s="1541"/>
      <c r="GU507" s="1541"/>
      <c r="GV507" s="1541"/>
      <c r="GW507" s="1541"/>
      <c r="GX507" s="1541"/>
      <c r="GY507" s="1541"/>
      <c r="GZ507" s="1541"/>
      <c r="HA507" s="1541"/>
      <c r="HB507" s="1541"/>
      <c r="HC507" s="1541"/>
      <c r="HD507" s="1541"/>
      <c r="HE507" s="1541"/>
      <c r="HF507" s="1541"/>
      <c r="HG507" s="1541"/>
      <c r="HH507" s="1541"/>
      <c r="HI507" s="1541"/>
      <c r="HJ507" s="1541"/>
      <c r="HK507" s="1541"/>
      <c r="HL507" s="1541"/>
      <c r="HM507" s="1541"/>
      <c r="HN507" s="1541"/>
      <c r="HO507" s="1541"/>
      <c r="HP507" s="1541"/>
      <c r="HQ507" s="1541"/>
      <c r="HR507" s="1541"/>
      <c r="HS507" s="1541"/>
      <c r="HT507" s="1541"/>
      <c r="HU507" s="1541"/>
      <c r="HV507" s="1541"/>
      <c r="HW507" s="1541"/>
      <c r="HX507" s="1541"/>
      <c r="HY507" s="1541"/>
      <c r="HZ507" s="1541"/>
      <c r="IA507" s="1541"/>
      <c r="IB507" s="1541"/>
      <c r="IC507" s="1541"/>
      <c r="ID507" s="1541"/>
      <c r="IE507" s="1541"/>
      <c r="IF507" s="1541"/>
      <c r="IG507" s="1541"/>
      <c r="IH507" s="1541"/>
      <c r="II507" s="1541"/>
      <c r="IJ507" s="1541"/>
      <c r="IK507" s="1541"/>
      <c r="IL507" s="1541"/>
      <c r="IM507" s="1541"/>
      <c r="IN507" s="1541"/>
    </row>
    <row r="508" spans="1:248" s="1556" customFormat="1">
      <c r="A508" s="1590" t="s">
        <v>580</v>
      </c>
      <c r="B508" s="1600"/>
      <c r="C508" s="1600"/>
      <c r="D508" s="1600"/>
      <c r="E508" s="1600"/>
      <c r="G508" s="1538"/>
      <c r="H508" s="1541"/>
      <c r="I508" s="1541"/>
      <c r="J508" s="1541"/>
      <c r="K508" s="1541"/>
      <c r="L508" s="1541"/>
      <c r="M508" s="1541"/>
      <c r="N508" s="1541"/>
      <c r="O508" s="1541"/>
      <c r="P508" s="1541"/>
      <c r="Q508" s="1541"/>
      <c r="R508" s="1541"/>
      <c r="S508" s="1541"/>
      <c r="T508" s="1541"/>
      <c r="U508" s="1541"/>
      <c r="V508" s="1541"/>
      <c r="W508" s="1541"/>
      <c r="X508" s="1541"/>
      <c r="Y508" s="1541"/>
      <c r="Z508" s="1541"/>
      <c r="AA508" s="1541"/>
      <c r="AB508" s="1541"/>
      <c r="AC508" s="1541"/>
      <c r="AD508" s="1541"/>
      <c r="AE508" s="1541"/>
      <c r="AF508" s="1541"/>
      <c r="AG508" s="1541"/>
      <c r="AH508" s="1541"/>
      <c r="AI508" s="1541"/>
      <c r="AJ508" s="1541"/>
      <c r="AK508" s="1541"/>
      <c r="AL508" s="1541"/>
      <c r="AM508" s="1541"/>
      <c r="AN508" s="1541"/>
      <c r="AO508" s="1541"/>
      <c r="AP508" s="1541"/>
      <c r="AQ508" s="1541"/>
      <c r="AR508" s="1541"/>
      <c r="AS508" s="1541"/>
      <c r="AT508" s="1541"/>
      <c r="AU508" s="1541"/>
      <c r="AV508" s="1541"/>
      <c r="AW508" s="1541"/>
      <c r="AX508" s="1541"/>
      <c r="AY508" s="1541"/>
      <c r="AZ508" s="1541"/>
      <c r="BA508" s="1541"/>
      <c r="BB508" s="1541"/>
      <c r="BC508" s="1541"/>
      <c r="BD508" s="1541"/>
      <c r="BE508" s="1541"/>
      <c r="BF508" s="1541"/>
      <c r="BG508" s="1541"/>
      <c r="BH508" s="1541"/>
      <c r="BI508" s="1541"/>
      <c r="BJ508" s="1541"/>
      <c r="BK508" s="1541"/>
      <c r="BL508" s="1541"/>
      <c r="BM508" s="1541"/>
      <c r="BN508" s="1541"/>
      <c r="BO508" s="1541"/>
      <c r="BP508" s="1541"/>
      <c r="BQ508" s="1541"/>
      <c r="BR508" s="1541"/>
      <c r="BS508" s="1541"/>
      <c r="BT508" s="1541"/>
      <c r="BU508" s="1541"/>
      <c r="BV508" s="1541"/>
      <c r="BW508" s="1541"/>
      <c r="BX508" s="1541"/>
      <c r="BY508" s="1541"/>
      <c r="BZ508" s="1541"/>
      <c r="CA508" s="1541"/>
      <c r="CB508" s="1541"/>
      <c r="CC508" s="1541"/>
      <c r="CD508" s="1541"/>
      <c r="CE508" s="1541"/>
      <c r="CF508" s="1541"/>
      <c r="CG508" s="1541"/>
      <c r="CH508" s="1541"/>
      <c r="CI508" s="1541"/>
      <c r="CJ508" s="1541"/>
      <c r="CK508" s="1541"/>
      <c r="CL508" s="1541"/>
      <c r="CM508" s="1541"/>
      <c r="CN508" s="1541"/>
      <c r="CO508" s="1541"/>
      <c r="CP508" s="1541"/>
      <c r="CQ508" s="1541"/>
      <c r="CR508" s="1541"/>
      <c r="CS508" s="1541"/>
      <c r="CT508" s="1541"/>
      <c r="CU508" s="1541"/>
      <c r="CV508" s="1541"/>
      <c r="CW508" s="1541"/>
      <c r="CX508" s="1541"/>
      <c r="CY508" s="1541"/>
      <c r="CZ508" s="1541"/>
      <c r="DA508" s="1541"/>
      <c r="DB508" s="1541"/>
      <c r="DC508" s="1541"/>
      <c r="DD508" s="1541"/>
      <c r="DE508" s="1541"/>
      <c r="DF508" s="1541"/>
      <c r="DG508" s="1541"/>
      <c r="DH508" s="1541"/>
      <c r="DI508" s="1541"/>
      <c r="DJ508" s="1541"/>
      <c r="DK508" s="1541"/>
      <c r="DL508" s="1541"/>
      <c r="DM508" s="1541"/>
      <c r="DN508" s="1541"/>
      <c r="DO508" s="1541"/>
      <c r="DP508" s="1541"/>
      <c r="DQ508" s="1541"/>
      <c r="DR508" s="1541"/>
      <c r="DS508" s="1541"/>
      <c r="DT508" s="1541"/>
      <c r="DU508" s="1541"/>
      <c r="DV508" s="1541"/>
      <c r="DW508" s="1541"/>
      <c r="DX508" s="1541"/>
      <c r="DY508" s="1541"/>
      <c r="DZ508" s="1541"/>
      <c r="EA508" s="1541"/>
      <c r="EB508" s="1541"/>
      <c r="EC508" s="1541"/>
      <c r="ED508" s="1541"/>
      <c r="EE508" s="1541"/>
      <c r="EF508" s="1541"/>
      <c r="EG508" s="1541"/>
      <c r="EH508" s="1541"/>
      <c r="EI508" s="1541"/>
      <c r="EJ508" s="1541"/>
      <c r="EK508" s="1541"/>
      <c r="EL508" s="1541"/>
      <c r="EM508" s="1541"/>
      <c r="EN508" s="1541"/>
      <c r="EO508" s="1541"/>
      <c r="EP508" s="1541"/>
      <c r="EQ508" s="1541"/>
      <c r="ER508" s="1541"/>
      <c r="ES508" s="1541"/>
      <c r="ET508" s="1541"/>
      <c r="EU508" s="1541"/>
      <c r="EV508" s="1541"/>
      <c r="EW508" s="1541"/>
      <c r="EX508" s="1541"/>
      <c r="EY508" s="1541"/>
      <c r="EZ508" s="1541"/>
      <c r="FA508" s="1541"/>
      <c r="FB508" s="1541"/>
      <c r="FC508" s="1541"/>
      <c r="FD508" s="1541"/>
      <c r="FE508" s="1541"/>
      <c r="FF508" s="1541"/>
      <c r="FG508" s="1541"/>
      <c r="FH508" s="1541"/>
      <c r="FI508" s="1541"/>
      <c r="FJ508" s="1541"/>
      <c r="FK508" s="1541"/>
      <c r="FL508" s="1541"/>
      <c r="FM508" s="1541"/>
      <c r="FN508" s="1541"/>
      <c r="FO508" s="1541"/>
      <c r="FP508" s="1541"/>
      <c r="FQ508" s="1541"/>
      <c r="FR508" s="1541"/>
      <c r="FS508" s="1541"/>
      <c r="FT508" s="1541"/>
      <c r="FU508" s="1541"/>
      <c r="FV508" s="1541"/>
      <c r="FW508" s="1541"/>
      <c r="FX508" s="1541"/>
      <c r="FY508" s="1541"/>
      <c r="FZ508" s="1541"/>
      <c r="GA508" s="1541"/>
      <c r="GB508" s="1541"/>
      <c r="GC508" s="1541"/>
      <c r="GD508" s="1541"/>
      <c r="GE508" s="1541"/>
      <c r="GF508" s="1541"/>
      <c r="GG508" s="1541"/>
      <c r="GH508" s="1541"/>
      <c r="GI508" s="1541"/>
      <c r="GJ508" s="1541"/>
      <c r="GK508" s="1541"/>
      <c r="GL508" s="1541"/>
      <c r="GM508" s="1541"/>
      <c r="GN508" s="1541"/>
      <c r="GO508" s="1541"/>
      <c r="GP508" s="1541"/>
      <c r="GQ508" s="1541"/>
      <c r="GR508" s="1541"/>
      <c r="GS508" s="1541"/>
      <c r="GT508" s="1541"/>
      <c r="GU508" s="1541"/>
      <c r="GV508" s="1541"/>
      <c r="GW508" s="1541"/>
      <c r="GX508" s="1541"/>
      <c r="GY508" s="1541"/>
      <c r="GZ508" s="1541"/>
      <c r="HA508" s="1541"/>
      <c r="HB508" s="1541"/>
      <c r="HC508" s="1541"/>
      <c r="HD508" s="1541"/>
      <c r="HE508" s="1541"/>
      <c r="HF508" s="1541"/>
      <c r="HG508" s="1541"/>
      <c r="HH508" s="1541"/>
      <c r="HI508" s="1541"/>
      <c r="HJ508" s="1541"/>
      <c r="HK508" s="1541"/>
      <c r="HL508" s="1541"/>
      <c r="HM508" s="1541"/>
      <c r="HN508" s="1541"/>
      <c r="HO508" s="1541"/>
      <c r="HP508" s="1541"/>
      <c r="HQ508" s="1541"/>
      <c r="HR508" s="1541"/>
      <c r="HS508" s="1541"/>
      <c r="HT508" s="1541"/>
      <c r="HU508" s="1541"/>
      <c r="HV508" s="1541"/>
      <c r="HW508" s="1541"/>
      <c r="HX508" s="1541"/>
      <c r="HY508" s="1541"/>
      <c r="HZ508" s="1541"/>
      <c r="IA508" s="1541"/>
      <c r="IB508" s="1541"/>
      <c r="IC508" s="1541"/>
      <c r="ID508" s="1541"/>
      <c r="IE508" s="1541"/>
      <c r="IF508" s="1541"/>
      <c r="IG508" s="1541"/>
      <c r="IH508" s="1541"/>
      <c r="II508" s="1541"/>
      <c r="IJ508" s="1541"/>
      <c r="IK508" s="1541"/>
      <c r="IL508" s="1541"/>
      <c r="IM508" s="1541"/>
      <c r="IN508" s="1541"/>
    </row>
    <row r="509" spans="1:248" s="1556" customFormat="1">
      <c r="A509" s="1595" t="s">
        <v>563</v>
      </c>
      <c r="B509" s="1600">
        <v>142.88</v>
      </c>
      <c r="C509" s="1600">
        <f t="shared" ref="C509:C514" si="132">ROUND(B509*$C$6,2)</f>
        <v>20.260000000000002</v>
      </c>
      <c r="D509" s="1600"/>
      <c r="E509" s="1600">
        <f t="shared" ref="E509:E514" si="133">B509+C509+D509</f>
        <v>163.13999999999999</v>
      </c>
      <c r="G509" s="1557">
        <f t="shared" ref="G509:G514" si="134">(B509*$C$6)-C509</f>
        <v>6.3993410246965254E-4</v>
      </c>
      <c r="H509" s="1541"/>
      <c r="I509" s="1541"/>
      <c r="J509" s="1541"/>
      <c r="K509" s="1541"/>
      <c r="L509" s="1541"/>
      <c r="M509" s="1541"/>
      <c r="N509" s="1541"/>
      <c r="O509" s="1541"/>
      <c r="P509" s="1541"/>
      <c r="Q509" s="1541"/>
      <c r="R509" s="1541"/>
      <c r="S509" s="1541"/>
      <c r="T509" s="1541"/>
      <c r="U509" s="1541"/>
      <c r="V509" s="1541"/>
      <c r="W509" s="1541"/>
      <c r="X509" s="1541"/>
      <c r="Y509" s="1541"/>
      <c r="Z509" s="1541"/>
      <c r="AA509" s="1541"/>
      <c r="AB509" s="1541"/>
      <c r="AC509" s="1541"/>
      <c r="AD509" s="1541"/>
      <c r="AE509" s="1541"/>
      <c r="AF509" s="1541"/>
      <c r="AG509" s="1541"/>
      <c r="AH509" s="1541"/>
      <c r="AI509" s="1541"/>
      <c r="AJ509" s="1541"/>
      <c r="AK509" s="1541"/>
      <c r="AL509" s="1541"/>
      <c r="AM509" s="1541"/>
      <c r="AN509" s="1541"/>
      <c r="AO509" s="1541"/>
      <c r="AP509" s="1541"/>
      <c r="AQ509" s="1541"/>
      <c r="AR509" s="1541"/>
      <c r="AS509" s="1541"/>
      <c r="AT509" s="1541"/>
      <c r="AU509" s="1541"/>
      <c r="AV509" s="1541"/>
      <c r="AW509" s="1541"/>
      <c r="AX509" s="1541"/>
      <c r="AY509" s="1541"/>
      <c r="AZ509" s="1541"/>
      <c r="BA509" s="1541"/>
      <c r="BB509" s="1541"/>
      <c r="BC509" s="1541"/>
      <c r="BD509" s="1541"/>
      <c r="BE509" s="1541"/>
      <c r="BF509" s="1541"/>
      <c r="BG509" s="1541"/>
      <c r="BH509" s="1541"/>
      <c r="BI509" s="1541"/>
      <c r="BJ509" s="1541"/>
      <c r="BK509" s="1541"/>
      <c r="BL509" s="1541"/>
      <c r="BM509" s="1541"/>
      <c r="BN509" s="1541"/>
      <c r="BO509" s="1541"/>
      <c r="BP509" s="1541"/>
      <c r="BQ509" s="1541"/>
      <c r="BR509" s="1541"/>
      <c r="BS509" s="1541"/>
      <c r="BT509" s="1541"/>
      <c r="BU509" s="1541"/>
      <c r="BV509" s="1541"/>
      <c r="BW509" s="1541"/>
      <c r="BX509" s="1541"/>
      <c r="BY509" s="1541"/>
      <c r="BZ509" s="1541"/>
      <c r="CA509" s="1541"/>
      <c r="CB509" s="1541"/>
      <c r="CC509" s="1541"/>
      <c r="CD509" s="1541"/>
      <c r="CE509" s="1541"/>
      <c r="CF509" s="1541"/>
      <c r="CG509" s="1541"/>
      <c r="CH509" s="1541"/>
      <c r="CI509" s="1541"/>
      <c r="CJ509" s="1541"/>
      <c r="CK509" s="1541"/>
      <c r="CL509" s="1541"/>
      <c r="CM509" s="1541"/>
      <c r="CN509" s="1541"/>
      <c r="CO509" s="1541"/>
      <c r="CP509" s="1541"/>
      <c r="CQ509" s="1541"/>
      <c r="CR509" s="1541"/>
      <c r="CS509" s="1541"/>
      <c r="CT509" s="1541"/>
      <c r="CU509" s="1541"/>
      <c r="CV509" s="1541"/>
      <c r="CW509" s="1541"/>
      <c r="CX509" s="1541"/>
      <c r="CY509" s="1541"/>
      <c r="CZ509" s="1541"/>
      <c r="DA509" s="1541"/>
      <c r="DB509" s="1541"/>
      <c r="DC509" s="1541"/>
      <c r="DD509" s="1541"/>
      <c r="DE509" s="1541"/>
      <c r="DF509" s="1541"/>
      <c r="DG509" s="1541"/>
      <c r="DH509" s="1541"/>
      <c r="DI509" s="1541"/>
      <c r="DJ509" s="1541"/>
      <c r="DK509" s="1541"/>
      <c r="DL509" s="1541"/>
      <c r="DM509" s="1541"/>
      <c r="DN509" s="1541"/>
      <c r="DO509" s="1541"/>
      <c r="DP509" s="1541"/>
      <c r="DQ509" s="1541"/>
      <c r="DR509" s="1541"/>
      <c r="DS509" s="1541"/>
      <c r="DT509" s="1541"/>
      <c r="DU509" s="1541"/>
      <c r="DV509" s="1541"/>
      <c r="DW509" s="1541"/>
      <c r="DX509" s="1541"/>
      <c r="DY509" s="1541"/>
      <c r="DZ509" s="1541"/>
      <c r="EA509" s="1541"/>
      <c r="EB509" s="1541"/>
      <c r="EC509" s="1541"/>
      <c r="ED509" s="1541"/>
      <c r="EE509" s="1541"/>
      <c r="EF509" s="1541"/>
      <c r="EG509" s="1541"/>
      <c r="EH509" s="1541"/>
      <c r="EI509" s="1541"/>
      <c r="EJ509" s="1541"/>
      <c r="EK509" s="1541"/>
      <c r="EL509" s="1541"/>
      <c r="EM509" s="1541"/>
      <c r="EN509" s="1541"/>
      <c r="EO509" s="1541"/>
      <c r="EP509" s="1541"/>
      <c r="EQ509" s="1541"/>
      <c r="ER509" s="1541"/>
      <c r="ES509" s="1541"/>
      <c r="ET509" s="1541"/>
      <c r="EU509" s="1541"/>
      <c r="EV509" s="1541"/>
      <c r="EW509" s="1541"/>
      <c r="EX509" s="1541"/>
      <c r="EY509" s="1541"/>
      <c r="EZ509" s="1541"/>
      <c r="FA509" s="1541"/>
      <c r="FB509" s="1541"/>
      <c r="FC509" s="1541"/>
      <c r="FD509" s="1541"/>
      <c r="FE509" s="1541"/>
      <c r="FF509" s="1541"/>
      <c r="FG509" s="1541"/>
      <c r="FH509" s="1541"/>
      <c r="FI509" s="1541"/>
      <c r="FJ509" s="1541"/>
      <c r="FK509" s="1541"/>
      <c r="FL509" s="1541"/>
      <c r="FM509" s="1541"/>
      <c r="FN509" s="1541"/>
      <c r="FO509" s="1541"/>
      <c r="FP509" s="1541"/>
      <c r="FQ509" s="1541"/>
      <c r="FR509" s="1541"/>
      <c r="FS509" s="1541"/>
      <c r="FT509" s="1541"/>
      <c r="FU509" s="1541"/>
      <c r="FV509" s="1541"/>
      <c r="FW509" s="1541"/>
      <c r="FX509" s="1541"/>
      <c r="FY509" s="1541"/>
      <c r="FZ509" s="1541"/>
      <c r="GA509" s="1541"/>
      <c r="GB509" s="1541"/>
      <c r="GC509" s="1541"/>
      <c r="GD509" s="1541"/>
      <c r="GE509" s="1541"/>
      <c r="GF509" s="1541"/>
      <c r="GG509" s="1541"/>
      <c r="GH509" s="1541"/>
      <c r="GI509" s="1541"/>
      <c r="GJ509" s="1541"/>
      <c r="GK509" s="1541"/>
      <c r="GL509" s="1541"/>
      <c r="GM509" s="1541"/>
      <c r="GN509" s="1541"/>
      <c r="GO509" s="1541"/>
      <c r="GP509" s="1541"/>
      <c r="GQ509" s="1541"/>
      <c r="GR509" s="1541"/>
      <c r="GS509" s="1541"/>
      <c r="GT509" s="1541"/>
      <c r="GU509" s="1541"/>
      <c r="GV509" s="1541"/>
      <c r="GW509" s="1541"/>
      <c r="GX509" s="1541"/>
      <c r="GY509" s="1541"/>
      <c r="GZ509" s="1541"/>
      <c r="HA509" s="1541"/>
      <c r="HB509" s="1541"/>
      <c r="HC509" s="1541"/>
      <c r="HD509" s="1541"/>
      <c r="HE509" s="1541"/>
      <c r="HF509" s="1541"/>
      <c r="HG509" s="1541"/>
      <c r="HH509" s="1541"/>
      <c r="HI509" s="1541"/>
      <c r="HJ509" s="1541"/>
      <c r="HK509" s="1541"/>
      <c r="HL509" s="1541"/>
      <c r="HM509" s="1541"/>
      <c r="HN509" s="1541"/>
      <c r="HO509" s="1541"/>
      <c r="HP509" s="1541"/>
      <c r="HQ509" s="1541"/>
      <c r="HR509" s="1541"/>
      <c r="HS509" s="1541"/>
      <c r="HT509" s="1541"/>
      <c r="HU509" s="1541"/>
      <c r="HV509" s="1541"/>
      <c r="HW509" s="1541"/>
      <c r="HX509" s="1541"/>
      <c r="HY509" s="1541"/>
      <c r="HZ509" s="1541"/>
      <c r="IA509" s="1541"/>
      <c r="IB509" s="1541"/>
      <c r="IC509" s="1541"/>
      <c r="ID509" s="1541"/>
      <c r="IE509" s="1541"/>
      <c r="IF509" s="1541"/>
      <c r="IG509" s="1541"/>
      <c r="IH509" s="1541"/>
      <c r="II509" s="1541"/>
      <c r="IJ509" s="1541"/>
      <c r="IK509" s="1541"/>
      <c r="IL509" s="1541"/>
      <c r="IM509" s="1541"/>
      <c r="IN509" s="1541"/>
    </row>
    <row r="510" spans="1:248" s="1556" customFormat="1">
      <c r="A510" s="1595" t="s">
        <v>565</v>
      </c>
      <c r="B510" s="1600">
        <v>181.27</v>
      </c>
      <c r="C510" s="1600">
        <f t="shared" si="132"/>
        <v>25.7</v>
      </c>
      <c r="D510" s="1600"/>
      <c r="E510" s="1600">
        <f t="shared" si="133"/>
        <v>206.97</v>
      </c>
      <c r="G510" s="1557">
        <f t="shared" si="134"/>
        <v>4.4107002712472365E-3</v>
      </c>
      <c r="H510" s="1541"/>
      <c r="I510" s="1541"/>
      <c r="J510" s="1541"/>
      <c r="K510" s="1541"/>
      <c r="L510" s="1541"/>
      <c r="M510" s="1541"/>
      <c r="N510" s="1541"/>
      <c r="O510" s="1541"/>
      <c r="P510" s="1541"/>
      <c r="Q510" s="1541"/>
      <c r="R510" s="1541"/>
      <c r="S510" s="1541"/>
      <c r="T510" s="1541"/>
      <c r="U510" s="1541"/>
      <c r="V510" s="1541"/>
      <c r="W510" s="1541"/>
      <c r="X510" s="1541"/>
      <c r="Y510" s="1541"/>
      <c r="Z510" s="1541"/>
      <c r="AA510" s="1541"/>
      <c r="AB510" s="1541"/>
      <c r="AC510" s="1541"/>
      <c r="AD510" s="1541"/>
      <c r="AE510" s="1541"/>
      <c r="AF510" s="1541"/>
      <c r="AG510" s="1541"/>
      <c r="AH510" s="1541"/>
      <c r="AI510" s="1541"/>
      <c r="AJ510" s="1541"/>
      <c r="AK510" s="1541"/>
      <c r="AL510" s="1541"/>
      <c r="AM510" s="1541"/>
      <c r="AN510" s="1541"/>
      <c r="AO510" s="1541"/>
      <c r="AP510" s="1541"/>
      <c r="AQ510" s="1541"/>
      <c r="AR510" s="1541"/>
      <c r="AS510" s="1541"/>
      <c r="AT510" s="1541"/>
      <c r="AU510" s="1541"/>
      <c r="AV510" s="1541"/>
      <c r="AW510" s="1541"/>
      <c r="AX510" s="1541"/>
      <c r="AY510" s="1541"/>
      <c r="AZ510" s="1541"/>
      <c r="BA510" s="1541"/>
      <c r="BB510" s="1541"/>
      <c r="BC510" s="1541"/>
      <c r="BD510" s="1541"/>
      <c r="BE510" s="1541"/>
      <c r="BF510" s="1541"/>
      <c r="BG510" s="1541"/>
      <c r="BH510" s="1541"/>
      <c r="BI510" s="1541"/>
      <c r="BJ510" s="1541"/>
      <c r="BK510" s="1541"/>
      <c r="BL510" s="1541"/>
      <c r="BM510" s="1541"/>
      <c r="BN510" s="1541"/>
      <c r="BO510" s="1541"/>
      <c r="BP510" s="1541"/>
      <c r="BQ510" s="1541"/>
      <c r="BR510" s="1541"/>
      <c r="BS510" s="1541"/>
      <c r="BT510" s="1541"/>
      <c r="BU510" s="1541"/>
      <c r="BV510" s="1541"/>
      <c r="BW510" s="1541"/>
      <c r="BX510" s="1541"/>
      <c r="BY510" s="1541"/>
      <c r="BZ510" s="1541"/>
      <c r="CA510" s="1541"/>
      <c r="CB510" s="1541"/>
      <c r="CC510" s="1541"/>
      <c r="CD510" s="1541"/>
      <c r="CE510" s="1541"/>
      <c r="CF510" s="1541"/>
      <c r="CG510" s="1541"/>
      <c r="CH510" s="1541"/>
      <c r="CI510" s="1541"/>
      <c r="CJ510" s="1541"/>
      <c r="CK510" s="1541"/>
      <c r="CL510" s="1541"/>
      <c r="CM510" s="1541"/>
      <c r="CN510" s="1541"/>
      <c r="CO510" s="1541"/>
      <c r="CP510" s="1541"/>
      <c r="CQ510" s="1541"/>
      <c r="CR510" s="1541"/>
      <c r="CS510" s="1541"/>
      <c r="CT510" s="1541"/>
      <c r="CU510" s="1541"/>
      <c r="CV510" s="1541"/>
      <c r="CW510" s="1541"/>
      <c r="CX510" s="1541"/>
      <c r="CY510" s="1541"/>
      <c r="CZ510" s="1541"/>
      <c r="DA510" s="1541"/>
      <c r="DB510" s="1541"/>
      <c r="DC510" s="1541"/>
      <c r="DD510" s="1541"/>
      <c r="DE510" s="1541"/>
      <c r="DF510" s="1541"/>
      <c r="DG510" s="1541"/>
      <c r="DH510" s="1541"/>
      <c r="DI510" s="1541"/>
      <c r="DJ510" s="1541"/>
      <c r="DK510" s="1541"/>
      <c r="DL510" s="1541"/>
      <c r="DM510" s="1541"/>
      <c r="DN510" s="1541"/>
      <c r="DO510" s="1541"/>
      <c r="DP510" s="1541"/>
      <c r="DQ510" s="1541"/>
      <c r="DR510" s="1541"/>
      <c r="DS510" s="1541"/>
      <c r="DT510" s="1541"/>
      <c r="DU510" s="1541"/>
      <c r="DV510" s="1541"/>
      <c r="DW510" s="1541"/>
      <c r="DX510" s="1541"/>
      <c r="DY510" s="1541"/>
      <c r="DZ510" s="1541"/>
      <c r="EA510" s="1541"/>
      <c r="EB510" s="1541"/>
      <c r="EC510" s="1541"/>
      <c r="ED510" s="1541"/>
      <c r="EE510" s="1541"/>
      <c r="EF510" s="1541"/>
      <c r="EG510" s="1541"/>
      <c r="EH510" s="1541"/>
      <c r="EI510" s="1541"/>
      <c r="EJ510" s="1541"/>
      <c r="EK510" s="1541"/>
      <c r="EL510" s="1541"/>
      <c r="EM510" s="1541"/>
      <c r="EN510" s="1541"/>
      <c r="EO510" s="1541"/>
      <c r="EP510" s="1541"/>
      <c r="EQ510" s="1541"/>
      <c r="ER510" s="1541"/>
      <c r="ES510" s="1541"/>
      <c r="ET510" s="1541"/>
      <c r="EU510" s="1541"/>
      <c r="EV510" s="1541"/>
      <c r="EW510" s="1541"/>
      <c r="EX510" s="1541"/>
      <c r="EY510" s="1541"/>
      <c r="EZ510" s="1541"/>
      <c r="FA510" s="1541"/>
      <c r="FB510" s="1541"/>
      <c r="FC510" s="1541"/>
      <c r="FD510" s="1541"/>
      <c r="FE510" s="1541"/>
      <c r="FF510" s="1541"/>
      <c r="FG510" s="1541"/>
      <c r="FH510" s="1541"/>
      <c r="FI510" s="1541"/>
      <c r="FJ510" s="1541"/>
      <c r="FK510" s="1541"/>
      <c r="FL510" s="1541"/>
      <c r="FM510" s="1541"/>
      <c r="FN510" s="1541"/>
      <c r="FO510" s="1541"/>
      <c r="FP510" s="1541"/>
      <c r="FQ510" s="1541"/>
      <c r="FR510" s="1541"/>
      <c r="FS510" s="1541"/>
      <c r="FT510" s="1541"/>
      <c r="FU510" s="1541"/>
      <c r="FV510" s="1541"/>
      <c r="FW510" s="1541"/>
      <c r="FX510" s="1541"/>
      <c r="FY510" s="1541"/>
      <c r="FZ510" s="1541"/>
      <c r="GA510" s="1541"/>
      <c r="GB510" s="1541"/>
      <c r="GC510" s="1541"/>
      <c r="GD510" s="1541"/>
      <c r="GE510" s="1541"/>
      <c r="GF510" s="1541"/>
      <c r="GG510" s="1541"/>
      <c r="GH510" s="1541"/>
      <c r="GI510" s="1541"/>
      <c r="GJ510" s="1541"/>
      <c r="GK510" s="1541"/>
      <c r="GL510" s="1541"/>
      <c r="GM510" s="1541"/>
      <c r="GN510" s="1541"/>
      <c r="GO510" s="1541"/>
      <c r="GP510" s="1541"/>
      <c r="GQ510" s="1541"/>
      <c r="GR510" s="1541"/>
      <c r="GS510" s="1541"/>
      <c r="GT510" s="1541"/>
      <c r="GU510" s="1541"/>
      <c r="GV510" s="1541"/>
      <c r="GW510" s="1541"/>
      <c r="GX510" s="1541"/>
      <c r="GY510" s="1541"/>
      <c r="GZ510" s="1541"/>
      <c r="HA510" s="1541"/>
      <c r="HB510" s="1541"/>
      <c r="HC510" s="1541"/>
      <c r="HD510" s="1541"/>
      <c r="HE510" s="1541"/>
      <c r="HF510" s="1541"/>
      <c r="HG510" s="1541"/>
      <c r="HH510" s="1541"/>
      <c r="HI510" s="1541"/>
      <c r="HJ510" s="1541"/>
      <c r="HK510" s="1541"/>
      <c r="HL510" s="1541"/>
      <c r="HM510" s="1541"/>
      <c r="HN510" s="1541"/>
      <c r="HO510" s="1541"/>
      <c r="HP510" s="1541"/>
      <c r="HQ510" s="1541"/>
      <c r="HR510" s="1541"/>
      <c r="HS510" s="1541"/>
      <c r="HT510" s="1541"/>
      <c r="HU510" s="1541"/>
      <c r="HV510" s="1541"/>
      <c r="HW510" s="1541"/>
      <c r="HX510" s="1541"/>
      <c r="HY510" s="1541"/>
      <c r="HZ510" s="1541"/>
      <c r="IA510" s="1541"/>
      <c r="IB510" s="1541"/>
      <c r="IC510" s="1541"/>
      <c r="ID510" s="1541"/>
      <c r="IE510" s="1541"/>
      <c r="IF510" s="1541"/>
      <c r="IG510" s="1541"/>
      <c r="IH510" s="1541"/>
      <c r="II510" s="1541"/>
      <c r="IJ510" s="1541"/>
      <c r="IK510" s="1541"/>
      <c r="IL510" s="1541"/>
      <c r="IM510" s="1541"/>
      <c r="IN510" s="1541"/>
    </row>
    <row r="511" spans="1:248" s="1556" customFormat="1">
      <c r="A511" s="1595" t="s">
        <v>566</v>
      </c>
      <c r="B511" s="1600">
        <v>223.51</v>
      </c>
      <c r="C511" s="1600">
        <f t="shared" si="132"/>
        <v>31.69</v>
      </c>
      <c r="D511" s="1600"/>
      <c r="E511" s="1600">
        <f t="shared" si="133"/>
        <v>255.2</v>
      </c>
      <c r="G511" s="1557">
        <f t="shared" si="134"/>
        <v>4.1183627606642403E-3</v>
      </c>
      <c r="H511" s="1541"/>
      <c r="I511" s="1541"/>
      <c r="J511" s="1541"/>
      <c r="K511" s="1541"/>
      <c r="L511" s="1541"/>
      <c r="M511" s="1541"/>
      <c r="N511" s="1541"/>
      <c r="O511" s="1541"/>
      <c r="P511" s="1541"/>
      <c r="Q511" s="1541"/>
      <c r="R511" s="1541"/>
      <c r="S511" s="1541"/>
      <c r="T511" s="1541"/>
      <c r="U511" s="1541"/>
      <c r="V511" s="1541"/>
      <c r="W511" s="1541"/>
      <c r="X511" s="1541"/>
      <c r="Y511" s="1541"/>
      <c r="Z511" s="1541"/>
      <c r="AA511" s="1541"/>
      <c r="AB511" s="1541"/>
      <c r="AC511" s="1541"/>
      <c r="AD511" s="1541"/>
      <c r="AE511" s="1541"/>
      <c r="AF511" s="1541"/>
      <c r="AG511" s="1541"/>
      <c r="AH511" s="1541"/>
      <c r="AI511" s="1541"/>
      <c r="AJ511" s="1541"/>
      <c r="AK511" s="1541"/>
      <c r="AL511" s="1541"/>
      <c r="AM511" s="1541"/>
      <c r="AN511" s="1541"/>
      <c r="AO511" s="1541"/>
      <c r="AP511" s="1541"/>
      <c r="AQ511" s="1541"/>
      <c r="AR511" s="1541"/>
      <c r="AS511" s="1541"/>
      <c r="AT511" s="1541"/>
      <c r="AU511" s="1541"/>
      <c r="AV511" s="1541"/>
      <c r="AW511" s="1541"/>
      <c r="AX511" s="1541"/>
      <c r="AY511" s="1541"/>
      <c r="AZ511" s="1541"/>
      <c r="BA511" s="1541"/>
      <c r="BB511" s="1541"/>
      <c r="BC511" s="1541"/>
      <c r="BD511" s="1541"/>
      <c r="BE511" s="1541"/>
      <c r="BF511" s="1541"/>
      <c r="BG511" s="1541"/>
      <c r="BH511" s="1541"/>
      <c r="BI511" s="1541"/>
      <c r="BJ511" s="1541"/>
      <c r="BK511" s="1541"/>
      <c r="BL511" s="1541"/>
      <c r="BM511" s="1541"/>
      <c r="BN511" s="1541"/>
      <c r="BO511" s="1541"/>
      <c r="BP511" s="1541"/>
      <c r="BQ511" s="1541"/>
      <c r="BR511" s="1541"/>
      <c r="BS511" s="1541"/>
      <c r="BT511" s="1541"/>
      <c r="BU511" s="1541"/>
      <c r="BV511" s="1541"/>
      <c r="BW511" s="1541"/>
      <c r="BX511" s="1541"/>
      <c r="BY511" s="1541"/>
      <c r="BZ511" s="1541"/>
      <c r="CA511" s="1541"/>
      <c r="CB511" s="1541"/>
      <c r="CC511" s="1541"/>
      <c r="CD511" s="1541"/>
      <c r="CE511" s="1541"/>
      <c r="CF511" s="1541"/>
      <c r="CG511" s="1541"/>
      <c r="CH511" s="1541"/>
      <c r="CI511" s="1541"/>
      <c r="CJ511" s="1541"/>
      <c r="CK511" s="1541"/>
      <c r="CL511" s="1541"/>
      <c r="CM511" s="1541"/>
      <c r="CN511" s="1541"/>
      <c r="CO511" s="1541"/>
      <c r="CP511" s="1541"/>
      <c r="CQ511" s="1541"/>
      <c r="CR511" s="1541"/>
      <c r="CS511" s="1541"/>
      <c r="CT511" s="1541"/>
      <c r="CU511" s="1541"/>
      <c r="CV511" s="1541"/>
      <c r="CW511" s="1541"/>
      <c r="CX511" s="1541"/>
      <c r="CY511" s="1541"/>
      <c r="CZ511" s="1541"/>
      <c r="DA511" s="1541"/>
      <c r="DB511" s="1541"/>
      <c r="DC511" s="1541"/>
      <c r="DD511" s="1541"/>
      <c r="DE511" s="1541"/>
      <c r="DF511" s="1541"/>
      <c r="DG511" s="1541"/>
      <c r="DH511" s="1541"/>
      <c r="DI511" s="1541"/>
      <c r="DJ511" s="1541"/>
      <c r="DK511" s="1541"/>
      <c r="DL511" s="1541"/>
      <c r="DM511" s="1541"/>
      <c r="DN511" s="1541"/>
      <c r="DO511" s="1541"/>
      <c r="DP511" s="1541"/>
      <c r="DQ511" s="1541"/>
      <c r="DR511" s="1541"/>
      <c r="DS511" s="1541"/>
      <c r="DT511" s="1541"/>
      <c r="DU511" s="1541"/>
      <c r="DV511" s="1541"/>
      <c r="DW511" s="1541"/>
      <c r="DX511" s="1541"/>
      <c r="DY511" s="1541"/>
      <c r="DZ511" s="1541"/>
      <c r="EA511" s="1541"/>
      <c r="EB511" s="1541"/>
      <c r="EC511" s="1541"/>
      <c r="ED511" s="1541"/>
      <c r="EE511" s="1541"/>
      <c r="EF511" s="1541"/>
      <c r="EG511" s="1541"/>
      <c r="EH511" s="1541"/>
      <c r="EI511" s="1541"/>
      <c r="EJ511" s="1541"/>
      <c r="EK511" s="1541"/>
      <c r="EL511" s="1541"/>
      <c r="EM511" s="1541"/>
      <c r="EN511" s="1541"/>
      <c r="EO511" s="1541"/>
      <c r="EP511" s="1541"/>
      <c r="EQ511" s="1541"/>
      <c r="ER511" s="1541"/>
      <c r="ES511" s="1541"/>
      <c r="ET511" s="1541"/>
      <c r="EU511" s="1541"/>
      <c r="EV511" s="1541"/>
      <c r="EW511" s="1541"/>
      <c r="EX511" s="1541"/>
      <c r="EY511" s="1541"/>
      <c r="EZ511" s="1541"/>
      <c r="FA511" s="1541"/>
      <c r="FB511" s="1541"/>
      <c r="FC511" s="1541"/>
      <c r="FD511" s="1541"/>
      <c r="FE511" s="1541"/>
      <c r="FF511" s="1541"/>
      <c r="FG511" s="1541"/>
      <c r="FH511" s="1541"/>
      <c r="FI511" s="1541"/>
      <c r="FJ511" s="1541"/>
      <c r="FK511" s="1541"/>
      <c r="FL511" s="1541"/>
      <c r="FM511" s="1541"/>
      <c r="FN511" s="1541"/>
      <c r="FO511" s="1541"/>
      <c r="FP511" s="1541"/>
      <c r="FQ511" s="1541"/>
      <c r="FR511" s="1541"/>
      <c r="FS511" s="1541"/>
      <c r="FT511" s="1541"/>
      <c r="FU511" s="1541"/>
      <c r="FV511" s="1541"/>
      <c r="FW511" s="1541"/>
      <c r="FX511" s="1541"/>
      <c r="FY511" s="1541"/>
      <c r="FZ511" s="1541"/>
      <c r="GA511" s="1541"/>
      <c r="GB511" s="1541"/>
      <c r="GC511" s="1541"/>
      <c r="GD511" s="1541"/>
      <c r="GE511" s="1541"/>
      <c r="GF511" s="1541"/>
      <c r="GG511" s="1541"/>
      <c r="GH511" s="1541"/>
      <c r="GI511" s="1541"/>
      <c r="GJ511" s="1541"/>
      <c r="GK511" s="1541"/>
      <c r="GL511" s="1541"/>
      <c r="GM511" s="1541"/>
      <c r="GN511" s="1541"/>
      <c r="GO511" s="1541"/>
      <c r="GP511" s="1541"/>
      <c r="GQ511" s="1541"/>
      <c r="GR511" s="1541"/>
      <c r="GS511" s="1541"/>
      <c r="GT511" s="1541"/>
      <c r="GU511" s="1541"/>
      <c r="GV511" s="1541"/>
      <c r="GW511" s="1541"/>
      <c r="GX511" s="1541"/>
      <c r="GY511" s="1541"/>
      <c r="GZ511" s="1541"/>
      <c r="HA511" s="1541"/>
      <c r="HB511" s="1541"/>
      <c r="HC511" s="1541"/>
      <c r="HD511" s="1541"/>
      <c r="HE511" s="1541"/>
      <c r="HF511" s="1541"/>
      <c r="HG511" s="1541"/>
      <c r="HH511" s="1541"/>
      <c r="HI511" s="1541"/>
      <c r="HJ511" s="1541"/>
      <c r="HK511" s="1541"/>
      <c r="HL511" s="1541"/>
      <c r="HM511" s="1541"/>
      <c r="HN511" s="1541"/>
      <c r="HO511" s="1541"/>
      <c r="HP511" s="1541"/>
      <c r="HQ511" s="1541"/>
      <c r="HR511" s="1541"/>
      <c r="HS511" s="1541"/>
      <c r="HT511" s="1541"/>
      <c r="HU511" s="1541"/>
      <c r="HV511" s="1541"/>
      <c r="HW511" s="1541"/>
      <c r="HX511" s="1541"/>
      <c r="HY511" s="1541"/>
      <c r="HZ511" s="1541"/>
      <c r="IA511" s="1541"/>
      <c r="IB511" s="1541"/>
      <c r="IC511" s="1541"/>
      <c r="ID511" s="1541"/>
      <c r="IE511" s="1541"/>
      <c r="IF511" s="1541"/>
      <c r="IG511" s="1541"/>
      <c r="IH511" s="1541"/>
      <c r="II511" s="1541"/>
      <c r="IJ511" s="1541"/>
      <c r="IK511" s="1541"/>
      <c r="IL511" s="1541"/>
      <c r="IM511" s="1541"/>
      <c r="IN511" s="1541"/>
    </row>
    <row r="512" spans="1:248" s="1556" customFormat="1">
      <c r="A512" s="1595" t="s">
        <v>567</v>
      </c>
      <c r="B512" s="1600">
        <v>258.39</v>
      </c>
      <c r="C512" s="1600">
        <f t="shared" si="132"/>
        <v>36.64</v>
      </c>
      <c r="D512" s="1600"/>
      <c r="E512" s="1600">
        <f t="shared" si="133"/>
        <v>295.02999999999997</v>
      </c>
      <c r="G512" s="1557">
        <f t="shared" si="134"/>
        <v>1.6484163450058986E-4</v>
      </c>
      <c r="H512" s="1541"/>
      <c r="I512" s="1541"/>
      <c r="J512" s="1541"/>
      <c r="K512" s="1541"/>
      <c r="L512" s="1541"/>
      <c r="M512" s="1541"/>
      <c r="N512" s="1541"/>
      <c r="O512" s="1541"/>
      <c r="P512" s="1541"/>
      <c r="Q512" s="1541"/>
      <c r="R512" s="1541"/>
      <c r="S512" s="1541"/>
      <c r="T512" s="1541"/>
      <c r="U512" s="1541"/>
      <c r="V512" s="1541"/>
      <c r="W512" s="1541"/>
      <c r="X512" s="1541"/>
      <c r="Y512" s="1541"/>
      <c r="Z512" s="1541"/>
      <c r="AA512" s="1541"/>
      <c r="AB512" s="1541"/>
      <c r="AC512" s="1541"/>
      <c r="AD512" s="1541"/>
      <c r="AE512" s="1541"/>
      <c r="AF512" s="1541"/>
      <c r="AG512" s="1541"/>
      <c r="AH512" s="1541"/>
      <c r="AI512" s="1541"/>
      <c r="AJ512" s="1541"/>
      <c r="AK512" s="1541"/>
      <c r="AL512" s="1541"/>
      <c r="AM512" s="1541"/>
      <c r="AN512" s="1541"/>
      <c r="AO512" s="1541"/>
      <c r="AP512" s="1541"/>
      <c r="AQ512" s="1541"/>
      <c r="AR512" s="1541"/>
      <c r="AS512" s="1541"/>
      <c r="AT512" s="1541"/>
      <c r="AU512" s="1541"/>
      <c r="AV512" s="1541"/>
      <c r="AW512" s="1541"/>
      <c r="AX512" s="1541"/>
      <c r="AY512" s="1541"/>
      <c r="AZ512" s="1541"/>
      <c r="BA512" s="1541"/>
      <c r="BB512" s="1541"/>
      <c r="BC512" s="1541"/>
      <c r="BD512" s="1541"/>
      <c r="BE512" s="1541"/>
      <c r="BF512" s="1541"/>
      <c r="BG512" s="1541"/>
      <c r="BH512" s="1541"/>
      <c r="BI512" s="1541"/>
      <c r="BJ512" s="1541"/>
      <c r="BK512" s="1541"/>
      <c r="BL512" s="1541"/>
      <c r="BM512" s="1541"/>
      <c r="BN512" s="1541"/>
      <c r="BO512" s="1541"/>
      <c r="BP512" s="1541"/>
      <c r="BQ512" s="1541"/>
      <c r="BR512" s="1541"/>
      <c r="BS512" s="1541"/>
      <c r="BT512" s="1541"/>
      <c r="BU512" s="1541"/>
      <c r="BV512" s="1541"/>
      <c r="BW512" s="1541"/>
      <c r="BX512" s="1541"/>
      <c r="BY512" s="1541"/>
      <c r="BZ512" s="1541"/>
      <c r="CA512" s="1541"/>
      <c r="CB512" s="1541"/>
      <c r="CC512" s="1541"/>
      <c r="CD512" s="1541"/>
      <c r="CE512" s="1541"/>
      <c r="CF512" s="1541"/>
      <c r="CG512" s="1541"/>
      <c r="CH512" s="1541"/>
      <c r="CI512" s="1541"/>
      <c r="CJ512" s="1541"/>
      <c r="CK512" s="1541"/>
      <c r="CL512" s="1541"/>
      <c r="CM512" s="1541"/>
      <c r="CN512" s="1541"/>
      <c r="CO512" s="1541"/>
      <c r="CP512" s="1541"/>
      <c r="CQ512" s="1541"/>
      <c r="CR512" s="1541"/>
      <c r="CS512" s="1541"/>
      <c r="CT512" s="1541"/>
      <c r="CU512" s="1541"/>
      <c r="CV512" s="1541"/>
      <c r="CW512" s="1541"/>
      <c r="CX512" s="1541"/>
      <c r="CY512" s="1541"/>
      <c r="CZ512" s="1541"/>
      <c r="DA512" s="1541"/>
      <c r="DB512" s="1541"/>
      <c r="DC512" s="1541"/>
      <c r="DD512" s="1541"/>
      <c r="DE512" s="1541"/>
      <c r="DF512" s="1541"/>
      <c r="DG512" s="1541"/>
      <c r="DH512" s="1541"/>
      <c r="DI512" s="1541"/>
      <c r="DJ512" s="1541"/>
      <c r="DK512" s="1541"/>
      <c r="DL512" s="1541"/>
      <c r="DM512" s="1541"/>
      <c r="DN512" s="1541"/>
      <c r="DO512" s="1541"/>
      <c r="DP512" s="1541"/>
      <c r="DQ512" s="1541"/>
      <c r="DR512" s="1541"/>
      <c r="DS512" s="1541"/>
      <c r="DT512" s="1541"/>
      <c r="DU512" s="1541"/>
      <c r="DV512" s="1541"/>
      <c r="DW512" s="1541"/>
      <c r="DX512" s="1541"/>
      <c r="DY512" s="1541"/>
      <c r="DZ512" s="1541"/>
      <c r="EA512" s="1541"/>
      <c r="EB512" s="1541"/>
      <c r="EC512" s="1541"/>
      <c r="ED512" s="1541"/>
      <c r="EE512" s="1541"/>
      <c r="EF512" s="1541"/>
      <c r="EG512" s="1541"/>
      <c r="EH512" s="1541"/>
      <c r="EI512" s="1541"/>
      <c r="EJ512" s="1541"/>
      <c r="EK512" s="1541"/>
      <c r="EL512" s="1541"/>
      <c r="EM512" s="1541"/>
      <c r="EN512" s="1541"/>
      <c r="EO512" s="1541"/>
      <c r="EP512" s="1541"/>
      <c r="EQ512" s="1541"/>
      <c r="ER512" s="1541"/>
      <c r="ES512" s="1541"/>
      <c r="ET512" s="1541"/>
      <c r="EU512" s="1541"/>
      <c r="EV512" s="1541"/>
      <c r="EW512" s="1541"/>
      <c r="EX512" s="1541"/>
      <c r="EY512" s="1541"/>
      <c r="EZ512" s="1541"/>
      <c r="FA512" s="1541"/>
      <c r="FB512" s="1541"/>
      <c r="FC512" s="1541"/>
      <c r="FD512" s="1541"/>
      <c r="FE512" s="1541"/>
      <c r="FF512" s="1541"/>
      <c r="FG512" s="1541"/>
      <c r="FH512" s="1541"/>
      <c r="FI512" s="1541"/>
      <c r="FJ512" s="1541"/>
      <c r="FK512" s="1541"/>
      <c r="FL512" s="1541"/>
      <c r="FM512" s="1541"/>
      <c r="FN512" s="1541"/>
      <c r="FO512" s="1541"/>
      <c r="FP512" s="1541"/>
      <c r="FQ512" s="1541"/>
      <c r="FR512" s="1541"/>
      <c r="FS512" s="1541"/>
      <c r="FT512" s="1541"/>
      <c r="FU512" s="1541"/>
      <c r="FV512" s="1541"/>
      <c r="FW512" s="1541"/>
      <c r="FX512" s="1541"/>
      <c r="FY512" s="1541"/>
      <c r="FZ512" s="1541"/>
      <c r="GA512" s="1541"/>
      <c r="GB512" s="1541"/>
      <c r="GC512" s="1541"/>
      <c r="GD512" s="1541"/>
      <c r="GE512" s="1541"/>
      <c r="GF512" s="1541"/>
      <c r="GG512" s="1541"/>
      <c r="GH512" s="1541"/>
      <c r="GI512" s="1541"/>
      <c r="GJ512" s="1541"/>
      <c r="GK512" s="1541"/>
      <c r="GL512" s="1541"/>
      <c r="GM512" s="1541"/>
      <c r="GN512" s="1541"/>
      <c r="GO512" s="1541"/>
      <c r="GP512" s="1541"/>
      <c r="GQ512" s="1541"/>
      <c r="GR512" s="1541"/>
      <c r="GS512" s="1541"/>
      <c r="GT512" s="1541"/>
      <c r="GU512" s="1541"/>
      <c r="GV512" s="1541"/>
      <c r="GW512" s="1541"/>
      <c r="GX512" s="1541"/>
      <c r="GY512" s="1541"/>
      <c r="GZ512" s="1541"/>
      <c r="HA512" s="1541"/>
      <c r="HB512" s="1541"/>
      <c r="HC512" s="1541"/>
      <c r="HD512" s="1541"/>
      <c r="HE512" s="1541"/>
      <c r="HF512" s="1541"/>
      <c r="HG512" s="1541"/>
      <c r="HH512" s="1541"/>
      <c r="HI512" s="1541"/>
      <c r="HJ512" s="1541"/>
      <c r="HK512" s="1541"/>
      <c r="HL512" s="1541"/>
      <c r="HM512" s="1541"/>
      <c r="HN512" s="1541"/>
      <c r="HO512" s="1541"/>
      <c r="HP512" s="1541"/>
      <c r="HQ512" s="1541"/>
      <c r="HR512" s="1541"/>
      <c r="HS512" s="1541"/>
      <c r="HT512" s="1541"/>
      <c r="HU512" s="1541"/>
      <c r="HV512" s="1541"/>
      <c r="HW512" s="1541"/>
      <c r="HX512" s="1541"/>
      <c r="HY512" s="1541"/>
      <c r="HZ512" s="1541"/>
      <c r="IA512" s="1541"/>
      <c r="IB512" s="1541"/>
      <c r="IC512" s="1541"/>
      <c r="ID512" s="1541"/>
      <c r="IE512" s="1541"/>
      <c r="IF512" s="1541"/>
      <c r="IG512" s="1541"/>
      <c r="IH512" s="1541"/>
      <c r="II512" s="1541"/>
      <c r="IJ512" s="1541"/>
      <c r="IK512" s="1541"/>
      <c r="IL512" s="1541"/>
      <c r="IM512" s="1541"/>
      <c r="IN512" s="1541"/>
    </row>
    <row r="513" spans="1:248" s="1556" customFormat="1">
      <c r="A513" s="1595" t="s">
        <v>568</v>
      </c>
      <c r="B513" s="1600">
        <v>294.74</v>
      </c>
      <c r="C513" s="1600">
        <f t="shared" si="132"/>
        <v>41.79</v>
      </c>
      <c r="D513" s="1600"/>
      <c r="E513" s="1600">
        <f t="shared" si="133"/>
        <v>336.53000000000003</v>
      </c>
      <c r="G513" s="1557">
        <f t="shared" si="134"/>
        <v>4.6599536489608795E-3</v>
      </c>
      <c r="H513" s="1541"/>
      <c r="I513" s="1541"/>
      <c r="J513" s="1541"/>
      <c r="K513" s="1541"/>
      <c r="L513" s="1541"/>
      <c r="M513" s="1541"/>
      <c r="N513" s="1541"/>
      <c r="O513" s="1541"/>
      <c r="P513" s="1541"/>
      <c r="Q513" s="1541"/>
      <c r="R513" s="1541"/>
      <c r="S513" s="1541"/>
      <c r="T513" s="1541"/>
      <c r="U513" s="1541"/>
      <c r="V513" s="1541"/>
      <c r="W513" s="1541"/>
      <c r="X513" s="1541"/>
      <c r="Y513" s="1541"/>
      <c r="Z513" s="1541"/>
      <c r="AA513" s="1541"/>
      <c r="AB513" s="1541"/>
      <c r="AC513" s="1541"/>
      <c r="AD513" s="1541"/>
      <c r="AE513" s="1541"/>
      <c r="AF513" s="1541"/>
      <c r="AG513" s="1541"/>
      <c r="AH513" s="1541"/>
      <c r="AI513" s="1541"/>
      <c r="AJ513" s="1541"/>
      <c r="AK513" s="1541"/>
      <c r="AL513" s="1541"/>
      <c r="AM513" s="1541"/>
      <c r="AN513" s="1541"/>
      <c r="AO513" s="1541"/>
      <c r="AP513" s="1541"/>
      <c r="AQ513" s="1541"/>
      <c r="AR513" s="1541"/>
      <c r="AS513" s="1541"/>
      <c r="AT513" s="1541"/>
      <c r="AU513" s="1541"/>
      <c r="AV513" s="1541"/>
      <c r="AW513" s="1541"/>
      <c r="AX513" s="1541"/>
      <c r="AY513" s="1541"/>
      <c r="AZ513" s="1541"/>
      <c r="BA513" s="1541"/>
      <c r="BB513" s="1541"/>
      <c r="BC513" s="1541"/>
      <c r="BD513" s="1541"/>
      <c r="BE513" s="1541"/>
      <c r="BF513" s="1541"/>
      <c r="BG513" s="1541"/>
      <c r="BH513" s="1541"/>
      <c r="BI513" s="1541"/>
      <c r="BJ513" s="1541"/>
      <c r="BK513" s="1541"/>
      <c r="BL513" s="1541"/>
      <c r="BM513" s="1541"/>
      <c r="BN513" s="1541"/>
      <c r="BO513" s="1541"/>
      <c r="BP513" s="1541"/>
      <c r="BQ513" s="1541"/>
      <c r="BR513" s="1541"/>
      <c r="BS513" s="1541"/>
      <c r="BT513" s="1541"/>
      <c r="BU513" s="1541"/>
      <c r="BV513" s="1541"/>
      <c r="BW513" s="1541"/>
      <c r="BX513" s="1541"/>
      <c r="BY513" s="1541"/>
      <c r="BZ513" s="1541"/>
      <c r="CA513" s="1541"/>
      <c r="CB513" s="1541"/>
      <c r="CC513" s="1541"/>
      <c r="CD513" s="1541"/>
      <c r="CE513" s="1541"/>
      <c r="CF513" s="1541"/>
      <c r="CG513" s="1541"/>
      <c r="CH513" s="1541"/>
      <c r="CI513" s="1541"/>
      <c r="CJ513" s="1541"/>
      <c r="CK513" s="1541"/>
      <c r="CL513" s="1541"/>
      <c r="CM513" s="1541"/>
      <c r="CN513" s="1541"/>
      <c r="CO513" s="1541"/>
      <c r="CP513" s="1541"/>
      <c r="CQ513" s="1541"/>
      <c r="CR513" s="1541"/>
      <c r="CS513" s="1541"/>
      <c r="CT513" s="1541"/>
      <c r="CU513" s="1541"/>
      <c r="CV513" s="1541"/>
      <c r="CW513" s="1541"/>
      <c r="CX513" s="1541"/>
      <c r="CY513" s="1541"/>
      <c r="CZ513" s="1541"/>
      <c r="DA513" s="1541"/>
      <c r="DB513" s="1541"/>
      <c r="DC513" s="1541"/>
      <c r="DD513" s="1541"/>
      <c r="DE513" s="1541"/>
      <c r="DF513" s="1541"/>
      <c r="DG513" s="1541"/>
      <c r="DH513" s="1541"/>
      <c r="DI513" s="1541"/>
      <c r="DJ513" s="1541"/>
      <c r="DK513" s="1541"/>
      <c r="DL513" s="1541"/>
      <c r="DM513" s="1541"/>
      <c r="DN513" s="1541"/>
      <c r="DO513" s="1541"/>
      <c r="DP513" s="1541"/>
      <c r="DQ513" s="1541"/>
      <c r="DR513" s="1541"/>
      <c r="DS513" s="1541"/>
      <c r="DT513" s="1541"/>
      <c r="DU513" s="1541"/>
      <c r="DV513" s="1541"/>
      <c r="DW513" s="1541"/>
      <c r="DX513" s="1541"/>
      <c r="DY513" s="1541"/>
      <c r="DZ513" s="1541"/>
      <c r="EA513" s="1541"/>
      <c r="EB513" s="1541"/>
      <c r="EC513" s="1541"/>
      <c r="ED513" s="1541"/>
      <c r="EE513" s="1541"/>
      <c r="EF513" s="1541"/>
      <c r="EG513" s="1541"/>
      <c r="EH513" s="1541"/>
      <c r="EI513" s="1541"/>
      <c r="EJ513" s="1541"/>
      <c r="EK513" s="1541"/>
      <c r="EL513" s="1541"/>
      <c r="EM513" s="1541"/>
      <c r="EN513" s="1541"/>
      <c r="EO513" s="1541"/>
      <c r="EP513" s="1541"/>
      <c r="EQ513" s="1541"/>
      <c r="ER513" s="1541"/>
      <c r="ES513" s="1541"/>
      <c r="ET513" s="1541"/>
      <c r="EU513" s="1541"/>
      <c r="EV513" s="1541"/>
      <c r="EW513" s="1541"/>
      <c r="EX513" s="1541"/>
      <c r="EY513" s="1541"/>
      <c r="EZ513" s="1541"/>
      <c r="FA513" s="1541"/>
      <c r="FB513" s="1541"/>
      <c r="FC513" s="1541"/>
      <c r="FD513" s="1541"/>
      <c r="FE513" s="1541"/>
      <c r="FF513" s="1541"/>
      <c r="FG513" s="1541"/>
      <c r="FH513" s="1541"/>
      <c r="FI513" s="1541"/>
      <c r="FJ513" s="1541"/>
      <c r="FK513" s="1541"/>
      <c r="FL513" s="1541"/>
      <c r="FM513" s="1541"/>
      <c r="FN513" s="1541"/>
      <c r="FO513" s="1541"/>
      <c r="FP513" s="1541"/>
      <c r="FQ513" s="1541"/>
      <c r="FR513" s="1541"/>
      <c r="FS513" s="1541"/>
      <c r="FT513" s="1541"/>
      <c r="FU513" s="1541"/>
      <c r="FV513" s="1541"/>
      <c r="FW513" s="1541"/>
      <c r="FX513" s="1541"/>
      <c r="FY513" s="1541"/>
      <c r="FZ513" s="1541"/>
      <c r="GA513" s="1541"/>
      <c r="GB513" s="1541"/>
      <c r="GC513" s="1541"/>
      <c r="GD513" s="1541"/>
      <c r="GE513" s="1541"/>
      <c r="GF513" s="1541"/>
      <c r="GG513" s="1541"/>
      <c r="GH513" s="1541"/>
      <c r="GI513" s="1541"/>
      <c r="GJ513" s="1541"/>
      <c r="GK513" s="1541"/>
      <c r="GL513" s="1541"/>
      <c r="GM513" s="1541"/>
      <c r="GN513" s="1541"/>
      <c r="GO513" s="1541"/>
      <c r="GP513" s="1541"/>
      <c r="GQ513" s="1541"/>
      <c r="GR513" s="1541"/>
      <c r="GS513" s="1541"/>
      <c r="GT513" s="1541"/>
      <c r="GU513" s="1541"/>
      <c r="GV513" s="1541"/>
      <c r="GW513" s="1541"/>
      <c r="GX513" s="1541"/>
      <c r="GY513" s="1541"/>
      <c r="GZ513" s="1541"/>
      <c r="HA513" s="1541"/>
      <c r="HB513" s="1541"/>
      <c r="HC513" s="1541"/>
      <c r="HD513" s="1541"/>
      <c r="HE513" s="1541"/>
      <c r="HF513" s="1541"/>
      <c r="HG513" s="1541"/>
      <c r="HH513" s="1541"/>
      <c r="HI513" s="1541"/>
      <c r="HJ513" s="1541"/>
      <c r="HK513" s="1541"/>
      <c r="HL513" s="1541"/>
      <c r="HM513" s="1541"/>
      <c r="HN513" s="1541"/>
      <c r="HO513" s="1541"/>
      <c r="HP513" s="1541"/>
      <c r="HQ513" s="1541"/>
      <c r="HR513" s="1541"/>
      <c r="HS513" s="1541"/>
      <c r="HT513" s="1541"/>
      <c r="HU513" s="1541"/>
      <c r="HV513" s="1541"/>
      <c r="HW513" s="1541"/>
      <c r="HX513" s="1541"/>
      <c r="HY513" s="1541"/>
      <c r="HZ513" s="1541"/>
      <c r="IA513" s="1541"/>
      <c r="IB513" s="1541"/>
      <c r="IC513" s="1541"/>
      <c r="ID513" s="1541"/>
      <c r="IE513" s="1541"/>
      <c r="IF513" s="1541"/>
      <c r="IG513" s="1541"/>
      <c r="IH513" s="1541"/>
      <c r="II513" s="1541"/>
      <c r="IJ513" s="1541"/>
      <c r="IK513" s="1541"/>
      <c r="IL513" s="1541"/>
      <c r="IM513" s="1541"/>
      <c r="IN513" s="1541"/>
    </row>
    <row r="514" spans="1:248" s="1556" customFormat="1">
      <c r="A514" s="1595" t="s">
        <v>581</v>
      </c>
      <c r="B514" s="1600">
        <v>308.02999999999997</v>
      </c>
      <c r="C514" s="1600">
        <f t="shared" si="132"/>
        <v>43.68</v>
      </c>
      <c r="D514" s="1600"/>
      <c r="E514" s="1600">
        <f t="shared" si="133"/>
        <v>351.71</v>
      </c>
      <c r="G514" s="1557">
        <f t="shared" si="134"/>
        <v>-7.9424061041066807E-4</v>
      </c>
      <c r="H514" s="1541"/>
      <c r="I514" s="1541"/>
      <c r="J514" s="1541"/>
      <c r="K514" s="1541"/>
      <c r="L514" s="1541"/>
      <c r="M514" s="1541"/>
      <c r="N514" s="1541"/>
      <c r="O514" s="1541"/>
      <c r="P514" s="1541"/>
      <c r="Q514" s="1541"/>
      <c r="R514" s="1541"/>
      <c r="S514" s="1541"/>
      <c r="T514" s="1541"/>
      <c r="U514" s="1541"/>
      <c r="V514" s="1541"/>
      <c r="W514" s="1541"/>
      <c r="X514" s="1541"/>
      <c r="Y514" s="1541"/>
      <c r="Z514" s="1541"/>
      <c r="AA514" s="1541"/>
      <c r="AB514" s="1541"/>
      <c r="AC514" s="1541"/>
      <c r="AD514" s="1541"/>
      <c r="AE514" s="1541"/>
      <c r="AF514" s="1541"/>
      <c r="AG514" s="1541"/>
      <c r="AH514" s="1541"/>
      <c r="AI514" s="1541"/>
      <c r="AJ514" s="1541"/>
      <c r="AK514" s="1541"/>
      <c r="AL514" s="1541"/>
      <c r="AM514" s="1541"/>
      <c r="AN514" s="1541"/>
      <c r="AO514" s="1541"/>
      <c r="AP514" s="1541"/>
      <c r="AQ514" s="1541"/>
      <c r="AR514" s="1541"/>
      <c r="AS514" s="1541"/>
      <c r="AT514" s="1541"/>
      <c r="AU514" s="1541"/>
      <c r="AV514" s="1541"/>
      <c r="AW514" s="1541"/>
      <c r="AX514" s="1541"/>
      <c r="AY514" s="1541"/>
      <c r="AZ514" s="1541"/>
      <c r="BA514" s="1541"/>
      <c r="BB514" s="1541"/>
      <c r="BC514" s="1541"/>
      <c r="BD514" s="1541"/>
      <c r="BE514" s="1541"/>
      <c r="BF514" s="1541"/>
      <c r="BG514" s="1541"/>
      <c r="BH514" s="1541"/>
      <c r="BI514" s="1541"/>
      <c r="BJ514" s="1541"/>
      <c r="BK514" s="1541"/>
      <c r="BL514" s="1541"/>
      <c r="BM514" s="1541"/>
      <c r="BN514" s="1541"/>
      <c r="BO514" s="1541"/>
      <c r="BP514" s="1541"/>
      <c r="BQ514" s="1541"/>
      <c r="BR514" s="1541"/>
      <c r="BS514" s="1541"/>
      <c r="BT514" s="1541"/>
      <c r="BU514" s="1541"/>
      <c r="BV514" s="1541"/>
      <c r="BW514" s="1541"/>
      <c r="BX514" s="1541"/>
      <c r="BY514" s="1541"/>
      <c r="BZ514" s="1541"/>
      <c r="CA514" s="1541"/>
      <c r="CB514" s="1541"/>
      <c r="CC514" s="1541"/>
      <c r="CD514" s="1541"/>
      <c r="CE514" s="1541"/>
      <c r="CF514" s="1541"/>
      <c r="CG514" s="1541"/>
      <c r="CH514" s="1541"/>
      <c r="CI514" s="1541"/>
      <c r="CJ514" s="1541"/>
      <c r="CK514" s="1541"/>
      <c r="CL514" s="1541"/>
      <c r="CM514" s="1541"/>
      <c r="CN514" s="1541"/>
      <c r="CO514" s="1541"/>
      <c r="CP514" s="1541"/>
      <c r="CQ514" s="1541"/>
      <c r="CR514" s="1541"/>
      <c r="CS514" s="1541"/>
      <c r="CT514" s="1541"/>
      <c r="CU514" s="1541"/>
      <c r="CV514" s="1541"/>
      <c r="CW514" s="1541"/>
      <c r="CX514" s="1541"/>
      <c r="CY514" s="1541"/>
      <c r="CZ514" s="1541"/>
      <c r="DA514" s="1541"/>
      <c r="DB514" s="1541"/>
      <c r="DC514" s="1541"/>
      <c r="DD514" s="1541"/>
      <c r="DE514" s="1541"/>
      <c r="DF514" s="1541"/>
      <c r="DG514" s="1541"/>
      <c r="DH514" s="1541"/>
      <c r="DI514" s="1541"/>
      <c r="DJ514" s="1541"/>
      <c r="DK514" s="1541"/>
      <c r="DL514" s="1541"/>
      <c r="DM514" s="1541"/>
      <c r="DN514" s="1541"/>
      <c r="DO514" s="1541"/>
      <c r="DP514" s="1541"/>
      <c r="DQ514" s="1541"/>
      <c r="DR514" s="1541"/>
      <c r="DS514" s="1541"/>
      <c r="DT514" s="1541"/>
      <c r="DU514" s="1541"/>
      <c r="DV514" s="1541"/>
      <c r="DW514" s="1541"/>
      <c r="DX514" s="1541"/>
      <c r="DY514" s="1541"/>
      <c r="DZ514" s="1541"/>
      <c r="EA514" s="1541"/>
      <c r="EB514" s="1541"/>
      <c r="EC514" s="1541"/>
      <c r="ED514" s="1541"/>
      <c r="EE514" s="1541"/>
      <c r="EF514" s="1541"/>
      <c r="EG514" s="1541"/>
      <c r="EH514" s="1541"/>
      <c r="EI514" s="1541"/>
      <c r="EJ514" s="1541"/>
      <c r="EK514" s="1541"/>
      <c r="EL514" s="1541"/>
      <c r="EM514" s="1541"/>
      <c r="EN514" s="1541"/>
      <c r="EO514" s="1541"/>
      <c r="EP514" s="1541"/>
      <c r="EQ514" s="1541"/>
      <c r="ER514" s="1541"/>
      <c r="ES514" s="1541"/>
      <c r="ET514" s="1541"/>
      <c r="EU514" s="1541"/>
      <c r="EV514" s="1541"/>
      <c r="EW514" s="1541"/>
      <c r="EX514" s="1541"/>
      <c r="EY514" s="1541"/>
      <c r="EZ514" s="1541"/>
      <c r="FA514" s="1541"/>
      <c r="FB514" s="1541"/>
      <c r="FC514" s="1541"/>
      <c r="FD514" s="1541"/>
      <c r="FE514" s="1541"/>
      <c r="FF514" s="1541"/>
      <c r="FG514" s="1541"/>
      <c r="FH514" s="1541"/>
      <c r="FI514" s="1541"/>
      <c r="FJ514" s="1541"/>
      <c r="FK514" s="1541"/>
      <c r="FL514" s="1541"/>
      <c r="FM514" s="1541"/>
      <c r="FN514" s="1541"/>
      <c r="FO514" s="1541"/>
      <c r="FP514" s="1541"/>
      <c r="FQ514" s="1541"/>
      <c r="FR514" s="1541"/>
      <c r="FS514" s="1541"/>
      <c r="FT514" s="1541"/>
      <c r="FU514" s="1541"/>
      <c r="FV514" s="1541"/>
      <c r="FW514" s="1541"/>
      <c r="FX514" s="1541"/>
      <c r="FY514" s="1541"/>
      <c r="FZ514" s="1541"/>
      <c r="GA514" s="1541"/>
      <c r="GB514" s="1541"/>
      <c r="GC514" s="1541"/>
      <c r="GD514" s="1541"/>
      <c r="GE514" s="1541"/>
      <c r="GF514" s="1541"/>
      <c r="GG514" s="1541"/>
      <c r="GH514" s="1541"/>
      <c r="GI514" s="1541"/>
      <c r="GJ514" s="1541"/>
      <c r="GK514" s="1541"/>
      <c r="GL514" s="1541"/>
      <c r="GM514" s="1541"/>
      <c r="GN514" s="1541"/>
      <c r="GO514" s="1541"/>
      <c r="GP514" s="1541"/>
      <c r="GQ514" s="1541"/>
      <c r="GR514" s="1541"/>
      <c r="GS514" s="1541"/>
      <c r="GT514" s="1541"/>
      <c r="GU514" s="1541"/>
      <c r="GV514" s="1541"/>
      <c r="GW514" s="1541"/>
      <c r="GX514" s="1541"/>
      <c r="GY514" s="1541"/>
      <c r="GZ514" s="1541"/>
      <c r="HA514" s="1541"/>
      <c r="HB514" s="1541"/>
      <c r="HC514" s="1541"/>
      <c r="HD514" s="1541"/>
      <c r="HE514" s="1541"/>
      <c r="HF514" s="1541"/>
      <c r="HG514" s="1541"/>
      <c r="HH514" s="1541"/>
      <c r="HI514" s="1541"/>
      <c r="HJ514" s="1541"/>
      <c r="HK514" s="1541"/>
      <c r="HL514" s="1541"/>
      <c r="HM514" s="1541"/>
      <c r="HN514" s="1541"/>
      <c r="HO514" s="1541"/>
      <c r="HP514" s="1541"/>
      <c r="HQ514" s="1541"/>
      <c r="HR514" s="1541"/>
      <c r="HS514" s="1541"/>
      <c r="HT514" s="1541"/>
      <c r="HU514" s="1541"/>
      <c r="HV514" s="1541"/>
      <c r="HW514" s="1541"/>
      <c r="HX514" s="1541"/>
      <c r="HY514" s="1541"/>
      <c r="HZ514" s="1541"/>
      <c r="IA514" s="1541"/>
      <c r="IB514" s="1541"/>
      <c r="IC514" s="1541"/>
      <c r="ID514" s="1541"/>
      <c r="IE514" s="1541"/>
      <c r="IF514" s="1541"/>
      <c r="IG514" s="1541"/>
      <c r="IH514" s="1541"/>
      <c r="II514" s="1541"/>
      <c r="IJ514" s="1541"/>
      <c r="IK514" s="1541"/>
      <c r="IL514" s="1541"/>
      <c r="IM514" s="1541"/>
      <c r="IN514" s="1541"/>
    </row>
    <row r="515" spans="1:248" s="1541" customFormat="1">
      <c r="A515" s="1595"/>
      <c r="B515" s="1600"/>
      <c r="C515" s="1600"/>
      <c r="D515" s="1600"/>
      <c r="E515" s="1600"/>
      <c r="F515" s="1556"/>
      <c r="G515" s="1538"/>
    </row>
    <row r="516" spans="1:248" s="1556" customFormat="1">
      <c r="A516" s="1590" t="s">
        <v>571</v>
      </c>
      <c r="B516" s="1600"/>
      <c r="C516" s="1600"/>
      <c r="D516" s="1600"/>
      <c r="E516" s="1600"/>
      <c r="G516" s="1538"/>
      <c r="H516" s="1541"/>
      <c r="I516" s="1541"/>
      <c r="J516" s="1541"/>
      <c r="K516" s="1541"/>
      <c r="L516" s="1541"/>
      <c r="M516" s="1541"/>
      <c r="N516" s="1541"/>
      <c r="O516" s="1541"/>
      <c r="P516" s="1541"/>
      <c r="Q516" s="1541"/>
      <c r="R516" s="1541"/>
      <c r="S516" s="1541"/>
      <c r="T516" s="1541"/>
      <c r="U516" s="1541"/>
      <c r="V516" s="1541"/>
      <c r="W516" s="1541"/>
      <c r="X516" s="1541"/>
      <c r="Y516" s="1541"/>
      <c r="Z516" s="1541"/>
      <c r="AA516" s="1541"/>
      <c r="AB516" s="1541"/>
      <c r="AC516" s="1541"/>
      <c r="AD516" s="1541"/>
      <c r="AE516" s="1541"/>
      <c r="AF516" s="1541"/>
      <c r="AG516" s="1541"/>
      <c r="AH516" s="1541"/>
      <c r="AI516" s="1541"/>
      <c r="AJ516" s="1541"/>
      <c r="AK516" s="1541"/>
      <c r="AL516" s="1541"/>
      <c r="AM516" s="1541"/>
      <c r="AN516" s="1541"/>
      <c r="AO516" s="1541"/>
      <c r="AP516" s="1541"/>
      <c r="AQ516" s="1541"/>
      <c r="AR516" s="1541"/>
      <c r="AS516" s="1541"/>
      <c r="AT516" s="1541"/>
      <c r="AU516" s="1541"/>
      <c r="AV516" s="1541"/>
      <c r="AW516" s="1541"/>
      <c r="AX516" s="1541"/>
      <c r="AY516" s="1541"/>
      <c r="AZ516" s="1541"/>
      <c r="BA516" s="1541"/>
      <c r="BB516" s="1541"/>
      <c r="BC516" s="1541"/>
      <c r="BD516" s="1541"/>
      <c r="BE516" s="1541"/>
      <c r="BF516" s="1541"/>
      <c r="BG516" s="1541"/>
      <c r="BH516" s="1541"/>
      <c r="BI516" s="1541"/>
      <c r="BJ516" s="1541"/>
      <c r="BK516" s="1541"/>
      <c r="BL516" s="1541"/>
      <c r="BM516" s="1541"/>
      <c r="BN516" s="1541"/>
      <c r="BO516" s="1541"/>
      <c r="BP516" s="1541"/>
      <c r="BQ516" s="1541"/>
      <c r="BR516" s="1541"/>
      <c r="BS516" s="1541"/>
      <c r="BT516" s="1541"/>
      <c r="BU516" s="1541"/>
      <c r="BV516" s="1541"/>
      <c r="BW516" s="1541"/>
      <c r="BX516" s="1541"/>
      <c r="BY516" s="1541"/>
      <c r="BZ516" s="1541"/>
      <c r="CA516" s="1541"/>
      <c r="CB516" s="1541"/>
      <c r="CC516" s="1541"/>
      <c r="CD516" s="1541"/>
      <c r="CE516" s="1541"/>
      <c r="CF516" s="1541"/>
      <c r="CG516" s="1541"/>
      <c r="CH516" s="1541"/>
      <c r="CI516" s="1541"/>
      <c r="CJ516" s="1541"/>
      <c r="CK516" s="1541"/>
      <c r="CL516" s="1541"/>
      <c r="CM516" s="1541"/>
      <c r="CN516" s="1541"/>
      <c r="CO516" s="1541"/>
      <c r="CP516" s="1541"/>
      <c r="CQ516" s="1541"/>
      <c r="CR516" s="1541"/>
      <c r="CS516" s="1541"/>
      <c r="CT516" s="1541"/>
      <c r="CU516" s="1541"/>
      <c r="CV516" s="1541"/>
      <c r="CW516" s="1541"/>
      <c r="CX516" s="1541"/>
      <c r="CY516" s="1541"/>
      <c r="CZ516" s="1541"/>
      <c r="DA516" s="1541"/>
      <c r="DB516" s="1541"/>
      <c r="DC516" s="1541"/>
      <c r="DD516" s="1541"/>
      <c r="DE516" s="1541"/>
      <c r="DF516" s="1541"/>
      <c r="DG516" s="1541"/>
      <c r="DH516" s="1541"/>
      <c r="DI516" s="1541"/>
      <c r="DJ516" s="1541"/>
      <c r="DK516" s="1541"/>
      <c r="DL516" s="1541"/>
      <c r="DM516" s="1541"/>
      <c r="DN516" s="1541"/>
      <c r="DO516" s="1541"/>
      <c r="DP516" s="1541"/>
      <c r="DQ516" s="1541"/>
      <c r="DR516" s="1541"/>
      <c r="DS516" s="1541"/>
      <c r="DT516" s="1541"/>
      <c r="DU516" s="1541"/>
      <c r="DV516" s="1541"/>
      <c r="DW516" s="1541"/>
      <c r="DX516" s="1541"/>
      <c r="DY516" s="1541"/>
      <c r="DZ516" s="1541"/>
      <c r="EA516" s="1541"/>
      <c r="EB516" s="1541"/>
      <c r="EC516" s="1541"/>
      <c r="ED516" s="1541"/>
      <c r="EE516" s="1541"/>
      <c r="EF516" s="1541"/>
      <c r="EG516" s="1541"/>
      <c r="EH516" s="1541"/>
      <c r="EI516" s="1541"/>
      <c r="EJ516" s="1541"/>
      <c r="EK516" s="1541"/>
      <c r="EL516" s="1541"/>
      <c r="EM516" s="1541"/>
      <c r="EN516" s="1541"/>
      <c r="EO516" s="1541"/>
      <c r="EP516" s="1541"/>
      <c r="EQ516" s="1541"/>
      <c r="ER516" s="1541"/>
      <c r="ES516" s="1541"/>
      <c r="ET516" s="1541"/>
      <c r="EU516" s="1541"/>
      <c r="EV516" s="1541"/>
      <c r="EW516" s="1541"/>
      <c r="EX516" s="1541"/>
      <c r="EY516" s="1541"/>
      <c r="EZ516" s="1541"/>
      <c r="FA516" s="1541"/>
      <c r="FB516" s="1541"/>
      <c r="FC516" s="1541"/>
      <c r="FD516" s="1541"/>
      <c r="FE516" s="1541"/>
      <c r="FF516" s="1541"/>
      <c r="FG516" s="1541"/>
      <c r="FH516" s="1541"/>
      <c r="FI516" s="1541"/>
      <c r="FJ516" s="1541"/>
      <c r="FK516" s="1541"/>
      <c r="FL516" s="1541"/>
      <c r="FM516" s="1541"/>
      <c r="FN516" s="1541"/>
      <c r="FO516" s="1541"/>
      <c r="FP516" s="1541"/>
      <c r="FQ516" s="1541"/>
      <c r="FR516" s="1541"/>
      <c r="FS516" s="1541"/>
      <c r="FT516" s="1541"/>
      <c r="FU516" s="1541"/>
      <c r="FV516" s="1541"/>
      <c r="FW516" s="1541"/>
      <c r="FX516" s="1541"/>
      <c r="FY516" s="1541"/>
      <c r="FZ516" s="1541"/>
      <c r="GA516" s="1541"/>
      <c r="GB516" s="1541"/>
      <c r="GC516" s="1541"/>
      <c r="GD516" s="1541"/>
      <c r="GE516" s="1541"/>
      <c r="GF516" s="1541"/>
      <c r="GG516" s="1541"/>
      <c r="GH516" s="1541"/>
      <c r="GI516" s="1541"/>
      <c r="GJ516" s="1541"/>
      <c r="GK516" s="1541"/>
      <c r="GL516" s="1541"/>
      <c r="GM516" s="1541"/>
      <c r="GN516" s="1541"/>
      <c r="GO516" s="1541"/>
      <c r="GP516" s="1541"/>
      <c r="GQ516" s="1541"/>
      <c r="GR516" s="1541"/>
      <c r="GS516" s="1541"/>
      <c r="GT516" s="1541"/>
      <c r="GU516" s="1541"/>
      <c r="GV516" s="1541"/>
      <c r="GW516" s="1541"/>
      <c r="GX516" s="1541"/>
      <c r="GY516" s="1541"/>
      <c r="GZ516" s="1541"/>
      <c r="HA516" s="1541"/>
      <c r="HB516" s="1541"/>
      <c r="HC516" s="1541"/>
      <c r="HD516" s="1541"/>
      <c r="HE516" s="1541"/>
      <c r="HF516" s="1541"/>
      <c r="HG516" s="1541"/>
      <c r="HH516" s="1541"/>
      <c r="HI516" s="1541"/>
      <c r="HJ516" s="1541"/>
      <c r="HK516" s="1541"/>
      <c r="HL516" s="1541"/>
      <c r="HM516" s="1541"/>
      <c r="HN516" s="1541"/>
      <c r="HO516" s="1541"/>
      <c r="HP516" s="1541"/>
      <c r="HQ516" s="1541"/>
      <c r="HR516" s="1541"/>
      <c r="HS516" s="1541"/>
      <c r="HT516" s="1541"/>
      <c r="HU516" s="1541"/>
      <c r="HV516" s="1541"/>
      <c r="HW516" s="1541"/>
      <c r="HX516" s="1541"/>
      <c r="HY516" s="1541"/>
      <c r="HZ516" s="1541"/>
      <c r="IA516" s="1541"/>
      <c r="IB516" s="1541"/>
      <c r="IC516" s="1541"/>
      <c r="ID516" s="1541"/>
      <c r="IE516" s="1541"/>
      <c r="IF516" s="1541"/>
      <c r="IG516" s="1541"/>
      <c r="IH516" s="1541"/>
      <c r="II516" s="1541"/>
      <c r="IJ516" s="1541"/>
      <c r="IK516" s="1541"/>
      <c r="IL516" s="1541"/>
      <c r="IM516" s="1541"/>
      <c r="IN516" s="1541"/>
    </row>
    <row r="517" spans="1:248" s="1556" customFormat="1">
      <c r="A517" s="1595" t="s">
        <v>563</v>
      </c>
      <c r="B517" s="1600">
        <f>B509</f>
        <v>142.88</v>
      </c>
      <c r="C517" s="1600">
        <f t="shared" ref="C517:C522" si="135">ROUND(B517*$C$6,2)</f>
        <v>20.260000000000002</v>
      </c>
      <c r="D517" s="1600"/>
      <c r="E517" s="1600">
        <f t="shared" ref="E517:E522" si="136">B517+C517+D517</f>
        <v>163.13999999999999</v>
      </c>
      <c r="G517" s="1557">
        <f t="shared" ref="G517:G522" si="137">(B517*$C$6)-C517</f>
        <v>6.3993410246965254E-4</v>
      </c>
      <c r="H517" s="1541"/>
      <c r="I517" s="1541"/>
      <c r="J517" s="1541"/>
      <c r="K517" s="1541"/>
      <c r="L517" s="1541"/>
      <c r="M517" s="1541"/>
      <c r="N517" s="1541"/>
      <c r="O517" s="1541"/>
      <c r="P517" s="1541"/>
      <c r="Q517" s="1541"/>
      <c r="R517" s="1541"/>
      <c r="S517" s="1541"/>
      <c r="T517" s="1541"/>
      <c r="U517" s="1541"/>
      <c r="V517" s="1541"/>
      <c r="W517" s="1541"/>
      <c r="X517" s="1541"/>
      <c r="Y517" s="1541"/>
      <c r="Z517" s="1541"/>
      <c r="AA517" s="1541"/>
      <c r="AB517" s="1541"/>
      <c r="AC517" s="1541"/>
      <c r="AD517" s="1541"/>
      <c r="AE517" s="1541"/>
      <c r="AF517" s="1541"/>
      <c r="AG517" s="1541"/>
      <c r="AH517" s="1541"/>
      <c r="AI517" s="1541"/>
      <c r="AJ517" s="1541"/>
      <c r="AK517" s="1541"/>
      <c r="AL517" s="1541"/>
      <c r="AM517" s="1541"/>
      <c r="AN517" s="1541"/>
      <c r="AO517" s="1541"/>
      <c r="AP517" s="1541"/>
      <c r="AQ517" s="1541"/>
      <c r="AR517" s="1541"/>
      <c r="AS517" s="1541"/>
      <c r="AT517" s="1541"/>
      <c r="AU517" s="1541"/>
      <c r="AV517" s="1541"/>
      <c r="AW517" s="1541"/>
      <c r="AX517" s="1541"/>
      <c r="AY517" s="1541"/>
      <c r="AZ517" s="1541"/>
      <c r="BA517" s="1541"/>
      <c r="BB517" s="1541"/>
      <c r="BC517" s="1541"/>
      <c r="BD517" s="1541"/>
      <c r="BE517" s="1541"/>
      <c r="BF517" s="1541"/>
      <c r="BG517" s="1541"/>
      <c r="BH517" s="1541"/>
      <c r="BI517" s="1541"/>
      <c r="BJ517" s="1541"/>
      <c r="BK517" s="1541"/>
      <c r="BL517" s="1541"/>
      <c r="BM517" s="1541"/>
      <c r="BN517" s="1541"/>
      <c r="BO517" s="1541"/>
      <c r="BP517" s="1541"/>
      <c r="BQ517" s="1541"/>
      <c r="BR517" s="1541"/>
      <c r="BS517" s="1541"/>
      <c r="BT517" s="1541"/>
      <c r="BU517" s="1541"/>
      <c r="BV517" s="1541"/>
      <c r="BW517" s="1541"/>
      <c r="BX517" s="1541"/>
      <c r="BY517" s="1541"/>
      <c r="BZ517" s="1541"/>
      <c r="CA517" s="1541"/>
      <c r="CB517" s="1541"/>
      <c r="CC517" s="1541"/>
      <c r="CD517" s="1541"/>
      <c r="CE517" s="1541"/>
      <c r="CF517" s="1541"/>
      <c r="CG517" s="1541"/>
      <c r="CH517" s="1541"/>
      <c r="CI517" s="1541"/>
      <c r="CJ517" s="1541"/>
      <c r="CK517" s="1541"/>
      <c r="CL517" s="1541"/>
      <c r="CM517" s="1541"/>
      <c r="CN517" s="1541"/>
      <c r="CO517" s="1541"/>
      <c r="CP517" s="1541"/>
      <c r="CQ517" s="1541"/>
      <c r="CR517" s="1541"/>
      <c r="CS517" s="1541"/>
      <c r="CT517" s="1541"/>
      <c r="CU517" s="1541"/>
      <c r="CV517" s="1541"/>
      <c r="CW517" s="1541"/>
      <c r="CX517" s="1541"/>
      <c r="CY517" s="1541"/>
      <c r="CZ517" s="1541"/>
      <c r="DA517" s="1541"/>
      <c r="DB517" s="1541"/>
      <c r="DC517" s="1541"/>
      <c r="DD517" s="1541"/>
      <c r="DE517" s="1541"/>
      <c r="DF517" s="1541"/>
      <c r="DG517" s="1541"/>
      <c r="DH517" s="1541"/>
      <c r="DI517" s="1541"/>
      <c r="DJ517" s="1541"/>
      <c r="DK517" s="1541"/>
      <c r="DL517" s="1541"/>
      <c r="DM517" s="1541"/>
      <c r="DN517" s="1541"/>
      <c r="DO517" s="1541"/>
      <c r="DP517" s="1541"/>
      <c r="DQ517" s="1541"/>
      <c r="DR517" s="1541"/>
      <c r="DS517" s="1541"/>
      <c r="DT517" s="1541"/>
      <c r="DU517" s="1541"/>
      <c r="DV517" s="1541"/>
      <c r="DW517" s="1541"/>
      <c r="DX517" s="1541"/>
      <c r="DY517" s="1541"/>
      <c r="DZ517" s="1541"/>
      <c r="EA517" s="1541"/>
      <c r="EB517" s="1541"/>
      <c r="EC517" s="1541"/>
      <c r="ED517" s="1541"/>
      <c r="EE517" s="1541"/>
      <c r="EF517" s="1541"/>
      <c r="EG517" s="1541"/>
      <c r="EH517" s="1541"/>
      <c r="EI517" s="1541"/>
      <c r="EJ517" s="1541"/>
      <c r="EK517" s="1541"/>
      <c r="EL517" s="1541"/>
      <c r="EM517" s="1541"/>
      <c r="EN517" s="1541"/>
      <c r="EO517" s="1541"/>
      <c r="EP517" s="1541"/>
      <c r="EQ517" s="1541"/>
      <c r="ER517" s="1541"/>
      <c r="ES517" s="1541"/>
      <c r="ET517" s="1541"/>
      <c r="EU517" s="1541"/>
      <c r="EV517" s="1541"/>
      <c r="EW517" s="1541"/>
      <c r="EX517" s="1541"/>
      <c r="EY517" s="1541"/>
      <c r="EZ517" s="1541"/>
      <c r="FA517" s="1541"/>
      <c r="FB517" s="1541"/>
      <c r="FC517" s="1541"/>
      <c r="FD517" s="1541"/>
      <c r="FE517" s="1541"/>
      <c r="FF517" s="1541"/>
      <c r="FG517" s="1541"/>
      <c r="FH517" s="1541"/>
      <c r="FI517" s="1541"/>
      <c r="FJ517" s="1541"/>
      <c r="FK517" s="1541"/>
      <c r="FL517" s="1541"/>
      <c r="FM517" s="1541"/>
      <c r="FN517" s="1541"/>
      <c r="FO517" s="1541"/>
      <c r="FP517" s="1541"/>
      <c r="FQ517" s="1541"/>
      <c r="FR517" s="1541"/>
      <c r="FS517" s="1541"/>
      <c r="FT517" s="1541"/>
      <c r="FU517" s="1541"/>
      <c r="FV517" s="1541"/>
      <c r="FW517" s="1541"/>
      <c r="FX517" s="1541"/>
      <c r="FY517" s="1541"/>
      <c r="FZ517" s="1541"/>
      <c r="GA517" s="1541"/>
      <c r="GB517" s="1541"/>
      <c r="GC517" s="1541"/>
      <c r="GD517" s="1541"/>
      <c r="GE517" s="1541"/>
      <c r="GF517" s="1541"/>
      <c r="GG517" s="1541"/>
      <c r="GH517" s="1541"/>
      <c r="GI517" s="1541"/>
      <c r="GJ517" s="1541"/>
      <c r="GK517" s="1541"/>
      <c r="GL517" s="1541"/>
      <c r="GM517" s="1541"/>
      <c r="GN517" s="1541"/>
      <c r="GO517" s="1541"/>
      <c r="GP517" s="1541"/>
      <c r="GQ517" s="1541"/>
      <c r="GR517" s="1541"/>
      <c r="GS517" s="1541"/>
      <c r="GT517" s="1541"/>
      <c r="GU517" s="1541"/>
      <c r="GV517" s="1541"/>
      <c r="GW517" s="1541"/>
      <c r="GX517" s="1541"/>
      <c r="GY517" s="1541"/>
      <c r="GZ517" s="1541"/>
      <c r="HA517" s="1541"/>
      <c r="HB517" s="1541"/>
      <c r="HC517" s="1541"/>
      <c r="HD517" s="1541"/>
      <c r="HE517" s="1541"/>
      <c r="HF517" s="1541"/>
      <c r="HG517" s="1541"/>
      <c r="HH517" s="1541"/>
      <c r="HI517" s="1541"/>
      <c r="HJ517" s="1541"/>
      <c r="HK517" s="1541"/>
      <c r="HL517" s="1541"/>
      <c r="HM517" s="1541"/>
      <c r="HN517" s="1541"/>
      <c r="HO517" s="1541"/>
      <c r="HP517" s="1541"/>
      <c r="HQ517" s="1541"/>
      <c r="HR517" s="1541"/>
      <c r="HS517" s="1541"/>
      <c r="HT517" s="1541"/>
      <c r="HU517" s="1541"/>
      <c r="HV517" s="1541"/>
      <c r="HW517" s="1541"/>
      <c r="HX517" s="1541"/>
      <c r="HY517" s="1541"/>
      <c r="HZ517" s="1541"/>
      <c r="IA517" s="1541"/>
      <c r="IB517" s="1541"/>
      <c r="IC517" s="1541"/>
      <c r="ID517" s="1541"/>
      <c r="IE517" s="1541"/>
      <c r="IF517" s="1541"/>
      <c r="IG517" s="1541"/>
      <c r="IH517" s="1541"/>
      <c r="II517" s="1541"/>
      <c r="IJ517" s="1541"/>
      <c r="IK517" s="1541"/>
      <c r="IL517" s="1541"/>
      <c r="IM517" s="1541"/>
      <c r="IN517" s="1541"/>
    </row>
    <row r="518" spans="1:248" s="1556" customFormat="1">
      <c r="A518" s="1595" t="s">
        <v>565</v>
      </c>
      <c r="B518" s="1600">
        <f t="shared" ref="B518:B522" si="138">B510</f>
        <v>181.27</v>
      </c>
      <c r="C518" s="1600">
        <f t="shared" si="135"/>
        <v>25.7</v>
      </c>
      <c r="D518" s="1600"/>
      <c r="E518" s="1600">
        <f t="shared" si="136"/>
        <v>206.97</v>
      </c>
      <c r="G518" s="1557">
        <f t="shared" si="137"/>
        <v>4.4107002712472365E-3</v>
      </c>
      <c r="H518" s="1541"/>
      <c r="I518" s="1541"/>
      <c r="J518" s="1541"/>
      <c r="K518" s="1541"/>
      <c r="L518" s="1541"/>
      <c r="M518" s="1541"/>
      <c r="N518" s="1541"/>
      <c r="O518" s="1541"/>
      <c r="P518" s="1541"/>
      <c r="Q518" s="1541"/>
      <c r="R518" s="1541"/>
      <c r="S518" s="1541"/>
      <c r="T518" s="1541"/>
      <c r="U518" s="1541"/>
      <c r="V518" s="1541"/>
      <c r="W518" s="1541"/>
      <c r="X518" s="1541"/>
      <c r="Y518" s="1541"/>
      <c r="Z518" s="1541"/>
      <c r="AA518" s="1541"/>
      <c r="AB518" s="1541"/>
      <c r="AC518" s="1541"/>
      <c r="AD518" s="1541"/>
      <c r="AE518" s="1541"/>
      <c r="AF518" s="1541"/>
      <c r="AG518" s="1541"/>
      <c r="AH518" s="1541"/>
      <c r="AI518" s="1541"/>
      <c r="AJ518" s="1541"/>
      <c r="AK518" s="1541"/>
      <c r="AL518" s="1541"/>
      <c r="AM518" s="1541"/>
      <c r="AN518" s="1541"/>
      <c r="AO518" s="1541"/>
      <c r="AP518" s="1541"/>
      <c r="AQ518" s="1541"/>
      <c r="AR518" s="1541"/>
      <c r="AS518" s="1541"/>
      <c r="AT518" s="1541"/>
      <c r="AU518" s="1541"/>
      <c r="AV518" s="1541"/>
      <c r="AW518" s="1541"/>
      <c r="AX518" s="1541"/>
      <c r="AY518" s="1541"/>
      <c r="AZ518" s="1541"/>
      <c r="BA518" s="1541"/>
      <c r="BB518" s="1541"/>
      <c r="BC518" s="1541"/>
      <c r="BD518" s="1541"/>
      <c r="BE518" s="1541"/>
      <c r="BF518" s="1541"/>
      <c r="BG518" s="1541"/>
      <c r="BH518" s="1541"/>
      <c r="BI518" s="1541"/>
      <c r="BJ518" s="1541"/>
      <c r="BK518" s="1541"/>
      <c r="BL518" s="1541"/>
      <c r="BM518" s="1541"/>
      <c r="BN518" s="1541"/>
      <c r="BO518" s="1541"/>
      <c r="BP518" s="1541"/>
      <c r="BQ518" s="1541"/>
      <c r="BR518" s="1541"/>
      <c r="BS518" s="1541"/>
      <c r="BT518" s="1541"/>
      <c r="BU518" s="1541"/>
      <c r="BV518" s="1541"/>
      <c r="BW518" s="1541"/>
      <c r="BX518" s="1541"/>
      <c r="BY518" s="1541"/>
      <c r="BZ518" s="1541"/>
      <c r="CA518" s="1541"/>
      <c r="CB518" s="1541"/>
      <c r="CC518" s="1541"/>
      <c r="CD518" s="1541"/>
      <c r="CE518" s="1541"/>
      <c r="CF518" s="1541"/>
      <c r="CG518" s="1541"/>
      <c r="CH518" s="1541"/>
      <c r="CI518" s="1541"/>
      <c r="CJ518" s="1541"/>
      <c r="CK518" s="1541"/>
      <c r="CL518" s="1541"/>
      <c r="CM518" s="1541"/>
      <c r="CN518" s="1541"/>
      <c r="CO518" s="1541"/>
      <c r="CP518" s="1541"/>
      <c r="CQ518" s="1541"/>
      <c r="CR518" s="1541"/>
      <c r="CS518" s="1541"/>
      <c r="CT518" s="1541"/>
      <c r="CU518" s="1541"/>
      <c r="CV518" s="1541"/>
      <c r="CW518" s="1541"/>
      <c r="CX518" s="1541"/>
      <c r="CY518" s="1541"/>
      <c r="CZ518" s="1541"/>
      <c r="DA518" s="1541"/>
      <c r="DB518" s="1541"/>
      <c r="DC518" s="1541"/>
      <c r="DD518" s="1541"/>
      <c r="DE518" s="1541"/>
      <c r="DF518" s="1541"/>
      <c r="DG518" s="1541"/>
      <c r="DH518" s="1541"/>
      <c r="DI518" s="1541"/>
      <c r="DJ518" s="1541"/>
      <c r="DK518" s="1541"/>
      <c r="DL518" s="1541"/>
      <c r="DM518" s="1541"/>
      <c r="DN518" s="1541"/>
      <c r="DO518" s="1541"/>
      <c r="DP518" s="1541"/>
      <c r="DQ518" s="1541"/>
      <c r="DR518" s="1541"/>
      <c r="DS518" s="1541"/>
      <c r="DT518" s="1541"/>
      <c r="DU518" s="1541"/>
      <c r="DV518" s="1541"/>
      <c r="DW518" s="1541"/>
      <c r="DX518" s="1541"/>
      <c r="DY518" s="1541"/>
      <c r="DZ518" s="1541"/>
      <c r="EA518" s="1541"/>
      <c r="EB518" s="1541"/>
      <c r="EC518" s="1541"/>
      <c r="ED518" s="1541"/>
      <c r="EE518" s="1541"/>
      <c r="EF518" s="1541"/>
      <c r="EG518" s="1541"/>
      <c r="EH518" s="1541"/>
      <c r="EI518" s="1541"/>
      <c r="EJ518" s="1541"/>
      <c r="EK518" s="1541"/>
      <c r="EL518" s="1541"/>
      <c r="EM518" s="1541"/>
      <c r="EN518" s="1541"/>
      <c r="EO518" s="1541"/>
      <c r="EP518" s="1541"/>
      <c r="EQ518" s="1541"/>
      <c r="ER518" s="1541"/>
      <c r="ES518" s="1541"/>
      <c r="ET518" s="1541"/>
      <c r="EU518" s="1541"/>
      <c r="EV518" s="1541"/>
      <c r="EW518" s="1541"/>
      <c r="EX518" s="1541"/>
      <c r="EY518" s="1541"/>
      <c r="EZ518" s="1541"/>
      <c r="FA518" s="1541"/>
      <c r="FB518" s="1541"/>
      <c r="FC518" s="1541"/>
      <c r="FD518" s="1541"/>
      <c r="FE518" s="1541"/>
      <c r="FF518" s="1541"/>
      <c r="FG518" s="1541"/>
      <c r="FH518" s="1541"/>
      <c r="FI518" s="1541"/>
      <c r="FJ518" s="1541"/>
      <c r="FK518" s="1541"/>
      <c r="FL518" s="1541"/>
      <c r="FM518" s="1541"/>
      <c r="FN518" s="1541"/>
      <c r="FO518" s="1541"/>
      <c r="FP518" s="1541"/>
      <c r="FQ518" s="1541"/>
      <c r="FR518" s="1541"/>
      <c r="FS518" s="1541"/>
      <c r="FT518" s="1541"/>
      <c r="FU518" s="1541"/>
      <c r="FV518" s="1541"/>
      <c r="FW518" s="1541"/>
      <c r="FX518" s="1541"/>
      <c r="FY518" s="1541"/>
      <c r="FZ518" s="1541"/>
      <c r="GA518" s="1541"/>
      <c r="GB518" s="1541"/>
      <c r="GC518" s="1541"/>
      <c r="GD518" s="1541"/>
      <c r="GE518" s="1541"/>
      <c r="GF518" s="1541"/>
      <c r="GG518" s="1541"/>
      <c r="GH518" s="1541"/>
      <c r="GI518" s="1541"/>
      <c r="GJ518" s="1541"/>
      <c r="GK518" s="1541"/>
      <c r="GL518" s="1541"/>
      <c r="GM518" s="1541"/>
      <c r="GN518" s="1541"/>
      <c r="GO518" s="1541"/>
      <c r="GP518" s="1541"/>
      <c r="GQ518" s="1541"/>
      <c r="GR518" s="1541"/>
      <c r="GS518" s="1541"/>
      <c r="GT518" s="1541"/>
      <c r="GU518" s="1541"/>
      <c r="GV518" s="1541"/>
      <c r="GW518" s="1541"/>
      <c r="GX518" s="1541"/>
      <c r="GY518" s="1541"/>
      <c r="GZ518" s="1541"/>
      <c r="HA518" s="1541"/>
      <c r="HB518" s="1541"/>
      <c r="HC518" s="1541"/>
      <c r="HD518" s="1541"/>
      <c r="HE518" s="1541"/>
      <c r="HF518" s="1541"/>
      <c r="HG518" s="1541"/>
      <c r="HH518" s="1541"/>
      <c r="HI518" s="1541"/>
      <c r="HJ518" s="1541"/>
      <c r="HK518" s="1541"/>
      <c r="HL518" s="1541"/>
      <c r="HM518" s="1541"/>
      <c r="HN518" s="1541"/>
      <c r="HO518" s="1541"/>
      <c r="HP518" s="1541"/>
      <c r="HQ518" s="1541"/>
      <c r="HR518" s="1541"/>
      <c r="HS518" s="1541"/>
      <c r="HT518" s="1541"/>
      <c r="HU518" s="1541"/>
      <c r="HV518" s="1541"/>
      <c r="HW518" s="1541"/>
      <c r="HX518" s="1541"/>
      <c r="HY518" s="1541"/>
      <c r="HZ518" s="1541"/>
      <c r="IA518" s="1541"/>
      <c r="IB518" s="1541"/>
      <c r="IC518" s="1541"/>
      <c r="ID518" s="1541"/>
      <c r="IE518" s="1541"/>
      <c r="IF518" s="1541"/>
      <c r="IG518" s="1541"/>
      <c r="IH518" s="1541"/>
      <c r="II518" s="1541"/>
      <c r="IJ518" s="1541"/>
      <c r="IK518" s="1541"/>
      <c r="IL518" s="1541"/>
      <c r="IM518" s="1541"/>
      <c r="IN518" s="1541"/>
    </row>
    <row r="519" spans="1:248" s="1556" customFormat="1">
      <c r="A519" s="1595" t="s">
        <v>566</v>
      </c>
      <c r="B519" s="1600">
        <f t="shared" si="138"/>
        <v>223.51</v>
      </c>
      <c r="C519" s="1600">
        <f t="shared" si="135"/>
        <v>31.69</v>
      </c>
      <c r="D519" s="1600"/>
      <c r="E519" s="1600">
        <f t="shared" si="136"/>
        <v>255.2</v>
      </c>
      <c r="G519" s="1557">
        <f t="shared" si="137"/>
        <v>4.1183627606642403E-3</v>
      </c>
      <c r="H519" s="1541"/>
      <c r="I519" s="1541"/>
      <c r="J519" s="1541"/>
      <c r="K519" s="1541"/>
      <c r="L519" s="1541"/>
      <c r="M519" s="1541"/>
      <c r="N519" s="1541"/>
      <c r="O519" s="1541"/>
      <c r="P519" s="1541"/>
      <c r="Q519" s="1541"/>
      <c r="R519" s="1541"/>
      <c r="S519" s="1541"/>
      <c r="T519" s="1541"/>
      <c r="U519" s="1541"/>
      <c r="V519" s="1541"/>
      <c r="W519" s="1541"/>
      <c r="X519" s="1541"/>
      <c r="Y519" s="1541"/>
      <c r="Z519" s="1541"/>
      <c r="AA519" s="1541"/>
      <c r="AB519" s="1541"/>
      <c r="AC519" s="1541"/>
      <c r="AD519" s="1541"/>
      <c r="AE519" s="1541"/>
      <c r="AF519" s="1541"/>
      <c r="AG519" s="1541"/>
      <c r="AH519" s="1541"/>
      <c r="AI519" s="1541"/>
      <c r="AJ519" s="1541"/>
      <c r="AK519" s="1541"/>
      <c r="AL519" s="1541"/>
      <c r="AM519" s="1541"/>
      <c r="AN519" s="1541"/>
      <c r="AO519" s="1541"/>
      <c r="AP519" s="1541"/>
      <c r="AQ519" s="1541"/>
      <c r="AR519" s="1541"/>
      <c r="AS519" s="1541"/>
      <c r="AT519" s="1541"/>
      <c r="AU519" s="1541"/>
      <c r="AV519" s="1541"/>
      <c r="AW519" s="1541"/>
      <c r="AX519" s="1541"/>
      <c r="AY519" s="1541"/>
      <c r="AZ519" s="1541"/>
      <c r="BA519" s="1541"/>
      <c r="BB519" s="1541"/>
      <c r="BC519" s="1541"/>
      <c r="BD519" s="1541"/>
      <c r="BE519" s="1541"/>
      <c r="BF519" s="1541"/>
      <c r="BG519" s="1541"/>
      <c r="BH519" s="1541"/>
      <c r="BI519" s="1541"/>
      <c r="BJ519" s="1541"/>
      <c r="BK519" s="1541"/>
      <c r="BL519" s="1541"/>
      <c r="BM519" s="1541"/>
      <c r="BN519" s="1541"/>
      <c r="BO519" s="1541"/>
      <c r="BP519" s="1541"/>
      <c r="BQ519" s="1541"/>
      <c r="BR519" s="1541"/>
      <c r="BS519" s="1541"/>
      <c r="BT519" s="1541"/>
      <c r="BU519" s="1541"/>
      <c r="BV519" s="1541"/>
      <c r="BW519" s="1541"/>
      <c r="BX519" s="1541"/>
      <c r="BY519" s="1541"/>
      <c r="BZ519" s="1541"/>
      <c r="CA519" s="1541"/>
      <c r="CB519" s="1541"/>
      <c r="CC519" s="1541"/>
      <c r="CD519" s="1541"/>
      <c r="CE519" s="1541"/>
      <c r="CF519" s="1541"/>
      <c r="CG519" s="1541"/>
      <c r="CH519" s="1541"/>
      <c r="CI519" s="1541"/>
      <c r="CJ519" s="1541"/>
      <c r="CK519" s="1541"/>
      <c r="CL519" s="1541"/>
      <c r="CM519" s="1541"/>
      <c r="CN519" s="1541"/>
      <c r="CO519" s="1541"/>
      <c r="CP519" s="1541"/>
      <c r="CQ519" s="1541"/>
      <c r="CR519" s="1541"/>
      <c r="CS519" s="1541"/>
      <c r="CT519" s="1541"/>
      <c r="CU519" s="1541"/>
      <c r="CV519" s="1541"/>
      <c r="CW519" s="1541"/>
      <c r="CX519" s="1541"/>
      <c r="CY519" s="1541"/>
      <c r="CZ519" s="1541"/>
      <c r="DA519" s="1541"/>
      <c r="DB519" s="1541"/>
      <c r="DC519" s="1541"/>
      <c r="DD519" s="1541"/>
      <c r="DE519" s="1541"/>
      <c r="DF519" s="1541"/>
      <c r="DG519" s="1541"/>
      <c r="DH519" s="1541"/>
      <c r="DI519" s="1541"/>
      <c r="DJ519" s="1541"/>
      <c r="DK519" s="1541"/>
      <c r="DL519" s="1541"/>
      <c r="DM519" s="1541"/>
      <c r="DN519" s="1541"/>
      <c r="DO519" s="1541"/>
      <c r="DP519" s="1541"/>
      <c r="DQ519" s="1541"/>
      <c r="DR519" s="1541"/>
      <c r="DS519" s="1541"/>
      <c r="DT519" s="1541"/>
      <c r="DU519" s="1541"/>
      <c r="DV519" s="1541"/>
      <c r="DW519" s="1541"/>
      <c r="DX519" s="1541"/>
      <c r="DY519" s="1541"/>
      <c r="DZ519" s="1541"/>
      <c r="EA519" s="1541"/>
      <c r="EB519" s="1541"/>
      <c r="EC519" s="1541"/>
      <c r="ED519" s="1541"/>
      <c r="EE519" s="1541"/>
      <c r="EF519" s="1541"/>
      <c r="EG519" s="1541"/>
      <c r="EH519" s="1541"/>
      <c r="EI519" s="1541"/>
      <c r="EJ519" s="1541"/>
      <c r="EK519" s="1541"/>
      <c r="EL519" s="1541"/>
      <c r="EM519" s="1541"/>
      <c r="EN519" s="1541"/>
      <c r="EO519" s="1541"/>
      <c r="EP519" s="1541"/>
      <c r="EQ519" s="1541"/>
      <c r="ER519" s="1541"/>
      <c r="ES519" s="1541"/>
      <c r="ET519" s="1541"/>
      <c r="EU519" s="1541"/>
      <c r="EV519" s="1541"/>
      <c r="EW519" s="1541"/>
      <c r="EX519" s="1541"/>
      <c r="EY519" s="1541"/>
      <c r="EZ519" s="1541"/>
      <c r="FA519" s="1541"/>
      <c r="FB519" s="1541"/>
      <c r="FC519" s="1541"/>
      <c r="FD519" s="1541"/>
      <c r="FE519" s="1541"/>
      <c r="FF519" s="1541"/>
      <c r="FG519" s="1541"/>
      <c r="FH519" s="1541"/>
      <c r="FI519" s="1541"/>
      <c r="FJ519" s="1541"/>
      <c r="FK519" s="1541"/>
      <c r="FL519" s="1541"/>
      <c r="FM519" s="1541"/>
      <c r="FN519" s="1541"/>
      <c r="FO519" s="1541"/>
      <c r="FP519" s="1541"/>
      <c r="FQ519" s="1541"/>
      <c r="FR519" s="1541"/>
      <c r="FS519" s="1541"/>
      <c r="FT519" s="1541"/>
      <c r="FU519" s="1541"/>
      <c r="FV519" s="1541"/>
      <c r="FW519" s="1541"/>
      <c r="FX519" s="1541"/>
      <c r="FY519" s="1541"/>
      <c r="FZ519" s="1541"/>
      <c r="GA519" s="1541"/>
      <c r="GB519" s="1541"/>
      <c r="GC519" s="1541"/>
      <c r="GD519" s="1541"/>
      <c r="GE519" s="1541"/>
      <c r="GF519" s="1541"/>
      <c r="GG519" s="1541"/>
      <c r="GH519" s="1541"/>
      <c r="GI519" s="1541"/>
      <c r="GJ519" s="1541"/>
      <c r="GK519" s="1541"/>
      <c r="GL519" s="1541"/>
      <c r="GM519" s="1541"/>
      <c r="GN519" s="1541"/>
      <c r="GO519" s="1541"/>
      <c r="GP519" s="1541"/>
      <c r="GQ519" s="1541"/>
      <c r="GR519" s="1541"/>
      <c r="GS519" s="1541"/>
      <c r="GT519" s="1541"/>
      <c r="GU519" s="1541"/>
      <c r="GV519" s="1541"/>
      <c r="GW519" s="1541"/>
      <c r="GX519" s="1541"/>
      <c r="GY519" s="1541"/>
      <c r="GZ519" s="1541"/>
      <c r="HA519" s="1541"/>
      <c r="HB519" s="1541"/>
      <c r="HC519" s="1541"/>
      <c r="HD519" s="1541"/>
      <c r="HE519" s="1541"/>
      <c r="HF519" s="1541"/>
      <c r="HG519" s="1541"/>
      <c r="HH519" s="1541"/>
      <c r="HI519" s="1541"/>
      <c r="HJ519" s="1541"/>
      <c r="HK519" s="1541"/>
      <c r="HL519" s="1541"/>
      <c r="HM519" s="1541"/>
      <c r="HN519" s="1541"/>
      <c r="HO519" s="1541"/>
      <c r="HP519" s="1541"/>
      <c r="HQ519" s="1541"/>
      <c r="HR519" s="1541"/>
      <c r="HS519" s="1541"/>
      <c r="HT519" s="1541"/>
      <c r="HU519" s="1541"/>
      <c r="HV519" s="1541"/>
      <c r="HW519" s="1541"/>
      <c r="HX519" s="1541"/>
      <c r="HY519" s="1541"/>
      <c r="HZ519" s="1541"/>
      <c r="IA519" s="1541"/>
      <c r="IB519" s="1541"/>
      <c r="IC519" s="1541"/>
      <c r="ID519" s="1541"/>
      <c r="IE519" s="1541"/>
      <c r="IF519" s="1541"/>
      <c r="IG519" s="1541"/>
      <c r="IH519" s="1541"/>
      <c r="II519" s="1541"/>
      <c r="IJ519" s="1541"/>
      <c r="IK519" s="1541"/>
      <c r="IL519" s="1541"/>
      <c r="IM519" s="1541"/>
      <c r="IN519" s="1541"/>
    </row>
    <row r="520" spans="1:248" s="1556" customFormat="1">
      <c r="A520" s="1595" t="s">
        <v>567</v>
      </c>
      <c r="B520" s="1600">
        <f t="shared" si="138"/>
        <v>258.39</v>
      </c>
      <c r="C520" s="1600">
        <f t="shared" si="135"/>
        <v>36.64</v>
      </c>
      <c r="D520" s="1600"/>
      <c r="E520" s="1600">
        <f t="shared" si="136"/>
        <v>295.02999999999997</v>
      </c>
      <c r="G520" s="1557">
        <f t="shared" si="137"/>
        <v>1.6484163450058986E-4</v>
      </c>
      <c r="H520" s="1541"/>
      <c r="I520" s="1541"/>
      <c r="J520" s="1541"/>
      <c r="K520" s="1541"/>
      <c r="L520" s="1541"/>
      <c r="M520" s="1541"/>
      <c r="N520" s="1541"/>
      <c r="O520" s="1541"/>
      <c r="P520" s="1541"/>
      <c r="Q520" s="1541"/>
      <c r="R520" s="1541"/>
      <c r="S520" s="1541"/>
      <c r="T520" s="1541"/>
      <c r="U520" s="1541"/>
      <c r="V520" s="1541"/>
      <c r="W520" s="1541"/>
      <c r="X520" s="1541"/>
      <c r="Y520" s="1541"/>
      <c r="Z520" s="1541"/>
      <c r="AA520" s="1541"/>
      <c r="AB520" s="1541"/>
      <c r="AC520" s="1541"/>
      <c r="AD520" s="1541"/>
      <c r="AE520" s="1541"/>
      <c r="AF520" s="1541"/>
      <c r="AG520" s="1541"/>
      <c r="AH520" s="1541"/>
      <c r="AI520" s="1541"/>
      <c r="AJ520" s="1541"/>
      <c r="AK520" s="1541"/>
      <c r="AL520" s="1541"/>
      <c r="AM520" s="1541"/>
      <c r="AN520" s="1541"/>
      <c r="AO520" s="1541"/>
      <c r="AP520" s="1541"/>
      <c r="AQ520" s="1541"/>
      <c r="AR520" s="1541"/>
      <c r="AS520" s="1541"/>
      <c r="AT520" s="1541"/>
      <c r="AU520" s="1541"/>
      <c r="AV520" s="1541"/>
      <c r="AW520" s="1541"/>
      <c r="AX520" s="1541"/>
      <c r="AY520" s="1541"/>
      <c r="AZ520" s="1541"/>
      <c r="BA520" s="1541"/>
      <c r="BB520" s="1541"/>
      <c r="BC520" s="1541"/>
      <c r="BD520" s="1541"/>
      <c r="BE520" s="1541"/>
      <c r="BF520" s="1541"/>
      <c r="BG520" s="1541"/>
      <c r="BH520" s="1541"/>
      <c r="BI520" s="1541"/>
      <c r="BJ520" s="1541"/>
      <c r="BK520" s="1541"/>
      <c r="BL520" s="1541"/>
      <c r="BM520" s="1541"/>
      <c r="BN520" s="1541"/>
      <c r="BO520" s="1541"/>
      <c r="BP520" s="1541"/>
      <c r="BQ520" s="1541"/>
      <c r="BR520" s="1541"/>
      <c r="BS520" s="1541"/>
      <c r="BT520" s="1541"/>
      <c r="BU520" s="1541"/>
      <c r="BV520" s="1541"/>
      <c r="BW520" s="1541"/>
      <c r="BX520" s="1541"/>
      <c r="BY520" s="1541"/>
      <c r="BZ520" s="1541"/>
      <c r="CA520" s="1541"/>
      <c r="CB520" s="1541"/>
      <c r="CC520" s="1541"/>
      <c r="CD520" s="1541"/>
      <c r="CE520" s="1541"/>
      <c r="CF520" s="1541"/>
      <c r="CG520" s="1541"/>
      <c r="CH520" s="1541"/>
      <c r="CI520" s="1541"/>
      <c r="CJ520" s="1541"/>
      <c r="CK520" s="1541"/>
      <c r="CL520" s="1541"/>
      <c r="CM520" s="1541"/>
      <c r="CN520" s="1541"/>
      <c r="CO520" s="1541"/>
      <c r="CP520" s="1541"/>
      <c r="CQ520" s="1541"/>
      <c r="CR520" s="1541"/>
      <c r="CS520" s="1541"/>
      <c r="CT520" s="1541"/>
      <c r="CU520" s="1541"/>
      <c r="CV520" s="1541"/>
      <c r="CW520" s="1541"/>
      <c r="CX520" s="1541"/>
      <c r="CY520" s="1541"/>
      <c r="CZ520" s="1541"/>
      <c r="DA520" s="1541"/>
      <c r="DB520" s="1541"/>
      <c r="DC520" s="1541"/>
      <c r="DD520" s="1541"/>
      <c r="DE520" s="1541"/>
      <c r="DF520" s="1541"/>
      <c r="DG520" s="1541"/>
      <c r="DH520" s="1541"/>
      <c r="DI520" s="1541"/>
      <c r="DJ520" s="1541"/>
      <c r="DK520" s="1541"/>
      <c r="DL520" s="1541"/>
      <c r="DM520" s="1541"/>
      <c r="DN520" s="1541"/>
      <c r="DO520" s="1541"/>
      <c r="DP520" s="1541"/>
      <c r="DQ520" s="1541"/>
      <c r="DR520" s="1541"/>
      <c r="DS520" s="1541"/>
      <c r="DT520" s="1541"/>
      <c r="DU520" s="1541"/>
      <c r="DV520" s="1541"/>
      <c r="DW520" s="1541"/>
      <c r="DX520" s="1541"/>
      <c r="DY520" s="1541"/>
      <c r="DZ520" s="1541"/>
      <c r="EA520" s="1541"/>
      <c r="EB520" s="1541"/>
      <c r="EC520" s="1541"/>
      <c r="ED520" s="1541"/>
      <c r="EE520" s="1541"/>
      <c r="EF520" s="1541"/>
      <c r="EG520" s="1541"/>
      <c r="EH520" s="1541"/>
      <c r="EI520" s="1541"/>
      <c r="EJ520" s="1541"/>
      <c r="EK520" s="1541"/>
      <c r="EL520" s="1541"/>
      <c r="EM520" s="1541"/>
      <c r="EN520" s="1541"/>
      <c r="EO520" s="1541"/>
      <c r="EP520" s="1541"/>
      <c r="EQ520" s="1541"/>
      <c r="ER520" s="1541"/>
      <c r="ES520" s="1541"/>
      <c r="ET520" s="1541"/>
      <c r="EU520" s="1541"/>
      <c r="EV520" s="1541"/>
      <c r="EW520" s="1541"/>
      <c r="EX520" s="1541"/>
      <c r="EY520" s="1541"/>
      <c r="EZ520" s="1541"/>
      <c r="FA520" s="1541"/>
      <c r="FB520" s="1541"/>
      <c r="FC520" s="1541"/>
      <c r="FD520" s="1541"/>
      <c r="FE520" s="1541"/>
      <c r="FF520" s="1541"/>
      <c r="FG520" s="1541"/>
      <c r="FH520" s="1541"/>
      <c r="FI520" s="1541"/>
      <c r="FJ520" s="1541"/>
      <c r="FK520" s="1541"/>
      <c r="FL520" s="1541"/>
      <c r="FM520" s="1541"/>
      <c r="FN520" s="1541"/>
      <c r="FO520" s="1541"/>
      <c r="FP520" s="1541"/>
      <c r="FQ520" s="1541"/>
      <c r="FR520" s="1541"/>
      <c r="FS520" s="1541"/>
      <c r="FT520" s="1541"/>
      <c r="FU520" s="1541"/>
      <c r="FV520" s="1541"/>
      <c r="FW520" s="1541"/>
      <c r="FX520" s="1541"/>
      <c r="FY520" s="1541"/>
      <c r="FZ520" s="1541"/>
      <c r="GA520" s="1541"/>
      <c r="GB520" s="1541"/>
      <c r="GC520" s="1541"/>
      <c r="GD520" s="1541"/>
      <c r="GE520" s="1541"/>
      <c r="GF520" s="1541"/>
      <c r="GG520" s="1541"/>
      <c r="GH520" s="1541"/>
      <c r="GI520" s="1541"/>
      <c r="GJ520" s="1541"/>
      <c r="GK520" s="1541"/>
      <c r="GL520" s="1541"/>
      <c r="GM520" s="1541"/>
      <c r="GN520" s="1541"/>
      <c r="GO520" s="1541"/>
      <c r="GP520" s="1541"/>
      <c r="GQ520" s="1541"/>
      <c r="GR520" s="1541"/>
      <c r="GS520" s="1541"/>
      <c r="GT520" s="1541"/>
      <c r="GU520" s="1541"/>
      <c r="GV520" s="1541"/>
      <c r="GW520" s="1541"/>
      <c r="GX520" s="1541"/>
      <c r="GY520" s="1541"/>
      <c r="GZ520" s="1541"/>
      <c r="HA520" s="1541"/>
      <c r="HB520" s="1541"/>
      <c r="HC520" s="1541"/>
      <c r="HD520" s="1541"/>
      <c r="HE520" s="1541"/>
      <c r="HF520" s="1541"/>
      <c r="HG520" s="1541"/>
      <c r="HH520" s="1541"/>
      <c r="HI520" s="1541"/>
      <c r="HJ520" s="1541"/>
      <c r="HK520" s="1541"/>
      <c r="HL520" s="1541"/>
      <c r="HM520" s="1541"/>
      <c r="HN520" s="1541"/>
      <c r="HO520" s="1541"/>
      <c r="HP520" s="1541"/>
      <c r="HQ520" s="1541"/>
      <c r="HR520" s="1541"/>
      <c r="HS520" s="1541"/>
      <c r="HT520" s="1541"/>
      <c r="HU520" s="1541"/>
      <c r="HV520" s="1541"/>
      <c r="HW520" s="1541"/>
      <c r="HX520" s="1541"/>
      <c r="HY520" s="1541"/>
      <c r="HZ520" s="1541"/>
      <c r="IA520" s="1541"/>
      <c r="IB520" s="1541"/>
      <c r="IC520" s="1541"/>
      <c r="ID520" s="1541"/>
      <c r="IE520" s="1541"/>
      <c r="IF520" s="1541"/>
      <c r="IG520" s="1541"/>
      <c r="IH520" s="1541"/>
      <c r="II520" s="1541"/>
      <c r="IJ520" s="1541"/>
      <c r="IK520" s="1541"/>
      <c r="IL520" s="1541"/>
      <c r="IM520" s="1541"/>
      <c r="IN520" s="1541"/>
    </row>
    <row r="521" spans="1:248" s="1556" customFormat="1">
      <c r="A521" s="1595" t="s">
        <v>568</v>
      </c>
      <c r="B521" s="1600">
        <f t="shared" si="138"/>
        <v>294.74</v>
      </c>
      <c r="C521" s="1600">
        <f t="shared" si="135"/>
        <v>41.79</v>
      </c>
      <c r="D521" s="1600"/>
      <c r="E521" s="1600">
        <f t="shared" si="136"/>
        <v>336.53000000000003</v>
      </c>
      <c r="G521" s="1557">
        <f t="shared" si="137"/>
        <v>4.6599536489608795E-3</v>
      </c>
      <c r="H521" s="1541"/>
      <c r="I521" s="1541"/>
      <c r="J521" s="1541"/>
      <c r="K521" s="1541"/>
      <c r="L521" s="1541"/>
      <c r="M521" s="1541"/>
      <c r="N521" s="1541"/>
      <c r="O521" s="1541"/>
      <c r="P521" s="1541"/>
      <c r="Q521" s="1541"/>
      <c r="R521" s="1541"/>
      <c r="S521" s="1541"/>
      <c r="T521" s="1541"/>
      <c r="U521" s="1541"/>
      <c r="V521" s="1541"/>
      <c r="W521" s="1541"/>
      <c r="X521" s="1541"/>
      <c r="Y521" s="1541"/>
      <c r="Z521" s="1541"/>
      <c r="AA521" s="1541"/>
      <c r="AB521" s="1541"/>
      <c r="AC521" s="1541"/>
      <c r="AD521" s="1541"/>
      <c r="AE521" s="1541"/>
      <c r="AF521" s="1541"/>
      <c r="AG521" s="1541"/>
      <c r="AH521" s="1541"/>
      <c r="AI521" s="1541"/>
      <c r="AJ521" s="1541"/>
      <c r="AK521" s="1541"/>
      <c r="AL521" s="1541"/>
      <c r="AM521" s="1541"/>
      <c r="AN521" s="1541"/>
      <c r="AO521" s="1541"/>
      <c r="AP521" s="1541"/>
      <c r="AQ521" s="1541"/>
      <c r="AR521" s="1541"/>
      <c r="AS521" s="1541"/>
      <c r="AT521" s="1541"/>
      <c r="AU521" s="1541"/>
      <c r="AV521" s="1541"/>
      <c r="AW521" s="1541"/>
      <c r="AX521" s="1541"/>
      <c r="AY521" s="1541"/>
      <c r="AZ521" s="1541"/>
      <c r="BA521" s="1541"/>
      <c r="BB521" s="1541"/>
      <c r="BC521" s="1541"/>
      <c r="BD521" s="1541"/>
      <c r="BE521" s="1541"/>
      <c r="BF521" s="1541"/>
      <c r="BG521" s="1541"/>
      <c r="BH521" s="1541"/>
      <c r="BI521" s="1541"/>
      <c r="BJ521" s="1541"/>
      <c r="BK521" s="1541"/>
      <c r="BL521" s="1541"/>
      <c r="BM521" s="1541"/>
      <c r="BN521" s="1541"/>
      <c r="BO521" s="1541"/>
      <c r="BP521" s="1541"/>
      <c r="BQ521" s="1541"/>
      <c r="BR521" s="1541"/>
      <c r="BS521" s="1541"/>
      <c r="BT521" s="1541"/>
      <c r="BU521" s="1541"/>
      <c r="BV521" s="1541"/>
      <c r="BW521" s="1541"/>
      <c r="BX521" s="1541"/>
      <c r="BY521" s="1541"/>
      <c r="BZ521" s="1541"/>
      <c r="CA521" s="1541"/>
      <c r="CB521" s="1541"/>
      <c r="CC521" s="1541"/>
      <c r="CD521" s="1541"/>
      <c r="CE521" s="1541"/>
      <c r="CF521" s="1541"/>
      <c r="CG521" s="1541"/>
      <c r="CH521" s="1541"/>
      <c r="CI521" s="1541"/>
      <c r="CJ521" s="1541"/>
      <c r="CK521" s="1541"/>
      <c r="CL521" s="1541"/>
      <c r="CM521" s="1541"/>
      <c r="CN521" s="1541"/>
      <c r="CO521" s="1541"/>
      <c r="CP521" s="1541"/>
      <c r="CQ521" s="1541"/>
      <c r="CR521" s="1541"/>
      <c r="CS521" s="1541"/>
      <c r="CT521" s="1541"/>
      <c r="CU521" s="1541"/>
      <c r="CV521" s="1541"/>
      <c r="CW521" s="1541"/>
      <c r="CX521" s="1541"/>
      <c r="CY521" s="1541"/>
      <c r="CZ521" s="1541"/>
      <c r="DA521" s="1541"/>
      <c r="DB521" s="1541"/>
      <c r="DC521" s="1541"/>
      <c r="DD521" s="1541"/>
      <c r="DE521" s="1541"/>
      <c r="DF521" s="1541"/>
      <c r="DG521" s="1541"/>
      <c r="DH521" s="1541"/>
      <c r="DI521" s="1541"/>
      <c r="DJ521" s="1541"/>
      <c r="DK521" s="1541"/>
      <c r="DL521" s="1541"/>
      <c r="DM521" s="1541"/>
      <c r="DN521" s="1541"/>
      <c r="DO521" s="1541"/>
      <c r="DP521" s="1541"/>
      <c r="DQ521" s="1541"/>
      <c r="DR521" s="1541"/>
      <c r="DS521" s="1541"/>
      <c r="DT521" s="1541"/>
      <c r="DU521" s="1541"/>
      <c r="DV521" s="1541"/>
      <c r="DW521" s="1541"/>
      <c r="DX521" s="1541"/>
      <c r="DY521" s="1541"/>
      <c r="DZ521" s="1541"/>
      <c r="EA521" s="1541"/>
      <c r="EB521" s="1541"/>
      <c r="EC521" s="1541"/>
      <c r="ED521" s="1541"/>
      <c r="EE521" s="1541"/>
      <c r="EF521" s="1541"/>
      <c r="EG521" s="1541"/>
      <c r="EH521" s="1541"/>
      <c r="EI521" s="1541"/>
      <c r="EJ521" s="1541"/>
      <c r="EK521" s="1541"/>
      <c r="EL521" s="1541"/>
      <c r="EM521" s="1541"/>
      <c r="EN521" s="1541"/>
      <c r="EO521" s="1541"/>
      <c r="EP521" s="1541"/>
      <c r="EQ521" s="1541"/>
      <c r="ER521" s="1541"/>
      <c r="ES521" s="1541"/>
      <c r="ET521" s="1541"/>
      <c r="EU521" s="1541"/>
      <c r="EV521" s="1541"/>
      <c r="EW521" s="1541"/>
      <c r="EX521" s="1541"/>
      <c r="EY521" s="1541"/>
      <c r="EZ521" s="1541"/>
      <c r="FA521" s="1541"/>
      <c r="FB521" s="1541"/>
      <c r="FC521" s="1541"/>
      <c r="FD521" s="1541"/>
      <c r="FE521" s="1541"/>
      <c r="FF521" s="1541"/>
      <c r="FG521" s="1541"/>
      <c r="FH521" s="1541"/>
      <c r="FI521" s="1541"/>
      <c r="FJ521" s="1541"/>
      <c r="FK521" s="1541"/>
      <c r="FL521" s="1541"/>
      <c r="FM521" s="1541"/>
      <c r="FN521" s="1541"/>
      <c r="FO521" s="1541"/>
      <c r="FP521" s="1541"/>
      <c r="FQ521" s="1541"/>
      <c r="FR521" s="1541"/>
      <c r="FS521" s="1541"/>
      <c r="FT521" s="1541"/>
      <c r="FU521" s="1541"/>
      <c r="FV521" s="1541"/>
      <c r="FW521" s="1541"/>
      <c r="FX521" s="1541"/>
      <c r="FY521" s="1541"/>
      <c r="FZ521" s="1541"/>
      <c r="GA521" s="1541"/>
      <c r="GB521" s="1541"/>
      <c r="GC521" s="1541"/>
      <c r="GD521" s="1541"/>
      <c r="GE521" s="1541"/>
      <c r="GF521" s="1541"/>
      <c r="GG521" s="1541"/>
      <c r="GH521" s="1541"/>
      <c r="GI521" s="1541"/>
      <c r="GJ521" s="1541"/>
      <c r="GK521" s="1541"/>
      <c r="GL521" s="1541"/>
      <c r="GM521" s="1541"/>
      <c r="GN521" s="1541"/>
      <c r="GO521" s="1541"/>
      <c r="GP521" s="1541"/>
      <c r="GQ521" s="1541"/>
      <c r="GR521" s="1541"/>
      <c r="GS521" s="1541"/>
      <c r="GT521" s="1541"/>
      <c r="GU521" s="1541"/>
      <c r="GV521" s="1541"/>
      <c r="GW521" s="1541"/>
      <c r="GX521" s="1541"/>
      <c r="GY521" s="1541"/>
      <c r="GZ521" s="1541"/>
      <c r="HA521" s="1541"/>
      <c r="HB521" s="1541"/>
      <c r="HC521" s="1541"/>
      <c r="HD521" s="1541"/>
      <c r="HE521" s="1541"/>
      <c r="HF521" s="1541"/>
      <c r="HG521" s="1541"/>
      <c r="HH521" s="1541"/>
      <c r="HI521" s="1541"/>
      <c r="HJ521" s="1541"/>
      <c r="HK521" s="1541"/>
      <c r="HL521" s="1541"/>
      <c r="HM521" s="1541"/>
      <c r="HN521" s="1541"/>
      <c r="HO521" s="1541"/>
      <c r="HP521" s="1541"/>
      <c r="HQ521" s="1541"/>
      <c r="HR521" s="1541"/>
      <c r="HS521" s="1541"/>
      <c r="HT521" s="1541"/>
      <c r="HU521" s="1541"/>
      <c r="HV521" s="1541"/>
      <c r="HW521" s="1541"/>
      <c r="HX521" s="1541"/>
      <c r="HY521" s="1541"/>
      <c r="HZ521" s="1541"/>
      <c r="IA521" s="1541"/>
      <c r="IB521" s="1541"/>
      <c r="IC521" s="1541"/>
      <c r="ID521" s="1541"/>
      <c r="IE521" s="1541"/>
      <c r="IF521" s="1541"/>
      <c r="IG521" s="1541"/>
      <c r="IH521" s="1541"/>
      <c r="II521" s="1541"/>
      <c r="IJ521" s="1541"/>
      <c r="IK521" s="1541"/>
      <c r="IL521" s="1541"/>
      <c r="IM521" s="1541"/>
      <c r="IN521" s="1541"/>
    </row>
    <row r="522" spans="1:248" s="1556" customFormat="1">
      <c r="A522" s="1595" t="s">
        <v>581</v>
      </c>
      <c r="B522" s="1600">
        <f t="shared" si="138"/>
        <v>308.02999999999997</v>
      </c>
      <c r="C522" s="1600">
        <f t="shared" si="135"/>
        <v>43.68</v>
      </c>
      <c r="D522" s="1600"/>
      <c r="E522" s="1600">
        <f t="shared" si="136"/>
        <v>351.71</v>
      </c>
      <c r="G522" s="1557">
        <f t="shared" si="137"/>
        <v>-7.9424061041066807E-4</v>
      </c>
      <c r="H522" s="1541"/>
      <c r="I522" s="1541"/>
      <c r="J522" s="1541"/>
      <c r="K522" s="1541"/>
      <c r="L522" s="1541"/>
      <c r="M522" s="1541"/>
      <c r="N522" s="1541"/>
      <c r="O522" s="1541"/>
      <c r="P522" s="1541"/>
      <c r="Q522" s="1541"/>
      <c r="R522" s="1541"/>
      <c r="S522" s="1541"/>
      <c r="T522" s="1541"/>
      <c r="U522" s="1541"/>
      <c r="V522" s="1541"/>
      <c r="W522" s="1541"/>
      <c r="X522" s="1541"/>
      <c r="Y522" s="1541"/>
      <c r="Z522" s="1541"/>
      <c r="AA522" s="1541"/>
      <c r="AB522" s="1541"/>
      <c r="AC522" s="1541"/>
      <c r="AD522" s="1541"/>
      <c r="AE522" s="1541"/>
      <c r="AF522" s="1541"/>
      <c r="AG522" s="1541"/>
      <c r="AH522" s="1541"/>
      <c r="AI522" s="1541"/>
      <c r="AJ522" s="1541"/>
      <c r="AK522" s="1541"/>
      <c r="AL522" s="1541"/>
      <c r="AM522" s="1541"/>
      <c r="AN522" s="1541"/>
      <c r="AO522" s="1541"/>
      <c r="AP522" s="1541"/>
      <c r="AQ522" s="1541"/>
      <c r="AR522" s="1541"/>
      <c r="AS522" s="1541"/>
      <c r="AT522" s="1541"/>
      <c r="AU522" s="1541"/>
      <c r="AV522" s="1541"/>
      <c r="AW522" s="1541"/>
      <c r="AX522" s="1541"/>
      <c r="AY522" s="1541"/>
      <c r="AZ522" s="1541"/>
      <c r="BA522" s="1541"/>
      <c r="BB522" s="1541"/>
      <c r="BC522" s="1541"/>
      <c r="BD522" s="1541"/>
      <c r="BE522" s="1541"/>
      <c r="BF522" s="1541"/>
      <c r="BG522" s="1541"/>
      <c r="BH522" s="1541"/>
      <c r="BI522" s="1541"/>
      <c r="BJ522" s="1541"/>
      <c r="BK522" s="1541"/>
      <c r="BL522" s="1541"/>
      <c r="BM522" s="1541"/>
      <c r="BN522" s="1541"/>
      <c r="BO522" s="1541"/>
      <c r="BP522" s="1541"/>
      <c r="BQ522" s="1541"/>
      <c r="BR522" s="1541"/>
      <c r="BS522" s="1541"/>
      <c r="BT522" s="1541"/>
      <c r="BU522" s="1541"/>
      <c r="BV522" s="1541"/>
      <c r="BW522" s="1541"/>
      <c r="BX522" s="1541"/>
      <c r="BY522" s="1541"/>
      <c r="BZ522" s="1541"/>
      <c r="CA522" s="1541"/>
      <c r="CB522" s="1541"/>
      <c r="CC522" s="1541"/>
      <c r="CD522" s="1541"/>
      <c r="CE522" s="1541"/>
      <c r="CF522" s="1541"/>
      <c r="CG522" s="1541"/>
      <c r="CH522" s="1541"/>
      <c r="CI522" s="1541"/>
      <c r="CJ522" s="1541"/>
      <c r="CK522" s="1541"/>
      <c r="CL522" s="1541"/>
      <c r="CM522" s="1541"/>
      <c r="CN522" s="1541"/>
      <c r="CO522" s="1541"/>
      <c r="CP522" s="1541"/>
      <c r="CQ522" s="1541"/>
      <c r="CR522" s="1541"/>
      <c r="CS522" s="1541"/>
      <c r="CT522" s="1541"/>
      <c r="CU522" s="1541"/>
      <c r="CV522" s="1541"/>
      <c r="CW522" s="1541"/>
      <c r="CX522" s="1541"/>
      <c r="CY522" s="1541"/>
      <c r="CZ522" s="1541"/>
      <c r="DA522" s="1541"/>
      <c r="DB522" s="1541"/>
      <c r="DC522" s="1541"/>
      <c r="DD522" s="1541"/>
      <c r="DE522" s="1541"/>
      <c r="DF522" s="1541"/>
      <c r="DG522" s="1541"/>
      <c r="DH522" s="1541"/>
      <c r="DI522" s="1541"/>
      <c r="DJ522" s="1541"/>
      <c r="DK522" s="1541"/>
      <c r="DL522" s="1541"/>
      <c r="DM522" s="1541"/>
      <c r="DN522" s="1541"/>
      <c r="DO522" s="1541"/>
      <c r="DP522" s="1541"/>
      <c r="DQ522" s="1541"/>
      <c r="DR522" s="1541"/>
      <c r="DS522" s="1541"/>
      <c r="DT522" s="1541"/>
      <c r="DU522" s="1541"/>
      <c r="DV522" s="1541"/>
      <c r="DW522" s="1541"/>
      <c r="DX522" s="1541"/>
      <c r="DY522" s="1541"/>
      <c r="DZ522" s="1541"/>
      <c r="EA522" s="1541"/>
      <c r="EB522" s="1541"/>
      <c r="EC522" s="1541"/>
      <c r="ED522" s="1541"/>
      <c r="EE522" s="1541"/>
      <c r="EF522" s="1541"/>
      <c r="EG522" s="1541"/>
      <c r="EH522" s="1541"/>
      <c r="EI522" s="1541"/>
      <c r="EJ522" s="1541"/>
      <c r="EK522" s="1541"/>
      <c r="EL522" s="1541"/>
      <c r="EM522" s="1541"/>
      <c r="EN522" s="1541"/>
      <c r="EO522" s="1541"/>
      <c r="EP522" s="1541"/>
      <c r="EQ522" s="1541"/>
      <c r="ER522" s="1541"/>
      <c r="ES522" s="1541"/>
      <c r="ET522" s="1541"/>
      <c r="EU522" s="1541"/>
      <c r="EV522" s="1541"/>
      <c r="EW522" s="1541"/>
      <c r="EX522" s="1541"/>
      <c r="EY522" s="1541"/>
      <c r="EZ522" s="1541"/>
      <c r="FA522" s="1541"/>
      <c r="FB522" s="1541"/>
      <c r="FC522" s="1541"/>
      <c r="FD522" s="1541"/>
      <c r="FE522" s="1541"/>
      <c r="FF522" s="1541"/>
      <c r="FG522" s="1541"/>
      <c r="FH522" s="1541"/>
      <c r="FI522" s="1541"/>
      <c r="FJ522" s="1541"/>
      <c r="FK522" s="1541"/>
      <c r="FL522" s="1541"/>
      <c r="FM522" s="1541"/>
      <c r="FN522" s="1541"/>
      <c r="FO522" s="1541"/>
      <c r="FP522" s="1541"/>
      <c r="FQ522" s="1541"/>
      <c r="FR522" s="1541"/>
      <c r="FS522" s="1541"/>
      <c r="FT522" s="1541"/>
      <c r="FU522" s="1541"/>
      <c r="FV522" s="1541"/>
      <c r="FW522" s="1541"/>
      <c r="FX522" s="1541"/>
      <c r="FY522" s="1541"/>
      <c r="FZ522" s="1541"/>
      <c r="GA522" s="1541"/>
      <c r="GB522" s="1541"/>
      <c r="GC522" s="1541"/>
      <c r="GD522" s="1541"/>
      <c r="GE522" s="1541"/>
      <c r="GF522" s="1541"/>
      <c r="GG522" s="1541"/>
      <c r="GH522" s="1541"/>
      <c r="GI522" s="1541"/>
      <c r="GJ522" s="1541"/>
      <c r="GK522" s="1541"/>
      <c r="GL522" s="1541"/>
      <c r="GM522" s="1541"/>
      <c r="GN522" s="1541"/>
      <c r="GO522" s="1541"/>
      <c r="GP522" s="1541"/>
      <c r="GQ522" s="1541"/>
      <c r="GR522" s="1541"/>
      <c r="GS522" s="1541"/>
      <c r="GT522" s="1541"/>
      <c r="GU522" s="1541"/>
      <c r="GV522" s="1541"/>
      <c r="GW522" s="1541"/>
      <c r="GX522" s="1541"/>
      <c r="GY522" s="1541"/>
      <c r="GZ522" s="1541"/>
      <c r="HA522" s="1541"/>
      <c r="HB522" s="1541"/>
      <c r="HC522" s="1541"/>
      <c r="HD522" s="1541"/>
      <c r="HE522" s="1541"/>
      <c r="HF522" s="1541"/>
      <c r="HG522" s="1541"/>
      <c r="HH522" s="1541"/>
      <c r="HI522" s="1541"/>
      <c r="HJ522" s="1541"/>
      <c r="HK522" s="1541"/>
      <c r="HL522" s="1541"/>
      <c r="HM522" s="1541"/>
      <c r="HN522" s="1541"/>
      <c r="HO522" s="1541"/>
      <c r="HP522" s="1541"/>
      <c r="HQ522" s="1541"/>
      <c r="HR522" s="1541"/>
      <c r="HS522" s="1541"/>
      <c r="HT522" s="1541"/>
      <c r="HU522" s="1541"/>
      <c r="HV522" s="1541"/>
      <c r="HW522" s="1541"/>
      <c r="HX522" s="1541"/>
      <c r="HY522" s="1541"/>
      <c r="HZ522" s="1541"/>
      <c r="IA522" s="1541"/>
      <c r="IB522" s="1541"/>
      <c r="IC522" s="1541"/>
      <c r="ID522" s="1541"/>
      <c r="IE522" s="1541"/>
      <c r="IF522" s="1541"/>
      <c r="IG522" s="1541"/>
      <c r="IH522" s="1541"/>
      <c r="II522" s="1541"/>
      <c r="IJ522" s="1541"/>
      <c r="IK522" s="1541"/>
      <c r="IL522" s="1541"/>
      <c r="IM522" s="1541"/>
      <c r="IN522" s="1541"/>
    </row>
    <row r="523" spans="1:248" s="1541" customFormat="1">
      <c r="A523" s="1595"/>
      <c r="B523" s="1600"/>
      <c r="C523" s="1600"/>
      <c r="D523" s="1600"/>
      <c r="E523" s="1600"/>
      <c r="F523" s="1556"/>
      <c r="G523" s="1538"/>
    </row>
    <row r="524" spans="1:248" s="1541" customFormat="1">
      <c r="A524" s="1595"/>
      <c r="B524" s="1600"/>
      <c r="C524" s="1600"/>
      <c r="D524" s="1600"/>
      <c r="E524" s="1600"/>
      <c r="F524" s="1556"/>
      <c r="G524" s="1538"/>
    </row>
    <row r="525" spans="1:248" s="1556" customFormat="1">
      <c r="A525" s="1595" t="s">
        <v>577</v>
      </c>
      <c r="B525" s="1600">
        <v>5.54</v>
      </c>
      <c r="C525" s="1600">
        <f t="shared" ref="C525:C527" si="139">ROUND(B525*$C$6,2)</f>
        <v>0.79</v>
      </c>
      <c r="D525" s="1600"/>
      <c r="E525" s="1600">
        <f>B525+C525+D525</f>
        <v>6.33</v>
      </c>
      <c r="G525" s="1557">
        <f t="shared" ref="G525:G527" si="140">(B525*$C$6)-C525</f>
        <v>-4.4180764632719693E-3</v>
      </c>
      <c r="H525" s="1541"/>
      <c r="I525" s="1541"/>
      <c r="J525" s="1541"/>
      <c r="K525" s="1541"/>
      <c r="L525" s="1541"/>
      <c r="M525" s="1541"/>
      <c r="N525" s="1541"/>
      <c r="O525" s="1541"/>
      <c r="P525" s="1541"/>
      <c r="Q525" s="1541"/>
      <c r="R525" s="1541"/>
      <c r="S525" s="1541"/>
      <c r="T525" s="1541"/>
      <c r="U525" s="1541"/>
      <c r="V525" s="1541"/>
      <c r="W525" s="1541"/>
      <c r="X525" s="1541"/>
      <c r="Y525" s="1541"/>
      <c r="Z525" s="1541"/>
      <c r="AA525" s="1541"/>
      <c r="AB525" s="1541"/>
      <c r="AC525" s="1541"/>
      <c r="AD525" s="1541"/>
      <c r="AE525" s="1541"/>
      <c r="AF525" s="1541"/>
      <c r="AG525" s="1541"/>
      <c r="AH525" s="1541"/>
      <c r="AI525" s="1541"/>
      <c r="AJ525" s="1541"/>
      <c r="AK525" s="1541"/>
      <c r="AL525" s="1541"/>
      <c r="AM525" s="1541"/>
      <c r="AN525" s="1541"/>
      <c r="AO525" s="1541"/>
      <c r="AP525" s="1541"/>
      <c r="AQ525" s="1541"/>
      <c r="AR525" s="1541"/>
      <c r="AS525" s="1541"/>
      <c r="AT525" s="1541"/>
      <c r="AU525" s="1541"/>
      <c r="AV525" s="1541"/>
      <c r="AW525" s="1541"/>
      <c r="AX525" s="1541"/>
      <c r="AY525" s="1541"/>
      <c r="AZ525" s="1541"/>
      <c r="BA525" s="1541"/>
      <c r="BB525" s="1541"/>
      <c r="BC525" s="1541"/>
      <c r="BD525" s="1541"/>
      <c r="BE525" s="1541"/>
      <c r="BF525" s="1541"/>
      <c r="BG525" s="1541"/>
      <c r="BH525" s="1541"/>
      <c r="BI525" s="1541"/>
      <c r="BJ525" s="1541"/>
      <c r="BK525" s="1541"/>
      <c r="BL525" s="1541"/>
      <c r="BM525" s="1541"/>
      <c r="BN525" s="1541"/>
      <c r="BO525" s="1541"/>
      <c r="BP525" s="1541"/>
      <c r="BQ525" s="1541"/>
      <c r="BR525" s="1541"/>
      <c r="BS525" s="1541"/>
      <c r="BT525" s="1541"/>
      <c r="BU525" s="1541"/>
      <c r="BV525" s="1541"/>
      <c r="BW525" s="1541"/>
      <c r="BX525" s="1541"/>
      <c r="BY525" s="1541"/>
      <c r="BZ525" s="1541"/>
      <c r="CA525" s="1541"/>
      <c r="CB525" s="1541"/>
      <c r="CC525" s="1541"/>
      <c r="CD525" s="1541"/>
      <c r="CE525" s="1541"/>
      <c r="CF525" s="1541"/>
      <c r="CG525" s="1541"/>
      <c r="CH525" s="1541"/>
      <c r="CI525" s="1541"/>
      <c r="CJ525" s="1541"/>
      <c r="CK525" s="1541"/>
      <c r="CL525" s="1541"/>
      <c r="CM525" s="1541"/>
      <c r="CN525" s="1541"/>
      <c r="CO525" s="1541"/>
      <c r="CP525" s="1541"/>
      <c r="CQ525" s="1541"/>
      <c r="CR525" s="1541"/>
      <c r="CS525" s="1541"/>
      <c r="CT525" s="1541"/>
      <c r="CU525" s="1541"/>
      <c r="CV525" s="1541"/>
      <c r="CW525" s="1541"/>
      <c r="CX525" s="1541"/>
      <c r="CY525" s="1541"/>
      <c r="CZ525" s="1541"/>
      <c r="DA525" s="1541"/>
      <c r="DB525" s="1541"/>
      <c r="DC525" s="1541"/>
      <c r="DD525" s="1541"/>
      <c r="DE525" s="1541"/>
      <c r="DF525" s="1541"/>
      <c r="DG525" s="1541"/>
      <c r="DH525" s="1541"/>
      <c r="DI525" s="1541"/>
      <c r="DJ525" s="1541"/>
      <c r="DK525" s="1541"/>
      <c r="DL525" s="1541"/>
      <c r="DM525" s="1541"/>
      <c r="DN525" s="1541"/>
      <c r="DO525" s="1541"/>
      <c r="DP525" s="1541"/>
      <c r="DQ525" s="1541"/>
      <c r="DR525" s="1541"/>
      <c r="DS525" s="1541"/>
      <c r="DT525" s="1541"/>
      <c r="DU525" s="1541"/>
      <c r="DV525" s="1541"/>
      <c r="DW525" s="1541"/>
      <c r="DX525" s="1541"/>
      <c r="DY525" s="1541"/>
      <c r="DZ525" s="1541"/>
      <c r="EA525" s="1541"/>
      <c r="EB525" s="1541"/>
      <c r="EC525" s="1541"/>
      <c r="ED525" s="1541"/>
      <c r="EE525" s="1541"/>
      <c r="EF525" s="1541"/>
      <c r="EG525" s="1541"/>
      <c r="EH525" s="1541"/>
      <c r="EI525" s="1541"/>
      <c r="EJ525" s="1541"/>
      <c r="EK525" s="1541"/>
      <c r="EL525" s="1541"/>
      <c r="EM525" s="1541"/>
      <c r="EN525" s="1541"/>
      <c r="EO525" s="1541"/>
      <c r="EP525" s="1541"/>
      <c r="EQ525" s="1541"/>
      <c r="ER525" s="1541"/>
      <c r="ES525" s="1541"/>
      <c r="ET525" s="1541"/>
      <c r="EU525" s="1541"/>
      <c r="EV525" s="1541"/>
      <c r="EW525" s="1541"/>
      <c r="EX525" s="1541"/>
      <c r="EY525" s="1541"/>
      <c r="EZ525" s="1541"/>
      <c r="FA525" s="1541"/>
      <c r="FB525" s="1541"/>
      <c r="FC525" s="1541"/>
      <c r="FD525" s="1541"/>
      <c r="FE525" s="1541"/>
      <c r="FF525" s="1541"/>
      <c r="FG525" s="1541"/>
      <c r="FH525" s="1541"/>
      <c r="FI525" s="1541"/>
      <c r="FJ525" s="1541"/>
      <c r="FK525" s="1541"/>
      <c r="FL525" s="1541"/>
      <c r="FM525" s="1541"/>
      <c r="FN525" s="1541"/>
      <c r="FO525" s="1541"/>
      <c r="FP525" s="1541"/>
      <c r="FQ525" s="1541"/>
      <c r="FR525" s="1541"/>
      <c r="FS525" s="1541"/>
      <c r="FT525" s="1541"/>
      <c r="FU525" s="1541"/>
      <c r="FV525" s="1541"/>
      <c r="FW525" s="1541"/>
      <c r="FX525" s="1541"/>
      <c r="FY525" s="1541"/>
      <c r="FZ525" s="1541"/>
      <c r="GA525" s="1541"/>
      <c r="GB525" s="1541"/>
      <c r="GC525" s="1541"/>
      <c r="GD525" s="1541"/>
      <c r="GE525" s="1541"/>
      <c r="GF525" s="1541"/>
      <c r="GG525" s="1541"/>
      <c r="GH525" s="1541"/>
      <c r="GI525" s="1541"/>
      <c r="GJ525" s="1541"/>
      <c r="GK525" s="1541"/>
      <c r="GL525" s="1541"/>
      <c r="GM525" s="1541"/>
      <c r="GN525" s="1541"/>
      <c r="GO525" s="1541"/>
      <c r="GP525" s="1541"/>
      <c r="GQ525" s="1541"/>
      <c r="GR525" s="1541"/>
      <c r="GS525" s="1541"/>
      <c r="GT525" s="1541"/>
      <c r="GU525" s="1541"/>
      <c r="GV525" s="1541"/>
      <c r="GW525" s="1541"/>
      <c r="GX525" s="1541"/>
      <c r="GY525" s="1541"/>
      <c r="GZ525" s="1541"/>
      <c r="HA525" s="1541"/>
      <c r="HB525" s="1541"/>
      <c r="HC525" s="1541"/>
      <c r="HD525" s="1541"/>
      <c r="HE525" s="1541"/>
      <c r="HF525" s="1541"/>
      <c r="HG525" s="1541"/>
      <c r="HH525" s="1541"/>
      <c r="HI525" s="1541"/>
      <c r="HJ525" s="1541"/>
      <c r="HK525" s="1541"/>
      <c r="HL525" s="1541"/>
      <c r="HM525" s="1541"/>
      <c r="HN525" s="1541"/>
      <c r="HO525" s="1541"/>
      <c r="HP525" s="1541"/>
      <c r="HQ525" s="1541"/>
      <c r="HR525" s="1541"/>
      <c r="HS525" s="1541"/>
      <c r="HT525" s="1541"/>
      <c r="HU525" s="1541"/>
      <c r="HV525" s="1541"/>
      <c r="HW525" s="1541"/>
      <c r="HX525" s="1541"/>
      <c r="HY525" s="1541"/>
      <c r="HZ525" s="1541"/>
      <c r="IA525" s="1541"/>
      <c r="IB525" s="1541"/>
      <c r="IC525" s="1541"/>
      <c r="ID525" s="1541"/>
      <c r="IE525" s="1541"/>
      <c r="IF525" s="1541"/>
      <c r="IG525" s="1541"/>
      <c r="IH525" s="1541"/>
      <c r="II525" s="1541"/>
      <c r="IJ525" s="1541"/>
      <c r="IK525" s="1541"/>
      <c r="IL525" s="1541"/>
      <c r="IM525" s="1541"/>
      <c r="IN525" s="1541"/>
    </row>
    <row r="526" spans="1:248" s="1556" customFormat="1">
      <c r="A526" s="1595" t="s">
        <v>582</v>
      </c>
      <c r="B526" s="1600">
        <v>22.66</v>
      </c>
      <c r="C526" s="1600">
        <f t="shared" si="139"/>
        <v>3.21</v>
      </c>
      <c r="D526" s="1600"/>
      <c r="E526" s="1600">
        <f>B526+C526+D526</f>
        <v>25.87</v>
      </c>
      <c r="G526" s="1557">
        <f t="shared" si="140"/>
        <v>3.2285897729709134E-3</v>
      </c>
      <c r="H526" s="1541"/>
      <c r="I526" s="1541"/>
      <c r="J526" s="1541"/>
      <c r="K526" s="1541"/>
      <c r="L526" s="1541"/>
      <c r="M526" s="1541"/>
      <c r="N526" s="1541"/>
      <c r="O526" s="1541"/>
      <c r="P526" s="1541"/>
      <c r="Q526" s="1541"/>
      <c r="R526" s="1541"/>
      <c r="S526" s="1541"/>
      <c r="T526" s="1541"/>
      <c r="U526" s="1541"/>
      <c r="V526" s="1541"/>
      <c r="W526" s="1541"/>
      <c r="X526" s="1541"/>
      <c r="Y526" s="1541"/>
      <c r="Z526" s="1541"/>
      <c r="AA526" s="1541"/>
      <c r="AB526" s="1541"/>
      <c r="AC526" s="1541"/>
      <c r="AD526" s="1541"/>
      <c r="AE526" s="1541"/>
      <c r="AF526" s="1541"/>
      <c r="AG526" s="1541"/>
      <c r="AH526" s="1541"/>
      <c r="AI526" s="1541"/>
      <c r="AJ526" s="1541"/>
      <c r="AK526" s="1541"/>
      <c r="AL526" s="1541"/>
      <c r="AM526" s="1541"/>
      <c r="AN526" s="1541"/>
      <c r="AO526" s="1541"/>
      <c r="AP526" s="1541"/>
      <c r="AQ526" s="1541"/>
      <c r="AR526" s="1541"/>
      <c r="AS526" s="1541"/>
      <c r="AT526" s="1541"/>
      <c r="AU526" s="1541"/>
      <c r="AV526" s="1541"/>
      <c r="AW526" s="1541"/>
      <c r="AX526" s="1541"/>
      <c r="AY526" s="1541"/>
      <c r="AZ526" s="1541"/>
      <c r="BA526" s="1541"/>
      <c r="BB526" s="1541"/>
      <c r="BC526" s="1541"/>
      <c r="BD526" s="1541"/>
      <c r="BE526" s="1541"/>
      <c r="BF526" s="1541"/>
      <c r="BG526" s="1541"/>
      <c r="BH526" s="1541"/>
      <c r="BI526" s="1541"/>
      <c r="BJ526" s="1541"/>
      <c r="BK526" s="1541"/>
      <c r="BL526" s="1541"/>
      <c r="BM526" s="1541"/>
      <c r="BN526" s="1541"/>
      <c r="BO526" s="1541"/>
      <c r="BP526" s="1541"/>
      <c r="BQ526" s="1541"/>
      <c r="BR526" s="1541"/>
      <c r="BS526" s="1541"/>
      <c r="BT526" s="1541"/>
      <c r="BU526" s="1541"/>
      <c r="BV526" s="1541"/>
      <c r="BW526" s="1541"/>
      <c r="BX526" s="1541"/>
      <c r="BY526" s="1541"/>
      <c r="BZ526" s="1541"/>
      <c r="CA526" s="1541"/>
      <c r="CB526" s="1541"/>
      <c r="CC526" s="1541"/>
      <c r="CD526" s="1541"/>
      <c r="CE526" s="1541"/>
      <c r="CF526" s="1541"/>
      <c r="CG526" s="1541"/>
      <c r="CH526" s="1541"/>
      <c r="CI526" s="1541"/>
      <c r="CJ526" s="1541"/>
      <c r="CK526" s="1541"/>
      <c r="CL526" s="1541"/>
      <c r="CM526" s="1541"/>
      <c r="CN526" s="1541"/>
      <c r="CO526" s="1541"/>
      <c r="CP526" s="1541"/>
      <c r="CQ526" s="1541"/>
      <c r="CR526" s="1541"/>
      <c r="CS526" s="1541"/>
      <c r="CT526" s="1541"/>
      <c r="CU526" s="1541"/>
      <c r="CV526" s="1541"/>
      <c r="CW526" s="1541"/>
      <c r="CX526" s="1541"/>
      <c r="CY526" s="1541"/>
      <c r="CZ526" s="1541"/>
      <c r="DA526" s="1541"/>
      <c r="DB526" s="1541"/>
      <c r="DC526" s="1541"/>
      <c r="DD526" s="1541"/>
      <c r="DE526" s="1541"/>
      <c r="DF526" s="1541"/>
      <c r="DG526" s="1541"/>
      <c r="DH526" s="1541"/>
      <c r="DI526" s="1541"/>
      <c r="DJ526" s="1541"/>
      <c r="DK526" s="1541"/>
      <c r="DL526" s="1541"/>
      <c r="DM526" s="1541"/>
      <c r="DN526" s="1541"/>
      <c r="DO526" s="1541"/>
      <c r="DP526" s="1541"/>
      <c r="DQ526" s="1541"/>
      <c r="DR526" s="1541"/>
      <c r="DS526" s="1541"/>
      <c r="DT526" s="1541"/>
      <c r="DU526" s="1541"/>
      <c r="DV526" s="1541"/>
      <c r="DW526" s="1541"/>
      <c r="DX526" s="1541"/>
      <c r="DY526" s="1541"/>
      <c r="DZ526" s="1541"/>
      <c r="EA526" s="1541"/>
      <c r="EB526" s="1541"/>
      <c r="EC526" s="1541"/>
      <c r="ED526" s="1541"/>
      <c r="EE526" s="1541"/>
      <c r="EF526" s="1541"/>
      <c r="EG526" s="1541"/>
      <c r="EH526" s="1541"/>
      <c r="EI526" s="1541"/>
      <c r="EJ526" s="1541"/>
      <c r="EK526" s="1541"/>
      <c r="EL526" s="1541"/>
      <c r="EM526" s="1541"/>
      <c r="EN526" s="1541"/>
      <c r="EO526" s="1541"/>
      <c r="EP526" s="1541"/>
      <c r="EQ526" s="1541"/>
      <c r="ER526" s="1541"/>
      <c r="ES526" s="1541"/>
      <c r="ET526" s="1541"/>
      <c r="EU526" s="1541"/>
      <c r="EV526" s="1541"/>
      <c r="EW526" s="1541"/>
      <c r="EX526" s="1541"/>
      <c r="EY526" s="1541"/>
      <c r="EZ526" s="1541"/>
      <c r="FA526" s="1541"/>
      <c r="FB526" s="1541"/>
      <c r="FC526" s="1541"/>
      <c r="FD526" s="1541"/>
      <c r="FE526" s="1541"/>
      <c r="FF526" s="1541"/>
      <c r="FG526" s="1541"/>
      <c r="FH526" s="1541"/>
      <c r="FI526" s="1541"/>
      <c r="FJ526" s="1541"/>
      <c r="FK526" s="1541"/>
      <c r="FL526" s="1541"/>
      <c r="FM526" s="1541"/>
      <c r="FN526" s="1541"/>
      <c r="FO526" s="1541"/>
      <c r="FP526" s="1541"/>
      <c r="FQ526" s="1541"/>
      <c r="FR526" s="1541"/>
      <c r="FS526" s="1541"/>
      <c r="FT526" s="1541"/>
      <c r="FU526" s="1541"/>
      <c r="FV526" s="1541"/>
      <c r="FW526" s="1541"/>
      <c r="FX526" s="1541"/>
      <c r="FY526" s="1541"/>
      <c r="FZ526" s="1541"/>
      <c r="GA526" s="1541"/>
      <c r="GB526" s="1541"/>
      <c r="GC526" s="1541"/>
      <c r="GD526" s="1541"/>
      <c r="GE526" s="1541"/>
      <c r="GF526" s="1541"/>
      <c r="GG526" s="1541"/>
      <c r="GH526" s="1541"/>
      <c r="GI526" s="1541"/>
      <c r="GJ526" s="1541"/>
      <c r="GK526" s="1541"/>
      <c r="GL526" s="1541"/>
      <c r="GM526" s="1541"/>
      <c r="GN526" s="1541"/>
      <c r="GO526" s="1541"/>
      <c r="GP526" s="1541"/>
      <c r="GQ526" s="1541"/>
      <c r="GR526" s="1541"/>
      <c r="GS526" s="1541"/>
      <c r="GT526" s="1541"/>
      <c r="GU526" s="1541"/>
      <c r="GV526" s="1541"/>
      <c r="GW526" s="1541"/>
      <c r="GX526" s="1541"/>
      <c r="GY526" s="1541"/>
      <c r="GZ526" s="1541"/>
      <c r="HA526" s="1541"/>
      <c r="HB526" s="1541"/>
      <c r="HC526" s="1541"/>
      <c r="HD526" s="1541"/>
      <c r="HE526" s="1541"/>
      <c r="HF526" s="1541"/>
      <c r="HG526" s="1541"/>
      <c r="HH526" s="1541"/>
      <c r="HI526" s="1541"/>
      <c r="HJ526" s="1541"/>
      <c r="HK526" s="1541"/>
      <c r="HL526" s="1541"/>
      <c r="HM526" s="1541"/>
      <c r="HN526" s="1541"/>
      <c r="HO526" s="1541"/>
      <c r="HP526" s="1541"/>
      <c r="HQ526" s="1541"/>
      <c r="HR526" s="1541"/>
      <c r="HS526" s="1541"/>
      <c r="HT526" s="1541"/>
      <c r="HU526" s="1541"/>
      <c r="HV526" s="1541"/>
      <c r="HW526" s="1541"/>
      <c r="HX526" s="1541"/>
      <c r="HY526" s="1541"/>
      <c r="HZ526" s="1541"/>
      <c r="IA526" s="1541"/>
      <c r="IB526" s="1541"/>
      <c r="IC526" s="1541"/>
      <c r="ID526" s="1541"/>
      <c r="IE526" s="1541"/>
      <c r="IF526" s="1541"/>
      <c r="IG526" s="1541"/>
      <c r="IH526" s="1541"/>
      <c r="II526" s="1541"/>
      <c r="IJ526" s="1541"/>
      <c r="IK526" s="1541"/>
      <c r="IL526" s="1541"/>
      <c r="IM526" s="1541"/>
      <c r="IN526" s="1541"/>
    </row>
    <row r="527" spans="1:248" s="1556" customFormat="1">
      <c r="A527" s="1595" t="s">
        <v>583</v>
      </c>
      <c r="B527" s="1600">
        <v>2.3199999999999998</v>
      </c>
      <c r="C527" s="1600">
        <f t="shared" si="139"/>
        <v>0.33</v>
      </c>
      <c r="D527" s="1600"/>
      <c r="E527" s="1600">
        <f>B527+C527+D527</f>
        <v>2.65</v>
      </c>
      <c r="G527" s="1557">
        <f t="shared" si="140"/>
        <v>-1.0198442950886677E-3</v>
      </c>
      <c r="H527" s="1541"/>
      <c r="I527" s="1541"/>
      <c r="J527" s="1541"/>
      <c r="K527" s="1541"/>
      <c r="L527" s="1541"/>
      <c r="M527" s="1541"/>
      <c r="N527" s="1541"/>
      <c r="O527" s="1541"/>
      <c r="P527" s="1541"/>
      <c r="Q527" s="1541"/>
      <c r="R527" s="1541"/>
      <c r="S527" s="1541"/>
      <c r="T527" s="1541"/>
      <c r="U527" s="1541"/>
      <c r="V527" s="1541"/>
      <c r="W527" s="1541"/>
      <c r="X527" s="1541"/>
      <c r="Y527" s="1541"/>
      <c r="Z527" s="1541"/>
      <c r="AA527" s="1541"/>
      <c r="AB527" s="1541"/>
      <c r="AC527" s="1541"/>
      <c r="AD527" s="1541"/>
      <c r="AE527" s="1541"/>
      <c r="AF527" s="1541"/>
      <c r="AG527" s="1541"/>
      <c r="AH527" s="1541"/>
      <c r="AI527" s="1541"/>
      <c r="AJ527" s="1541"/>
      <c r="AK527" s="1541"/>
      <c r="AL527" s="1541"/>
      <c r="AM527" s="1541"/>
      <c r="AN527" s="1541"/>
      <c r="AO527" s="1541"/>
      <c r="AP527" s="1541"/>
      <c r="AQ527" s="1541"/>
      <c r="AR527" s="1541"/>
      <c r="AS527" s="1541"/>
      <c r="AT527" s="1541"/>
      <c r="AU527" s="1541"/>
      <c r="AV527" s="1541"/>
      <c r="AW527" s="1541"/>
      <c r="AX527" s="1541"/>
      <c r="AY527" s="1541"/>
      <c r="AZ527" s="1541"/>
      <c r="BA527" s="1541"/>
      <c r="BB527" s="1541"/>
      <c r="BC527" s="1541"/>
      <c r="BD527" s="1541"/>
      <c r="BE527" s="1541"/>
      <c r="BF527" s="1541"/>
      <c r="BG527" s="1541"/>
      <c r="BH527" s="1541"/>
      <c r="BI527" s="1541"/>
      <c r="BJ527" s="1541"/>
      <c r="BK527" s="1541"/>
      <c r="BL527" s="1541"/>
      <c r="BM527" s="1541"/>
      <c r="BN527" s="1541"/>
      <c r="BO527" s="1541"/>
      <c r="BP527" s="1541"/>
      <c r="BQ527" s="1541"/>
      <c r="BR527" s="1541"/>
      <c r="BS527" s="1541"/>
      <c r="BT527" s="1541"/>
      <c r="BU527" s="1541"/>
      <c r="BV527" s="1541"/>
      <c r="BW527" s="1541"/>
      <c r="BX527" s="1541"/>
      <c r="BY527" s="1541"/>
      <c r="BZ527" s="1541"/>
      <c r="CA527" s="1541"/>
      <c r="CB527" s="1541"/>
      <c r="CC527" s="1541"/>
      <c r="CD527" s="1541"/>
      <c r="CE527" s="1541"/>
      <c r="CF527" s="1541"/>
      <c r="CG527" s="1541"/>
      <c r="CH527" s="1541"/>
      <c r="CI527" s="1541"/>
      <c r="CJ527" s="1541"/>
      <c r="CK527" s="1541"/>
      <c r="CL527" s="1541"/>
      <c r="CM527" s="1541"/>
      <c r="CN527" s="1541"/>
      <c r="CO527" s="1541"/>
      <c r="CP527" s="1541"/>
      <c r="CQ527" s="1541"/>
      <c r="CR527" s="1541"/>
      <c r="CS527" s="1541"/>
      <c r="CT527" s="1541"/>
      <c r="CU527" s="1541"/>
      <c r="CV527" s="1541"/>
      <c r="CW527" s="1541"/>
      <c r="CX527" s="1541"/>
      <c r="CY527" s="1541"/>
      <c r="CZ527" s="1541"/>
      <c r="DA527" s="1541"/>
      <c r="DB527" s="1541"/>
      <c r="DC527" s="1541"/>
      <c r="DD527" s="1541"/>
      <c r="DE527" s="1541"/>
      <c r="DF527" s="1541"/>
      <c r="DG527" s="1541"/>
      <c r="DH527" s="1541"/>
      <c r="DI527" s="1541"/>
      <c r="DJ527" s="1541"/>
      <c r="DK527" s="1541"/>
      <c r="DL527" s="1541"/>
      <c r="DM527" s="1541"/>
      <c r="DN527" s="1541"/>
      <c r="DO527" s="1541"/>
      <c r="DP527" s="1541"/>
      <c r="DQ527" s="1541"/>
      <c r="DR527" s="1541"/>
      <c r="DS527" s="1541"/>
      <c r="DT527" s="1541"/>
      <c r="DU527" s="1541"/>
      <c r="DV527" s="1541"/>
      <c r="DW527" s="1541"/>
      <c r="DX527" s="1541"/>
      <c r="DY527" s="1541"/>
      <c r="DZ527" s="1541"/>
      <c r="EA527" s="1541"/>
      <c r="EB527" s="1541"/>
      <c r="EC527" s="1541"/>
      <c r="ED527" s="1541"/>
      <c r="EE527" s="1541"/>
      <c r="EF527" s="1541"/>
      <c r="EG527" s="1541"/>
      <c r="EH527" s="1541"/>
      <c r="EI527" s="1541"/>
      <c r="EJ527" s="1541"/>
      <c r="EK527" s="1541"/>
      <c r="EL527" s="1541"/>
      <c r="EM527" s="1541"/>
      <c r="EN527" s="1541"/>
      <c r="EO527" s="1541"/>
      <c r="EP527" s="1541"/>
      <c r="EQ527" s="1541"/>
      <c r="ER527" s="1541"/>
      <c r="ES527" s="1541"/>
      <c r="ET527" s="1541"/>
      <c r="EU527" s="1541"/>
      <c r="EV527" s="1541"/>
      <c r="EW527" s="1541"/>
      <c r="EX527" s="1541"/>
      <c r="EY527" s="1541"/>
      <c r="EZ527" s="1541"/>
      <c r="FA527" s="1541"/>
      <c r="FB527" s="1541"/>
      <c r="FC527" s="1541"/>
      <c r="FD527" s="1541"/>
      <c r="FE527" s="1541"/>
      <c r="FF527" s="1541"/>
      <c r="FG527" s="1541"/>
      <c r="FH527" s="1541"/>
      <c r="FI527" s="1541"/>
      <c r="FJ527" s="1541"/>
      <c r="FK527" s="1541"/>
      <c r="FL527" s="1541"/>
      <c r="FM527" s="1541"/>
      <c r="FN527" s="1541"/>
      <c r="FO527" s="1541"/>
      <c r="FP527" s="1541"/>
      <c r="FQ527" s="1541"/>
      <c r="FR527" s="1541"/>
      <c r="FS527" s="1541"/>
      <c r="FT527" s="1541"/>
      <c r="FU527" s="1541"/>
      <c r="FV527" s="1541"/>
      <c r="FW527" s="1541"/>
      <c r="FX527" s="1541"/>
      <c r="FY527" s="1541"/>
      <c r="FZ527" s="1541"/>
      <c r="GA527" s="1541"/>
      <c r="GB527" s="1541"/>
      <c r="GC527" s="1541"/>
      <c r="GD527" s="1541"/>
      <c r="GE527" s="1541"/>
      <c r="GF527" s="1541"/>
      <c r="GG527" s="1541"/>
      <c r="GH527" s="1541"/>
      <c r="GI527" s="1541"/>
      <c r="GJ527" s="1541"/>
      <c r="GK527" s="1541"/>
      <c r="GL527" s="1541"/>
      <c r="GM527" s="1541"/>
      <c r="GN527" s="1541"/>
      <c r="GO527" s="1541"/>
      <c r="GP527" s="1541"/>
      <c r="GQ527" s="1541"/>
      <c r="GR527" s="1541"/>
      <c r="GS527" s="1541"/>
      <c r="GT527" s="1541"/>
      <c r="GU527" s="1541"/>
      <c r="GV527" s="1541"/>
      <c r="GW527" s="1541"/>
      <c r="GX527" s="1541"/>
      <c r="GY527" s="1541"/>
      <c r="GZ527" s="1541"/>
      <c r="HA527" s="1541"/>
      <c r="HB527" s="1541"/>
      <c r="HC527" s="1541"/>
      <c r="HD527" s="1541"/>
      <c r="HE527" s="1541"/>
      <c r="HF527" s="1541"/>
      <c r="HG527" s="1541"/>
      <c r="HH527" s="1541"/>
      <c r="HI527" s="1541"/>
      <c r="HJ527" s="1541"/>
      <c r="HK527" s="1541"/>
      <c r="HL527" s="1541"/>
      <c r="HM527" s="1541"/>
      <c r="HN527" s="1541"/>
      <c r="HO527" s="1541"/>
      <c r="HP527" s="1541"/>
      <c r="HQ527" s="1541"/>
      <c r="HR527" s="1541"/>
      <c r="HS527" s="1541"/>
      <c r="HT527" s="1541"/>
      <c r="HU527" s="1541"/>
      <c r="HV527" s="1541"/>
      <c r="HW527" s="1541"/>
      <c r="HX527" s="1541"/>
      <c r="HY527" s="1541"/>
      <c r="HZ527" s="1541"/>
      <c r="IA527" s="1541"/>
      <c r="IB527" s="1541"/>
      <c r="IC527" s="1541"/>
      <c r="ID527" s="1541"/>
      <c r="IE527" s="1541"/>
      <c r="IF527" s="1541"/>
      <c r="IG527" s="1541"/>
      <c r="IH527" s="1541"/>
      <c r="II527" s="1541"/>
      <c r="IJ527" s="1541"/>
      <c r="IK527" s="1541"/>
      <c r="IL527" s="1541"/>
      <c r="IM527" s="1541"/>
      <c r="IN527" s="1541"/>
    </row>
    <row r="528" spans="1:248" s="1541" customFormat="1">
      <c r="A528" s="1595"/>
      <c r="B528" s="1600"/>
      <c r="C528" s="1600"/>
      <c r="D528" s="1600"/>
      <c r="E528" s="1600"/>
      <c r="F528" s="1556"/>
      <c r="G528" s="1538"/>
    </row>
    <row r="529" spans="1:248" s="1556" customFormat="1">
      <c r="A529" s="1590"/>
      <c r="B529" s="1600"/>
      <c r="C529" s="1600"/>
      <c r="D529" s="1600"/>
      <c r="E529" s="1600"/>
      <c r="G529" s="1538"/>
      <c r="H529" s="1541"/>
      <c r="I529" s="1541"/>
      <c r="J529" s="1541"/>
      <c r="K529" s="1541"/>
      <c r="L529" s="1541"/>
      <c r="M529" s="1541"/>
      <c r="N529" s="1541"/>
      <c r="O529" s="1541"/>
      <c r="P529" s="1541"/>
      <c r="Q529" s="1541"/>
      <c r="R529" s="1541"/>
      <c r="S529" s="1541"/>
      <c r="T529" s="1541"/>
      <c r="U529" s="1541"/>
      <c r="V529" s="1541"/>
      <c r="W529" s="1541"/>
      <c r="X529" s="1541"/>
      <c r="Y529" s="1541"/>
      <c r="Z529" s="1541"/>
      <c r="AA529" s="1541"/>
      <c r="AB529" s="1541"/>
      <c r="AC529" s="1541"/>
      <c r="AD529" s="1541"/>
      <c r="AE529" s="1541"/>
      <c r="AF529" s="1541"/>
      <c r="AG529" s="1541"/>
      <c r="AH529" s="1541"/>
      <c r="AI529" s="1541"/>
      <c r="AJ529" s="1541"/>
      <c r="AK529" s="1541"/>
      <c r="AL529" s="1541"/>
      <c r="AM529" s="1541"/>
      <c r="AN529" s="1541"/>
      <c r="AO529" s="1541"/>
      <c r="AP529" s="1541"/>
      <c r="AQ529" s="1541"/>
      <c r="AR529" s="1541"/>
      <c r="AS529" s="1541"/>
      <c r="AT529" s="1541"/>
      <c r="AU529" s="1541"/>
      <c r="AV529" s="1541"/>
      <c r="AW529" s="1541"/>
      <c r="AX529" s="1541"/>
      <c r="AY529" s="1541"/>
      <c r="AZ529" s="1541"/>
      <c r="BA529" s="1541"/>
      <c r="BB529" s="1541"/>
      <c r="BC529" s="1541"/>
      <c r="BD529" s="1541"/>
      <c r="BE529" s="1541"/>
      <c r="BF529" s="1541"/>
      <c r="BG529" s="1541"/>
      <c r="BH529" s="1541"/>
      <c r="BI529" s="1541"/>
      <c r="BJ529" s="1541"/>
      <c r="BK529" s="1541"/>
      <c r="BL529" s="1541"/>
      <c r="BM529" s="1541"/>
      <c r="BN529" s="1541"/>
      <c r="BO529" s="1541"/>
      <c r="BP529" s="1541"/>
      <c r="BQ529" s="1541"/>
      <c r="BR529" s="1541"/>
      <c r="BS529" s="1541"/>
      <c r="BT529" s="1541"/>
      <c r="BU529" s="1541"/>
      <c r="BV529" s="1541"/>
      <c r="BW529" s="1541"/>
      <c r="BX529" s="1541"/>
      <c r="BY529" s="1541"/>
      <c r="BZ529" s="1541"/>
      <c r="CA529" s="1541"/>
      <c r="CB529" s="1541"/>
      <c r="CC529" s="1541"/>
      <c r="CD529" s="1541"/>
      <c r="CE529" s="1541"/>
      <c r="CF529" s="1541"/>
      <c r="CG529" s="1541"/>
      <c r="CH529" s="1541"/>
      <c r="CI529" s="1541"/>
      <c r="CJ529" s="1541"/>
      <c r="CK529" s="1541"/>
      <c r="CL529" s="1541"/>
      <c r="CM529" s="1541"/>
      <c r="CN529" s="1541"/>
      <c r="CO529" s="1541"/>
      <c r="CP529" s="1541"/>
      <c r="CQ529" s="1541"/>
      <c r="CR529" s="1541"/>
      <c r="CS529" s="1541"/>
      <c r="CT529" s="1541"/>
      <c r="CU529" s="1541"/>
      <c r="CV529" s="1541"/>
      <c r="CW529" s="1541"/>
      <c r="CX529" s="1541"/>
      <c r="CY529" s="1541"/>
      <c r="CZ529" s="1541"/>
      <c r="DA529" s="1541"/>
      <c r="DB529" s="1541"/>
      <c r="DC529" s="1541"/>
      <c r="DD529" s="1541"/>
      <c r="DE529" s="1541"/>
      <c r="DF529" s="1541"/>
      <c r="DG529" s="1541"/>
      <c r="DH529" s="1541"/>
      <c r="DI529" s="1541"/>
      <c r="DJ529" s="1541"/>
      <c r="DK529" s="1541"/>
      <c r="DL529" s="1541"/>
      <c r="DM529" s="1541"/>
      <c r="DN529" s="1541"/>
      <c r="DO529" s="1541"/>
      <c r="DP529" s="1541"/>
      <c r="DQ529" s="1541"/>
      <c r="DR529" s="1541"/>
      <c r="DS529" s="1541"/>
      <c r="DT529" s="1541"/>
      <c r="DU529" s="1541"/>
      <c r="DV529" s="1541"/>
      <c r="DW529" s="1541"/>
      <c r="DX529" s="1541"/>
      <c r="DY529" s="1541"/>
      <c r="DZ529" s="1541"/>
      <c r="EA529" s="1541"/>
      <c r="EB529" s="1541"/>
      <c r="EC529" s="1541"/>
      <c r="ED529" s="1541"/>
      <c r="EE529" s="1541"/>
      <c r="EF529" s="1541"/>
      <c r="EG529" s="1541"/>
      <c r="EH529" s="1541"/>
      <c r="EI529" s="1541"/>
      <c r="EJ529" s="1541"/>
      <c r="EK529" s="1541"/>
      <c r="EL529" s="1541"/>
      <c r="EM529" s="1541"/>
      <c r="EN529" s="1541"/>
      <c r="EO529" s="1541"/>
      <c r="EP529" s="1541"/>
      <c r="EQ529" s="1541"/>
      <c r="ER529" s="1541"/>
      <c r="ES529" s="1541"/>
      <c r="ET529" s="1541"/>
      <c r="EU529" s="1541"/>
      <c r="EV529" s="1541"/>
      <c r="EW529" s="1541"/>
      <c r="EX529" s="1541"/>
      <c r="EY529" s="1541"/>
      <c r="EZ529" s="1541"/>
      <c r="FA529" s="1541"/>
      <c r="FB529" s="1541"/>
      <c r="FC529" s="1541"/>
      <c r="FD529" s="1541"/>
      <c r="FE529" s="1541"/>
      <c r="FF529" s="1541"/>
      <c r="FG529" s="1541"/>
      <c r="FH529" s="1541"/>
      <c r="FI529" s="1541"/>
      <c r="FJ529" s="1541"/>
      <c r="FK529" s="1541"/>
      <c r="FL529" s="1541"/>
      <c r="FM529" s="1541"/>
      <c r="FN529" s="1541"/>
      <c r="FO529" s="1541"/>
      <c r="FP529" s="1541"/>
      <c r="FQ529" s="1541"/>
      <c r="FR529" s="1541"/>
      <c r="FS529" s="1541"/>
      <c r="FT529" s="1541"/>
      <c r="FU529" s="1541"/>
      <c r="FV529" s="1541"/>
      <c r="FW529" s="1541"/>
      <c r="FX529" s="1541"/>
      <c r="FY529" s="1541"/>
      <c r="FZ529" s="1541"/>
      <c r="GA529" s="1541"/>
      <c r="GB529" s="1541"/>
      <c r="GC529" s="1541"/>
      <c r="GD529" s="1541"/>
      <c r="GE529" s="1541"/>
      <c r="GF529" s="1541"/>
      <c r="GG529" s="1541"/>
      <c r="GH529" s="1541"/>
      <c r="GI529" s="1541"/>
      <c r="GJ529" s="1541"/>
      <c r="GK529" s="1541"/>
      <c r="GL529" s="1541"/>
      <c r="GM529" s="1541"/>
      <c r="GN529" s="1541"/>
      <c r="GO529" s="1541"/>
      <c r="GP529" s="1541"/>
      <c r="GQ529" s="1541"/>
      <c r="GR529" s="1541"/>
      <c r="GS529" s="1541"/>
      <c r="GT529" s="1541"/>
      <c r="GU529" s="1541"/>
      <c r="GV529" s="1541"/>
      <c r="GW529" s="1541"/>
      <c r="GX529" s="1541"/>
      <c r="GY529" s="1541"/>
      <c r="GZ529" s="1541"/>
      <c r="HA529" s="1541"/>
      <c r="HB529" s="1541"/>
      <c r="HC529" s="1541"/>
      <c r="HD529" s="1541"/>
      <c r="HE529" s="1541"/>
      <c r="HF529" s="1541"/>
      <c r="HG529" s="1541"/>
      <c r="HH529" s="1541"/>
      <c r="HI529" s="1541"/>
      <c r="HJ529" s="1541"/>
      <c r="HK529" s="1541"/>
      <c r="HL529" s="1541"/>
      <c r="HM529" s="1541"/>
      <c r="HN529" s="1541"/>
      <c r="HO529" s="1541"/>
      <c r="HP529" s="1541"/>
      <c r="HQ529" s="1541"/>
      <c r="HR529" s="1541"/>
      <c r="HS529" s="1541"/>
      <c r="HT529" s="1541"/>
      <c r="HU529" s="1541"/>
      <c r="HV529" s="1541"/>
      <c r="HW529" s="1541"/>
      <c r="HX529" s="1541"/>
      <c r="HY529" s="1541"/>
      <c r="HZ529" s="1541"/>
      <c r="IA529" s="1541"/>
      <c r="IB529" s="1541"/>
      <c r="IC529" s="1541"/>
      <c r="ID529" s="1541"/>
      <c r="IE529" s="1541"/>
      <c r="IF529" s="1541"/>
      <c r="IG529" s="1541"/>
      <c r="IH529" s="1541"/>
      <c r="II529" s="1541"/>
      <c r="IJ529" s="1541"/>
      <c r="IK529" s="1541"/>
      <c r="IL529" s="1541"/>
      <c r="IM529" s="1541"/>
      <c r="IN529" s="1541"/>
    </row>
    <row r="530" spans="1:248" s="1556" customFormat="1">
      <c r="A530" s="1590"/>
      <c r="B530" s="1600"/>
      <c r="C530" s="1600"/>
      <c r="D530" s="1600"/>
      <c r="E530" s="1600"/>
      <c r="G530" s="1538"/>
      <c r="H530" s="1541"/>
      <c r="I530" s="1541"/>
      <c r="J530" s="1541"/>
      <c r="K530" s="1541"/>
      <c r="L530" s="1541"/>
      <c r="M530" s="1541"/>
      <c r="N530" s="1541"/>
      <c r="O530" s="1541"/>
      <c r="P530" s="1541"/>
      <c r="Q530" s="1541"/>
      <c r="R530" s="1541"/>
      <c r="S530" s="1541"/>
      <c r="T530" s="1541"/>
      <c r="U530" s="1541"/>
      <c r="V530" s="1541"/>
      <c r="W530" s="1541"/>
      <c r="X530" s="1541"/>
      <c r="Y530" s="1541"/>
      <c r="Z530" s="1541"/>
      <c r="AA530" s="1541"/>
      <c r="AB530" s="1541"/>
      <c r="AC530" s="1541"/>
      <c r="AD530" s="1541"/>
      <c r="AE530" s="1541"/>
      <c r="AF530" s="1541"/>
      <c r="AG530" s="1541"/>
      <c r="AH530" s="1541"/>
      <c r="AI530" s="1541"/>
      <c r="AJ530" s="1541"/>
      <c r="AK530" s="1541"/>
      <c r="AL530" s="1541"/>
      <c r="AM530" s="1541"/>
      <c r="AN530" s="1541"/>
      <c r="AO530" s="1541"/>
      <c r="AP530" s="1541"/>
      <c r="AQ530" s="1541"/>
      <c r="AR530" s="1541"/>
      <c r="AS530" s="1541"/>
      <c r="AT530" s="1541"/>
      <c r="AU530" s="1541"/>
      <c r="AV530" s="1541"/>
      <c r="AW530" s="1541"/>
      <c r="AX530" s="1541"/>
      <c r="AY530" s="1541"/>
      <c r="AZ530" s="1541"/>
      <c r="BA530" s="1541"/>
      <c r="BB530" s="1541"/>
      <c r="BC530" s="1541"/>
      <c r="BD530" s="1541"/>
      <c r="BE530" s="1541"/>
      <c r="BF530" s="1541"/>
      <c r="BG530" s="1541"/>
      <c r="BH530" s="1541"/>
      <c r="BI530" s="1541"/>
      <c r="BJ530" s="1541"/>
      <c r="BK530" s="1541"/>
      <c r="BL530" s="1541"/>
      <c r="BM530" s="1541"/>
      <c r="BN530" s="1541"/>
      <c r="BO530" s="1541"/>
      <c r="BP530" s="1541"/>
      <c r="BQ530" s="1541"/>
      <c r="BR530" s="1541"/>
      <c r="BS530" s="1541"/>
      <c r="BT530" s="1541"/>
      <c r="BU530" s="1541"/>
      <c r="BV530" s="1541"/>
      <c r="BW530" s="1541"/>
      <c r="BX530" s="1541"/>
      <c r="BY530" s="1541"/>
      <c r="BZ530" s="1541"/>
      <c r="CA530" s="1541"/>
      <c r="CB530" s="1541"/>
      <c r="CC530" s="1541"/>
      <c r="CD530" s="1541"/>
      <c r="CE530" s="1541"/>
      <c r="CF530" s="1541"/>
      <c r="CG530" s="1541"/>
      <c r="CH530" s="1541"/>
      <c r="CI530" s="1541"/>
      <c r="CJ530" s="1541"/>
      <c r="CK530" s="1541"/>
      <c r="CL530" s="1541"/>
      <c r="CM530" s="1541"/>
      <c r="CN530" s="1541"/>
      <c r="CO530" s="1541"/>
      <c r="CP530" s="1541"/>
      <c r="CQ530" s="1541"/>
      <c r="CR530" s="1541"/>
      <c r="CS530" s="1541"/>
      <c r="CT530" s="1541"/>
      <c r="CU530" s="1541"/>
      <c r="CV530" s="1541"/>
      <c r="CW530" s="1541"/>
      <c r="CX530" s="1541"/>
      <c r="CY530" s="1541"/>
      <c r="CZ530" s="1541"/>
      <c r="DA530" s="1541"/>
      <c r="DB530" s="1541"/>
      <c r="DC530" s="1541"/>
      <c r="DD530" s="1541"/>
      <c r="DE530" s="1541"/>
      <c r="DF530" s="1541"/>
      <c r="DG530" s="1541"/>
      <c r="DH530" s="1541"/>
      <c r="DI530" s="1541"/>
      <c r="DJ530" s="1541"/>
      <c r="DK530" s="1541"/>
      <c r="DL530" s="1541"/>
      <c r="DM530" s="1541"/>
      <c r="DN530" s="1541"/>
      <c r="DO530" s="1541"/>
      <c r="DP530" s="1541"/>
      <c r="DQ530" s="1541"/>
      <c r="DR530" s="1541"/>
      <c r="DS530" s="1541"/>
      <c r="DT530" s="1541"/>
      <c r="DU530" s="1541"/>
      <c r="DV530" s="1541"/>
      <c r="DW530" s="1541"/>
      <c r="DX530" s="1541"/>
      <c r="DY530" s="1541"/>
      <c r="DZ530" s="1541"/>
      <c r="EA530" s="1541"/>
      <c r="EB530" s="1541"/>
      <c r="EC530" s="1541"/>
      <c r="ED530" s="1541"/>
      <c r="EE530" s="1541"/>
      <c r="EF530" s="1541"/>
      <c r="EG530" s="1541"/>
      <c r="EH530" s="1541"/>
      <c r="EI530" s="1541"/>
      <c r="EJ530" s="1541"/>
      <c r="EK530" s="1541"/>
      <c r="EL530" s="1541"/>
      <c r="EM530" s="1541"/>
      <c r="EN530" s="1541"/>
      <c r="EO530" s="1541"/>
      <c r="EP530" s="1541"/>
      <c r="EQ530" s="1541"/>
      <c r="ER530" s="1541"/>
      <c r="ES530" s="1541"/>
      <c r="ET530" s="1541"/>
      <c r="EU530" s="1541"/>
      <c r="EV530" s="1541"/>
      <c r="EW530" s="1541"/>
      <c r="EX530" s="1541"/>
      <c r="EY530" s="1541"/>
      <c r="EZ530" s="1541"/>
      <c r="FA530" s="1541"/>
      <c r="FB530" s="1541"/>
      <c r="FC530" s="1541"/>
      <c r="FD530" s="1541"/>
      <c r="FE530" s="1541"/>
      <c r="FF530" s="1541"/>
      <c r="FG530" s="1541"/>
      <c r="FH530" s="1541"/>
      <c r="FI530" s="1541"/>
      <c r="FJ530" s="1541"/>
      <c r="FK530" s="1541"/>
      <c r="FL530" s="1541"/>
      <c r="FM530" s="1541"/>
      <c r="FN530" s="1541"/>
      <c r="FO530" s="1541"/>
      <c r="FP530" s="1541"/>
      <c r="FQ530" s="1541"/>
      <c r="FR530" s="1541"/>
      <c r="FS530" s="1541"/>
      <c r="FT530" s="1541"/>
      <c r="FU530" s="1541"/>
      <c r="FV530" s="1541"/>
      <c r="FW530" s="1541"/>
      <c r="FX530" s="1541"/>
      <c r="FY530" s="1541"/>
      <c r="FZ530" s="1541"/>
      <c r="GA530" s="1541"/>
      <c r="GB530" s="1541"/>
      <c r="GC530" s="1541"/>
      <c r="GD530" s="1541"/>
      <c r="GE530" s="1541"/>
      <c r="GF530" s="1541"/>
      <c r="GG530" s="1541"/>
      <c r="GH530" s="1541"/>
      <c r="GI530" s="1541"/>
      <c r="GJ530" s="1541"/>
      <c r="GK530" s="1541"/>
      <c r="GL530" s="1541"/>
      <c r="GM530" s="1541"/>
      <c r="GN530" s="1541"/>
      <c r="GO530" s="1541"/>
      <c r="GP530" s="1541"/>
      <c r="GQ530" s="1541"/>
      <c r="GR530" s="1541"/>
      <c r="GS530" s="1541"/>
      <c r="GT530" s="1541"/>
      <c r="GU530" s="1541"/>
      <c r="GV530" s="1541"/>
      <c r="GW530" s="1541"/>
      <c r="GX530" s="1541"/>
      <c r="GY530" s="1541"/>
      <c r="GZ530" s="1541"/>
      <c r="HA530" s="1541"/>
      <c r="HB530" s="1541"/>
      <c r="HC530" s="1541"/>
      <c r="HD530" s="1541"/>
      <c r="HE530" s="1541"/>
      <c r="HF530" s="1541"/>
      <c r="HG530" s="1541"/>
      <c r="HH530" s="1541"/>
      <c r="HI530" s="1541"/>
      <c r="HJ530" s="1541"/>
      <c r="HK530" s="1541"/>
      <c r="HL530" s="1541"/>
      <c r="HM530" s="1541"/>
      <c r="HN530" s="1541"/>
      <c r="HO530" s="1541"/>
      <c r="HP530" s="1541"/>
      <c r="HQ530" s="1541"/>
      <c r="HR530" s="1541"/>
      <c r="HS530" s="1541"/>
      <c r="HT530" s="1541"/>
      <c r="HU530" s="1541"/>
      <c r="HV530" s="1541"/>
      <c r="HW530" s="1541"/>
      <c r="HX530" s="1541"/>
      <c r="HY530" s="1541"/>
      <c r="HZ530" s="1541"/>
      <c r="IA530" s="1541"/>
      <c r="IB530" s="1541"/>
      <c r="IC530" s="1541"/>
      <c r="ID530" s="1541"/>
      <c r="IE530" s="1541"/>
      <c r="IF530" s="1541"/>
      <c r="IG530" s="1541"/>
      <c r="IH530" s="1541"/>
      <c r="II530" s="1541"/>
      <c r="IJ530" s="1541"/>
      <c r="IK530" s="1541"/>
      <c r="IL530" s="1541"/>
      <c r="IM530" s="1541"/>
      <c r="IN530" s="1541"/>
    </row>
    <row r="531" spans="1:248" s="1556" customFormat="1">
      <c r="A531" s="1590"/>
      <c r="B531" s="1600"/>
      <c r="C531" s="1600"/>
      <c r="D531" s="1600"/>
      <c r="E531" s="1600"/>
      <c r="G531" s="1538"/>
      <c r="H531" s="1541"/>
      <c r="I531" s="1541"/>
      <c r="J531" s="1541"/>
      <c r="K531" s="1541"/>
      <c r="L531" s="1541"/>
      <c r="M531" s="1541"/>
      <c r="N531" s="1541"/>
      <c r="O531" s="1541"/>
      <c r="P531" s="1541"/>
      <c r="Q531" s="1541"/>
      <c r="R531" s="1541"/>
      <c r="S531" s="1541"/>
      <c r="T531" s="1541"/>
      <c r="U531" s="1541"/>
      <c r="V531" s="1541"/>
      <c r="W531" s="1541"/>
      <c r="X531" s="1541"/>
      <c r="Y531" s="1541"/>
      <c r="Z531" s="1541"/>
      <c r="AA531" s="1541"/>
      <c r="AB531" s="1541"/>
      <c r="AC531" s="1541"/>
      <c r="AD531" s="1541"/>
      <c r="AE531" s="1541"/>
      <c r="AF531" s="1541"/>
      <c r="AG531" s="1541"/>
      <c r="AH531" s="1541"/>
      <c r="AI531" s="1541"/>
      <c r="AJ531" s="1541"/>
      <c r="AK531" s="1541"/>
      <c r="AL531" s="1541"/>
      <c r="AM531" s="1541"/>
      <c r="AN531" s="1541"/>
      <c r="AO531" s="1541"/>
      <c r="AP531" s="1541"/>
      <c r="AQ531" s="1541"/>
      <c r="AR531" s="1541"/>
      <c r="AS531" s="1541"/>
      <c r="AT531" s="1541"/>
      <c r="AU531" s="1541"/>
      <c r="AV531" s="1541"/>
      <c r="AW531" s="1541"/>
      <c r="AX531" s="1541"/>
      <c r="AY531" s="1541"/>
      <c r="AZ531" s="1541"/>
      <c r="BA531" s="1541"/>
      <c r="BB531" s="1541"/>
      <c r="BC531" s="1541"/>
      <c r="BD531" s="1541"/>
      <c r="BE531" s="1541"/>
      <c r="BF531" s="1541"/>
      <c r="BG531" s="1541"/>
      <c r="BH531" s="1541"/>
      <c r="BI531" s="1541"/>
      <c r="BJ531" s="1541"/>
      <c r="BK531" s="1541"/>
      <c r="BL531" s="1541"/>
      <c r="BM531" s="1541"/>
      <c r="BN531" s="1541"/>
      <c r="BO531" s="1541"/>
      <c r="BP531" s="1541"/>
      <c r="BQ531" s="1541"/>
      <c r="BR531" s="1541"/>
      <c r="BS531" s="1541"/>
      <c r="BT531" s="1541"/>
      <c r="BU531" s="1541"/>
      <c r="BV531" s="1541"/>
      <c r="BW531" s="1541"/>
      <c r="BX531" s="1541"/>
      <c r="BY531" s="1541"/>
      <c r="BZ531" s="1541"/>
      <c r="CA531" s="1541"/>
      <c r="CB531" s="1541"/>
      <c r="CC531" s="1541"/>
      <c r="CD531" s="1541"/>
      <c r="CE531" s="1541"/>
      <c r="CF531" s="1541"/>
      <c r="CG531" s="1541"/>
      <c r="CH531" s="1541"/>
      <c r="CI531" s="1541"/>
      <c r="CJ531" s="1541"/>
      <c r="CK531" s="1541"/>
      <c r="CL531" s="1541"/>
      <c r="CM531" s="1541"/>
      <c r="CN531" s="1541"/>
      <c r="CO531" s="1541"/>
      <c r="CP531" s="1541"/>
      <c r="CQ531" s="1541"/>
      <c r="CR531" s="1541"/>
      <c r="CS531" s="1541"/>
      <c r="CT531" s="1541"/>
      <c r="CU531" s="1541"/>
      <c r="CV531" s="1541"/>
      <c r="CW531" s="1541"/>
      <c r="CX531" s="1541"/>
      <c r="CY531" s="1541"/>
      <c r="CZ531" s="1541"/>
      <c r="DA531" s="1541"/>
      <c r="DB531" s="1541"/>
      <c r="DC531" s="1541"/>
      <c r="DD531" s="1541"/>
      <c r="DE531" s="1541"/>
      <c r="DF531" s="1541"/>
      <c r="DG531" s="1541"/>
      <c r="DH531" s="1541"/>
      <c r="DI531" s="1541"/>
      <c r="DJ531" s="1541"/>
      <c r="DK531" s="1541"/>
      <c r="DL531" s="1541"/>
      <c r="DM531" s="1541"/>
      <c r="DN531" s="1541"/>
      <c r="DO531" s="1541"/>
      <c r="DP531" s="1541"/>
      <c r="DQ531" s="1541"/>
      <c r="DR531" s="1541"/>
      <c r="DS531" s="1541"/>
      <c r="DT531" s="1541"/>
      <c r="DU531" s="1541"/>
      <c r="DV531" s="1541"/>
      <c r="DW531" s="1541"/>
      <c r="DX531" s="1541"/>
      <c r="DY531" s="1541"/>
      <c r="DZ531" s="1541"/>
      <c r="EA531" s="1541"/>
      <c r="EB531" s="1541"/>
      <c r="EC531" s="1541"/>
      <c r="ED531" s="1541"/>
      <c r="EE531" s="1541"/>
      <c r="EF531" s="1541"/>
      <c r="EG531" s="1541"/>
      <c r="EH531" s="1541"/>
      <c r="EI531" s="1541"/>
      <c r="EJ531" s="1541"/>
      <c r="EK531" s="1541"/>
      <c r="EL531" s="1541"/>
      <c r="EM531" s="1541"/>
      <c r="EN531" s="1541"/>
      <c r="EO531" s="1541"/>
      <c r="EP531" s="1541"/>
      <c r="EQ531" s="1541"/>
      <c r="ER531" s="1541"/>
      <c r="ES531" s="1541"/>
      <c r="ET531" s="1541"/>
      <c r="EU531" s="1541"/>
      <c r="EV531" s="1541"/>
      <c r="EW531" s="1541"/>
      <c r="EX531" s="1541"/>
      <c r="EY531" s="1541"/>
      <c r="EZ531" s="1541"/>
      <c r="FA531" s="1541"/>
      <c r="FB531" s="1541"/>
      <c r="FC531" s="1541"/>
      <c r="FD531" s="1541"/>
      <c r="FE531" s="1541"/>
      <c r="FF531" s="1541"/>
      <c r="FG531" s="1541"/>
      <c r="FH531" s="1541"/>
      <c r="FI531" s="1541"/>
      <c r="FJ531" s="1541"/>
      <c r="FK531" s="1541"/>
      <c r="FL531" s="1541"/>
      <c r="FM531" s="1541"/>
      <c r="FN531" s="1541"/>
      <c r="FO531" s="1541"/>
      <c r="FP531" s="1541"/>
      <c r="FQ531" s="1541"/>
      <c r="FR531" s="1541"/>
      <c r="FS531" s="1541"/>
      <c r="FT531" s="1541"/>
      <c r="FU531" s="1541"/>
      <c r="FV531" s="1541"/>
      <c r="FW531" s="1541"/>
      <c r="FX531" s="1541"/>
      <c r="FY531" s="1541"/>
      <c r="FZ531" s="1541"/>
      <c r="GA531" s="1541"/>
      <c r="GB531" s="1541"/>
      <c r="GC531" s="1541"/>
      <c r="GD531" s="1541"/>
      <c r="GE531" s="1541"/>
      <c r="GF531" s="1541"/>
      <c r="GG531" s="1541"/>
      <c r="GH531" s="1541"/>
      <c r="GI531" s="1541"/>
      <c r="GJ531" s="1541"/>
      <c r="GK531" s="1541"/>
      <c r="GL531" s="1541"/>
      <c r="GM531" s="1541"/>
      <c r="GN531" s="1541"/>
      <c r="GO531" s="1541"/>
      <c r="GP531" s="1541"/>
      <c r="GQ531" s="1541"/>
      <c r="GR531" s="1541"/>
      <c r="GS531" s="1541"/>
      <c r="GT531" s="1541"/>
      <c r="GU531" s="1541"/>
      <c r="GV531" s="1541"/>
      <c r="GW531" s="1541"/>
      <c r="GX531" s="1541"/>
      <c r="GY531" s="1541"/>
      <c r="GZ531" s="1541"/>
      <c r="HA531" s="1541"/>
      <c r="HB531" s="1541"/>
      <c r="HC531" s="1541"/>
      <c r="HD531" s="1541"/>
      <c r="HE531" s="1541"/>
      <c r="HF531" s="1541"/>
      <c r="HG531" s="1541"/>
      <c r="HH531" s="1541"/>
      <c r="HI531" s="1541"/>
      <c r="HJ531" s="1541"/>
      <c r="HK531" s="1541"/>
      <c r="HL531" s="1541"/>
      <c r="HM531" s="1541"/>
      <c r="HN531" s="1541"/>
      <c r="HO531" s="1541"/>
      <c r="HP531" s="1541"/>
      <c r="HQ531" s="1541"/>
      <c r="HR531" s="1541"/>
      <c r="HS531" s="1541"/>
      <c r="HT531" s="1541"/>
      <c r="HU531" s="1541"/>
      <c r="HV531" s="1541"/>
      <c r="HW531" s="1541"/>
      <c r="HX531" s="1541"/>
      <c r="HY531" s="1541"/>
      <c r="HZ531" s="1541"/>
      <c r="IA531" s="1541"/>
      <c r="IB531" s="1541"/>
      <c r="IC531" s="1541"/>
      <c r="ID531" s="1541"/>
      <c r="IE531" s="1541"/>
      <c r="IF531" s="1541"/>
      <c r="IG531" s="1541"/>
      <c r="IH531" s="1541"/>
      <c r="II531" s="1541"/>
      <c r="IJ531" s="1541"/>
      <c r="IK531" s="1541"/>
      <c r="IL531" s="1541"/>
      <c r="IM531" s="1541"/>
      <c r="IN531" s="1541"/>
    </row>
    <row r="532" spans="1:248" s="1556" customFormat="1">
      <c r="A532" s="1595"/>
      <c r="B532" s="1600"/>
      <c r="C532" s="1600"/>
      <c r="D532" s="1600"/>
      <c r="E532" s="1600"/>
      <c r="G532" s="1538"/>
      <c r="H532" s="1541"/>
      <c r="I532" s="1541"/>
      <c r="J532" s="1541"/>
      <c r="K532" s="1541"/>
      <c r="L532" s="1541"/>
      <c r="M532" s="1541"/>
      <c r="N532" s="1541"/>
      <c r="O532" s="1541"/>
      <c r="P532" s="1541"/>
      <c r="Q532" s="1541"/>
      <c r="R532" s="1541"/>
      <c r="S532" s="1541"/>
      <c r="T532" s="1541"/>
      <c r="U532" s="1541"/>
      <c r="V532" s="1541"/>
      <c r="W532" s="1541"/>
      <c r="X532" s="1541"/>
      <c r="Y532" s="1541"/>
      <c r="Z532" s="1541"/>
      <c r="AA532" s="1541"/>
      <c r="AB532" s="1541"/>
      <c r="AC532" s="1541"/>
      <c r="AD532" s="1541"/>
      <c r="AE532" s="1541"/>
      <c r="AF532" s="1541"/>
      <c r="AG532" s="1541"/>
      <c r="AH532" s="1541"/>
      <c r="AI532" s="1541"/>
      <c r="AJ532" s="1541"/>
      <c r="AK532" s="1541"/>
      <c r="AL532" s="1541"/>
      <c r="AM532" s="1541"/>
      <c r="AN532" s="1541"/>
      <c r="AO532" s="1541"/>
      <c r="AP532" s="1541"/>
      <c r="AQ532" s="1541"/>
      <c r="AR532" s="1541"/>
      <c r="AS532" s="1541"/>
      <c r="AT532" s="1541"/>
      <c r="AU532" s="1541"/>
      <c r="AV532" s="1541"/>
      <c r="AW532" s="1541"/>
      <c r="AX532" s="1541"/>
      <c r="AY532" s="1541"/>
      <c r="AZ532" s="1541"/>
      <c r="BA532" s="1541"/>
      <c r="BB532" s="1541"/>
      <c r="BC532" s="1541"/>
      <c r="BD532" s="1541"/>
      <c r="BE532" s="1541"/>
      <c r="BF532" s="1541"/>
      <c r="BG532" s="1541"/>
      <c r="BH532" s="1541"/>
      <c r="BI532" s="1541"/>
      <c r="BJ532" s="1541"/>
      <c r="BK532" s="1541"/>
      <c r="BL532" s="1541"/>
      <c r="BM532" s="1541"/>
      <c r="BN532" s="1541"/>
      <c r="BO532" s="1541"/>
      <c r="BP532" s="1541"/>
      <c r="BQ532" s="1541"/>
      <c r="BR532" s="1541"/>
      <c r="BS532" s="1541"/>
      <c r="BT532" s="1541"/>
      <c r="BU532" s="1541"/>
      <c r="BV532" s="1541"/>
      <c r="BW532" s="1541"/>
      <c r="BX532" s="1541"/>
      <c r="BY532" s="1541"/>
      <c r="BZ532" s="1541"/>
      <c r="CA532" s="1541"/>
      <c r="CB532" s="1541"/>
      <c r="CC532" s="1541"/>
      <c r="CD532" s="1541"/>
      <c r="CE532" s="1541"/>
      <c r="CF532" s="1541"/>
      <c r="CG532" s="1541"/>
      <c r="CH532" s="1541"/>
      <c r="CI532" s="1541"/>
      <c r="CJ532" s="1541"/>
      <c r="CK532" s="1541"/>
      <c r="CL532" s="1541"/>
      <c r="CM532" s="1541"/>
      <c r="CN532" s="1541"/>
      <c r="CO532" s="1541"/>
      <c r="CP532" s="1541"/>
      <c r="CQ532" s="1541"/>
      <c r="CR532" s="1541"/>
      <c r="CS532" s="1541"/>
      <c r="CT532" s="1541"/>
      <c r="CU532" s="1541"/>
      <c r="CV532" s="1541"/>
      <c r="CW532" s="1541"/>
      <c r="CX532" s="1541"/>
      <c r="CY532" s="1541"/>
      <c r="CZ532" s="1541"/>
      <c r="DA532" s="1541"/>
      <c r="DB532" s="1541"/>
      <c r="DC532" s="1541"/>
      <c r="DD532" s="1541"/>
      <c r="DE532" s="1541"/>
      <c r="DF532" s="1541"/>
      <c r="DG532" s="1541"/>
      <c r="DH532" s="1541"/>
      <c r="DI532" s="1541"/>
      <c r="DJ532" s="1541"/>
      <c r="DK532" s="1541"/>
      <c r="DL532" s="1541"/>
      <c r="DM532" s="1541"/>
      <c r="DN532" s="1541"/>
      <c r="DO532" s="1541"/>
      <c r="DP532" s="1541"/>
      <c r="DQ532" s="1541"/>
      <c r="DR532" s="1541"/>
      <c r="DS532" s="1541"/>
      <c r="DT532" s="1541"/>
      <c r="DU532" s="1541"/>
      <c r="DV532" s="1541"/>
      <c r="DW532" s="1541"/>
      <c r="DX532" s="1541"/>
      <c r="DY532" s="1541"/>
      <c r="DZ532" s="1541"/>
      <c r="EA532" s="1541"/>
      <c r="EB532" s="1541"/>
      <c r="EC532" s="1541"/>
      <c r="ED532" s="1541"/>
      <c r="EE532" s="1541"/>
      <c r="EF532" s="1541"/>
      <c r="EG532" s="1541"/>
      <c r="EH532" s="1541"/>
      <c r="EI532" s="1541"/>
      <c r="EJ532" s="1541"/>
      <c r="EK532" s="1541"/>
      <c r="EL532" s="1541"/>
      <c r="EM532" s="1541"/>
      <c r="EN532" s="1541"/>
      <c r="EO532" s="1541"/>
      <c r="EP532" s="1541"/>
      <c r="EQ532" s="1541"/>
      <c r="ER532" s="1541"/>
      <c r="ES532" s="1541"/>
      <c r="ET532" s="1541"/>
      <c r="EU532" s="1541"/>
      <c r="EV532" s="1541"/>
      <c r="EW532" s="1541"/>
      <c r="EX532" s="1541"/>
      <c r="EY532" s="1541"/>
      <c r="EZ532" s="1541"/>
      <c r="FA532" s="1541"/>
      <c r="FB532" s="1541"/>
      <c r="FC532" s="1541"/>
      <c r="FD532" s="1541"/>
      <c r="FE532" s="1541"/>
      <c r="FF532" s="1541"/>
      <c r="FG532" s="1541"/>
      <c r="FH532" s="1541"/>
      <c r="FI532" s="1541"/>
      <c r="FJ532" s="1541"/>
      <c r="FK532" s="1541"/>
      <c r="FL532" s="1541"/>
      <c r="FM532" s="1541"/>
      <c r="FN532" s="1541"/>
      <c r="FO532" s="1541"/>
      <c r="FP532" s="1541"/>
      <c r="FQ532" s="1541"/>
      <c r="FR532" s="1541"/>
      <c r="FS532" s="1541"/>
      <c r="FT532" s="1541"/>
      <c r="FU532" s="1541"/>
      <c r="FV532" s="1541"/>
      <c r="FW532" s="1541"/>
      <c r="FX532" s="1541"/>
      <c r="FY532" s="1541"/>
      <c r="FZ532" s="1541"/>
      <c r="GA532" s="1541"/>
      <c r="GB532" s="1541"/>
      <c r="GC532" s="1541"/>
      <c r="GD532" s="1541"/>
      <c r="GE532" s="1541"/>
      <c r="GF532" s="1541"/>
      <c r="GG532" s="1541"/>
      <c r="GH532" s="1541"/>
      <c r="GI532" s="1541"/>
      <c r="GJ532" s="1541"/>
      <c r="GK532" s="1541"/>
      <c r="GL532" s="1541"/>
      <c r="GM532" s="1541"/>
      <c r="GN532" s="1541"/>
      <c r="GO532" s="1541"/>
      <c r="GP532" s="1541"/>
      <c r="GQ532" s="1541"/>
      <c r="GR532" s="1541"/>
      <c r="GS532" s="1541"/>
      <c r="GT532" s="1541"/>
      <c r="GU532" s="1541"/>
      <c r="GV532" s="1541"/>
      <c r="GW532" s="1541"/>
      <c r="GX532" s="1541"/>
      <c r="GY532" s="1541"/>
      <c r="GZ532" s="1541"/>
      <c r="HA532" s="1541"/>
      <c r="HB532" s="1541"/>
      <c r="HC532" s="1541"/>
      <c r="HD532" s="1541"/>
      <c r="HE532" s="1541"/>
      <c r="HF532" s="1541"/>
      <c r="HG532" s="1541"/>
      <c r="HH532" s="1541"/>
      <c r="HI532" s="1541"/>
      <c r="HJ532" s="1541"/>
      <c r="HK532" s="1541"/>
      <c r="HL532" s="1541"/>
      <c r="HM532" s="1541"/>
      <c r="HN532" s="1541"/>
      <c r="HO532" s="1541"/>
      <c r="HP532" s="1541"/>
      <c r="HQ532" s="1541"/>
      <c r="HR532" s="1541"/>
      <c r="HS532" s="1541"/>
      <c r="HT532" s="1541"/>
      <c r="HU532" s="1541"/>
      <c r="HV532" s="1541"/>
      <c r="HW532" s="1541"/>
      <c r="HX532" s="1541"/>
      <c r="HY532" s="1541"/>
      <c r="HZ532" s="1541"/>
      <c r="IA532" s="1541"/>
      <c r="IB532" s="1541"/>
      <c r="IC532" s="1541"/>
      <c r="ID532" s="1541"/>
      <c r="IE532" s="1541"/>
      <c r="IF532" s="1541"/>
      <c r="IG532" s="1541"/>
      <c r="IH532" s="1541"/>
      <c r="II532" s="1541"/>
      <c r="IJ532" s="1541"/>
      <c r="IK532" s="1541"/>
      <c r="IL532" s="1541"/>
      <c r="IM532" s="1541"/>
      <c r="IN532" s="1541"/>
    </row>
    <row r="533" spans="1:248" s="1556" customFormat="1">
      <c r="A533" s="1595"/>
      <c r="B533" s="1600"/>
      <c r="C533" s="1600"/>
      <c r="D533" s="1600"/>
      <c r="E533" s="1600"/>
      <c r="G533" s="1538"/>
      <c r="H533" s="1541"/>
      <c r="I533" s="1541"/>
      <c r="J533" s="1541"/>
      <c r="K533" s="1541"/>
      <c r="L533" s="1541"/>
      <c r="M533" s="1541"/>
      <c r="N533" s="1541"/>
      <c r="O533" s="1541"/>
      <c r="P533" s="1541"/>
      <c r="Q533" s="1541"/>
      <c r="R533" s="1541"/>
      <c r="S533" s="1541"/>
      <c r="T533" s="1541"/>
      <c r="U533" s="1541"/>
      <c r="V533" s="1541"/>
      <c r="W533" s="1541"/>
      <c r="X533" s="1541"/>
      <c r="Y533" s="1541"/>
      <c r="Z533" s="1541"/>
      <c r="AA533" s="1541"/>
      <c r="AB533" s="1541"/>
      <c r="AC533" s="1541"/>
      <c r="AD533" s="1541"/>
      <c r="AE533" s="1541"/>
      <c r="AF533" s="1541"/>
      <c r="AG533" s="1541"/>
      <c r="AH533" s="1541"/>
      <c r="AI533" s="1541"/>
      <c r="AJ533" s="1541"/>
      <c r="AK533" s="1541"/>
      <c r="AL533" s="1541"/>
      <c r="AM533" s="1541"/>
      <c r="AN533" s="1541"/>
      <c r="AO533" s="1541"/>
      <c r="AP533" s="1541"/>
      <c r="AQ533" s="1541"/>
      <c r="AR533" s="1541"/>
      <c r="AS533" s="1541"/>
      <c r="AT533" s="1541"/>
      <c r="AU533" s="1541"/>
      <c r="AV533" s="1541"/>
      <c r="AW533" s="1541"/>
      <c r="AX533" s="1541"/>
      <c r="AY533" s="1541"/>
      <c r="AZ533" s="1541"/>
      <c r="BA533" s="1541"/>
      <c r="BB533" s="1541"/>
      <c r="BC533" s="1541"/>
      <c r="BD533" s="1541"/>
      <c r="BE533" s="1541"/>
      <c r="BF533" s="1541"/>
      <c r="BG533" s="1541"/>
      <c r="BH533" s="1541"/>
      <c r="BI533" s="1541"/>
      <c r="BJ533" s="1541"/>
      <c r="BK533" s="1541"/>
      <c r="BL533" s="1541"/>
      <c r="BM533" s="1541"/>
      <c r="BN533" s="1541"/>
      <c r="BO533" s="1541"/>
      <c r="BP533" s="1541"/>
      <c r="BQ533" s="1541"/>
      <c r="BR533" s="1541"/>
      <c r="BS533" s="1541"/>
      <c r="BT533" s="1541"/>
      <c r="BU533" s="1541"/>
      <c r="BV533" s="1541"/>
      <c r="BW533" s="1541"/>
      <c r="BX533" s="1541"/>
      <c r="BY533" s="1541"/>
      <c r="BZ533" s="1541"/>
      <c r="CA533" s="1541"/>
      <c r="CB533" s="1541"/>
      <c r="CC533" s="1541"/>
      <c r="CD533" s="1541"/>
      <c r="CE533" s="1541"/>
      <c r="CF533" s="1541"/>
      <c r="CG533" s="1541"/>
      <c r="CH533" s="1541"/>
      <c r="CI533" s="1541"/>
      <c r="CJ533" s="1541"/>
      <c r="CK533" s="1541"/>
      <c r="CL533" s="1541"/>
      <c r="CM533" s="1541"/>
      <c r="CN533" s="1541"/>
      <c r="CO533" s="1541"/>
      <c r="CP533" s="1541"/>
      <c r="CQ533" s="1541"/>
      <c r="CR533" s="1541"/>
      <c r="CS533" s="1541"/>
      <c r="CT533" s="1541"/>
      <c r="CU533" s="1541"/>
      <c r="CV533" s="1541"/>
      <c r="CW533" s="1541"/>
      <c r="CX533" s="1541"/>
      <c r="CY533" s="1541"/>
      <c r="CZ533" s="1541"/>
      <c r="DA533" s="1541"/>
      <c r="DB533" s="1541"/>
      <c r="DC533" s="1541"/>
      <c r="DD533" s="1541"/>
      <c r="DE533" s="1541"/>
      <c r="DF533" s="1541"/>
      <c r="DG533" s="1541"/>
      <c r="DH533" s="1541"/>
      <c r="DI533" s="1541"/>
      <c r="DJ533" s="1541"/>
      <c r="DK533" s="1541"/>
      <c r="DL533" s="1541"/>
      <c r="DM533" s="1541"/>
      <c r="DN533" s="1541"/>
      <c r="DO533" s="1541"/>
      <c r="DP533" s="1541"/>
      <c r="DQ533" s="1541"/>
      <c r="DR533" s="1541"/>
      <c r="DS533" s="1541"/>
      <c r="DT533" s="1541"/>
      <c r="DU533" s="1541"/>
      <c r="DV533" s="1541"/>
      <c r="DW533" s="1541"/>
      <c r="DX533" s="1541"/>
      <c r="DY533" s="1541"/>
      <c r="DZ533" s="1541"/>
      <c r="EA533" s="1541"/>
      <c r="EB533" s="1541"/>
      <c r="EC533" s="1541"/>
      <c r="ED533" s="1541"/>
      <c r="EE533" s="1541"/>
      <c r="EF533" s="1541"/>
      <c r="EG533" s="1541"/>
      <c r="EH533" s="1541"/>
      <c r="EI533" s="1541"/>
      <c r="EJ533" s="1541"/>
      <c r="EK533" s="1541"/>
      <c r="EL533" s="1541"/>
      <c r="EM533" s="1541"/>
      <c r="EN533" s="1541"/>
      <c r="EO533" s="1541"/>
      <c r="EP533" s="1541"/>
      <c r="EQ533" s="1541"/>
      <c r="ER533" s="1541"/>
      <c r="ES533" s="1541"/>
      <c r="ET533" s="1541"/>
      <c r="EU533" s="1541"/>
      <c r="EV533" s="1541"/>
      <c r="EW533" s="1541"/>
      <c r="EX533" s="1541"/>
      <c r="EY533" s="1541"/>
      <c r="EZ533" s="1541"/>
      <c r="FA533" s="1541"/>
      <c r="FB533" s="1541"/>
      <c r="FC533" s="1541"/>
      <c r="FD533" s="1541"/>
      <c r="FE533" s="1541"/>
      <c r="FF533" s="1541"/>
      <c r="FG533" s="1541"/>
      <c r="FH533" s="1541"/>
      <c r="FI533" s="1541"/>
      <c r="FJ533" s="1541"/>
      <c r="FK533" s="1541"/>
      <c r="FL533" s="1541"/>
      <c r="FM533" s="1541"/>
      <c r="FN533" s="1541"/>
      <c r="FO533" s="1541"/>
      <c r="FP533" s="1541"/>
      <c r="FQ533" s="1541"/>
      <c r="FR533" s="1541"/>
      <c r="FS533" s="1541"/>
      <c r="FT533" s="1541"/>
      <c r="FU533" s="1541"/>
      <c r="FV533" s="1541"/>
      <c r="FW533" s="1541"/>
      <c r="FX533" s="1541"/>
      <c r="FY533" s="1541"/>
      <c r="FZ533" s="1541"/>
      <c r="GA533" s="1541"/>
      <c r="GB533" s="1541"/>
      <c r="GC533" s="1541"/>
      <c r="GD533" s="1541"/>
      <c r="GE533" s="1541"/>
      <c r="GF533" s="1541"/>
      <c r="GG533" s="1541"/>
      <c r="GH533" s="1541"/>
      <c r="GI533" s="1541"/>
      <c r="GJ533" s="1541"/>
      <c r="GK533" s="1541"/>
      <c r="GL533" s="1541"/>
      <c r="GM533" s="1541"/>
      <c r="GN533" s="1541"/>
      <c r="GO533" s="1541"/>
      <c r="GP533" s="1541"/>
      <c r="GQ533" s="1541"/>
      <c r="GR533" s="1541"/>
      <c r="GS533" s="1541"/>
      <c r="GT533" s="1541"/>
      <c r="GU533" s="1541"/>
      <c r="GV533" s="1541"/>
      <c r="GW533" s="1541"/>
      <c r="GX533" s="1541"/>
      <c r="GY533" s="1541"/>
      <c r="GZ533" s="1541"/>
      <c r="HA533" s="1541"/>
      <c r="HB533" s="1541"/>
      <c r="HC533" s="1541"/>
      <c r="HD533" s="1541"/>
      <c r="HE533" s="1541"/>
      <c r="HF533" s="1541"/>
      <c r="HG533" s="1541"/>
      <c r="HH533" s="1541"/>
      <c r="HI533" s="1541"/>
      <c r="HJ533" s="1541"/>
      <c r="HK533" s="1541"/>
      <c r="HL533" s="1541"/>
      <c r="HM533" s="1541"/>
      <c r="HN533" s="1541"/>
      <c r="HO533" s="1541"/>
      <c r="HP533" s="1541"/>
      <c r="HQ533" s="1541"/>
      <c r="HR533" s="1541"/>
      <c r="HS533" s="1541"/>
      <c r="HT533" s="1541"/>
      <c r="HU533" s="1541"/>
      <c r="HV533" s="1541"/>
      <c r="HW533" s="1541"/>
      <c r="HX533" s="1541"/>
      <c r="HY533" s="1541"/>
      <c r="HZ533" s="1541"/>
      <c r="IA533" s="1541"/>
      <c r="IB533" s="1541"/>
      <c r="IC533" s="1541"/>
      <c r="ID533" s="1541"/>
      <c r="IE533" s="1541"/>
      <c r="IF533" s="1541"/>
      <c r="IG533" s="1541"/>
      <c r="IH533" s="1541"/>
      <c r="II533" s="1541"/>
      <c r="IJ533" s="1541"/>
      <c r="IK533" s="1541"/>
      <c r="IL533" s="1541"/>
      <c r="IM533" s="1541"/>
      <c r="IN533" s="1541"/>
    </row>
    <row r="534" spans="1:248" s="1556" customFormat="1">
      <c r="A534" s="1595"/>
      <c r="B534" s="1600"/>
      <c r="C534" s="1600"/>
      <c r="D534" s="1600"/>
      <c r="E534" s="1600"/>
      <c r="G534" s="1538"/>
      <c r="H534" s="1541"/>
      <c r="I534" s="1541"/>
      <c r="J534" s="1541"/>
      <c r="K534" s="1541"/>
      <c r="L534" s="1541"/>
      <c r="M534" s="1541"/>
      <c r="N534" s="1541"/>
      <c r="O534" s="1541"/>
      <c r="P534" s="1541"/>
      <c r="Q534" s="1541"/>
      <c r="R534" s="1541"/>
      <c r="S534" s="1541"/>
      <c r="T534" s="1541"/>
      <c r="U534" s="1541"/>
      <c r="V534" s="1541"/>
      <c r="W534" s="1541"/>
      <c r="X534" s="1541"/>
      <c r="Y534" s="1541"/>
      <c r="Z534" s="1541"/>
      <c r="AA534" s="1541"/>
      <c r="AB534" s="1541"/>
      <c r="AC534" s="1541"/>
      <c r="AD534" s="1541"/>
      <c r="AE534" s="1541"/>
      <c r="AF534" s="1541"/>
      <c r="AG534" s="1541"/>
      <c r="AH534" s="1541"/>
      <c r="AI534" s="1541"/>
      <c r="AJ534" s="1541"/>
      <c r="AK534" s="1541"/>
      <c r="AL534" s="1541"/>
      <c r="AM534" s="1541"/>
      <c r="AN534" s="1541"/>
      <c r="AO534" s="1541"/>
      <c r="AP534" s="1541"/>
      <c r="AQ534" s="1541"/>
      <c r="AR534" s="1541"/>
      <c r="AS534" s="1541"/>
      <c r="AT534" s="1541"/>
      <c r="AU534" s="1541"/>
      <c r="AV534" s="1541"/>
      <c r="AW534" s="1541"/>
      <c r="AX534" s="1541"/>
      <c r="AY534" s="1541"/>
      <c r="AZ534" s="1541"/>
      <c r="BA534" s="1541"/>
      <c r="BB534" s="1541"/>
      <c r="BC534" s="1541"/>
      <c r="BD534" s="1541"/>
      <c r="BE534" s="1541"/>
      <c r="BF534" s="1541"/>
      <c r="BG534" s="1541"/>
      <c r="BH534" s="1541"/>
      <c r="BI534" s="1541"/>
      <c r="BJ534" s="1541"/>
      <c r="BK534" s="1541"/>
      <c r="BL534" s="1541"/>
      <c r="BM534" s="1541"/>
      <c r="BN534" s="1541"/>
      <c r="BO534" s="1541"/>
      <c r="BP534" s="1541"/>
      <c r="BQ534" s="1541"/>
      <c r="BR534" s="1541"/>
      <c r="BS534" s="1541"/>
      <c r="BT534" s="1541"/>
      <c r="BU534" s="1541"/>
      <c r="BV534" s="1541"/>
      <c r="BW534" s="1541"/>
      <c r="BX534" s="1541"/>
      <c r="BY534" s="1541"/>
      <c r="BZ534" s="1541"/>
      <c r="CA534" s="1541"/>
      <c r="CB534" s="1541"/>
      <c r="CC534" s="1541"/>
      <c r="CD534" s="1541"/>
      <c r="CE534" s="1541"/>
      <c r="CF534" s="1541"/>
      <c r="CG534" s="1541"/>
      <c r="CH534" s="1541"/>
      <c r="CI534" s="1541"/>
      <c r="CJ534" s="1541"/>
      <c r="CK534" s="1541"/>
      <c r="CL534" s="1541"/>
      <c r="CM534" s="1541"/>
      <c r="CN534" s="1541"/>
      <c r="CO534" s="1541"/>
      <c r="CP534" s="1541"/>
      <c r="CQ534" s="1541"/>
      <c r="CR534" s="1541"/>
      <c r="CS534" s="1541"/>
      <c r="CT534" s="1541"/>
      <c r="CU534" s="1541"/>
      <c r="CV534" s="1541"/>
      <c r="CW534" s="1541"/>
      <c r="CX534" s="1541"/>
      <c r="CY534" s="1541"/>
      <c r="CZ534" s="1541"/>
      <c r="DA534" s="1541"/>
      <c r="DB534" s="1541"/>
      <c r="DC534" s="1541"/>
      <c r="DD534" s="1541"/>
      <c r="DE534" s="1541"/>
      <c r="DF534" s="1541"/>
      <c r="DG534" s="1541"/>
      <c r="DH534" s="1541"/>
      <c r="DI534" s="1541"/>
      <c r="DJ534" s="1541"/>
      <c r="DK534" s="1541"/>
      <c r="DL534" s="1541"/>
      <c r="DM534" s="1541"/>
      <c r="DN534" s="1541"/>
      <c r="DO534" s="1541"/>
      <c r="DP534" s="1541"/>
      <c r="DQ534" s="1541"/>
      <c r="DR534" s="1541"/>
      <c r="DS534" s="1541"/>
      <c r="DT534" s="1541"/>
      <c r="DU534" s="1541"/>
      <c r="DV534" s="1541"/>
      <c r="DW534" s="1541"/>
      <c r="DX534" s="1541"/>
      <c r="DY534" s="1541"/>
      <c r="DZ534" s="1541"/>
      <c r="EA534" s="1541"/>
      <c r="EB534" s="1541"/>
      <c r="EC534" s="1541"/>
      <c r="ED534" s="1541"/>
      <c r="EE534" s="1541"/>
      <c r="EF534" s="1541"/>
      <c r="EG534" s="1541"/>
      <c r="EH534" s="1541"/>
      <c r="EI534" s="1541"/>
      <c r="EJ534" s="1541"/>
      <c r="EK534" s="1541"/>
      <c r="EL534" s="1541"/>
      <c r="EM534" s="1541"/>
      <c r="EN534" s="1541"/>
      <c r="EO534" s="1541"/>
      <c r="EP534" s="1541"/>
      <c r="EQ534" s="1541"/>
      <c r="ER534" s="1541"/>
      <c r="ES534" s="1541"/>
      <c r="ET534" s="1541"/>
      <c r="EU534" s="1541"/>
      <c r="EV534" s="1541"/>
      <c r="EW534" s="1541"/>
      <c r="EX534" s="1541"/>
      <c r="EY534" s="1541"/>
      <c r="EZ534" s="1541"/>
      <c r="FA534" s="1541"/>
      <c r="FB534" s="1541"/>
      <c r="FC534" s="1541"/>
      <c r="FD534" s="1541"/>
      <c r="FE534" s="1541"/>
      <c r="FF534" s="1541"/>
      <c r="FG534" s="1541"/>
      <c r="FH534" s="1541"/>
      <c r="FI534" s="1541"/>
      <c r="FJ534" s="1541"/>
      <c r="FK534" s="1541"/>
      <c r="FL534" s="1541"/>
      <c r="FM534" s="1541"/>
      <c r="FN534" s="1541"/>
      <c r="FO534" s="1541"/>
      <c r="FP534" s="1541"/>
      <c r="FQ534" s="1541"/>
      <c r="FR534" s="1541"/>
      <c r="FS534" s="1541"/>
      <c r="FT534" s="1541"/>
      <c r="FU534" s="1541"/>
      <c r="FV534" s="1541"/>
      <c r="FW534" s="1541"/>
      <c r="FX534" s="1541"/>
      <c r="FY534" s="1541"/>
      <c r="FZ534" s="1541"/>
      <c r="GA534" s="1541"/>
      <c r="GB534" s="1541"/>
      <c r="GC534" s="1541"/>
      <c r="GD534" s="1541"/>
      <c r="GE534" s="1541"/>
      <c r="GF534" s="1541"/>
      <c r="GG534" s="1541"/>
      <c r="GH534" s="1541"/>
      <c r="GI534" s="1541"/>
      <c r="GJ534" s="1541"/>
      <c r="GK534" s="1541"/>
      <c r="GL534" s="1541"/>
      <c r="GM534" s="1541"/>
      <c r="GN534" s="1541"/>
      <c r="GO534" s="1541"/>
      <c r="GP534" s="1541"/>
      <c r="GQ534" s="1541"/>
      <c r="GR534" s="1541"/>
      <c r="GS534" s="1541"/>
      <c r="GT534" s="1541"/>
      <c r="GU534" s="1541"/>
      <c r="GV534" s="1541"/>
      <c r="GW534" s="1541"/>
      <c r="GX534" s="1541"/>
      <c r="GY534" s="1541"/>
      <c r="GZ534" s="1541"/>
      <c r="HA534" s="1541"/>
      <c r="HB534" s="1541"/>
      <c r="HC534" s="1541"/>
      <c r="HD534" s="1541"/>
      <c r="HE534" s="1541"/>
      <c r="HF534" s="1541"/>
      <c r="HG534" s="1541"/>
      <c r="HH534" s="1541"/>
      <c r="HI534" s="1541"/>
      <c r="HJ534" s="1541"/>
      <c r="HK534" s="1541"/>
      <c r="HL534" s="1541"/>
      <c r="HM534" s="1541"/>
      <c r="HN534" s="1541"/>
      <c r="HO534" s="1541"/>
      <c r="HP534" s="1541"/>
      <c r="HQ534" s="1541"/>
      <c r="HR534" s="1541"/>
      <c r="HS534" s="1541"/>
      <c r="HT534" s="1541"/>
      <c r="HU534" s="1541"/>
      <c r="HV534" s="1541"/>
      <c r="HW534" s="1541"/>
      <c r="HX534" s="1541"/>
      <c r="HY534" s="1541"/>
      <c r="HZ534" s="1541"/>
      <c r="IA534" s="1541"/>
      <c r="IB534" s="1541"/>
      <c r="IC534" s="1541"/>
      <c r="ID534" s="1541"/>
      <c r="IE534" s="1541"/>
      <c r="IF534" s="1541"/>
      <c r="IG534" s="1541"/>
      <c r="IH534" s="1541"/>
      <c r="II534" s="1541"/>
      <c r="IJ534" s="1541"/>
      <c r="IK534" s="1541"/>
      <c r="IL534" s="1541"/>
      <c r="IM534" s="1541"/>
      <c r="IN534" s="1541"/>
    </row>
    <row r="535" spans="1:248" s="230" customFormat="1">
      <c r="A535" s="1595"/>
      <c r="B535" s="1600"/>
      <c r="C535" s="1600"/>
      <c r="D535" s="1600"/>
      <c r="E535" s="1600"/>
      <c r="G535" s="234"/>
      <c r="H535" s="228"/>
      <c r="I535" s="228"/>
      <c r="J535" s="228"/>
      <c r="K535" s="228"/>
      <c r="L535" s="228"/>
      <c r="M535" s="228"/>
      <c r="N535" s="228"/>
      <c r="O535" s="228"/>
      <c r="P535" s="228"/>
      <c r="Q535" s="228"/>
      <c r="R535" s="228"/>
      <c r="S535" s="228"/>
      <c r="T535" s="228"/>
      <c r="U535" s="228"/>
      <c r="V535" s="228"/>
      <c r="W535" s="228"/>
      <c r="X535" s="228"/>
      <c r="Y535" s="228"/>
      <c r="Z535" s="228"/>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228"/>
      <c r="BE535" s="228"/>
      <c r="BF535" s="228"/>
      <c r="BG535" s="228"/>
      <c r="BH535" s="228"/>
      <c r="BI535" s="228"/>
      <c r="BJ535" s="228"/>
      <c r="BK535" s="228"/>
      <c r="BL535" s="228"/>
      <c r="BM535" s="228"/>
      <c r="BN535" s="228"/>
      <c r="BO535" s="228"/>
      <c r="BP535" s="228"/>
      <c r="BQ535" s="228"/>
      <c r="BR535" s="228"/>
      <c r="BS535" s="228"/>
      <c r="BT535" s="228"/>
      <c r="BU535" s="228"/>
      <c r="BV535" s="228"/>
      <c r="BW535" s="228"/>
      <c r="BX535" s="228"/>
      <c r="BY535" s="228"/>
      <c r="BZ535" s="228"/>
      <c r="CA535" s="228"/>
      <c r="CB535" s="228"/>
      <c r="CC535" s="228"/>
      <c r="CD535" s="228"/>
      <c r="CE535" s="228"/>
      <c r="CF535" s="228"/>
      <c r="CG535" s="228"/>
      <c r="CH535" s="228"/>
      <c r="CI535" s="228"/>
      <c r="CJ535" s="228"/>
      <c r="CK535" s="228"/>
      <c r="CL535" s="228"/>
      <c r="CM535" s="228"/>
      <c r="CN535" s="228"/>
      <c r="CO535" s="228"/>
      <c r="CP535" s="228"/>
      <c r="CQ535" s="228"/>
      <c r="CR535" s="228"/>
      <c r="CS535" s="228"/>
      <c r="CT535" s="228"/>
      <c r="CU535" s="228"/>
      <c r="CV535" s="228"/>
      <c r="CW535" s="228"/>
      <c r="CX535" s="228"/>
      <c r="CY535" s="228"/>
      <c r="CZ535" s="228"/>
      <c r="DA535" s="228"/>
      <c r="DB535" s="228"/>
      <c r="DC535" s="228"/>
      <c r="DD535" s="228"/>
      <c r="DE535" s="228"/>
      <c r="DF535" s="228"/>
      <c r="DG535" s="228"/>
      <c r="DH535" s="228"/>
      <c r="DI535" s="228"/>
      <c r="DJ535" s="228"/>
      <c r="DK535" s="228"/>
      <c r="DL535" s="228"/>
      <c r="DM535" s="228"/>
      <c r="DN535" s="228"/>
      <c r="DO535" s="228"/>
      <c r="DP535" s="228"/>
      <c r="DQ535" s="228"/>
      <c r="DR535" s="228"/>
      <c r="DS535" s="228"/>
      <c r="DT535" s="228"/>
      <c r="DU535" s="228"/>
      <c r="DV535" s="228"/>
      <c r="DW535" s="228"/>
      <c r="DX535" s="228"/>
      <c r="DY535" s="228"/>
      <c r="DZ535" s="228"/>
      <c r="EA535" s="228"/>
      <c r="EB535" s="228"/>
      <c r="EC535" s="228"/>
      <c r="ED535" s="228"/>
      <c r="EE535" s="228"/>
      <c r="EF535" s="228"/>
      <c r="EG535" s="228"/>
      <c r="EH535" s="228"/>
      <c r="EI535" s="228"/>
      <c r="EJ535" s="228"/>
      <c r="EK535" s="228"/>
      <c r="EL535" s="228"/>
      <c r="EM535" s="228"/>
      <c r="EN535" s="228"/>
      <c r="EO535" s="228"/>
      <c r="EP535" s="228"/>
      <c r="EQ535" s="228"/>
      <c r="ER535" s="228"/>
      <c r="ES535" s="228"/>
      <c r="ET535" s="228"/>
      <c r="EU535" s="228"/>
      <c r="EV535" s="228"/>
      <c r="EW535" s="228"/>
      <c r="EX535" s="228"/>
      <c r="EY535" s="228"/>
      <c r="EZ535" s="228"/>
      <c r="FA535" s="228"/>
      <c r="FB535" s="228"/>
      <c r="FC535" s="228"/>
      <c r="FD535" s="228"/>
      <c r="FE535" s="228"/>
      <c r="FF535" s="228"/>
      <c r="FG535" s="228"/>
      <c r="FH535" s="228"/>
      <c r="FI535" s="228"/>
      <c r="FJ535" s="228"/>
      <c r="FK535" s="228"/>
      <c r="FL535" s="228"/>
      <c r="FM535" s="228"/>
      <c r="FN535" s="228"/>
      <c r="FO535" s="228"/>
      <c r="FP535" s="228"/>
      <c r="FQ535" s="228"/>
      <c r="FR535" s="228"/>
      <c r="FS535" s="228"/>
      <c r="FT535" s="228"/>
      <c r="FU535" s="228"/>
      <c r="FV535" s="228"/>
      <c r="FW535" s="228"/>
      <c r="FX535" s="228"/>
      <c r="FY535" s="228"/>
      <c r="FZ535" s="228"/>
      <c r="GA535" s="228"/>
      <c r="GB535" s="228"/>
      <c r="GC535" s="228"/>
      <c r="GD535" s="228"/>
      <c r="GE535" s="228"/>
      <c r="GF535" s="228"/>
      <c r="GG535" s="228"/>
      <c r="GH535" s="228"/>
      <c r="GI535" s="228"/>
      <c r="GJ535" s="228"/>
      <c r="GK535" s="228"/>
      <c r="GL535" s="228"/>
      <c r="GM535" s="228"/>
      <c r="GN535" s="228"/>
      <c r="GO535" s="228"/>
      <c r="GP535" s="228"/>
      <c r="GQ535" s="228"/>
      <c r="GR535" s="228"/>
      <c r="GS535" s="228"/>
      <c r="GT535" s="228"/>
      <c r="GU535" s="228"/>
      <c r="GV535" s="228"/>
      <c r="GW535" s="228"/>
      <c r="GX535" s="228"/>
      <c r="GY535" s="228"/>
      <c r="GZ535" s="228"/>
      <c r="HA535" s="228"/>
      <c r="HB535" s="228"/>
      <c r="HC535" s="228"/>
      <c r="HD535" s="228"/>
      <c r="HE535" s="228"/>
      <c r="HF535" s="228"/>
      <c r="HG535" s="228"/>
      <c r="HH535" s="228"/>
      <c r="HI535" s="228"/>
      <c r="HJ535" s="228"/>
      <c r="HK535" s="228"/>
      <c r="HL535" s="228"/>
      <c r="HM535" s="228"/>
      <c r="HN535" s="228"/>
      <c r="HO535" s="228"/>
      <c r="HP535" s="228"/>
      <c r="HQ535" s="228"/>
      <c r="HR535" s="228"/>
      <c r="HS535" s="228"/>
      <c r="HT535" s="228"/>
      <c r="HU535" s="228"/>
      <c r="HV535" s="228"/>
      <c r="HW535" s="228"/>
      <c r="HX535" s="228"/>
      <c r="HY535" s="228"/>
      <c r="HZ535" s="228"/>
      <c r="IA535" s="228"/>
      <c r="IB535" s="228"/>
      <c r="IC535" s="228"/>
      <c r="ID535" s="228"/>
      <c r="IE535" s="228"/>
      <c r="IF535" s="228"/>
      <c r="IG535" s="228"/>
      <c r="IH535" s="228"/>
      <c r="II535" s="228"/>
      <c r="IJ535" s="228"/>
      <c r="IK535" s="228"/>
      <c r="IL535" s="228"/>
      <c r="IM535" s="228"/>
      <c r="IN535" s="228"/>
    </row>
    <row r="536" spans="1:248" s="230" customFormat="1">
      <c r="A536" s="1595"/>
      <c r="B536" s="1600"/>
      <c r="C536" s="1600"/>
      <c r="D536" s="1600"/>
      <c r="E536" s="1600"/>
      <c r="G536" s="234"/>
      <c r="H536" s="228"/>
      <c r="I536" s="228"/>
      <c r="J536" s="228"/>
      <c r="K536" s="228"/>
      <c r="L536" s="228"/>
      <c r="M536" s="228"/>
      <c r="N536" s="228"/>
      <c r="O536" s="228"/>
      <c r="P536" s="228"/>
      <c r="Q536" s="228"/>
      <c r="R536" s="228"/>
      <c r="S536" s="228"/>
      <c r="T536" s="228"/>
      <c r="U536" s="228"/>
      <c r="V536" s="228"/>
      <c r="W536" s="228"/>
      <c r="X536" s="228"/>
      <c r="Y536" s="228"/>
      <c r="Z536" s="228"/>
      <c r="AA536" s="228"/>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228"/>
      <c r="BE536" s="228"/>
      <c r="BF536" s="228"/>
      <c r="BG536" s="228"/>
      <c r="BH536" s="228"/>
      <c r="BI536" s="228"/>
      <c r="BJ536" s="228"/>
      <c r="BK536" s="228"/>
      <c r="BL536" s="228"/>
      <c r="BM536" s="228"/>
      <c r="BN536" s="228"/>
      <c r="BO536" s="228"/>
      <c r="BP536" s="228"/>
      <c r="BQ536" s="228"/>
      <c r="BR536" s="228"/>
      <c r="BS536" s="228"/>
      <c r="BT536" s="228"/>
      <c r="BU536" s="228"/>
      <c r="BV536" s="228"/>
      <c r="BW536" s="228"/>
      <c r="BX536" s="228"/>
      <c r="BY536" s="228"/>
      <c r="BZ536" s="228"/>
      <c r="CA536" s="228"/>
      <c r="CB536" s="228"/>
      <c r="CC536" s="228"/>
      <c r="CD536" s="228"/>
      <c r="CE536" s="228"/>
      <c r="CF536" s="228"/>
      <c r="CG536" s="228"/>
      <c r="CH536" s="228"/>
      <c r="CI536" s="228"/>
      <c r="CJ536" s="228"/>
      <c r="CK536" s="228"/>
      <c r="CL536" s="228"/>
      <c r="CM536" s="228"/>
      <c r="CN536" s="228"/>
      <c r="CO536" s="228"/>
      <c r="CP536" s="228"/>
      <c r="CQ536" s="228"/>
      <c r="CR536" s="228"/>
      <c r="CS536" s="228"/>
      <c r="CT536" s="228"/>
      <c r="CU536" s="228"/>
      <c r="CV536" s="228"/>
      <c r="CW536" s="228"/>
      <c r="CX536" s="228"/>
      <c r="CY536" s="228"/>
      <c r="CZ536" s="228"/>
      <c r="DA536" s="228"/>
      <c r="DB536" s="228"/>
      <c r="DC536" s="228"/>
      <c r="DD536" s="228"/>
      <c r="DE536" s="228"/>
      <c r="DF536" s="228"/>
      <c r="DG536" s="228"/>
      <c r="DH536" s="228"/>
      <c r="DI536" s="228"/>
      <c r="DJ536" s="228"/>
      <c r="DK536" s="228"/>
      <c r="DL536" s="228"/>
      <c r="DM536" s="228"/>
      <c r="DN536" s="228"/>
      <c r="DO536" s="228"/>
      <c r="DP536" s="228"/>
      <c r="DQ536" s="228"/>
      <c r="DR536" s="228"/>
      <c r="DS536" s="228"/>
      <c r="DT536" s="228"/>
      <c r="DU536" s="228"/>
      <c r="DV536" s="228"/>
      <c r="DW536" s="228"/>
      <c r="DX536" s="228"/>
      <c r="DY536" s="228"/>
      <c r="DZ536" s="228"/>
      <c r="EA536" s="228"/>
      <c r="EB536" s="228"/>
      <c r="EC536" s="228"/>
      <c r="ED536" s="228"/>
      <c r="EE536" s="228"/>
      <c r="EF536" s="228"/>
      <c r="EG536" s="228"/>
      <c r="EH536" s="228"/>
      <c r="EI536" s="228"/>
      <c r="EJ536" s="228"/>
      <c r="EK536" s="228"/>
      <c r="EL536" s="228"/>
      <c r="EM536" s="228"/>
      <c r="EN536" s="228"/>
      <c r="EO536" s="228"/>
      <c r="EP536" s="228"/>
      <c r="EQ536" s="228"/>
      <c r="ER536" s="228"/>
      <c r="ES536" s="228"/>
      <c r="ET536" s="228"/>
      <c r="EU536" s="228"/>
      <c r="EV536" s="228"/>
      <c r="EW536" s="228"/>
      <c r="EX536" s="228"/>
      <c r="EY536" s="228"/>
      <c r="EZ536" s="228"/>
      <c r="FA536" s="228"/>
      <c r="FB536" s="228"/>
      <c r="FC536" s="228"/>
      <c r="FD536" s="228"/>
      <c r="FE536" s="228"/>
      <c r="FF536" s="228"/>
      <c r="FG536" s="228"/>
      <c r="FH536" s="228"/>
      <c r="FI536" s="228"/>
      <c r="FJ536" s="228"/>
      <c r="FK536" s="228"/>
      <c r="FL536" s="228"/>
      <c r="FM536" s="228"/>
      <c r="FN536" s="228"/>
      <c r="FO536" s="228"/>
      <c r="FP536" s="228"/>
      <c r="FQ536" s="228"/>
      <c r="FR536" s="228"/>
      <c r="FS536" s="228"/>
      <c r="FT536" s="228"/>
      <c r="FU536" s="228"/>
      <c r="FV536" s="228"/>
      <c r="FW536" s="228"/>
      <c r="FX536" s="228"/>
      <c r="FY536" s="228"/>
      <c r="FZ536" s="228"/>
      <c r="GA536" s="228"/>
      <c r="GB536" s="228"/>
      <c r="GC536" s="228"/>
      <c r="GD536" s="228"/>
      <c r="GE536" s="228"/>
      <c r="GF536" s="228"/>
      <c r="GG536" s="228"/>
      <c r="GH536" s="228"/>
      <c r="GI536" s="228"/>
      <c r="GJ536" s="228"/>
      <c r="GK536" s="228"/>
      <c r="GL536" s="228"/>
      <c r="GM536" s="228"/>
      <c r="GN536" s="228"/>
      <c r="GO536" s="228"/>
      <c r="GP536" s="228"/>
      <c r="GQ536" s="228"/>
      <c r="GR536" s="228"/>
      <c r="GS536" s="228"/>
      <c r="GT536" s="228"/>
      <c r="GU536" s="228"/>
      <c r="GV536" s="228"/>
      <c r="GW536" s="228"/>
      <c r="GX536" s="228"/>
      <c r="GY536" s="228"/>
      <c r="GZ536" s="228"/>
      <c r="HA536" s="228"/>
      <c r="HB536" s="228"/>
      <c r="HC536" s="228"/>
      <c r="HD536" s="228"/>
      <c r="HE536" s="228"/>
      <c r="HF536" s="228"/>
      <c r="HG536" s="228"/>
      <c r="HH536" s="228"/>
      <c r="HI536" s="228"/>
      <c r="HJ536" s="228"/>
      <c r="HK536" s="228"/>
      <c r="HL536" s="228"/>
      <c r="HM536" s="228"/>
      <c r="HN536" s="228"/>
      <c r="HO536" s="228"/>
      <c r="HP536" s="228"/>
      <c r="HQ536" s="228"/>
      <c r="HR536" s="228"/>
      <c r="HS536" s="228"/>
      <c r="HT536" s="228"/>
      <c r="HU536" s="228"/>
      <c r="HV536" s="228"/>
      <c r="HW536" s="228"/>
      <c r="HX536" s="228"/>
      <c r="HY536" s="228"/>
      <c r="HZ536" s="228"/>
      <c r="IA536" s="228"/>
      <c r="IB536" s="228"/>
      <c r="IC536" s="228"/>
      <c r="ID536" s="228"/>
      <c r="IE536" s="228"/>
      <c r="IF536" s="228"/>
      <c r="IG536" s="228"/>
      <c r="IH536" s="228"/>
      <c r="II536" s="228"/>
      <c r="IJ536" s="228"/>
      <c r="IK536" s="228"/>
      <c r="IL536" s="228"/>
      <c r="IM536" s="228"/>
      <c r="IN536" s="228"/>
    </row>
    <row r="537" spans="1:248" s="230" customFormat="1">
      <c r="A537" s="1595"/>
      <c r="B537" s="1600"/>
      <c r="C537" s="1600"/>
      <c r="D537" s="1600"/>
      <c r="E537" s="1600"/>
      <c r="G537" s="234"/>
      <c r="H537" s="228"/>
      <c r="I537" s="228"/>
      <c r="J537" s="228"/>
      <c r="K537" s="228"/>
      <c r="L537" s="228"/>
      <c r="M537" s="228"/>
      <c r="N537" s="228"/>
      <c r="O537" s="228"/>
      <c r="P537" s="228"/>
      <c r="Q537" s="228"/>
      <c r="R537" s="228"/>
      <c r="S537" s="228"/>
      <c r="T537" s="228"/>
      <c r="U537" s="228"/>
      <c r="V537" s="228"/>
      <c r="W537" s="228"/>
      <c r="X537" s="228"/>
      <c r="Y537" s="228"/>
      <c r="Z537" s="228"/>
      <c r="AA537" s="228"/>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228"/>
      <c r="BE537" s="228"/>
      <c r="BF537" s="228"/>
      <c r="BG537" s="228"/>
      <c r="BH537" s="228"/>
      <c r="BI537" s="228"/>
      <c r="BJ537" s="228"/>
      <c r="BK537" s="228"/>
      <c r="BL537" s="228"/>
      <c r="BM537" s="228"/>
      <c r="BN537" s="228"/>
      <c r="BO537" s="228"/>
      <c r="BP537" s="228"/>
      <c r="BQ537" s="228"/>
      <c r="BR537" s="228"/>
      <c r="BS537" s="228"/>
      <c r="BT537" s="228"/>
      <c r="BU537" s="228"/>
      <c r="BV537" s="228"/>
      <c r="BW537" s="228"/>
      <c r="BX537" s="228"/>
      <c r="BY537" s="228"/>
      <c r="BZ537" s="228"/>
      <c r="CA537" s="228"/>
      <c r="CB537" s="228"/>
      <c r="CC537" s="228"/>
      <c r="CD537" s="228"/>
      <c r="CE537" s="228"/>
      <c r="CF537" s="228"/>
      <c r="CG537" s="228"/>
      <c r="CH537" s="228"/>
      <c r="CI537" s="228"/>
      <c r="CJ537" s="228"/>
      <c r="CK537" s="228"/>
      <c r="CL537" s="228"/>
      <c r="CM537" s="228"/>
      <c r="CN537" s="228"/>
      <c r="CO537" s="228"/>
      <c r="CP537" s="228"/>
      <c r="CQ537" s="228"/>
      <c r="CR537" s="228"/>
      <c r="CS537" s="228"/>
      <c r="CT537" s="228"/>
      <c r="CU537" s="228"/>
      <c r="CV537" s="228"/>
      <c r="CW537" s="228"/>
      <c r="CX537" s="228"/>
      <c r="CY537" s="228"/>
      <c r="CZ537" s="228"/>
      <c r="DA537" s="228"/>
      <c r="DB537" s="228"/>
      <c r="DC537" s="228"/>
      <c r="DD537" s="228"/>
      <c r="DE537" s="228"/>
      <c r="DF537" s="228"/>
      <c r="DG537" s="228"/>
      <c r="DH537" s="228"/>
      <c r="DI537" s="228"/>
      <c r="DJ537" s="228"/>
      <c r="DK537" s="228"/>
      <c r="DL537" s="228"/>
      <c r="DM537" s="228"/>
      <c r="DN537" s="228"/>
      <c r="DO537" s="228"/>
      <c r="DP537" s="228"/>
      <c r="DQ537" s="228"/>
      <c r="DR537" s="228"/>
      <c r="DS537" s="228"/>
      <c r="DT537" s="228"/>
      <c r="DU537" s="228"/>
      <c r="DV537" s="228"/>
      <c r="DW537" s="228"/>
      <c r="DX537" s="228"/>
      <c r="DY537" s="228"/>
      <c r="DZ537" s="228"/>
      <c r="EA537" s="228"/>
      <c r="EB537" s="228"/>
      <c r="EC537" s="228"/>
      <c r="ED537" s="228"/>
      <c r="EE537" s="228"/>
      <c r="EF537" s="228"/>
      <c r="EG537" s="228"/>
      <c r="EH537" s="228"/>
      <c r="EI537" s="228"/>
      <c r="EJ537" s="228"/>
      <c r="EK537" s="228"/>
      <c r="EL537" s="228"/>
      <c r="EM537" s="228"/>
      <c r="EN537" s="228"/>
      <c r="EO537" s="228"/>
      <c r="EP537" s="228"/>
      <c r="EQ537" s="228"/>
      <c r="ER537" s="228"/>
      <c r="ES537" s="228"/>
      <c r="ET537" s="228"/>
      <c r="EU537" s="228"/>
      <c r="EV537" s="228"/>
      <c r="EW537" s="228"/>
      <c r="EX537" s="228"/>
      <c r="EY537" s="228"/>
      <c r="EZ537" s="228"/>
      <c r="FA537" s="228"/>
      <c r="FB537" s="228"/>
      <c r="FC537" s="228"/>
      <c r="FD537" s="228"/>
      <c r="FE537" s="228"/>
      <c r="FF537" s="228"/>
      <c r="FG537" s="228"/>
      <c r="FH537" s="228"/>
      <c r="FI537" s="228"/>
      <c r="FJ537" s="228"/>
      <c r="FK537" s="228"/>
      <c r="FL537" s="228"/>
      <c r="FM537" s="228"/>
      <c r="FN537" s="228"/>
      <c r="FO537" s="228"/>
      <c r="FP537" s="228"/>
      <c r="FQ537" s="228"/>
      <c r="FR537" s="228"/>
      <c r="FS537" s="228"/>
      <c r="FT537" s="228"/>
      <c r="FU537" s="228"/>
      <c r="FV537" s="228"/>
      <c r="FW537" s="228"/>
      <c r="FX537" s="228"/>
      <c r="FY537" s="228"/>
      <c r="FZ537" s="228"/>
      <c r="GA537" s="228"/>
      <c r="GB537" s="228"/>
      <c r="GC537" s="228"/>
      <c r="GD537" s="228"/>
      <c r="GE537" s="228"/>
      <c r="GF537" s="228"/>
      <c r="GG537" s="228"/>
      <c r="GH537" s="228"/>
      <c r="GI537" s="228"/>
      <c r="GJ537" s="228"/>
      <c r="GK537" s="228"/>
      <c r="GL537" s="228"/>
      <c r="GM537" s="228"/>
      <c r="GN537" s="228"/>
      <c r="GO537" s="228"/>
      <c r="GP537" s="228"/>
      <c r="GQ537" s="228"/>
      <c r="GR537" s="228"/>
      <c r="GS537" s="228"/>
      <c r="GT537" s="228"/>
      <c r="GU537" s="228"/>
      <c r="GV537" s="228"/>
      <c r="GW537" s="228"/>
      <c r="GX537" s="228"/>
      <c r="GY537" s="228"/>
      <c r="GZ537" s="228"/>
      <c r="HA537" s="228"/>
      <c r="HB537" s="228"/>
      <c r="HC537" s="228"/>
      <c r="HD537" s="228"/>
      <c r="HE537" s="228"/>
      <c r="HF537" s="228"/>
      <c r="HG537" s="228"/>
      <c r="HH537" s="228"/>
      <c r="HI537" s="228"/>
      <c r="HJ537" s="228"/>
      <c r="HK537" s="228"/>
      <c r="HL537" s="228"/>
      <c r="HM537" s="228"/>
      <c r="HN537" s="228"/>
      <c r="HO537" s="228"/>
      <c r="HP537" s="228"/>
      <c r="HQ537" s="228"/>
      <c r="HR537" s="228"/>
      <c r="HS537" s="228"/>
      <c r="HT537" s="228"/>
      <c r="HU537" s="228"/>
      <c r="HV537" s="228"/>
      <c r="HW537" s="228"/>
      <c r="HX537" s="228"/>
      <c r="HY537" s="228"/>
      <c r="HZ537" s="228"/>
      <c r="IA537" s="228"/>
      <c r="IB537" s="228"/>
      <c r="IC537" s="228"/>
      <c r="ID537" s="228"/>
      <c r="IE537" s="228"/>
      <c r="IF537" s="228"/>
      <c r="IG537" s="228"/>
      <c r="IH537" s="228"/>
      <c r="II537" s="228"/>
      <c r="IJ537" s="228"/>
      <c r="IK537" s="228"/>
      <c r="IL537" s="228"/>
      <c r="IM537" s="228"/>
      <c r="IN537" s="228"/>
    </row>
    <row r="539" spans="1:248" s="230" customFormat="1">
      <c r="A539" s="1590"/>
      <c r="B539" s="1600"/>
      <c r="C539" s="1600"/>
      <c r="D539" s="1600"/>
      <c r="E539" s="1600"/>
      <c r="G539" s="234"/>
      <c r="H539" s="228"/>
      <c r="I539" s="228"/>
      <c r="J539" s="228"/>
      <c r="K539" s="228"/>
      <c r="L539" s="228"/>
      <c r="M539" s="228"/>
      <c r="N539" s="228"/>
      <c r="O539" s="228"/>
      <c r="P539" s="228"/>
      <c r="Q539" s="228"/>
      <c r="R539" s="228"/>
      <c r="S539" s="228"/>
      <c r="T539" s="228"/>
      <c r="U539" s="228"/>
      <c r="V539" s="228"/>
      <c r="W539" s="228"/>
      <c r="X539" s="228"/>
      <c r="Y539" s="228"/>
      <c r="Z539" s="228"/>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228"/>
      <c r="BE539" s="228"/>
      <c r="BF539" s="228"/>
      <c r="BG539" s="228"/>
      <c r="BH539" s="228"/>
      <c r="BI539" s="228"/>
      <c r="BJ539" s="228"/>
      <c r="BK539" s="228"/>
      <c r="BL539" s="228"/>
      <c r="BM539" s="228"/>
      <c r="BN539" s="228"/>
      <c r="BO539" s="228"/>
      <c r="BP539" s="228"/>
      <c r="BQ539" s="228"/>
      <c r="BR539" s="228"/>
      <c r="BS539" s="228"/>
      <c r="BT539" s="228"/>
      <c r="BU539" s="228"/>
      <c r="BV539" s="228"/>
      <c r="BW539" s="228"/>
      <c r="BX539" s="228"/>
      <c r="BY539" s="228"/>
      <c r="BZ539" s="228"/>
      <c r="CA539" s="228"/>
      <c r="CB539" s="228"/>
      <c r="CC539" s="228"/>
      <c r="CD539" s="228"/>
      <c r="CE539" s="228"/>
      <c r="CF539" s="228"/>
      <c r="CG539" s="228"/>
      <c r="CH539" s="228"/>
      <c r="CI539" s="228"/>
      <c r="CJ539" s="228"/>
      <c r="CK539" s="228"/>
      <c r="CL539" s="228"/>
      <c r="CM539" s="228"/>
      <c r="CN539" s="228"/>
      <c r="CO539" s="228"/>
      <c r="CP539" s="228"/>
      <c r="CQ539" s="228"/>
      <c r="CR539" s="228"/>
      <c r="CS539" s="228"/>
      <c r="CT539" s="228"/>
      <c r="CU539" s="228"/>
      <c r="CV539" s="228"/>
      <c r="CW539" s="228"/>
      <c r="CX539" s="228"/>
      <c r="CY539" s="228"/>
      <c r="CZ539" s="228"/>
      <c r="DA539" s="228"/>
      <c r="DB539" s="228"/>
      <c r="DC539" s="228"/>
      <c r="DD539" s="228"/>
      <c r="DE539" s="228"/>
      <c r="DF539" s="228"/>
      <c r="DG539" s="228"/>
      <c r="DH539" s="228"/>
      <c r="DI539" s="228"/>
      <c r="DJ539" s="228"/>
      <c r="DK539" s="228"/>
      <c r="DL539" s="228"/>
      <c r="DM539" s="228"/>
      <c r="DN539" s="228"/>
      <c r="DO539" s="228"/>
      <c r="DP539" s="228"/>
      <c r="DQ539" s="228"/>
      <c r="DR539" s="228"/>
      <c r="DS539" s="228"/>
      <c r="DT539" s="228"/>
      <c r="DU539" s="228"/>
      <c r="DV539" s="228"/>
      <c r="DW539" s="228"/>
      <c r="DX539" s="228"/>
      <c r="DY539" s="228"/>
      <c r="DZ539" s="228"/>
      <c r="EA539" s="228"/>
      <c r="EB539" s="228"/>
      <c r="EC539" s="228"/>
      <c r="ED539" s="228"/>
      <c r="EE539" s="228"/>
      <c r="EF539" s="228"/>
      <c r="EG539" s="228"/>
      <c r="EH539" s="228"/>
      <c r="EI539" s="228"/>
      <c r="EJ539" s="228"/>
      <c r="EK539" s="228"/>
      <c r="EL539" s="228"/>
      <c r="EM539" s="228"/>
      <c r="EN539" s="228"/>
      <c r="EO539" s="228"/>
      <c r="EP539" s="228"/>
      <c r="EQ539" s="228"/>
      <c r="ER539" s="228"/>
      <c r="ES539" s="228"/>
      <c r="ET539" s="228"/>
      <c r="EU539" s="228"/>
      <c r="EV539" s="228"/>
      <c r="EW539" s="228"/>
      <c r="EX539" s="228"/>
      <c r="EY539" s="228"/>
      <c r="EZ539" s="228"/>
      <c r="FA539" s="228"/>
      <c r="FB539" s="228"/>
      <c r="FC539" s="228"/>
      <c r="FD539" s="228"/>
      <c r="FE539" s="228"/>
      <c r="FF539" s="228"/>
      <c r="FG539" s="228"/>
      <c r="FH539" s="228"/>
      <c r="FI539" s="228"/>
      <c r="FJ539" s="228"/>
      <c r="FK539" s="228"/>
      <c r="FL539" s="228"/>
      <c r="FM539" s="228"/>
      <c r="FN539" s="228"/>
      <c r="FO539" s="228"/>
      <c r="FP539" s="228"/>
      <c r="FQ539" s="228"/>
      <c r="FR539" s="228"/>
      <c r="FS539" s="228"/>
      <c r="FT539" s="228"/>
      <c r="FU539" s="228"/>
      <c r="FV539" s="228"/>
      <c r="FW539" s="228"/>
      <c r="FX539" s="228"/>
      <c r="FY539" s="228"/>
      <c r="FZ539" s="228"/>
      <c r="GA539" s="228"/>
      <c r="GB539" s="228"/>
      <c r="GC539" s="228"/>
      <c r="GD539" s="228"/>
      <c r="GE539" s="228"/>
      <c r="GF539" s="228"/>
      <c r="GG539" s="228"/>
      <c r="GH539" s="228"/>
      <c r="GI539" s="228"/>
      <c r="GJ539" s="228"/>
      <c r="GK539" s="228"/>
      <c r="GL539" s="228"/>
      <c r="GM539" s="228"/>
      <c r="GN539" s="228"/>
      <c r="GO539" s="228"/>
      <c r="GP539" s="228"/>
      <c r="GQ539" s="228"/>
      <c r="GR539" s="228"/>
      <c r="GS539" s="228"/>
      <c r="GT539" s="228"/>
      <c r="GU539" s="228"/>
      <c r="GV539" s="228"/>
      <c r="GW539" s="228"/>
      <c r="GX539" s="228"/>
      <c r="GY539" s="228"/>
      <c r="GZ539" s="228"/>
      <c r="HA539" s="228"/>
      <c r="HB539" s="228"/>
      <c r="HC539" s="228"/>
      <c r="HD539" s="228"/>
      <c r="HE539" s="228"/>
      <c r="HF539" s="228"/>
      <c r="HG539" s="228"/>
      <c r="HH539" s="228"/>
      <c r="HI539" s="228"/>
      <c r="HJ539" s="228"/>
      <c r="HK539" s="228"/>
      <c r="HL539" s="228"/>
      <c r="HM539" s="228"/>
      <c r="HN539" s="228"/>
      <c r="HO539" s="228"/>
      <c r="HP539" s="228"/>
      <c r="HQ539" s="228"/>
      <c r="HR539" s="228"/>
      <c r="HS539" s="228"/>
      <c r="HT539" s="228"/>
      <c r="HU539" s="228"/>
      <c r="HV539" s="228"/>
      <c r="HW539" s="228"/>
      <c r="HX539" s="228"/>
      <c r="HY539" s="228"/>
      <c r="HZ539" s="228"/>
      <c r="IA539" s="228"/>
      <c r="IB539" s="228"/>
      <c r="IC539" s="228"/>
      <c r="ID539" s="228"/>
      <c r="IE539" s="228"/>
      <c r="IF539" s="228"/>
      <c r="IG539" s="228"/>
      <c r="IH539" s="228"/>
      <c r="II539" s="228"/>
      <c r="IJ539" s="228"/>
      <c r="IK539" s="228"/>
      <c r="IL539" s="228"/>
      <c r="IM539" s="228"/>
      <c r="IN539" s="228"/>
    </row>
    <row r="540" spans="1:248" s="230" customFormat="1">
      <c r="A540" s="1595"/>
      <c r="B540" s="1600"/>
      <c r="C540" s="1600"/>
      <c r="D540" s="1600"/>
      <c r="E540" s="1600"/>
      <c r="G540" s="234"/>
      <c r="H540" s="228"/>
      <c r="I540" s="228"/>
      <c r="J540" s="228"/>
      <c r="K540" s="228"/>
      <c r="L540" s="228"/>
      <c r="M540" s="228"/>
      <c r="N540" s="228"/>
      <c r="O540" s="228"/>
      <c r="P540" s="228"/>
      <c r="Q540" s="228"/>
      <c r="R540" s="228"/>
      <c r="S540" s="228"/>
      <c r="T540" s="228"/>
      <c r="U540" s="228"/>
      <c r="V540" s="228"/>
      <c r="W540" s="228"/>
      <c r="X540" s="228"/>
      <c r="Y540" s="228"/>
      <c r="Z540" s="228"/>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228"/>
      <c r="BE540" s="228"/>
      <c r="BF540" s="228"/>
      <c r="BG540" s="228"/>
      <c r="BH540" s="228"/>
      <c r="BI540" s="228"/>
      <c r="BJ540" s="228"/>
      <c r="BK540" s="228"/>
      <c r="BL540" s="228"/>
      <c r="BM540" s="228"/>
      <c r="BN540" s="228"/>
      <c r="BO540" s="228"/>
      <c r="BP540" s="228"/>
      <c r="BQ540" s="228"/>
      <c r="BR540" s="228"/>
      <c r="BS540" s="228"/>
      <c r="BT540" s="228"/>
      <c r="BU540" s="228"/>
      <c r="BV540" s="228"/>
      <c r="BW540" s="228"/>
      <c r="BX540" s="228"/>
      <c r="BY540" s="228"/>
      <c r="BZ540" s="228"/>
      <c r="CA540" s="228"/>
      <c r="CB540" s="228"/>
      <c r="CC540" s="228"/>
      <c r="CD540" s="228"/>
      <c r="CE540" s="228"/>
      <c r="CF540" s="228"/>
      <c r="CG540" s="228"/>
      <c r="CH540" s="228"/>
      <c r="CI540" s="228"/>
      <c r="CJ540" s="228"/>
      <c r="CK540" s="228"/>
      <c r="CL540" s="228"/>
      <c r="CM540" s="228"/>
      <c r="CN540" s="228"/>
      <c r="CO540" s="228"/>
      <c r="CP540" s="228"/>
      <c r="CQ540" s="228"/>
      <c r="CR540" s="228"/>
      <c r="CS540" s="228"/>
      <c r="CT540" s="228"/>
      <c r="CU540" s="228"/>
      <c r="CV540" s="228"/>
      <c r="CW540" s="228"/>
      <c r="CX540" s="228"/>
      <c r="CY540" s="228"/>
      <c r="CZ540" s="228"/>
      <c r="DA540" s="228"/>
      <c r="DB540" s="228"/>
      <c r="DC540" s="228"/>
      <c r="DD540" s="228"/>
      <c r="DE540" s="228"/>
      <c r="DF540" s="228"/>
      <c r="DG540" s="228"/>
      <c r="DH540" s="228"/>
      <c r="DI540" s="228"/>
      <c r="DJ540" s="228"/>
      <c r="DK540" s="228"/>
      <c r="DL540" s="228"/>
      <c r="DM540" s="228"/>
      <c r="DN540" s="228"/>
      <c r="DO540" s="228"/>
      <c r="DP540" s="228"/>
      <c r="DQ540" s="228"/>
      <c r="DR540" s="228"/>
      <c r="DS540" s="228"/>
      <c r="DT540" s="228"/>
      <c r="DU540" s="228"/>
      <c r="DV540" s="228"/>
      <c r="DW540" s="228"/>
      <c r="DX540" s="228"/>
      <c r="DY540" s="228"/>
      <c r="DZ540" s="228"/>
      <c r="EA540" s="228"/>
      <c r="EB540" s="228"/>
      <c r="EC540" s="228"/>
      <c r="ED540" s="228"/>
      <c r="EE540" s="228"/>
      <c r="EF540" s="228"/>
      <c r="EG540" s="228"/>
      <c r="EH540" s="228"/>
      <c r="EI540" s="228"/>
      <c r="EJ540" s="228"/>
      <c r="EK540" s="228"/>
      <c r="EL540" s="228"/>
      <c r="EM540" s="228"/>
      <c r="EN540" s="228"/>
      <c r="EO540" s="228"/>
      <c r="EP540" s="228"/>
      <c r="EQ540" s="228"/>
      <c r="ER540" s="228"/>
      <c r="ES540" s="228"/>
      <c r="ET540" s="228"/>
      <c r="EU540" s="228"/>
      <c r="EV540" s="228"/>
      <c r="EW540" s="228"/>
      <c r="EX540" s="228"/>
      <c r="EY540" s="228"/>
      <c r="EZ540" s="228"/>
      <c r="FA540" s="228"/>
      <c r="FB540" s="228"/>
      <c r="FC540" s="228"/>
      <c r="FD540" s="228"/>
      <c r="FE540" s="228"/>
      <c r="FF540" s="228"/>
      <c r="FG540" s="228"/>
      <c r="FH540" s="228"/>
      <c r="FI540" s="228"/>
      <c r="FJ540" s="228"/>
      <c r="FK540" s="228"/>
      <c r="FL540" s="228"/>
      <c r="FM540" s="228"/>
      <c r="FN540" s="228"/>
      <c r="FO540" s="228"/>
      <c r="FP540" s="228"/>
      <c r="FQ540" s="228"/>
      <c r="FR540" s="228"/>
      <c r="FS540" s="228"/>
      <c r="FT540" s="228"/>
      <c r="FU540" s="228"/>
      <c r="FV540" s="228"/>
      <c r="FW540" s="228"/>
      <c r="FX540" s="228"/>
      <c r="FY540" s="228"/>
      <c r="FZ540" s="228"/>
      <c r="GA540" s="228"/>
      <c r="GB540" s="228"/>
      <c r="GC540" s="228"/>
      <c r="GD540" s="228"/>
      <c r="GE540" s="228"/>
      <c r="GF540" s="228"/>
      <c r="GG540" s="228"/>
      <c r="GH540" s="228"/>
      <c r="GI540" s="228"/>
      <c r="GJ540" s="228"/>
      <c r="GK540" s="228"/>
      <c r="GL540" s="228"/>
      <c r="GM540" s="228"/>
      <c r="GN540" s="228"/>
      <c r="GO540" s="228"/>
      <c r="GP540" s="228"/>
      <c r="GQ540" s="228"/>
      <c r="GR540" s="228"/>
      <c r="GS540" s="228"/>
      <c r="GT540" s="228"/>
      <c r="GU540" s="228"/>
      <c r="GV540" s="228"/>
      <c r="GW540" s="228"/>
      <c r="GX540" s="228"/>
      <c r="GY540" s="228"/>
      <c r="GZ540" s="228"/>
      <c r="HA540" s="228"/>
      <c r="HB540" s="228"/>
      <c r="HC540" s="228"/>
      <c r="HD540" s="228"/>
      <c r="HE540" s="228"/>
      <c r="HF540" s="228"/>
      <c r="HG540" s="228"/>
      <c r="HH540" s="228"/>
      <c r="HI540" s="228"/>
      <c r="HJ540" s="228"/>
      <c r="HK540" s="228"/>
      <c r="HL540" s="228"/>
      <c r="HM540" s="228"/>
      <c r="HN540" s="228"/>
      <c r="HO540" s="228"/>
      <c r="HP540" s="228"/>
      <c r="HQ540" s="228"/>
      <c r="HR540" s="228"/>
      <c r="HS540" s="228"/>
      <c r="HT540" s="228"/>
      <c r="HU540" s="228"/>
      <c r="HV540" s="228"/>
      <c r="HW540" s="228"/>
      <c r="HX540" s="228"/>
      <c r="HY540" s="228"/>
      <c r="HZ540" s="228"/>
      <c r="IA540" s="228"/>
      <c r="IB540" s="228"/>
      <c r="IC540" s="228"/>
      <c r="ID540" s="228"/>
      <c r="IE540" s="228"/>
      <c r="IF540" s="228"/>
      <c r="IG540" s="228"/>
      <c r="IH540" s="228"/>
      <c r="II540" s="228"/>
      <c r="IJ540" s="228"/>
      <c r="IK540" s="228"/>
      <c r="IL540" s="228"/>
      <c r="IM540" s="228"/>
      <c r="IN540" s="228"/>
    </row>
    <row r="541" spans="1:248" s="230" customFormat="1">
      <c r="A541" s="1595"/>
      <c r="B541" s="1600"/>
      <c r="C541" s="1600"/>
      <c r="D541" s="1600"/>
      <c r="E541" s="1600"/>
      <c r="G541" s="234"/>
      <c r="H541" s="228"/>
      <c r="I541" s="228"/>
      <c r="J541" s="228"/>
      <c r="K541" s="228"/>
      <c r="L541" s="228"/>
      <c r="M541" s="228"/>
      <c r="N541" s="228"/>
      <c r="O541" s="228"/>
      <c r="P541" s="228"/>
      <c r="Q541" s="228"/>
      <c r="R541" s="228"/>
      <c r="S541" s="228"/>
      <c r="T541" s="228"/>
      <c r="U541" s="228"/>
      <c r="V541" s="228"/>
      <c r="W541" s="228"/>
      <c r="X541" s="228"/>
      <c r="Y541" s="228"/>
      <c r="Z541" s="228"/>
      <c r="AA541" s="228"/>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228"/>
      <c r="BE541" s="228"/>
      <c r="BF541" s="228"/>
      <c r="BG541" s="228"/>
      <c r="BH541" s="228"/>
      <c r="BI541" s="228"/>
      <c r="BJ541" s="228"/>
      <c r="BK541" s="228"/>
      <c r="BL541" s="228"/>
      <c r="BM541" s="228"/>
      <c r="BN541" s="228"/>
      <c r="BO541" s="228"/>
      <c r="BP541" s="228"/>
      <c r="BQ541" s="228"/>
      <c r="BR541" s="228"/>
      <c r="BS541" s="228"/>
      <c r="BT541" s="228"/>
      <c r="BU541" s="228"/>
      <c r="BV541" s="228"/>
      <c r="BW541" s="228"/>
      <c r="BX541" s="228"/>
      <c r="BY541" s="228"/>
      <c r="BZ541" s="228"/>
      <c r="CA541" s="228"/>
      <c r="CB541" s="228"/>
      <c r="CC541" s="228"/>
      <c r="CD541" s="228"/>
      <c r="CE541" s="228"/>
      <c r="CF541" s="228"/>
      <c r="CG541" s="228"/>
      <c r="CH541" s="228"/>
      <c r="CI541" s="228"/>
      <c r="CJ541" s="228"/>
      <c r="CK541" s="228"/>
      <c r="CL541" s="228"/>
      <c r="CM541" s="228"/>
      <c r="CN541" s="228"/>
      <c r="CO541" s="228"/>
      <c r="CP541" s="228"/>
      <c r="CQ541" s="228"/>
      <c r="CR541" s="228"/>
      <c r="CS541" s="228"/>
      <c r="CT541" s="228"/>
      <c r="CU541" s="228"/>
      <c r="CV541" s="228"/>
      <c r="CW541" s="228"/>
      <c r="CX541" s="228"/>
      <c r="CY541" s="228"/>
      <c r="CZ541" s="228"/>
      <c r="DA541" s="228"/>
      <c r="DB541" s="228"/>
      <c r="DC541" s="228"/>
      <c r="DD541" s="228"/>
      <c r="DE541" s="228"/>
      <c r="DF541" s="228"/>
      <c r="DG541" s="228"/>
      <c r="DH541" s="228"/>
      <c r="DI541" s="228"/>
      <c r="DJ541" s="228"/>
      <c r="DK541" s="228"/>
      <c r="DL541" s="228"/>
      <c r="DM541" s="228"/>
      <c r="DN541" s="228"/>
      <c r="DO541" s="228"/>
      <c r="DP541" s="228"/>
      <c r="DQ541" s="228"/>
      <c r="DR541" s="228"/>
      <c r="DS541" s="228"/>
      <c r="DT541" s="228"/>
      <c r="DU541" s="228"/>
      <c r="DV541" s="228"/>
      <c r="DW541" s="228"/>
      <c r="DX541" s="228"/>
      <c r="DY541" s="228"/>
      <c r="DZ541" s="228"/>
      <c r="EA541" s="228"/>
      <c r="EB541" s="228"/>
      <c r="EC541" s="228"/>
      <c r="ED541" s="228"/>
      <c r="EE541" s="228"/>
      <c r="EF541" s="228"/>
      <c r="EG541" s="228"/>
      <c r="EH541" s="228"/>
      <c r="EI541" s="228"/>
      <c r="EJ541" s="228"/>
      <c r="EK541" s="228"/>
      <c r="EL541" s="228"/>
      <c r="EM541" s="228"/>
      <c r="EN541" s="228"/>
      <c r="EO541" s="228"/>
      <c r="EP541" s="228"/>
      <c r="EQ541" s="228"/>
      <c r="ER541" s="228"/>
      <c r="ES541" s="228"/>
      <c r="ET541" s="228"/>
      <c r="EU541" s="228"/>
      <c r="EV541" s="228"/>
      <c r="EW541" s="228"/>
      <c r="EX541" s="228"/>
      <c r="EY541" s="228"/>
      <c r="EZ541" s="228"/>
      <c r="FA541" s="228"/>
      <c r="FB541" s="228"/>
      <c r="FC541" s="228"/>
      <c r="FD541" s="228"/>
      <c r="FE541" s="228"/>
      <c r="FF541" s="228"/>
      <c r="FG541" s="228"/>
      <c r="FH541" s="228"/>
      <c r="FI541" s="228"/>
      <c r="FJ541" s="228"/>
      <c r="FK541" s="228"/>
      <c r="FL541" s="228"/>
      <c r="FM541" s="228"/>
      <c r="FN541" s="228"/>
      <c r="FO541" s="228"/>
      <c r="FP541" s="228"/>
      <c r="FQ541" s="228"/>
      <c r="FR541" s="228"/>
      <c r="FS541" s="228"/>
      <c r="FT541" s="228"/>
      <c r="FU541" s="228"/>
      <c r="FV541" s="228"/>
      <c r="FW541" s="228"/>
      <c r="FX541" s="228"/>
      <c r="FY541" s="228"/>
      <c r="FZ541" s="228"/>
      <c r="GA541" s="228"/>
      <c r="GB541" s="228"/>
      <c r="GC541" s="228"/>
      <c r="GD541" s="228"/>
      <c r="GE541" s="228"/>
      <c r="GF541" s="228"/>
      <c r="GG541" s="228"/>
      <c r="GH541" s="228"/>
      <c r="GI541" s="228"/>
      <c r="GJ541" s="228"/>
      <c r="GK541" s="228"/>
      <c r="GL541" s="228"/>
      <c r="GM541" s="228"/>
      <c r="GN541" s="228"/>
      <c r="GO541" s="228"/>
      <c r="GP541" s="228"/>
      <c r="GQ541" s="228"/>
      <c r="GR541" s="228"/>
      <c r="GS541" s="228"/>
      <c r="GT541" s="228"/>
      <c r="GU541" s="228"/>
      <c r="GV541" s="228"/>
      <c r="GW541" s="228"/>
      <c r="GX541" s="228"/>
      <c r="GY541" s="228"/>
      <c r="GZ541" s="228"/>
      <c r="HA541" s="228"/>
      <c r="HB541" s="228"/>
      <c r="HC541" s="228"/>
      <c r="HD541" s="228"/>
      <c r="HE541" s="228"/>
      <c r="HF541" s="228"/>
      <c r="HG541" s="228"/>
      <c r="HH541" s="228"/>
      <c r="HI541" s="228"/>
      <c r="HJ541" s="228"/>
      <c r="HK541" s="228"/>
      <c r="HL541" s="228"/>
      <c r="HM541" s="228"/>
      <c r="HN541" s="228"/>
      <c r="HO541" s="228"/>
      <c r="HP541" s="228"/>
      <c r="HQ541" s="228"/>
      <c r="HR541" s="228"/>
      <c r="HS541" s="228"/>
      <c r="HT541" s="228"/>
      <c r="HU541" s="228"/>
      <c r="HV541" s="228"/>
      <c r="HW541" s="228"/>
      <c r="HX541" s="228"/>
      <c r="HY541" s="228"/>
      <c r="HZ541" s="228"/>
      <c r="IA541" s="228"/>
      <c r="IB541" s="228"/>
      <c r="IC541" s="228"/>
      <c r="ID541" s="228"/>
      <c r="IE541" s="228"/>
      <c r="IF541" s="228"/>
      <c r="IG541" s="228"/>
      <c r="IH541" s="228"/>
      <c r="II541" s="228"/>
      <c r="IJ541" s="228"/>
      <c r="IK541" s="228"/>
      <c r="IL541" s="228"/>
      <c r="IM541" s="228"/>
      <c r="IN541" s="228"/>
    </row>
    <row r="542" spans="1:248" s="230" customFormat="1">
      <c r="A542" s="1595"/>
      <c r="B542" s="1600"/>
      <c r="C542" s="1600"/>
      <c r="D542" s="1600"/>
      <c r="E542" s="1600"/>
      <c r="G542" s="234"/>
      <c r="H542" s="228"/>
      <c r="I542" s="228"/>
      <c r="J542" s="228"/>
      <c r="K542" s="228"/>
      <c r="L542" s="228"/>
      <c r="M542" s="228"/>
      <c r="N542" s="228"/>
      <c r="O542" s="228"/>
      <c r="P542" s="228"/>
      <c r="Q542" s="228"/>
      <c r="R542" s="228"/>
      <c r="S542" s="228"/>
      <c r="T542" s="228"/>
      <c r="U542" s="228"/>
      <c r="V542" s="228"/>
      <c r="W542" s="228"/>
      <c r="X542" s="228"/>
      <c r="Y542" s="228"/>
      <c r="Z542" s="228"/>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228"/>
      <c r="BE542" s="228"/>
      <c r="BF542" s="228"/>
      <c r="BG542" s="228"/>
      <c r="BH542" s="228"/>
      <c r="BI542" s="228"/>
      <c r="BJ542" s="228"/>
      <c r="BK542" s="228"/>
      <c r="BL542" s="228"/>
      <c r="BM542" s="228"/>
      <c r="BN542" s="228"/>
      <c r="BO542" s="228"/>
      <c r="BP542" s="228"/>
      <c r="BQ542" s="228"/>
      <c r="BR542" s="228"/>
      <c r="BS542" s="228"/>
      <c r="BT542" s="228"/>
      <c r="BU542" s="228"/>
      <c r="BV542" s="228"/>
      <c r="BW542" s="228"/>
      <c r="BX542" s="228"/>
      <c r="BY542" s="228"/>
      <c r="BZ542" s="228"/>
      <c r="CA542" s="228"/>
      <c r="CB542" s="228"/>
      <c r="CC542" s="228"/>
      <c r="CD542" s="228"/>
      <c r="CE542" s="228"/>
      <c r="CF542" s="228"/>
      <c r="CG542" s="228"/>
      <c r="CH542" s="228"/>
      <c r="CI542" s="228"/>
      <c r="CJ542" s="228"/>
      <c r="CK542" s="228"/>
      <c r="CL542" s="228"/>
      <c r="CM542" s="228"/>
      <c r="CN542" s="228"/>
      <c r="CO542" s="228"/>
      <c r="CP542" s="228"/>
      <c r="CQ542" s="228"/>
      <c r="CR542" s="228"/>
      <c r="CS542" s="228"/>
      <c r="CT542" s="228"/>
      <c r="CU542" s="228"/>
      <c r="CV542" s="228"/>
      <c r="CW542" s="228"/>
      <c r="CX542" s="228"/>
      <c r="CY542" s="228"/>
      <c r="CZ542" s="228"/>
      <c r="DA542" s="228"/>
      <c r="DB542" s="228"/>
      <c r="DC542" s="228"/>
      <c r="DD542" s="228"/>
      <c r="DE542" s="228"/>
      <c r="DF542" s="228"/>
      <c r="DG542" s="228"/>
      <c r="DH542" s="228"/>
      <c r="DI542" s="228"/>
      <c r="DJ542" s="228"/>
      <c r="DK542" s="228"/>
      <c r="DL542" s="228"/>
      <c r="DM542" s="228"/>
      <c r="DN542" s="228"/>
      <c r="DO542" s="228"/>
      <c r="DP542" s="228"/>
      <c r="DQ542" s="228"/>
      <c r="DR542" s="228"/>
      <c r="DS542" s="228"/>
      <c r="DT542" s="228"/>
      <c r="DU542" s="228"/>
      <c r="DV542" s="228"/>
      <c r="DW542" s="228"/>
      <c r="DX542" s="228"/>
      <c r="DY542" s="228"/>
      <c r="DZ542" s="228"/>
      <c r="EA542" s="228"/>
      <c r="EB542" s="228"/>
      <c r="EC542" s="228"/>
      <c r="ED542" s="228"/>
      <c r="EE542" s="228"/>
      <c r="EF542" s="228"/>
      <c r="EG542" s="228"/>
      <c r="EH542" s="228"/>
      <c r="EI542" s="228"/>
      <c r="EJ542" s="228"/>
      <c r="EK542" s="228"/>
      <c r="EL542" s="228"/>
      <c r="EM542" s="228"/>
      <c r="EN542" s="228"/>
      <c r="EO542" s="228"/>
      <c r="EP542" s="228"/>
      <c r="EQ542" s="228"/>
      <c r="ER542" s="228"/>
      <c r="ES542" s="228"/>
      <c r="ET542" s="228"/>
      <c r="EU542" s="228"/>
      <c r="EV542" s="228"/>
      <c r="EW542" s="228"/>
      <c r="EX542" s="228"/>
      <c r="EY542" s="228"/>
      <c r="EZ542" s="228"/>
      <c r="FA542" s="228"/>
      <c r="FB542" s="228"/>
      <c r="FC542" s="228"/>
      <c r="FD542" s="228"/>
      <c r="FE542" s="228"/>
      <c r="FF542" s="228"/>
      <c r="FG542" s="228"/>
      <c r="FH542" s="228"/>
      <c r="FI542" s="228"/>
      <c r="FJ542" s="228"/>
      <c r="FK542" s="228"/>
      <c r="FL542" s="228"/>
      <c r="FM542" s="228"/>
      <c r="FN542" s="228"/>
      <c r="FO542" s="228"/>
      <c r="FP542" s="228"/>
      <c r="FQ542" s="228"/>
      <c r="FR542" s="228"/>
      <c r="FS542" s="228"/>
      <c r="FT542" s="228"/>
      <c r="FU542" s="228"/>
      <c r="FV542" s="228"/>
      <c r="FW542" s="228"/>
      <c r="FX542" s="228"/>
      <c r="FY542" s="228"/>
      <c r="FZ542" s="228"/>
      <c r="GA542" s="228"/>
      <c r="GB542" s="228"/>
      <c r="GC542" s="228"/>
      <c r="GD542" s="228"/>
      <c r="GE542" s="228"/>
      <c r="GF542" s="228"/>
      <c r="GG542" s="228"/>
      <c r="GH542" s="228"/>
      <c r="GI542" s="228"/>
      <c r="GJ542" s="228"/>
      <c r="GK542" s="228"/>
      <c r="GL542" s="228"/>
      <c r="GM542" s="228"/>
      <c r="GN542" s="228"/>
      <c r="GO542" s="228"/>
      <c r="GP542" s="228"/>
      <c r="GQ542" s="228"/>
      <c r="GR542" s="228"/>
      <c r="GS542" s="228"/>
      <c r="GT542" s="228"/>
      <c r="GU542" s="228"/>
      <c r="GV542" s="228"/>
      <c r="GW542" s="228"/>
      <c r="GX542" s="228"/>
      <c r="GY542" s="228"/>
      <c r="GZ542" s="228"/>
      <c r="HA542" s="228"/>
      <c r="HB542" s="228"/>
      <c r="HC542" s="228"/>
      <c r="HD542" s="228"/>
      <c r="HE542" s="228"/>
      <c r="HF542" s="228"/>
      <c r="HG542" s="228"/>
      <c r="HH542" s="228"/>
      <c r="HI542" s="228"/>
      <c r="HJ542" s="228"/>
      <c r="HK542" s="228"/>
      <c r="HL542" s="228"/>
      <c r="HM542" s="228"/>
      <c r="HN542" s="228"/>
      <c r="HO542" s="228"/>
      <c r="HP542" s="228"/>
      <c r="HQ542" s="228"/>
      <c r="HR542" s="228"/>
      <c r="HS542" s="228"/>
      <c r="HT542" s="228"/>
      <c r="HU542" s="228"/>
      <c r="HV542" s="228"/>
      <c r="HW542" s="228"/>
      <c r="HX542" s="228"/>
      <c r="HY542" s="228"/>
      <c r="HZ542" s="228"/>
      <c r="IA542" s="228"/>
      <c r="IB542" s="228"/>
      <c r="IC542" s="228"/>
      <c r="ID542" s="228"/>
      <c r="IE542" s="228"/>
      <c r="IF542" s="228"/>
      <c r="IG542" s="228"/>
      <c r="IH542" s="228"/>
      <c r="II542" s="228"/>
      <c r="IJ542" s="228"/>
      <c r="IK542" s="228"/>
      <c r="IL542" s="228"/>
      <c r="IM542" s="228"/>
      <c r="IN542" s="228"/>
    </row>
    <row r="543" spans="1:248" s="230" customFormat="1">
      <c r="A543" s="1595"/>
      <c r="B543" s="1600"/>
      <c r="C543" s="1600"/>
      <c r="D543" s="1600"/>
      <c r="E543" s="1600"/>
      <c r="G543" s="234"/>
      <c r="H543" s="228"/>
      <c r="I543" s="228"/>
      <c r="J543" s="228"/>
      <c r="K543" s="228"/>
      <c r="L543" s="228"/>
      <c r="M543" s="228"/>
      <c r="N543" s="228"/>
      <c r="O543" s="228"/>
      <c r="P543" s="228"/>
      <c r="Q543" s="228"/>
      <c r="R543" s="228"/>
      <c r="S543" s="228"/>
      <c r="T543" s="228"/>
      <c r="U543" s="228"/>
      <c r="V543" s="228"/>
      <c r="W543" s="228"/>
      <c r="X543" s="228"/>
      <c r="Y543" s="228"/>
      <c r="Z543" s="228"/>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228"/>
      <c r="BE543" s="228"/>
      <c r="BF543" s="228"/>
      <c r="BG543" s="228"/>
      <c r="BH543" s="228"/>
      <c r="BI543" s="228"/>
      <c r="BJ543" s="228"/>
      <c r="BK543" s="228"/>
      <c r="BL543" s="228"/>
      <c r="BM543" s="228"/>
      <c r="BN543" s="228"/>
      <c r="BO543" s="228"/>
      <c r="BP543" s="228"/>
      <c r="BQ543" s="228"/>
      <c r="BR543" s="228"/>
      <c r="BS543" s="228"/>
      <c r="BT543" s="228"/>
      <c r="BU543" s="228"/>
      <c r="BV543" s="228"/>
      <c r="BW543" s="228"/>
      <c r="BX543" s="228"/>
      <c r="BY543" s="228"/>
      <c r="BZ543" s="228"/>
      <c r="CA543" s="228"/>
      <c r="CB543" s="228"/>
      <c r="CC543" s="228"/>
      <c r="CD543" s="228"/>
      <c r="CE543" s="228"/>
      <c r="CF543" s="228"/>
      <c r="CG543" s="228"/>
      <c r="CH543" s="228"/>
      <c r="CI543" s="228"/>
      <c r="CJ543" s="228"/>
      <c r="CK543" s="228"/>
      <c r="CL543" s="228"/>
      <c r="CM543" s="228"/>
      <c r="CN543" s="228"/>
      <c r="CO543" s="228"/>
      <c r="CP543" s="228"/>
      <c r="CQ543" s="228"/>
      <c r="CR543" s="228"/>
      <c r="CS543" s="228"/>
      <c r="CT543" s="228"/>
      <c r="CU543" s="228"/>
      <c r="CV543" s="228"/>
      <c r="CW543" s="228"/>
      <c r="CX543" s="228"/>
      <c r="CY543" s="228"/>
      <c r="CZ543" s="228"/>
      <c r="DA543" s="228"/>
      <c r="DB543" s="228"/>
      <c r="DC543" s="228"/>
      <c r="DD543" s="228"/>
      <c r="DE543" s="228"/>
      <c r="DF543" s="228"/>
      <c r="DG543" s="228"/>
      <c r="DH543" s="228"/>
      <c r="DI543" s="228"/>
      <c r="DJ543" s="228"/>
      <c r="DK543" s="228"/>
      <c r="DL543" s="228"/>
      <c r="DM543" s="228"/>
      <c r="DN543" s="228"/>
      <c r="DO543" s="228"/>
      <c r="DP543" s="228"/>
      <c r="DQ543" s="228"/>
      <c r="DR543" s="228"/>
      <c r="DS543" s="228"/>
      <c r="DT543" s="228"/>
      <c r="DU543" s="228"/>
      <c r="DV543" s="228"/>
      <c r="DW543" s="228"/>
      <c r="DX543" s="228"/>
      <c r="DY543" s="228"/>
      <c r="DZ543" s="228"/>
      <c r="EA543" s="228"/>
      <c r="EB543" s="228"/>
      <c r="EC543" s="228"/>
      <c r="ED543" s="228"/>
      <c r="EE543" s="228"/>
      <c r="EF543" s="228"/>
      <c r="EG543" s="228"/>
      <c r="EH543" s="228"/>
      <c r="EI543" s="228"/>
      <c r="EJ543" s="228"/>
      <c r="EK543" s="228"/>
      <c r="EL543" s="228"/>
      <c r="EM543" s="228"/>
      <c r="EN543" s="228"/>
      <c r="EO543" s="228"/>
      <c r="EP543" s="228"/>
      <c r="EQ543" s="228"/>
      <c r="ER543" s="228"/>
      <c r="ES543" s="228"/>
      <c r="ET543" s="228"/>
      <c r="EU543" s="228"/>
      <c r="EV543" s="228"/>
      <c r="EW543" s="228"/>
      <c r="EX543" s="228"/>
      <c r="EY543" s="228"/>
      <c r="EZ543" s="228"/>
      <c r="FA543" s="228"/>
      <c r="FB543" s="228"/>
      <c r="FC543" s="228"/>
      <c r="FD543" s="228"/>
      <c r="FE543" s="228"/>
      <c r="FF543" s="228"/>
      <c r="FG543" s="228"/>
      <c r="FH543" s="228"/>
      <c r="FI543" s="228"/>
      <c r="FJ543" s="228"/>
      <c r="FK543" s="228"/>
      <c r="FL543" s="228"/>
      <c r="FM543" s="228"/>
      <c r="FN543" s="228"/>
      <c r="FO543" s="228"/>
      <c r="FP543" s="228"/>
      <c r="FQ543" s="228"/>
      <c r="FR543" s="228"/>
      <c r="FS543" s="228"/>
      <c r="FT543" s="228"/>
      <c r="FU543" s="228"/>
      <c r="FV543" s="228"/>
      <c r="FW543" s="228"/>
      <c r="FX543" s="228"/>
      <c r="FY543" s="228"/>
      <c r="FZ543" s="228"/>
      <c r="GA543" s="228"/>
      <c r="GB543" s="228"/>
      <c r="GC543" s="228"/>
      <c r="GD543" s="228"/>
      <c r="GE543" s="228"/>
      <c r="GF543" s="228"/>
      <c r="GG543" s="228"/>
      <c r="GH543" s="228"/>
      <c r="GI543" s="228"/>
      <c r="GJ543" s="228"/>
      <c r="GK543" s="228"/>
      <c r="GL543" s="228"/>
      <c r="GM543" s="228"/>
      <c r="GN543" s="228"/>
      <c r="GO543" s="228"/>
      <c r="GP543" s="228"/>
      <c r="GQ543" s="228"/>
      <c r="GR543" s="228"/>
      <c r="GS543" s="228"/>
      <c r="GT543" s="228"/>
      <c r="GU543" s="228"/>
      <c r="GV543" s="228"/>
      <c r="GW543" s="228"/>
      <c r="GX543" s="228"/>
      <c r="GY543" s="228"/>
      <c r="GZ543" s="228"/>
      <c r="HA543" s="228"/>
      <c r="HB543" s="228"/>
      <c r="HC543" s="228"/>
      <c r="HD543" s="228"/>
      <c r="HE543" s="228"/>
      <c r="HF543" s="228"/>
      <c r="HG543" s="228"/>
      <c r="HH543" s="228"/>
      <c r="HI543" s="228"/>
      <c r="HJ543" s="228"/>
      <c r="HK543" s="228"/>
      <c r="HL543" s="228"/>
      <c r="HM543" s="228"/>
      <c r="HN543" s="228"/>
      <c r="HO543" s="228"/>
      <c r="HP543" s="228"/>
      <c r="HQ543" s="228"/>
      <c r="HR543" s="228"/>
      <c r="HS543" s="228"/>
      <c r="HT543" s="228"/>
      <c r="HU543" s="228"/>
      <c r="HV543" s="228"/>
      <c r="HW543" s="228"/>
      <c r="HX543" s="228"/>
      <c r="HY543" s="228"/>
      <c r="HZ543" s="228"/>
      <c r="IA543" s="228"/>
      <c r="IB543" s="228"/>
      <c r="IC543" s="228"/>
      <c r="ID543" s="228"/>
      <c r="IE543" s="228"/>
      <c r="IF543" s="228"/>
      <c r="IG543" s="228"/>
      <c r="IH543" s="228"/>
      <c r="II543" s="228"/>
      <c r="IJ543" s="228"/>
      <c r="IK543" s="228"/>
      <c r="IL543" s="228"/>
      <c r="IM543" s="228"/>
      <c r="IN543" s="228"/>
    </row>
    <row r="544" spans="1:248" s="230" customFormat="1">
      <c r="A544" s="1595"/>
      <c r="B544" s="1600"/>
      <c r="C544" s="1600"/>
      <c r="D544" s="1600"/>
      <c r="E544" s="1600"/>
      <c r="G544" s="234"/>
      <c r="H544" s="228"/>
      <c r="I544" s="228"/>
      <c r="J544" s="228"/>
      <c r="K544" s="228"/>
      <c r="L544" s="228"/>
      <c r="M544" s="228"/>
      <c r="N544" s="228"/>
      <c r="O544" s="228"/>
      <c r="P544" s="228"/>
      <c r="Q544" s="228"/>
      <c r="R544" s="228"/>
      <c r="S544" s="228"/>
      <c r="T544" s="228"/>
      <c r="U544" s="228"/>
      <c r="V544" s="228"/>
      <c r="W544" s="228"/>
      <c r="X544" s="228"/>
      <c r="Y544" s="228"/>
      <c r="Z544" s="228"/>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228"/>
      <c r="BE544" s="228"/>
      <c r="BF544" s="228"/>
      <c r="BG544" s="228"/>
      <c r="BH544" s="228"/>
      <c r="BI544" s="228"/>
      <c r="BJ544" s="228"/>
      <c r="BK544" s="228"/>
      <c r="BL544" s="228"/>
      <c r="BM544" s="228"/>
      <c r="BN544" s="228"/>
      <c r="BO544" s="228"/>
      <c r="BP544" s="228"/>
      <c r="BQ544" s="228"/>
      <c r="BR544" s="228"/>
      <c r="BS544" s="228"/>
      <c r="BT544" s="228"/>
      <c r="BU544" s="228"/>
      <c r="BV544" s="228"/>
      <c r="BW544" s="228"/>
      <c r="BX544" s="228"/>
      <c r="BY544" s="228"/>
      <c r="BZ544" s="228"/>
      <c r="CA544" s="228"/>
      <c r="CB544" s="228"/>
      <c r="CC544" s="228"/>
      <c r="CD544" s="228"/>
      <c r="CE544" s="228"/>
      <c r="CF544" s="228"/>
      <c r="CG544" s="228"/>
      <c r="CH544" s="228"/>
      <c r="CI544" s="228"/>
      <c r="CJ544" s="228"/>
      <c r="CK544" s="228"/>
      <c r="CL544" s="228"/>
      <c r="CM544" s="228"/>
      <c r="CN544" s="228"/>
      <c r="CO544" s="228"/>
      <c r="CP544" s="228"/>
      <c r="CQ544" s="228"/>
      <c r="CR544" s="228"/>
      <c r="CS544" s="228"/>
      <c r="CT544" s="228"/>
      <c r="CU544" s="228"/>
      <c r="CV544" s="228"/>
      <c r="CW544" s="228"/>
      <c r="CX544" s="228"/>
      <c r="CY544" s="228"/>
      <c r="CZ544" s="228"/>
      <c r="DA544" s="228"/>
      <c r="DB544" s="228"/>
      <c r="DC544" s="228"/>
      <c r="DD544" s="228"/>
      <c r="DE544" s="228"/>
      <c r="DF544" s="228"/>
      <c r="DG544" s="228"/>
      <c r="DH544" s="228"/>
      <c r="DI544" s="228"/>
      <c r="DJ544" s="228"/>
      <c r="DK544" s="228"/>
      <c r="DL544" s="228"/>
      <c r="DM544" s="228"/>
      <c r="DN544" s="228"/>
      <c r="DO544" s="228"/>
      <c r="DP544" s="228"/>
      <c r="DQ544" s="228"/>
      <c r="DR544" s="228"/>
      <c r="DS544" s="228"/>
      <c r="DT544" s="228"/>
      <c r="DU544" s="228"/>
      <c r="DV544" s="228"/>
      <c r="DW544" s="228"/>
      <c r="DX544" s="228"/>
      <c r="DY544" s="228"/>
      <c r="DZ544" s="228"/>
      <c r="EA544" s="228"/>
      <c r="EB544" s="228"/>
      <c r="EC544" s="228"/>
      <c r="ED544" s="228"/>
      <c r="EE544" s="228"/>
      <c r="EF544" s="228"/>
      <c r="EG544" s="228"/>
      <c r="EH544" s="228"/>
      <c r="EI544" s="228"/>
      <c r="EJ544" s="228"/>
      <c r="EK544" s="228"/>
      <c r="EL544" s="228"/>
      <c r="EM544" s="228"/>
      <c r="EN544" s="228"/>
      <c r="EO544" s="228"/>
      <c r="EP544" s="228"/>
      <c r="EQ544" s="228"/>
      <c r="ER544" s="228"/>
      <c r="ES544" s="228"/>
      <c r="ET544" s="228"/>
      <c r="EU544" s="228"/>
      <c r="EV544" s="228"/>
      <c r="EW544" s="228"/>
      <c r="EX544" s="228"/>
      <c r="EY544" s="228"/>
      <c r="EZ544" s="228"/>
      <c r="FA544" s="228"/>
      <c r="FB544" s="228"/>
      <c r="FC544" s="228"/>
      <c r="FD544" s="228"/>
      <c r="FE544" s="228"/>
      <c r="FF544" s="228"/>
      <c r="FG544" s="228"/>
      <c r="FH544" s="228"/>
      <c r="FI544" s="228"/>
      <c r="FJ544" s="228"/>
      <c r="FK544" s="228"/>
      <c r="FL544" s="228"/>
      <c r="FM544" s="228"/>
      <c r="FN544" s="228"/>
      <c r="FO544" s="228"/>
      <c r="FP544" s="228"/>
      <c r="FQ544" s="228"/>
      <c r="FR544" s="228"/>
      <c r="FS544" s="228"/>
      <c r="FT544" s="228"/>
      <c r="FU544" s="228"/>
      <c r="FV544" s="228"/>
      <c r="FW544" s="228"/>
      <c r="FX544" s="228"/>
      <c r="FY544" s="228"/>
      <c r="FZ544" s="228"/>
      <c r="GA544" s="228"/>
      <c r="GB544" s="228"/>
      <c r="GC544" s="228"/>
      <c r="GD544" s="228"/>
      <c r="GE544" s="228"/>
      <c r="GF544" s="228"/>
      <c r="GG544" s="228"/>
      <c r="GH544" s="228"/>
      <c r="GI544" s="228"/>
      <c r="GJ544" s="228"/>
      <c r="GK544" s="228"/>
      <c r="GL544" s="228"/>
      <c r="GM544" s="228"/>
      <c r="GN544" s="228"/>
      <c r="GO544" s="228"/>
      <c r="GP544" s="228"/>
      <c r="GQ544" s="228"/>
      <c r="GR544" s="228"/>
      <c r="GS544" s="228"/>
      <c r="GT544" s="228"/>
      <c r="GU544" s="228"/>
      <c r="GV544" s="228"/>
      <c r="GW544" s="228"/>
      <c r="GX544" s="228"/>
      <c r="GY544" s="228"/>
      <c r="GZ544" s="228"/>
      <c r="HA544" s="228"/>
      <c r="HB544" s="228"/>
      <c r="HC544" s="228"/>
      <c r="HD544" s="228"/>
      <c r="HE544" s="228"/>
      <c r="HF544" s="228"/>
      <c r="HG544" s="228"/>
      <c r="HH544" s="228"/>
      <c r="HI544" s="228"/>
      <c r="HJ544" s="228"/>
      <c r="HK544" s="228"/>
      <c r="HL544" s="228"/>
      <c r="HM544" s="228"/>
      <c r="HN544" s="228"/>
      <c r="HO544" s="228"/>
      <c r="HP544" s="228"/>
      <c r="HQ544" s="228"/>
      <c r="HR544" s="228"/>
      <c r="HS544" s="228"/>
      <c r="HT544" s="228"/>
      <c r="HU544" s="228"/>
      <c r="HV544" s="228"/>
      <c r="HW544" s="228"/>
      <c r="HX544" s="228"/>
      <c r="HY544" s="228"/>
      <c r="HZ544" s="228"/>
      <c r="IA544" s="228"/>
      <c r="IB544" s="228"/>
      <c r="IC544" s="228"/>
      <c r="ID544" s="228"/>
      <c r="IE544" s="228"/>
      <c r="IF544" s="228"/>
      <c r="IG544" s="228"/>
      <c r="IH544" s="228"/>
      <c r="II544" s="228"/>
      <c r="IJ544" s="228"/>
      <c r="IK544" s="228"/>
      <c r="IL544" s="228"/>
      <c r="IM544" s="228"/>
      <c r="IN544" s="228"/>
    </row>
    <row r="545" spans="1:248" s="230" customFormat="1">
      <c r="A545" s="1595"/>
      <c r="B545" s="1600"/>
      <c r="C545" s="1600"/>
      <c r="D545" s="1600"/>
      <c r="E545" s="1600"/>
      <c r="G545" s="234"/>
      <c r="H545" s="228"/>
      <c r="I545" s="228"/>
      <c r="J545" s="228"/>
      <c r="K545" s="228"/>
      <c r="L545" s="228"/>
      <c r="M545" s="228"/>
      <c r="N545" s="228"/>
      <c r="O545" s="228"/>
      <c r="P545" s="228"/>
      <c r="Q545" s="228"/>
      <c r="R545" s="228"/>
      <c r="S545" s="228"/>
      <c r="T545" s="228"/>
      <c r="U545" s="228"/>
      <c r="V545" s="228"/>
      <c r="W545" s="228"/>
      <c r="X545" s="228"/>
      <c r="Y545" s="228"/>
      <c r="Z545" s="228"/>
      <c r="AA545" s="228"/>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228"/>
      <c r="BE545" s="228"/>
      <c r="BF545" s="228"/>
      <c r="BG545" s="228"/>
      <c r="BH545" s="228"/>
      <c r="BI545" s="228"/>
      <c r="BJ545" s="228"/>
      <c r="BK545" s="228"/>
      <c r="BL545" s="228"/>
      <c r="BM545" s="228"/>
      <c r="BN545" s="228"/>
      <c r="BO545" s="228"/>
      <c r="BP545" s="228"/>
      <c r="BQ545" s="228"/>
      <c r="BR545" s="228"/>
      <c r="BS545" s="228"/>
      <c r="BT545" s="228"/>
      <c r="BU545" s="228"/>
      <c r="BV545" s="228"/>
      <c r="BW545" s="228"/>
      <c r="BX545" s="228"/>
      <c r="BY545" s="228"/>
      <c r="BZ545" s="228"/>
      <c r="CA545" s="228"/>
      <c r="CB545" s="228"/>
      <c r="CC545" s="228"/>
      <c r="CD545" s="228"/>
      <c r="CE545" s="228"/>
      <c r="CF545" s="228"/>
      <c r="CG545" s="228"/>
      <c r="CH545" s="228"/>
      <c r="CI545" s="228"/>
      <c r="CJ545" s="228"/>
      <c r="CK545" s="228"/>
      <c r="CL545" s="228"/>
      <c r="CM545" s="228"/>
      <c r="CN545" s="228"/>
      <c r="CO545" s="228"/>
      <c r="CP545" s="228"/>
      <c r="CQ545" s="228"/>
      <c r="CR545" s="228"/>
      <c r="CS545" s="228"/>
      <c r="CT545" s="228"/>
      <c r="CU545" s="228"/>
      <c r="CV545" s="228"/>
      <c r="CW545" s="228"/>
      <c r="CX545" s="228"/>
      <c r="CY545" s="228"/>
      <c r="CZ545" s="228"/>
      <c r="DA545" s="228"/>
      <c r="DB545" s="228"/>
      <c r="DC545" s="228"/>
      <c r="DD545" s="228"/>
      <c r="DE545" s="228"/>
      <c r="DF545" s="228"/>
      <c r="DG545" s="228"/>
      <c r="DH545" s="228"/>
      <c r="DI545" s="228"/>
      <c r="DJ545" s="228"/>
      <c r="DK545" s="228"/>
      <c r="DL545" s="228"/>
      <c r="DM545" s="228"/>
      <c r="DN545" s="228"/>
      <c r="DO545" s="228"/>
      <c r="DP545" s="228"/>
      <c r="DQ545" s="228"/>
      <c r="DR545" s="228"/>
      <c r="DS545" s="228"/>
      <c r="DT545" s="228"/>
      <c r="DU545" s="228"/>
      <c r="DV545" s="228"/>
      <c r="DW545" s="228"/>
      <c r="DX545" s="228"/>
      <c r="DY545" s="228"/>
      <c r="DZ545" s="228"/>
      <c r="EA545" s="228"/>
      <c r="EB545" s="228"/>
      <c r="EC545" s="228"/>
      <c r="ED545" s="228"/>
      <c r="EE545" s="228"/>
      <c r="EF545" s="228"/>
      <c r="EG545" s="228"/>
      <c r="EH545" s="228"/>
      <c r="EI545" s="228"/>
      <c r="EJ545" s="228"/>
      <c r="EK545" s="228"/>
      <c r="EL545" s="228"/>
      <c r="EM545" s="228"/>
      <c r="EN545" s="228"/>
      <c r="EO545" s="228"/>
      <c r="EP545" s="228"/>
      <c r="EQ545" s="228"/>
      <c r="ER545" s="228"/>
      <c r="ES545" s="228"/>
      <c r="ET545" s="228"/>
      <c r="EU545" s="228"/>
      <c r="EV545" s="228"/>
      <c r="EW545" s="228"/>
      <c r="EX545" s="228"/>
      <c r="EY545" s="228"/>
      <c r="EZ545" s="228"/>
      <c r="FA545" s="228"/>
      <c r="FB545" s="228"/>
      <c r="FC545" s="228"/>
      <c r="FD545" s="228"/>
      <c r="FE545" s="228"/>
      <c r="FF545" s="228"/>
      <c r="FG545" s="228"/>
      <c r="FH545" s="228"/>
      <c r="FI545" s="228"/>
      <c r="FJ545" s="228"/>
      <c r="FK545" s="228"/>
      <c r="FL545" s="228"/>
      <c r="FM545" s="228"/>
      <c r="FN545" s="228"/>
      <c r="FO545" s="228"/>
      <c r="FP545" s="228"/>
      <c r="FQ545" s="228"/>
      <c r="FR545" s="228"/>
      <c r="FS545" s="228"/>
      <c r="FT545" s="228"/>
      <c r="FU545" s="228"/>
      <c r="FV545" s="228"/>
      <c r="FW545" s="228"/>
      <c r="FX545" s="228"/>
      <c r="FY545" s="228"/>
      <c r="FZ545" s="228"/>
      <c r="GA545" s="228"/>
      <c r="GB545" s="228"/>
      <c r="GC545" s="228"/>
      <c r="GD545" s="228"/>
      <c r="GE545" s="228"/>
      <c r="GF545" s="228"/>
      <c r="GG545" s="228"/>
      <c r="GH545" s="228"/>
      <c r="GI545" s="228"/>
      <c r="GJ545" s="228"/>
      <c r="GK545" s="228"/>
      <c r="GL545" s="228"/>
      <c r="GM545" s="228"/>
      <c r="GN545" s="228"/>
      <c r="GO545" s="228"/>
      <c r="GP545" s="228"/>
      <c r="GQ545" s="228"/>
      <c r="GR545" s="228"/>
      <c r="GS545" s="228"/>
      <c r="GT545" s="228"/>
      <c r="GU545" s="228"/>
      <c r="GV545" s="228"/>
      <c r="GW545" s="228"/>
      <c r="GX545" s="228"/>
      <c r="GY545" s="228"/>
      <c r="GZ545" s="228"/>
      <c r="HA545" s="228"/>
      <c r="HB545" s="228"/>
      <c r="HC545" s="228"/>
      <c r="HD545" s="228"/>
      <c r="HE545" s="228"/>
      <c r="HF545" s="228"/>
      <c r="HG545" s="228"/>
      <c r="HH545" s="228"/>
      <c r="HI545" s="228"/>
      <c r="HJ545" s="228"/>
      <c r="HK545" s="228"/>
      <c r="HL545" s="228"/>
      <c r="HM545" s="228"/>
      <c r="HN545" s="228"/>
      <c r="HO545" s="228"/>
      <c r="HP545" s="228"/>
      <c r="HQ545" s="228"/>
      <c r="HR545" s="228"/>
      <c r="HS545" s="228"/>
      <c r="HT545" s="228"/>
      <c r="HU545" s="228"/>
      <c r="HV545" s="228"/>
      <c r="HW545" s="228"/>
      <c r="HX545" s="228"/>
      <c r="HY545" s="228"/>
      <c r="HZ545" s="228"/>
      <c r="IA545" s="228"/>
      <c r="IB545" s="228"/>
      <c r="IC545" s="228"/>
      <c r="ID545" s="228"/>
      <c r="IE545" s="228"/>
      <c r="IF545" s="228"/>
      <c r="IG545" s="228"/>
      <c r="IH545" s="228"/>
      <c r="II545" s="228"/>
      <c r="IJ545" s="228"/>
      <c r="IK545" s="228"/>
      <c r="IL545" s="228"/>
      <c r="IM545" s="228"/>
      <c r="IN545" s="228"/>
    </row>
    <row r="547" spans="1:248" s="230" customFormat="1">
      <c r="A547" s="1590"/>
      <c r="B547" s="1600"/>
      <c r="C547" s="1600"/>
      <c r="D547" s="1600"/>
      <c r="E547" s="1600"/>
      <c r="G547" s="234"/>
      <c r="H547" s="228"/>
      <c r="I547" s="228"/>
      <c r="J547" s="228"/>
      <c r="K547" s="228"/>
      <c r="L547" s="228"/>
      <c r="M547" s="228"/>
      <c r="N547" s="228"/>
      <c r="O547" s="228"/>
      <c r="P547" s="228"/>
      <c r="Q547" s="228"/>
      <c r="R547" s="228"/>
      <c r="S547" s="228"/>
      <c r="T547" s="228"/>
      <c r="U547" s="228"/>
      <c r="V547" s="228"/>
      <c r="W547" s="228"/>
      <c r="X547" s="228"/>
      <c r="Y547" s="228"/>
      <c r="Z547" s="228"/>
      <c r="AA547" s="228"/>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228"/>
      <c r="BE547" s="228"/>
      <c r="BF547" s="228"/>
      <c r="BG547" s="228"/>
      <c r="BH547" s="228"/>
      <c r="BI547" s="228"/>
      <c r="BJ547" s="228"/>
      <c r="BK547" s="228"/>
      <c r="BL547" s="228"/>
      <c r="BM547" s="228"/>
      <c r="BN547" s="228"/>
      <c r="BO547" s="228"/>
      <c r="BP547" s="228"/>
      <c r="BQ547" s="228"/>
      <c r="BR547" s="228"/>
      <c r="BS547" s="228"/>
      <c r="BT547" s="228"/>
      <c r="BU547" s="228"/>
      <c r="BV547" s="228"/>
      <c r="BW547" s="228"/>
      <c r="BX547" s="228"/>
      <c r="BY547" s="228"/>
      <c r="BZ547" s="228"/>
      <c r="CA547" s="228"/>
      <c r="CB547" s="228"/>
      <c r="CC547" s="228"/>
      <c r="CD547" s="228"/>
      <c r="CE547" s="228"/>
      <c r="CF547" s="228"/>
      <c r="CG547" s="228"/>
      <c r="CH547" s="228"/>
      <c r="CI547" s="228"/>
      <c r="CJ547" s="228"/>
      <c r="CK547" s="228"/>
      <c r="CL547" s="228"/>
      <c r="CM547" s="228"/>
      <c r="CN547" s="228"/>
      <c r="CO547" s="228"/>
      <c r="CP547" s="228"/>
      <c r="CQ547" s="228"/>
      <c r="CR547" s="228"/>
      <c r="CS547" s="228"/>
      <c r="CT547" s="228"/>
      <c r="CU547" s="228"/>
      <c r="CV547" s="228"/>
      <c r="CW547" s="228"/>
      <c r="CX547" s="228"/>
      <c r="CY547" s="228"/>
      <c r="CZ547" s="228"/>
      <c r="DA547" s="228"/>
      <c r="DB547" s="228"/>
      <c r="DC547" s="228"/>
      <c r="DD547" s="228"/>
      <c r="DE547" s="228"/>
      <c r="DF547" s="228"/>
      <c r="DG547" s="228"/>
      <c r="DH547" s="228"/>
      <c r="DI547" s="228"/>
      <c r="DJ547" s="228"/>
      <c r="DK547" s="228"/>
      <c r="DL547" s="228"/>
      <c r="DM547" s="228"/>
      <c r="DN547" s="228"/>
      <c r="DO547" s="228"/>
      <c r="DP547" s="228"/>
      <c r="DQ547" s="228"/>
      <c r="DR547" s="228"/>
      <c r="DS547" s="228"/>
      <c r="DT547" s="228"/>
      <c r="DU547" s="228"/>
      <c r="DV547" s="228"/>
      <c r="DW547" s="228"/>
      <c r="DX547" s="228"/>
      <c r="DY547" s="228"/>
      <c r="DZ547" s="228"/>
      <c r="EA547" s="228"/>
      <c r="EB547" s="228"/>
      <c r="EC547" s="228"/>
      <c r="ED547" s="228"/>
      <c r="EE547" s="228"/>
      <c r="EF547" s="228"/>
      <c r="EG547" s="228"/>
      <c r="EH547" s="228"/>
      <c r="EI547" s="228"/>
      <c r="EJ547" s="228"/>
      <c r="EK547" s="228"/>
      <c r="EL547" s="228"/>
      <c r="EM547" s="228"/>
      <c r="EN547" s="228"/>
      <c r="EO547" s="228"/>
      <c r="EP547" s="228"/>
      <c r="EQ547" s="228"/>
      <c r="ER547" s="228"/>
      <c r="ES547" s="228"/>
      <c r="ET547" s="228"/>
      <c r="EU547" s="228"/>
      <c r="EV547" s="228"/>
      <c r="EW547" s="228"/>
      <c r="EX547" s="228"/>
      <c r="EY547" s="228"/>
      <c r="EZ547" s="228"/>
      <c r="FA547" s="228"/>
      <c r="FB547" s="228"/>
      <c r="FC547" s="228"/>
      <c r="FD547" s="228"/>
      <c r="FE547" s="228"/>
      <c r="FF547" s="228"/>
      <c r="FG547" s="228"/>
      <c r="FH547" s="228"/>
      <c r="FI547" s="228"/>
      <c r="FJ547" s="228"/>
      <c r="FK547" s="228"/>
      <c r="FL547" s="228"/>
      <c r="FM547" s="228"/>
      <c r="FN547" s="228"/>
      <c r="FO547" s="228"/>
      <c r="FP547" s="228"/>
      <c r="FQ547" s="228"/>
      <c r="FR547" s="228"/>
      <c r="FS547" s="228"/>
      <c r="FT547" s="228"/>
      <c r="FU547" s="228"/>
      <c r="FV547" s="228"/>
      <c r="FW547" s="228"/>
      <c r="FX547" s="228"/>
      <c r="FY547" s="228"/>
      <c r="FZ547" s="228"/>
      <c r="GA547" s="228"/>
      <c r="GB547" s="228"/>
      <c r="GC547" s="228"/>
      <c r="GD547" s="228"/>
      <c r="GE547" s="228"/>
      <c r="GF547" s="228"/>
      <c r="GG547" s="228"/>
      <c r="GH547" s="228"/>
      <c r="GI547" s="228"/>
      <c r="GJ547" s="228"/>
      <c r="GK547" s="228"/>
      <c r="GL547" s="228"/>
      <c r="GM547" s="228"/>
      <c r="GN547" s="228"/>
      <c r="GO547" s="228"/>
      <c r="GP547" s="228"/>
      <c r="GQ547" s="228"/>
      <c r="GR547" s="228"/>
      <c r="GS547" s="228"/>
      <c r="GT547" s="228"/>
      <c r="GU547" s="228"/>
      <c r="GV547" s="228"/>
      <c r="GW547" s="228"/>
      <c r="GX547" s="228"/>
      <c r="GY547" s="228"/>
      <c r="GZ547" s="228"/>
      <c r="HA547" s="228"/>
      <c r="HB547" s="228"/>
      <c r="HC547" s="228"/>
      <c r="HD547" s="228"/>
      <c r="HE547" s="228"/>
      <c r="HF547" s="228"/>
      <c r="HG547" s="228"/>
      <c r="HH547" s="228"/>
      <c r="HI547" s="228"/>
      <c r="HJ547" s="228"/>
      <c r="HK547" s="228"/>
      <c r="HL547" s="228"/>
      <c r="HM547" s="228"/>
      <c r="HN547" s="228"/>
      <c r="HO547" s="228"/>
      <c r="HP547" s="228"/>
      <c r="HQ547" s="228"/>
      <c r="HR547" s="228"/>
      <c r="HS547" s="228"/>
      <c r="HT547" s="228"/>
      <c r="HU547" s="228"/>
      <c r="HV547" s="228"/>
      <c r="HW547" s="228"/>
      <c r="HX547" s="228"/>
      <c r="HY547" s="228"/>
      <c r="HZ547" s="228"/>
      <c r="IA547" s="228"/>
      <c r="IB547" s="228"/>
      <c r="IC547" s="228"/>
      <c r="ID547" s="228"/>
      <c r="IE547" s="228"/>
      <c r="IF547" s="228"/>
      <c r="IG547" s="228"/>
      <c r="IH547" s="228"/>
      <c r="II547" s="228"/>
      <c r="IJ547" s="228"/>
      <c r="IK547" s="228"/>
      <c r="IL547" s="228"/>
      <c r="IM547" s="228"/>
      <c r="IN547" s="228"/>
    </row>
    <row r="548" spans="1:248" s="230" customFormat="1">
      <c r="A548" s="1595"/>
      <c r="B548" s="1600"/>
      <c r="C548" s="1600"/>
      <c r="D548" s="1600"/>
      <c r="E548" s="1600"/>
      <c r="G548" s="234"/>
      <c r="H548" s="228"/>
      <c r="I548" s="228"/>
      <c r="J548" s="228"/>
      <c r="K548" s="228"/>
      <c r="L548" s="228"/>
      <c r="M548" s="228"/>
      <c r="N548" s="228"/>
      <c r="O548" s="228"/>
      <c r="P548" s="228"/>
      <c r="Q548" s="228"/>
      <c r="R548" s="228"/>
      <c r="S548" s="228"/>
      <c r="T548" s="228"/>
      <c r="U548" s="228"/>
      <c r="V548" s="228"/>
      <c r="W548" s="228"/>
      <c r="X548" s="228"/>
      <c r="Y548" s="228"/>
      <c r="Z548" s="228"/>
      <c r="AA548" s="228"/>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228"/>
      <c r="BE548" s="228"/>
      <c r="BF548" s="228"/>
      <c r="BG548" s="228"/>
      <c r="BH548" s="228"/>
      <c r="BI548" s="228"/>
      <c r="BJ548" s="228"/>
      <c r="BK548" s="228"/>
      <c r="BL548" s="228"/>
      <c r="BM548" s="228"/>
      <c r="BN548" s="228"/>
      <c r="BO548" s="228"/>
      <c r="BP548" s="228"/>
      <c r="BQ548" s="228"/>
      <c r="BR548" s="228"/>
      <c r="BS548" s="228"/>
      <c r="BT548" s="228"/>
      <c r="BU548" s="228"/>
      <c r="BV548" s="228"/>
      <c r="BW548" s="228"/>
      <c r="BX548" s="228"/>
      <c r="BY548" s="228"/>
      <c r="BZ548" s="228"/>
      <c r="CA548" s="228"/>
      <c r="CB548" s="228"/>
      <c r="CC548" s="228"/>
      <c r="CD548" s="228"/>
      <c r="CE548" s="228"/>
      <c r="CF548" s="228"/>
      <c r="CG548" s="228"/>
      <c r="CH548" s="228"/>
      <c r="CI548" s="228"/>
      <c r="CJ548" s="228"/>
      <c r="CK548" s="228"/>
      <c r="CL548" s="228"/>
      <c r="CM548" s="228"/>
      <c r="CN548" s="228"/>
      <c r="CO548" s="228"/>
      <c r="CP548" s="228"/>
      <c r="CQ548" s="228"/>
      <c r="CR548" s="228"/>
      <c r="CS548" s="228"/>
      <c r="CT548" s="228"/>
      <c r="CU548" s="228"/>
      <c r="CV548" s="228"/>
      <c r="CW548" s="228"/>
      <c r="CX548" s="228"/>
      <c r="CY548" s="228"/>
      <c r="CZ548" s="228"/>
      <c r="DA548" s="228"/>
      <c r="DB548" s="228"/>
      <c r="DC548" s="228"/>
      <c r="DD548" s="228"/>
      <c r="DE548" s="228"/>
      <c r="DF548" s="228"/>
      <c r="DG548" s="228"/>
      <c r="DH548" s="228"/>
      <c r="DI548" s="228"/>
      <c r="DJ548" s="228"/>
      <c r="DK548" s="228"/>
      <c r="DL548" s="228"/>
      <c r="DM548" s="228"/>
      <c r="DN548" s="228"/>
      <c r="DO548" s="228"/>
      <c r="DP548" s="228"/>
      <c r="DQ548" s="228"/>
      <c r="DR548" s="228"/>
      <c r="DS548" s="228"/>
      <c r="DT548" s="228"/>
      <c r="DU548" s="228"/>
      <c r="DV548" s="228"/>
      <c r="DW548" s="228"/>
      <c r="DX548" s="228"/>
      <c r="DY548" s="228"/>
      <c r="DZ548" s="228"/>
      <c r="EA548" s="228"/>
      <c r="EB548" s="228"/>
      <c r="EC548" s="228"/>
      <c r="ED548" s="228"/>
      <c r="EE548" s="228"/>
      <c r="EF548" s="228"/>
      <c r="EG548" s="228"/>
      <c r="EH548" s="228"/>
      <c r="EI548" s="228"/>
      <c r="EJ548" s="228"/>
      <c r="EK548" s="228"/>
      <c r="EL548" s="228"/>
      <c r="EM548" s="228"/>
      <c r="EN548" s="228"/>
      <c r="EO548" s="228"/>
      <c r="EP548" s="228"/>
      <c r="EQ548" s="228"/>
      <c r="ER548" s="228"/>
      <c r="ES548" s="228"/>
      <c r="ET548" s="228"/>
      <c r="EU548" s="228"/>
      <c r="EV548" s="228"/>
      <c r="EW548" s="228"/>
      <c r="EX548" s="228"/>
      <c r="EY548" s="228"/>
      <c r="EZ548" s="228"/>
      <c r="FA548" s="228"/>
      <c r="FB548" s="228"/>
      <c r="FC548" s="228"/>
      <c r="FD548" s="228"/>
      <c r="FE548" s="228"/>
      <c r="FF548" s="228"/>
      <c r="FG548" s="228"/>
      <c r="FH548" s="228"/>
      <c r="FI548" s="228"/>
      <c r="FJ548" s="228"/>
      <c r="FK548" s="228"/>
      <c r="FL548" s="228"/>
      <c r="FM548" s="228"/>
      <c r="FN548" s="228"/>
      <c r="FO548" s="228"/>
      <c r="FP548" s="228"/>
      <c r="FQ548" s="228"/>
      <c r="FR548" s="228"/>
      <c r="FS548" s="228"/>
      <c r="FT548" s="228"/>
      <c r="FU548" s="228"/>
      <c r="FV548" s="228"/>
      <c r="FW548" s="228"/>
      <c r="FX548" s="228"/>
      <c r="FY548" s="228"/>
      <c r="FZ548" s="228"/>
      <c r="GA548" s="228"/>
      <c r="GB548" s="228"/>
      <c r="GC548" s="228"/>
      <c r="GD548" s="228"/>
      <c r="GE548" s="228"/>
      <c r="GF548" s="228"/>
      <c r="GG548" s="228"/>
      <c r="GH548" s="228"/>
      <c r="GI548" s="228"/>
      <c r="GJ548" s="228"/>
      <c r="GK548" s="228"/>
      <c r="GL548" s="228"/>
      <c r="GM548" s="228"/>
      <c r="GN548" s="228"/>
      <c r="GO548" s="228"/>
      <c r="GP548" s="228"/>
      <c r="GQ548" s="228"/>
      <c r="GR548" s="228"/>
      <c r="GS548" s="228"/>
      <c r="GT548" s="228"/>
      <c r="GU548" s="228"/>
      <c r="GV548" s="228"/>
      <c r="GW548" s="228"/>
      <c r="GX548" s="228"/>
      <c r="GY548" s="228"/>
      <c r="GZ548" s="228"/>
      <c r="HA548" s="228"/>
      <c r="HB548" s="228"/>
      <c r="HC548" s="228"/>
      <c r="HD548" s="228"/>
      <c r="HE548" s="228"/>
      <c r="HF548" s="228"/>
      <c r="HG548" s="228"/>
      <c r="HH548" s="228"/>
      <c r="HI548" s="228"/>
      <c r="HJ548" s="228"/>
      <c r="HK548" s="228"/>
      <c r="HL548" s="228"/>
      <c r="HM548" s="228"/>
      <c r="HN548" s="228"/>
      <c r="HO548" s="228"/>
      <c r="HP548" s="228"/>
      <c r="HQ548" s="228"/>
      <c r="HR548" s="228"/>
      <c r="HS548" s="228"/>
      <c r="HT548" s="228"/>
      <c r="HU548" s="228"/>
      <c r="HV548" s="228"/>
      <c r="HW548" s="228"/>
      <c r="HX548" s="228"/>
      <c r="HY548" s="228"/>
      <c r="HZ548" s="228"/>
      <c r="IA548" s="228"/>
      <c r="IB548" s="228"/>
      <c r="IC548" s="228"/>
      <c r="ID548" s="228"/>
      <c r="IE548" s="228"/>
      <c r="IF548" s="228"/>
      <c r="IG548" s="228"/>
      <c r="IH548" s="228"/>
      <c r="II548" s="228"/>
      <c r="IJ548" s="228"/>
      <c r="IK548" s="228"/>
      <c r="IL548" s="228"/>
      <c r="IM548" s="228"/>
      <c r="IN548" s="228"/>
    </row>
    <row r="549" spans="1:248" s="230" customFormat="1">
      <c r="A549" s="1595"/>
      <c r="B549" s="1600"/>
      <c r="C549" s="1600"/>
      <c r="D549" s="1600"/>
      <c r="E549" s="1600"/>
      <c r="G549" s="234"/>
      <c r="H549" s="228"/>
      <c r="I549" s="228"/>
      <c r="J549" s="228"/>
      <c r="K549" s="228"/>
      <c r="L549" s="228"/>
      <c r="M549" s="228"/>
      <c r="N549" s="228"/>
      <c r="O549" s="228"/>
      <c r="P549" s="228"/>
      <c r="Q549" s="228"/>
      <c r="R549" s="228"/>
      <c r="S549" s="228"/>
      <c r="T549" s="228"/>
      <c r="U549" s="228"/>
      <c r="V549" s="228"/>
      <c r="W549" s="228"/>
      <c r="X549" s="228"/>
      <c r="Y549" s="228"/>
      <c r="Z549" s="228"/>
      <c r="AA549" s="228"/>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228"/>
      <c r="BE549" s="228"/>
      <c r="BF549" s="228"/>
      <c r="BG549" s="228"/>
      <c r="BH549" s="228"/>
      <c r="BI549" s="228"/>
      <c r="BJ549" s="228"/>
      <c r="BK549" s="228"/>
      <c r="BL549" s="228"/>
      <c r="BM549" s="228"/>
      <c r="BN549" s="228"/>
      <c r="BO549" s="228"/>
      <c r="BP549" s="228"/>
      <c r="BQ549" s="228"/>
      <c r="BR549" s="228"/>
      <c r="BS549" s="228"/>
      <c r="BT549" s="228"/>
      <c r="BU549" s="228"/>
      <c r="BV549" s="228"/>
      <c r="BW549" s="228"/>
      <c r="BX549" s="228"/>
      <c r="BY549" s="228"/>
      <c r="BZ549" s="228"/>
      <c r="CA549" s="228"/>
      <c r="CB549" s="228"/>
      <c r="CC549" s="228"/>
      <c r="CD549" s="228"/>
      <c r="CE549" s="228"/>
      <c r="CF549" s="228"/>
      <c r="CG549" s="228"/>
      <c r="CH549" s="228"/>
      <c r="CI549" s="228"/>
      <c r="CJ549" s="228"/>
      <c r="CK549" s="228"/>
      <c r="CL549" s="228"/>
      <c r="CM549" s="228"/>
      <c r="CN549" s="228"/>
      <c r="CO549" s="228"/>
      <c r="CP549" s="228"/>
      <c r="CQ549" s="228"/>
      <c r="CR549" s="228"/>
      <c r="CS549" s="228"/>
      <c r="CT549" s="228"/>
      <c r="CU549" s="228"/>
      <c r="CV549" s="228"/>
      <c r="CW549" s="228"/>
      <c r="CX549" s="228"/>
      <c r="CY549" s="228"/>
      <c r="CZ549" s="228"/>
      <c r="DA549" s="228"/>
      <c r="DB549" s="228"/>
      <c r="DC549" s="228"/>
      <c r="DD549" s="228"/>
      <c r="DE549" s="228"/>
      <c r="DF549" s="228"/>
      <c r="DG549" s="228"/>
      <c r="DH549" s="228"/>
      <c r="DI549" s="228"/>
      <c r="DJ549" s="228"/>
      <c r="DK549" s="228"/>
      <c r="DL549" s="228"/>
      <c r="DM549" s="228"/>
      <c r="DN549" s="228"/>
      <c r="DO549" s="228"/>
      <c r="DP549" s="228"/>
      <c r="DQ549" s="228"/>
      <c r="DR549" s="228"/>
      <c r="DS549" s="228"/>
      <c r="DT549" s="228"/>
      <c r="DU549" s="228"/>
      <c r="DV549" s="228"/>
      <c r="DW549" s="228"/>
      <c r="DX549" s="228"/>
      <c r="DY549" s="228"/>
      <c r="DZ549" s="228"/>
      <c r="EA549" s="228"/>
      <c r="EB549" s="228"/>
      <c r="EC549" s="228"/>
      <c r="ED549" s="228"/>
      <c r="EE549" s="228"/>
      <c r="EF549" s="228"/>
      <c r="EG549" s="228"/>
      <c r="EH549" s="228"/>
      <c r="EI549" s="228"/>
      <c r="EJ549" s="228"/>
      <c r="EK549" s="228"/>
      <c r="EL549" s="228"/>
      <c r="EM549" s="228"/>
      <c r="EN549" s="228"/>
      <c r="EO549" s="228"/>
      <c r="EP549" s="228"/>
      <c r="EQ549" s="228"/>
      <c r="ER549" s="228"/>
      <c r="ES549" s="228"/>
      <c r="ET549" s="228"/>
      <c r="EU549" s="228"/>
      <c r="EV549" s="228"/>
      <c r="EW549" s="228"/>
      <c r="EX549" s="228"/>
      <c r="EY549" s="228"/>
      <c r="EZ549" s="228"/>
      <c r="FA549" s="228"/>
      <c r="FB549" s="228"/>
      <c r="FC549" s="228"/>
      <c r="FD549" s="228"/>
      <c r="FE549" s="228"/>
      <c r="FF549" s="228"/>
      <c r="FG549" s="228"/>
      <c r="FH549" s="228"/>
      <c r="FI549" s="228"/>
      <c r="FJ549" s="228"/>
      <c r="FK549" s="228"/>
      <c r="FL549" s="228"/>
      <c r="FM549" s="228"/>
      <c r="FN549" s="228"/>
      <c r="FO549" s="228"/>
      <c r="FP549" s="228"/>
      <c r="FQ549" s="228"/>
      <c r="FR549" s="228"/>
      <c r="FS549" s="228"/>
      <c r="FT549" s="228"/>
      <c r="FU549" s="228"/>
      <c r="FV549" s="228"/>
      <c r="FW549" s="228"/>
      <c r="FX549" s="228"/>
      <c r="FY549" s="228"/>
      <c r="FZ549" s="228"/>
      <c r="GA549" s="228"/>
      <c r="GB549" s="228"/>
      <c r="GC549" s="228"/>
      <c r="GD549" s="228"/>
      <c r="GE549" s="228"/>
      <c r="GF549" s="228"/>
      <c r="GG549" s="228"/>
      <c r="GH549" s="228"/>
      <c r="GI549" s="228"/>
      <c r="GJ549" s="228"/>
      <c r="GK549" s="228"/>
      <c r="GL549" s="228"/>
      <c r="GM549" s="228"/>
      <c r="GN549" s="228"/>
      <c r="GO549" s="228"/>
      <c r="GP549" s="228"/>
      <c r="GQ549" s="228"/>
      <c r="GR549" s="228"/>
      <c r="GS549" s="228"/>
      <c r="GT549" s="228"/>
      <c r="GU549" s="228"/>
      <c r="GV549" s="228"/>
      <c r="GW549" s="228"/>
      <c r="GX549" s="228"/>
      <c r="GY549" s="228"/>
      <c r="GZ549" s="228"/>
      <c r="HA549" s="228"/>
      <c r="HB549" s="228"/>
      <c r="HC549" s="228"/>
      <c r="HD549" s="228"/>
      <c r="HE549" s="228"/>
      <c r="HF549" s="228"/>
      <c r="HG549" s="228"/>
      <c r="HH549" s="228"/>
      <c r="HI549" s="228"/>
      <c r="HJ549" s="228"/>
      <c r="HK549" s="228"/>
      <c r="HL549" s="228"/>
      <c r="HM549" s="228"/>
      <c r="HN549" s="228"/>
      <c r="HO549" s="228"/>
      <c r="HP549" s="228"/>
      <c r="HQ549" s="228"/>
      <c r="HR549" s="228"/>
      <c r="HS549" s="228"/>
      <c r="HT549" s="228"/>
      <c r="HU549" s="228"/>
      <c r="HV549" s="228"/>
      <c r="HW549" s="228"/>
      <c r="HX549" s="228"/>
      <c r="HY549" s="228"/>
      <c r="HZ549" s="228"/>
      <c r="IA549" s="228"/>
      <c r="IB549" s="228"/>
      <c r="IC549" s="228"/>
      <c r="ID549" s="228"/>
      <c r="IE549" s="228"/>
      <c r="IF549" s="228"/>
      <c r="IG549" s="228"/>
      <c r="IH549" s="228"/>
      <c r="II549" s="228"/>
      <c r="IJ549" s="228"/>
      <c r="IK549" s="228"/>
      <c r="IL549" s="228"/>
      <c r="IM549" s="228"/>
      <c r="IN549" s="228"/>
    </row>
    <row r="550" spans="1:248" s="230" customFormat="1">
      <c r="A550" s="1595"/>
      <c r="B550" s="1600"/>
      <c r="C550" s="1600"/>
      <c r="D550" s="1600"/>
      <c r="E550" s="1600"/>
      <c r="G550" s="234"/>
      <c r="H550" s="228"/>
      <c r="I550" s="228"/>
      <c r="J550" s="228"/>
      <c r="K550" s="228"/>
      <c r="L550" s="228"/>
      <c r="M550" s="228"/>
      <c r="N550" s="228"/>
      <c r="O550" s="228"/>
      <c r="P550" s="228"/>
      <c r="Q550" s="228"/>
      <c r="R550" s="228"/>
      <c r="S550" s="228"/>
      <c r="T550" s="228"/>
      <c r="U550" s="228"/>
      <c r="V550" s="228"/>
      <c r="W550" s="228"/>
      <c r="X550" s="228"/>
      <c r="Y550" s="228"/>
      <c r="Z550" s="228"/>
      <c r="AA550" s="228"/>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228"/>
      <c r="BE550" s="228"/>
      <c r="BF550" s="228"/>
      <c r="BG550" s="228"/>
      <c r="BH550" s="228"/>
      <c r="BI550" s="228"/>
      <c r="BJ550" s="228"/>
      <c r="BK550" s="228"/>
      <c r="BL550" s="228"/>
      <c r="BM550" s="228"/>
      <c r="BN550" s="228"/>
      <c r="BO550" s="228"/>
      <c r="BP550" s="228"/>
      <c r="BQ550" s="228"/>
      <c r="BR550" s="228"/>
      <c r="BS550" s="228"/>
      <c r="BT550" s="228"/>
      <c r="BU550" s="228"/>
      <c r="BV550" s="228"/>
      <c r="BW550" s="228"/>
      <c r="BX550" s="228"/>
      <c r="BY550" s="228"/>
      <c r="BZ550" s="228"/>
      <c r="CA550" s="228"/>
      <c r="CB550" s="228"/>
      <c r="CC550" s="228"/>
      <c r="CD550" s="228"/>
      <c r="CE550" s="228"/>
      <c r="CF550" s="228"/>
      <c r="CG550" s="228"/>
      <c r="CH550" s="228"/>
      <c r="CI550" s="228"/>
      <c r="CJ550" s="228"/>
      <c r="CK550" s="228"/>
      <c r="CL550" s="228"/>
      <c r="CM550" s="228"/>
      <c r="CN550" s="228"/>
      <c r="CO550" s="228"/>
      <c r="CP550" s="228"/>
      <c r="CQ550" s="228"/>
      <c r="CR550" s="228"/>
      <c r="CS550" s="228"/>
      <c r="CT550" s="228"/>
      <c r="CU550" s="228"/>
      <c r="CV550" s="228"/>
      <c r="CW550" s="228"/>
      <c r="CX550" s="228"/>
      <c r="CY550" s="228"/>
      <c r="CZ550" s="228"/>
      <c r="DA550" s="228"/>
      <c r="DB550" s="228"/>
      <c r="DC550" s="228"/>
      <c r="DD550" s="228"/>
      <c r="DE550" s="228"/>
      <c r="DF550" s="228"/>
      <c r="DG550" s="228"/>
      <c r="DH550" s="228"/>
      <c r="DI550" s="228"/>
      <c r="DJ550" s="228"/>
      <c r="DK550" s="228"/>
      <c r="DL550" s="228"/>
      <c r="DM550" s="228"/>
      <c r="DN550" s="228"/>
      <c r="DO550" s="228"/>
      <c r="DP550" s="228"/>
      <c r="DQ550" s="228"/>
      <c r="DR550" s="228"/>
      <c r="DS550" s="228"/>
      <c r="DT550" s="228"/>
      <c r="DU550" s="228"/>
      <c r="DV550" s="228"/>
      <c r="DW550" s="228"/>
      <c r="DX550" s="228"/>
      <c r="DY550" s="228"/>
      <c r="DZ550" s="228"/>
      <c r="EA550" s="228"/>
      <c r="EB550" s="228"/>
      <c r="EC550" s="228"/>
      <c r="ED550" s="228"/>
      <c r="EE550" s="228"/>
      <c r="EF550" s="228"/>
      <c r="EG550" s="228"/>
      <c r="EH550" s="228"/>
      <c r="EI550" s="228"/>
      <c r="EJ550" s="228"/>
      <c r="EK550" s="228"/>
      <c r="EL550" s="228"/>
      <c r="EM550" s="228"/>
      <c r="EN550" s="228"/>
      <c r="EO550" s="228"/>
      <c r="EP550" s="228"/>
      <c r="EQ550" s="228"/>
      <c r="ER550" s="228"/>
      <c r="ES550" s="228"/>
      <c r="ET550" s="228"/>
      <c r="EU550" s="228"/>
      <c r="EV550" s="228"/>
      <c r="EW550" s="228"/>
      <c r="EX550" s="228"/>
      <c r="EY550" s="228"/>
      <c r="EZ550" s="228"/>
      <c r="FA550" s="228"/>
      <c r="FB550" s="228"/>
      <c r="FC550" s="228"/>
      <c r="FD550" s="228"/>
      <c r="FE550" s="228"/>
      <c r="FF550" s="228"/>
      <c r="FG550" s="228"/>
      <c r="FH550" s="228"/>
      <c r="FI550" s="228"/>
      <c r="FJ550" s="228"/>
      <c r="FK550" s="228"/>
      <c r="FL550" s="228"/>
      <c r="FM550" s="228"/>
      <c r="FN550" s="228"/>
      <c r="FO550" s="228"/>
      <c r="FP550" s="228"/>
      <c r="FQ550" s="228"/>
      <c r="FR550" s="228"/>
      <c r="FS550" s="228"/>
      <c r="FT550" s="228"/>
      <c r="FU550" s="228"/>
      <c r="FV550" s="228"/>
      <c r="FW550" s="228"/>
      <c r="FX550" s="228"/>
      <c r="FY550" s="228"/>
      <c r="FZ550" s="228"/>
      <c r="GA550" s="228"/>
      <c r="GB550" s="228"/>
      <c r="GC550" s="228"/>
      <c r="GD550" s="228"/>
      <c r="GE550" s="228"/>
      <c r="GF550" s="228"/>
      <c r="GG550" s="228"/>
      <c r="GH550" s="228"/>
      <c r="GI550" s="228"/>
      <c r="GJ550" s="228"/>
      <c r="GK550" s="228"/>
      <c r="GL550" s="228"/>
      <c r="GM550" s="228"/>
      <c r="GN550" s="228"/>
      <c r="GO550" s="228"/>
      <c r="GP550" s="228"/>
      <c r="GQ550" s="228"/>
      <c r="GR550" s="228"/>
      <c r="GS550" s="228"/>
      <c r="GT550" s="228"/>
      <c r="GU550" s="228"/>
      <c r="GV550" s="228"/>
      <c r="GW550" s="228"/>
      <c r="GX550" s="228"/>
      <c r="GY550" s="228"/>
      <c r="GZ550" s="228"/>
      <c r="HA550" s="228"/>
      <c r="HB550" s="228"/>
      <c r="HC550" s="228"/>
      <c r="HD550" s="228"/>
      <c r="HE550" s="228"/>
      <c r="HF550" s="228"/>
      <c r="HG550" s="228"/>
      <c r="HH550" s="228"/>
      <c r="HI550" s="228"/>
      <c r="HJ550" s="228"/>
      <c r="HK550" s="228"/>
      <c r="HL550" s="228"/>
      <c r="HM550" s="228"/>
      <c r="HN550" s="228"/>
      <c r="HO550" s="228"/>
      <c r="HP550" s="228"/>
      <c r="HQ550" s="228"/>
      <c r="HR550" s="228"/>
      <c r="HS550" s="228"/>
      <c r="HT550" s="228"/>
      <c r="HU550" s="228"/>
      <c r="HV550" s="228"/>
      <c r="HW550" s="228"/>
      <c r="HX550" s="228"/>
      <c r="HY550" s="228"/>
      <c r="HZ550" s="228"/>
      <c r="IA550" s="228"/>
      <c r="IB550" s="228"/>
      <c r="IC550" s="228"/>
      <c r="ID550" s="228"/>
      <c r="IE550" s="228"/>
      <c r="IF550" s="228"/>
      <c r="IG550" s="228"/>
      <c r="IH550" s="228"/>
      <c r="II550" s="228"/>
      <c r="IJ550" s="228"/>
      <c r="IK550" s="228"/>
      <c r="IL550" s="228"/>
      <c r="IM550" s="228"/>
      <c r="IN550" s="228"/>
    </row>
    <row r="551" spans="1:248" s="230" customFormat="1">
      <c r="A551" s="1595"/>
      <c r="B551" s="1600"/>
      <c r="C551" s="1600"/>
      <c r="D551" s="1600"/>
      <c r="E551" s="1600"/>
      <c r="G551" s="234"/>
      <c r="H551" s="228"/>
      <c r="I551" s="228"/>
      <c r="J551" s="228"/>
      <c r="K551" s="228"/>
      <c r="L551" s="228"/>
      <c r="M551" s="228"/>
      <c r="N551" s="228"/>
      <c r="O551" s="228"/>
      <c r="P551" s="228"/>
      <c r="Q551" s="228"/>
      <c r="R551" s="228"/>
      <c r="S551" s="228"/>
      <c r="T551" s="228"/>
      <c r="U551" s="228"/>
      <c r="V551" s="228"/>
      <c r="W551" s="228"/>
      <c r="X551" s="228"/>
      <c r="Y551" s="228"/>
      <c r="Z551" s="228"/>
      <c r="AA551" s="228"/>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228"/>
      <c r="BE551" s="228"/>
      <c r="BF551" s="228"/>
      <c r="BG551" s="228"/>
      <c r="BH551" s="228"/>
      <c r="BI551" s="228"/>
      <c r="BJ551" s="228"/>
      <c r="BK551" s="228"/>
      <c r="BL551" s="228"/>
      <c r="BM551" s="228"/>
      <c r="BN551" s="228"/>
      <c r="BO551" s="228"/>
      <c r="BP551" s="228"/>
      <c r="BQ551" s="228"/>
      <c r="BR551" s="228"/>
      <c r="BS551" s="228"/>
      <c r="BT551" s="228"/>
      <c r="BU551" s="228"/>
      <c r="BV551" s="228"/>
      <c r="BW551" s="228"/>
      <c r="BX551" s="228"/>
      <c r="BY551" s="228"/>
      <c r="BZ551" s="228"/>
      <c r="CA551" s="228"/>
      <c r="CB551" s="228"/>
      <c r="CC551" s="228"/>
      <c r="CD551" s="228"/>
      <c r="CE551" s="228"/>
      <c r="CF551" s="228"/>
      <c r="CG551" s="228"/>
      <c r="CH551" s="228"/>
      <c r="CI551" s="228"/>
      <c r="CJ551" s="228"/>
      <c r="CK551" s="228"/>
      <c r="CL551" s="228"/>
      <c r="CM551" s="228"/>
      <c r="CN551" s="228"/>
      <c r="CO551" s="228"/>
      <c r="CP551" s="228"/>
      <c r="CQ551" s="228"/>
      <c r="CR551" s="228"/>
      <c r="CS551" s="228"/>
      <c r="CT551" s="228"/>
      <c r="CU551" s="228"/>
      <c r="CV551" s="228"/>
      <c r="CW551" s="228"/>
      <c r="CX551" s="228"/>
      <c r="CY551" s="228"/>
      <c r="CZ551" s="228"/>
      <c r="DA551" s="228"/>
      <c r="DB551" s="228"/>
      <c r="DC551" s="228"/>
      <c r="DD551" s="228"/>
      <c r="DE551" s="228"/>
      <c r="DF551" s="228"/>
      <c r="DG551" s="228"/>
      <c r="DH551" s="228"/>
      <c r="DI551" s="228"/>
      <c r="DJ551" s="228"/>
      <c r="DK551" s="228"/>
      <c r="DL551" s="228"/>
      <c r="DM551" s="228"/>
      <c r="DN551" s="228"/>
      <c r="DO551" s="228"/>
      <c r="DP551" s="228"/>
      <c r="DQ551" s="228"/>
      <c r="DR551" s="228"/>
      <c r="DS551" s="228"/>
      <c r="DT551" s="228"/>
      <c r="DU551" s="228"/>
      <c r="DV551" s="228"/>
      <c r="DW551" s="228"/>
      <c r="DX551" s="228"/>
      <c r="DY551" s="228"/>
      <c r="DZ551" s="228"/>
      <c r="EA551" s="228"/>
      <c r="EB551" s="228"/>
      <c r="EC551" s="228"/>
      <c r="ED551" s="228"/>
      <c r="EE551" s="228"/>
      <c r="EF551" s="228"/>
      <c r="EG551" s="228"/>
      <c r="EH551" s="228"/>
      <c r="EI551" s="228"/>
      <c r="EJ551" s="228"/>
      <c r="EK551" s="228"/>
      <c r="EL551" s="228"/>
      <c r="EM551" s="228"/>
      <c r="EN551" s="228"/>
      <c r="EO551" s="228"/>
      <c r="EP551" s="228"/>
      <c r="EQ551" s="228"/>
      <c r="ER551" s="228"/>
      <c r="ES551" s="228"/>
      <c r="ET551" s="228"/>
      <c r="EU551" s="228"/>
      <c r="EV551" s="228"/>
      <c r="EW551" s="228"/>
      <c r="EX551" s="228"/>
      <c r="EY551" s="228"/>
      <c r="EZ551" s="228"/>
      <c r="FA551" s="228"/>
      <c r="FB551" s="228"/>
      <c r="FC551" s="228"/>
      <c r="FD551" s="228"/>
      <c r="FE551" s="228"/>
      <c r="FF551" s="228"/>
      <c r="FG551" s="228"/>
      <c r="FH551" s="228"/>
      <c r="FI551" s="228"/>
      <c r="FJ551" s="228"/>
      <c r="FK551" s="228"/>
      <c r="FL551" s="228"/>
      <c r="FM551" s="228"/>
      <c r="FN551" s="228"/>
      <c r="FO551" s="228"/>
      <c r="FP551" s="228"/>
      <c r="FQ551" s="228"/>
      <c r="FR551" s="228"/>
      <c r="FS551" s="228"/>
      <c r="FT551" s="228"/>
      <c r="FU551" s="228"/>
      <c r="FV551" s="228"/>
      <c r="FW551" s="228"/>
      <c r="FX551" s="228"/>
      <c r="FY551" s="228"/>
      <c r="FZ551" s="228"/>
      <c r="GA551" s="228"/>
      <c r="GB551" s="228"/>
      <c r="GC551" s="228"/>
      <c r="GD551" s="228"/>
      <c r="GE551" s="228"/>
      <c r="GF551" s="228"/>
      <c r="GG551" s="228"/>
      <c r="GH551" s="228"/>
      <c r="GI551" s="228"/>
      <c r="GJ551" s="228"/>
      <c r="GK551" s="228"/>
      <c r="GL551" s="228"/>
      <c r="GM551" s="228"/>
      <c r="GN551" s="228"/>
      <c r="GO551" s="228"/>
      <c r="GP551" s="228"/>
      <c r="GQ551" s="228"/>
      <c r="GR551" s="228"/>
      <c r="GS551" s="228"/>
      <c r="GT551" s="228"/>
      <c r="GU551" s="228"/>
      <c r="GV551" s="228"/>
      <c r="GW551" s="228"/>
      <c r="GX551" s="228"/>
      <c r="GY551" s="228"/>
      <c r="GZ551" s="228"/>
      <c r="HA551" s="228"/>
      <c r="HB551" s="228"/>
      <c r="HC551" s="228"/>
      <c r="HD551" s="228"/>
      <c r="HE551" s="228"/>
      <c r="HF551" s="228"/>
      <c r="HG551" s="228"/>
      <c r="HH551" s="228"/>
      <c r="HI551" s="228"/>
      <c r="HJ551" s="228"/>
      <c r="HK551" s="228"/>
      <c r="HL551" s="228"/>
      <c r="HM551" s="228"/>
      <c r="HN551" s="228"/>
      <c r="HO551" s="228"/>
      <c r="HP551" s="228"/>
      <c r="HQ551" s="228"/>
      <c r="HR551" s="228"/>
      <c r="HS551" s="228"/>
      <c r="HT551" s="228"/>
      <c r="HU551" s="228"/>
      <c r="HV551" s="228"/>
      <c r="HW551" s="228"/>
      <c r="HX551" s="228"/>
      <c r="HY551" s="228"/>
      <c r="HZ551" s="228"/>
      <c r="IA551" s="228"/>
      <c r="IB551" s="228"/>
      <c r="IC551" s="228"/>
      <c r="ID551" s="228"/>
      <c r="IE551" s="228"/>
      <c r="IF551" s="228"/>
      <c r="IG551" s="228"/>
      <c r="IH551" s="228"/>
      <c r="II551" s="228"/>
      <c r="IJ551" s="228"/>
      <c r="IK551" s="228"/>
      <c r="IL551" s="228"/>
      <c r="IM551" s="228"/>
      <c r="IN551" s="228"/>
    </row>
    <row r="552" spans="1:248" s="230" customFormat="1">
      <c r="A552" s="1595"/>
      <c r="B552" s="1600"/>
      <c r="C552" s="1600"/>
      <c r="D552" s="1600"/>
      <c r="E552" s="1600"/>
      <c r="G552" s="234"/>
      <c r="H552" s="228"/>
      <c r="I552" s="228"/>
      <c r="J552" s="228"/>
      <c r="K552" s="228"/>
      <c r="L552" s="228"/>
      <c r="M552" s="228"/>
      <c r="N552" s="228"/>
      <c r="O552" s="228"/>
      <c r="P552" s="228"/>
      <c r="Q552" s="228"/>
      <c r="R552" s="228"/>
      <c r="S552" s="228"/>
      <c r="T552" s="228"/>
      <c r="U552" s="228"/>
      <c r="V552" s="228"/>
      <c r="W552" s="228"/>
      <c r="X552" s="228"/>
      <c r="Y552" s="228"/>
      <c r="Z552" s="228"/>
      <c r="AA552" s="228"/>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228"/>
      <c r="BE552" s="228"/>
      <c r="BF552" s="228"/>
      <c r="BG552" s="228"/>
      <c r="BH552" s="228"/>
      <c r="BI552" s="228"/>
      <c r="BJ552" s="228"/>
      <c r="BK552" s="228"/>
      <c r="BL552" s="228"/>
      <c r="BM552" s="228"/>
      <c r="BN552" s="228"/>
      <c r="BO552" s="228"/>
      <c r="BP552" s="228"/>
      <c r="BQ552" s="228"/>
      <c r="BR552" s="228"/>
      <c r="BS552" s="228"/>
      <c r="BT552" s="228"/>
      <c r="BU552" s="228"/>
      <c r="BV552" s="228"/>
      <c r="BW552" s="228"/>
      <c r="BX552" s="228"/>
      <c r="BY552" s="228"/>
      <c r="BZ552" s="228"/>
      <c r="CA552" s="228"/>
      <c r="CB552" s="228"/>
      <c r="CC552" s="228"/>
      <c r="CD552" s="228"/>
      <c r="CE552" s="228"/>
      <c r="CF552" s="228"/>
      <c r="CG552" s="228"/>
      <c r="CH552" s="228"/>
      <c r="CI552" s="228"/>
      <c r="CJ552" s="228"/>
      <c r="CK552" s="228"/>
      <c r="CL552" s="228"/>
      <c r="CM552" s="228"/>
      <c r="CN552" s="228"/>
      <c r="CO552" s="228"/>
      <c r="CP552" s="228"/>
      <c r="CQ552" s="228"/>
      <c r="CR552" s="228"/>
      <c r="CS552" s="228"/>
      <c r="CT552" s="228"/>
      <c r="CU552" s="228"/>
      <c r="CV552" s="228"/>
      <c r="CW552" s="228"/>
      <c r="CX552" s="228"/>
      <c r="CY552" s="228"/>
      <c r="CZ552" s="228"/>
      <c r="DA552" s="228"/>
      <c r="DB552" s="228"/>
      <c r="DC552" s="228"/>
      <c r="DD552" s="228"/>
      <c r="DE552" s="228"/>
      <c r="DF552" s="228"/>
      <c r="DG552" s="228"/>
      <c r="DH552" s="228"/>
      <c r="DI552" s="228"/>
      <c r="DJ552" s="228"/>
      <c r="DK552" s="228"/>
      <c r="DL552" s="228"/>
      <c r="DM552" s="228"/>
      <c r="DN552" s="228"/>
      <c r="DO552" s="228"/>
      <c r="DP552" s="228"/>
      <c r="DQ552" s="228"/>
      <c r="DR552" s="228"/>
      <c r="DS552" s="228"/>
      <c r="DT552" s="228"/>
      <c r="DU552" s="228"/>
      <c r="DV552" s="228"/>
      <c r="DW552" s="228"/>
      <c r="DX552" s="228"/>
      <c r="DY552" s="228"/>
      <c r="DZ552" s="228"/>
      <c r="EA552" s="228"/>
      <c r="EB552" s="228"/>
      <c r="EC552" s="228"/>
      <c r="ED552" s="228"/>
      <c r="EE552" s="228"/>
      <c r="EF552" s="228"/>
      <c r="EG552" s="228"/>
      <c r="EH552" s="228"/>
      <c r="EI552" s="228"/>
      <c r="EJ552" s="228"/>
      <c r="EK552" s="228"/>
      <c r="EL552" s="228"/>
      <c r="EM552" s="228"/>
      <c r="EN552" s="228"/>
      <c r="EO552" s="228"/>
      <c r="EP552" s="228"/>
      <c r="EQ552" s="228"/>
      <c r="ER552" s="228"/>
      <c r="ES552" s="228"/>
      <c r="ET552" s="228"/>
      <c r="EU552" s="228"/>
      <c r="EV552" s="228"/>
      <c r="EW552" s="228"/>
      <c r="EX552" s="228"/>
      <c r="EY552" s="228"/>
      <c r="EZ552" s="228"/>
      <c r="FA552" s="228"/>
      <c r="FB552" s="228"/>
      <c r="FC552" s="228"/>
      <c r="FD552" s="228"/>
      <c r="FE552" s="228"/>
      <c r="FF552" s="228"/>
      <c r="FG552" s="228"/>
      <c r="FH552" s="228"/>
      <c r="FI552" s="228"/>
      <c r="FJ552" s="228"/>
      <c r="FK552" s="228"/>
      <c r="FL552" s="228"/>
      <c r="FM552" s="228"/>
      <c r="FN552" s="228"/>
      <c r="FO552" s="228"/>
      <c r="FP552" s="228"/>
      <c r="FQ552" s="228"/>
      <c r="FR552" s="228"/>
      <c r="FS552" s="228"/>
      <c r="FT552" s="228"/>
      <c r="FU552" s="228"/>
      <c r="FV552" s="228"/>
      <c r="FW552" s="228"/>
      <c r="FX552" s="228"/>
      <c r="FY552" s="228"/>
      <c r="FZ552" s="228"/>
      <c r="GA552" s="228"/>
      <c r="GB552" s="228"/>
      <c r="GC552" s="228"/>
      <c r="GD552" s="228"/>
      <c r="GE552" s="228"/>
      <c r="GF552" s="228"/>
      <c r="GG552" s="228"/>
      <c r="GH552" s="228"/>
      <c r="GI552" s="228"/>
      <c r="GJ552" s="228"/>
      <c r="GK552" s="228"/>
      <c r="GL552" s="228"/>
      <c r="GM552" s="228"/>
      <c r="GN552" s="228"/>
      <c r="GO552" s="228"/>
      <c r="GP552" s="228"/>
      <c r="GQ552" s="228"/>
      <c r="GR552" s="228"/>
      <c r="GS552" s="228"/>
      <c r="GT552" s="228"/>
      <c r="GU552" s="228"/>
      <c r="GV552" s="228"/>
      <c r="GW552" s="228"/>
      <c r="GX552" s="228"/>
      <c r="GY552" s="228"/>
      <c r="GZ552" s="228"/>
      <c r="HA552" s="228"/>
      <c r="HB552" s="228"/>
      <c r="HC552" s="228"/>
      <c r="HD552" s="228"/>
      <c r="HE552" s="228"/>
      <c r="HF552" s="228"/>
      <c r="HG552" s="228"/>
      <c r="HH552" s="228"/>
      <c r="HI552" s="228"/>
      <c r="HJ552" s="228"/>
      <c r="HK552" s="228"/>
      <c r="HL552" s="228"/>
      <c r="HM552" s="228"/>
      <c r="HN552" s="228"/>
      <c r="HO552" s="228"/>
      <c r="HP552" s="228"/>
      <c r="HQ552" s="228"/>
      <c r="HR552" s="228"/>
      <c r="HS552" s="228"/>
      <c r="HT552" s="228"/>
      <c r="HU552" s="228"/>
      <c r="HV552" s="228"/>
      <c r="HW552" s="228"/>
      <c r="HX552" s="228"/>
      <c r="HY552" s="228"/>
      <c r="HZ552" s="228"/>
      <c r="IA552" s="228"/>
      <c r="IB552" s="228"/>
      <c r="IC552" s="228"/>
      <c r="ID552" s="228"/>
      <c r="IE552" s="228"/>
      <c r="IF552" s="228"/>
      <c r="IG552" s="228"/>
      <c r="IH552" s="228"/>
      <c r="II552" s="228"/>
      <c r="IJ552" s="228"/>
      <c r="IK552" s="228"/>
      <c r="IL552" s="228"/>
      <c r="IM552" s="228"/>
      <c r="IN552" s="228"/>
    </row>
    <row r="553" spans="1:248" s="230" customFormat="1">
      <c r="A553" s="1595"/>
      <c r="B553" s="1600"/>
      <c r="C553" s="1600"/>
      <c r="D553" s="1600"/>
      <c r="E553" s="1600"/>
      <c r="G553" s="234"/>
      <c r="H553" s="228"/>
      <c r="I553" s="228"/>
      <c r="J553" s="228"/>
      <c r="K553" s="228"/>
      <c r="L553" s="228"/>
      <c r="M553" s="228"/>
      <c r="N553" s="228"/>
      <c r="O553" s="228"/>
      <c r="P553" s="228"/>
      <c r="Q553" s="228"/>
      <c r="R553" s="228"/>
      <c r="S553" s="228"/>
      <c r="T553" s="228"/>
      <c r="U553" s="228"/>
      <c r="V553" s="228"/>
      <c r="W553" s="228"/>
      <c r="X553" s="228"/>
      <c r="Y553" s="228"/>
      <c r="Z553" s="228"/>
      <c r="AA553" s="228"/>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228"/>
      <c r="BE553" s="228"/>
      <c r="BF553" s="228"/>
      <c r="BG553" s="228"/>
      <c r="BH553" s="228"/>
      <c r="BI553" s="228"/>
      <c r="BJ553" s="228"/>
      <c r="BK553" s="228"/>
      <c r="BL553" s="228"/>
      <c r="BM553" s="228"/>
      <c r="BN553" s="228"/>
      <c r="BO553" s="228"/>
      <c r="BP553" s="228"/>
      <c r="BQ553" s="228"/>
      <c r="BR553" s="228"/>
      <c r="BS553" s="228"/>
      <c r="BT553" s="228"/>
      <c r="BU553" s="228"/>
      <c r="BV553" s="228"/>
      <c r="BW553" s="228"/>
      <c r="BX553" s="228"/>
      <c r="BY553" s="228"/>
      <c r="BZ553" s="228"/>
      <c r="CA553" s="228"/>
      <c r="CB553" s="228"/>
      <c r="CC553" s="228"/>
      <c r="CD553" s="228"/>
      <c r="CE553" s="228"/>
      <c r="CF553" s="228"/>
      <c r="CG553" s="228"/>
      <c r="CH553" s="228"/>
      <c r="CI553" s="228"/>
      <c r="CJ553" s="228"/>
      <c r="CK553" s="228"/>
      <c r="CL553" s="228"/>
      <c r="CM553" s="228"/>
      <c r="CN553" s="228"/>
      <c r="CO553" s="228"/>
      <c r="CP553" s="228"/>
      <c r="CQ553" s="228"/>
      <c r="CR553" s="228"/>
      <c r="CS553" s="228"/>
      <c r="CT553" s="228"/>
      <c r="CU553" s="228"/>
      <c r="CV553" s="228"/>
      <c r="CW553" s="228"/>
      <c r="CX553" s="228"/>
      <c r="CY553" s="228"/>
      <c r="CZ553" s="228"/>
      <c r="DA553" s="228"/>
      <c r="DB553" s="228"/>
      <c r="DC553" s="228"/>
      <c r="DD553" s="228"/>
      <c r="DE553" s="228"/>
      <c r="DF553" s="228"/>
      <c r="DG553" s="228"/>
      <c r="DH553" s="228"/>
      <c r="DI553" s="228"/>
      <c r="DJ553" s="228"/>
      <c r="DK553" s="228"/>
      <c r="DL553" s="228"/>
      <c r="DM553" s="228"/>
      <c r="DN553" s="228"/>
      <c r="DO553" s="228"/>
      <c r="DP553" s="228"/>
      <c r="DQ553" s="228"/>
      <c r="DR553" s="228"/>
      <c r="DS553" s="228"/>
      <c r="DT553" s="228"/>
      <c r="DU553" s="228"/>
      <c r="DV553" s="228"/>
      <c r="DW553" s="228"/>
      <c r="DX553" s="228"/>
      <c r="DY553" s="228"/>
      <c r="DZ553" s="228"/>
      <c r="EA553" s="228"/>
      <c r="EB553" s="228"/>
      <c r="EC553" s="228"/>
      <c r="ED553" s="228"/>
      <c r="EE553" s="228"/>
      <c r="EF553" s="228"/>
      <c r="EG553" s="228"/>
      <c r="EH553" s="228"/>
      <c r="EI553" s="228"/>
      <c r="EJ553" s="228"/>
      <c r="EK553" s="228"/>
      <c r="EL553" s="228"/>
      <c r="EM553" s="228"/>
      <c r="EN553" s="228"/>
      <c r="EO553" s="228"/>
      <c r="EP553" s="228"/>
      <c r="EQ553" s="228"/>
      <c r="ER553" s="228"/>
      <c r="ES553" s="228"/>
      <c r="ET553" s="228"/>
      <c r="EU553" s="228"/>
      <c r="EV553" s="228"/>
      <c r="EW553" s="228"/>
      <c r="EX553" s="228"/>
      <c r="EY553" s="228"/>
      <c r="EZ553" s="228"/>
      <c r="FA553" s="228"/>
      <c r="FB553" s="228"/>
      <c r="FC553" s="228"/>
      <c r="FD553" s="228"/>
      <c r="FE553" s="228"/>
      <c r="FF553" s="228"/>
      <c r="FG553" s="228"/>
      <c r="FH553" s="228"/>
      <c r="FI553" s="228"/>
      <c r="FJ553" s="228"/>
      <c r="FK553" s="228"/>
      <c r="FL553" s="228"/>
      <c r="FM553" s="228"/>
      <c r="FN553" s="228"/>
      <c r="FO553" s="228"/>
      <c r="FP553" s="228"/>
      <c r="FQ553" s="228"/>
      <c r="FR553" s="228"/>
      <c r="FS553" s="228"/>
      <c r="FT553" s="228"/>
      <c r="FU553" s="228"/>
      <c r="FV553" s="228"/>
      <c r="FW553" s="228"/>
      <c r="FX553" s="228"/>
      <c r="FY553" s="228"/>
      <c r="FZ553" s="228"/>
      <c r="GA553" s="228"/>
      <c r="GB553" s="228"/>
      <c r="GC553" s="228"/>
      <c r="GD553" s="228"/>
      <c r="GE553" s="228"/>
      <c r="GF553" s="228"/>
      <c r="GG553" s="228"/>
      <c r="GH553" s="228"/>
      <c r="GI553" s="228"/>
      <c r="GJ553" s="228"/>
      <c r="GK553" s="228"/>
      <c r="GL553" s="228"/>
      <c r="GM553" s="228"/>
      <c r="GN553" s="228"/>
      <c r="GO553" s="228"/>
      <c r="GP553" s="228"/>
      <c r="GQ553" s="228"/>
      <c r="GR553" s="228"/>
      <c r="GS553" s="228"/>
      <c r="GT553" s="228"/>
      <c r="GU553" s="228"/>
      <c r="GV553" s="228"/>
      <c r="GW553" s="228"/>
      <c r="GX553" s="228"/>
      <c r="GY553" s="228"/>
      <c r="GZ553" s="228"/>
      <c r="HA553" s="228"/>
      <c r="HB553" s="228"/>
      <c r="HC553" s="228"/>
      <c r="HD553" s="228"/>
      <c r="HE553" s="228"/>
      <c r="HF553" s="228"/>
      <c r="HG553" s="228"/>
      <c r="HH553" s="228"/>
      <c r="HI553" s="228"/>
      <c r="HJ553" s="228"/>
      <c r="HK553" s="228"/>
      <c r="HL553" s="228"/>
      <c r="HM553" s="228"/>
      <c r="HN553" s="228"/>
      <c r="HO553" s="228"/>
      <c r="HP553" s="228"/>
      <c r="HQ553" s="228"/>
      <c r="HR553" s="228"/>
      <c r="HS553" s="228"/>
      <c r="HT553" s="228"/>
      <c r="HU553" s="228"/>
      <c r="HV553" s="228"/>
      <c r="HW553" s="228"/>
      <c r="HX553" s="228"/>
      <c r="HY553" s="228"/>
      <c r="HZ553" s="228"/>
      <c r="IA553" s="228"/>
      <c r="IB553" s="228"/>
      <c r="IC553" s="228"/>
      <c r="ID553" s="228"/>
      <c r="IE553" s="228"/>
      <c r="IF553" s="228"/>
      <c r="IG553" s="228"/>
      <c r="IH553" s="228"/>
      <c r="II553" s="228"/>
      <c r="IJ553" s="228"/>
      <c r="IK553" s="228"/>
      <c r="IL553" s="228"/>
      <c r="IM553" s="228"/>
      <c r="IN553" s="228"/>
    </row>
    <row r="555" spans="1:248" s="230" customFormat="1">
      <c r="A555" s="1595"/>
      <c r="B555" s="1600"/>
      <c r="C555" s="1600"/>
      <c r="D555" s="1600"/>
      <c r="E555" s="1600"/>
      <c r="G555" s="234"/>
      <c r="H555" s="228"/>
      <c r="I555" s="228"/>
      <c r="J555" s="228"/>
      <c r="K555" s="228"/>
      <c r="L555" s="228"/>
      <c r="M555" s="228"/>
      <c r="N555" s="228"/>
      <c r="O555" s="228"/>
      <c r="P555" s="228"/>
      <c r="Q555" s="228"/>
      <c r="R555" s="228"/>
      <c r="S555" s="228"/>
      <c r="T555" s="228"/>
      <c r="U555" s="228"/>
      <c r="V555" s="228"/>
      <c r="W555" s="228"/>
      <c r="X555" s="228"/>
      <c r="Y555" s="228"/>
      <c r="Z555" s="228"/>
      <c r="AA555" s="228"/>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228"/>
      <c r="BE555" s="228"/>
      <c r="BF555" s="228"/>
      <c r="BG555" s="228"/>
      <c r="BH555" s="228"/>
      <c r="BI555" s="228"/>
      <c r="BJ555" s="228"/>
      <c r="BK555" s="228"/>
      <c r="BL555" s="228"/>
      <c r="BM555" s="228"/>
      <c r="BN555" s="228"/>
      <c r="BO555" s="228"/>
      <c r="BP555" s="228"/>
      <c r="BQ555" s="228"/>
      <c r="BR555" s="228"/>
      <c r="BS555" s="228"/>
      <c r="BT555" s="228"/>
      <c r="BU555" s="228"/>
      <c r="BV555" s="228"/>
      <c r="BW555" s="228"/>
      <c r="BX555" s="228"/>
      <c r="BY555" s="228"/>
      <c r="BZ555" s="228"/>
      <c r="CA555" s="228"/>
      <c r="CB555" s="228"/>
      <c r="CC555" s="228"/>
      <c r="CD555" s="228"/>
      <c r="CE555" s="228"/>
      <c r="CF555" s="228"/>
      <c r="CG555" s="228"/>
      <c r="CH555" s="228"/>
      <c r="CI555" s="228"/>
      <c r="CJ555" s="228"/>
      <c r="CK555" s="228"/>
      <c r="CL555" s="228"/>
      <c r="CM555" s="228"/>
      <c r="CN555" s="228"/>
      <c r="CO555" s="228"/>
      <c r="CP555" s="228"/>
      <c r="CQ555" s="228"/>
      <c r="CR555" s="228"/>
      <c r="CS555" s="228"/>
      <c r="CT555" s="228"/>
      <c r="CU555" s="228"/>
      <c r="CV555" s="228"/>
      <c r="CW555" s="228"/>
      <c r="CX555" s="228"/>
      <c r="CY555" s="228"/>
      <c r="CZ555" s="228"/>
      <c r="DA555" s="228"/>
      <c r="DB555" s="228"/>
      <c r="DC555" s="228"/>
      <c r="DD555" s="228"/>
      <c r="DE555" s="228"/>
      <c r="DF555" s="228"/>
      <c r="DG555" s="228"/>
      <c r="DH555" s="228"/>
      <c r="DI555" s="228"/>
      <c r="DJ555" s="228"/>
      <c r="DK555" s="228"/>
      <c r="DL555" s="228"/>
      <c r="DM555" s="228"/>
      <c r="DN555" s="228"/>
      <c r="DO555" s="228"/>
      <c r="DP555" s="228"/>
      <c r="DQ555" s="228"/>
      <c r="DR555" s="228"/>
      <c r="DS555" s="228"/>
      <c r="DT555" s="228"/>
      <c r="DU555" s="228"/>
      <c r="DV555" s="228"/>
      <c r="DW555" s="228"/>
      <c r="DX555" s="228"/>
      <c r="DY555" s="228"/>
      <c r="DZ555" s="228"/>
      <c r="EA555" s="228"/>
      <c r="EB555" s="228"/>
      <c r="EC555" s="228"/>
      <c r="ED555" s="228"/>
      <c r="EE555" s="228"/>
      <c r="EF555" s="228"/>
      <c r="EG555" s="228"/>
      <c r="EH555" s="228"/>
      <c r="EI555" s="228"/>
      <c r="EJ555" s="228"/>
      <c r="EK555" s="228"/>
      <c r="EL555" s="228"/>
      <c r="EM555" s="228"/>
      <c r="EN555" s="228"/>
      <c r="EO555" s="228"/>
      <c r="EP555" s="228"/>
      <c r="EQ555" s="228"/>
      <c r="ER555" s="228"/>
      <c r="ES555" s="228"/>
      <c r="ET555" s="228"/>
      <c r="EU555" s="228"/>
      <c r="EV555" s="228"/>
      <c r="EW555" s="228"/>
      <c r="EX555" s="228"/>
      <c r="EY555" s="228"/>
      <c r="EZ555" s="228"/>
      <c r="FA555" s="228"/>
      <c r="FB555" s="228"/>
      <c r="FC555" s="228"/>
      <c r="FD555" s="228"/>
      <c r="FE555" s="228"/>
      <c r="FF555" s="228"/>
      <c r="FG555" s="228"/>
      <c r="FH555" s="228"/>
      <c r="FI555" s="228"/>
      <c r="FJ555" s="228"/>
      <c r="FK555" s="228"/>
      <c r="FL555" s="228"/>
      <c r="FM555" s="228"/>
      <c r="FN555" s="228"/>
      <c r="FO555" s="228"/>
      <c r="FP555" s="228"/>
      <c r="FQ555" s="228"/>
      <c r="FR555" s="228"/>
      <c r="FS555" s="228"/>
      <c r="FT555" s="228"/>
      <c r="FU555" s="228"/>
      <c r="FV555" s="228"/>
      <c r="FW555" s="228"/>
      <c r="FX555" s="228"/>
      <c r="FY555" s="228"/>
      <c r="FZ555" s="228"/>
      <c r="GA555" s="228"/>
      <c r="GB555" s="228"/>
      <c r="GC555" s="228"/>
      <c r="GD555" s="228"/>
      <c r="GE555" s="228"/>
      <c r="GF555" s="228"/>
      <c r="GG555" s="228"/>
      <c r="GH555" s="228"/>
      <c r="GI555" s="228"/>
      <c r="GJ555" s="228"/>
      <c r="GK555" s="228"/>
      <c r="GL555" s="228"/>
      <c r="GM555" s="228"/>
      <c r="GN555" s="228"/>
      <c r="GO555" s="228"/>
      <c r="GP555" s="228"/>
      <c r="GQ555" s="228"/>
      <c r="GR555" s="228"/>
      <c r="GS555" s="228"/>
      <c r="GT555" s="228"/>
      <c r="GU555" s="228"/>
      <c r="GV555" s="228"/>
      <c r="GW555" s="228"/>
      <c r="GX555" s="228"/>
      <c r="GY555" s="228"/>
      <c r="GZ555" s="228"/>
      <c r="HA555" s="228"/>
      <c r="HB555" s="228"/>
      <c r="HC555" s="228"/>
      <c r="HD555" s="228"/>
      <c r="HE555" s="228"/>
      <c r="HF555" s="228"/>
      <c r="HG555" s="228"/>
      <c r="HH555" s="228"/>
      <c r="HI555" s="228"/>
      <c r="HJ555" s="228"/>
      <c r="HK555" s="228"/>
      <c r="HL555" s="228"/>
      <c r="HM555" s="228"/>
      <c r="HN555" s="228"/>
      <c r="HO555" s="228"/>
      <c r="HP555" s="228"/>
      <c r="HQ555" s="228"/>
      <c r="HR555" s="228"/>
      <c r="HS555" s="228"/>
      <c r="HT555" s="228"/>
      <c r="HU555" s="228"/>
      <c r="HV555" s="228"/>
      <c r="HW555" s="228"/>
      <c r="HX555" s="228"/>
      <c r="HY555" s="228"/>
      <c r="HZ555" s="228"/>
      <c r="IA555" s="228"/>
      <c r="IB555" s="228"/>
      <c r="IC555" s="228"/>
      <c r="ID555" s="228"/>
      <c r="IE555" s="228"/>
      <c r="IF555" s="228"/>
      <c r="IG555" s="228"/>
      <c r="IH555" s="228"/>
      <c r="II555" s="228"/>
      <c r="IJ555" s="228"/>
      <c r="IK555" s="228"/>
      <c r="IL555" s="228"/>
      <c r="IM555" s="228"/>
      <c r="IN555" s="228"/>
    </row>
    <row r="556" spans="1:248" s="230" customFormat="1">
      <c r="A556" s="1595"/>
      <c r="B556" s="1600"/>
      <c r="C556" s="1600"/>
      <c r="D556" s="1600"/>
      <c r="E556" s="1600"/>
      <c r="G556" s="234"/>
      <c r="H556" s="228"/>
      <c r="I556" s="228"/>
      <c r="J556" s="228"/>
      <c r="K556" s="228"/>
      <c r="L556" s="228"/>
      <c r="M556" s="228"/>
      <c r="N556" s="228"/>
      <c r="O556" s="228"/>
      <c r="P556" s="228"/>
      <c r="Q556" s="228"/>
      <c r="R556" s="228"/>
      <c r="S556" s="228"/>
      <c r="T556" s="228"/>
      <c r="U556" s="228"/>
      <c r="V556" s="228"/>
      <c r="W556" s="228"/>
      <c r="X556" s="228"/>
      <c r="Y556" s="228"/>
      <c r="Z556" s="228"/>
      <c r="AA556" s="228"/>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228"/>
      <c r="BE556" s="228"/>
      <c r="BF556" s="228"/>
      <c r="BG556" s="228"/>
      <c r="BH556" s="228"/>
      <c r="BI556" s="228"/>
      <c r="BJ556" s="228"/>
      <c r="BK556" s="228"/>
      <c r="BL556" s="228"/>
      <c r="BM556" s="228"/>
      <c r="BN556" s="228"/>
      <c r="BO556" s="228"/>
      <c r="BP556" s="228"/>
      <c r="BQ556" s="228"/>
      <c r="BR556" s="228"/>
      <c r="BS556" s="228"/>
      <c r="BT556" s="228"/>
      <c r="BU556" s="228"/>
      <c r="BV556" s="228"/>
      <c r="BW556" s="228"/>
      <c r="BX556" s="228"/>
      <c r="BY556" s="228"/>
      <c r="BZ556" s="228"/>
      <c r="CA556" s="228"/>
      <c r="CB556" s="228"/>
      <c r="CC556" s="228"/>
      <c r="CD556" s="228"/>
      <c r="CE556" s="228"/>
      <c r="CF556" s="228"/>
      <c r="CG556" s="228"/>
      <c r="CH556" s="228"/>
      <c r="CI556" s="228"/>
      <c r="CJ556" s="228"/>
      <c r="CK556" s="228"/>
      <c r="CL556" s="228"/>
      <c r="CM556" s="228"/>
      <c r="CN556" s="228"/>
      <c r="CO556" s="228"/>
      <c r="CP556" s="228"/>
      <c r="CQ556" s="228"/>
      <c r="CR556" s="228"/>
      <c r="CS556" s="228"/>
      <c r="CT556" s="228"/>
      <c r="CU556" s="228"/>
      <c r="CV556" s="228"/>
      <c r="CW556" s="228"/>
      <c r="CX556" s="228"/>
      <c r="CY556" s="228"/>
      <c r="CZ556" s="228"/>
      <c r="DA556" s="228"/>
      <c r="DB556" s="228"/>
      <c r="DC556" s="228"/>
      <c r="DD556" s="228"/>
      <c r="DE556" s="228"/>
      <c r="DF556" s="228"/>
      <c r="DG556" s="228"/>
      <c r="DH556" s="228"/>
      <c r="DI556" s="228"/>
      <c r="DJ556" s="228"/>
      <c r="DK556" s="228"/>
      <c r="DL556" s="228"/>
      <c r="DM556" s="228"/>
      <c r="DN556" s="228"/>
      <c r="DO556" s="228"/>
      <c r="DP556" s="228"/>
      <c r="DQ556" s="228"/>
      <c r="DR556" s="228"/>
      <c r="DS556" s="228"/>
      <c r="DT556" s="228"/>
      <c r="DU556" s="228"/>
      <c r="DV556" s="228"/>
      <c r="DW556" s="228"/>
      <c r="DX556" s="228"/>
      <c r="DY556" s="228"/>
      <c r="DZ556" s="228"/>
      <c r="EA556" s="228"/>
      <c r="EB556" s="228"/>
      <c r="EC556" s="228"/>
      <c r="ED556" s="228"/>
      <c r="EE556" s="228"/>
      <c r="EF556" s="228"/>
      <c r="EG556" s="228"/>
      <c r="EH556" s="228"/>
      <c r="EI556" s="228"/>
      <c r="EJ556" s="228"/>
      <c r="EK556" s="228"/>
      <c r="EL556" s="228"/>
      <c r="EM556" s="228"/>
      <c r="EN556" s="228"/>
      <c r="EO556" s="228"/>
      <c r="EP556" s="228"/>
      <c r="EQ556" s="228"/>
      <c r="ER556" s="228"/>
      <c r="ES556" s="228"/>
      <c r="ET556" s="228"/>
      <c r="EU556" s="228"/>
      <c r="EV556" s="228"/>
      <c r="EW556" s="228"/>
      <c r="EX556" s="228"/>
      <c r="EY556" s="228"/>
      <c r="EZ556" s="228"/>
      <c r="FA556" s="228"/>
      <c r="FB556" s="228"/>
      <c r="FC556" s="228"/>
      <c r="FD556" s="228"/>
      <c r="FE556" s="228"/>
      <c r="FF556" s="228"/>
      <c r="FG556" s="228"/>
      <c r="FH556" s="228"/>
      <c r="FI556" s="228"/>
      <c r="FJ556" s="228"/>
      <c r="FK556" s="228"/>
      <c r="FL556" s="228"/>
      <c r="FM556" s="228"/>
      <c r="FN556" s="228"/>
      <c r="FO556" s="228"/>
      <c r="FP556" s="228"/>
      <c r="FQ556" s="228"/>
      <c r="FR556" s="228"/>
      <c r="FS556" s="228"/>
      <c r="FT556" s="228"/>
      <c r="FU556" s="228"/>
      <c r="FV556" s="228"/>
      <c r="FW556" s="228"/>
      <c r="FX556" s="228"/>
      <c r="FY556" s="228"/>
      <c r="FZ556" s="228"/>
      <c r="GA556" s="228"/>
      <c r="GB556" s="228"/>
      <c r="GC556" s="228"/>
      <c r="GD556" s="228"/>
      <c r="GE556" s="228"/>
      <c r="GF556" s="228"/>
      <c r="GG556" s="228"/>
      <c r="GH556" s="228"/>
      <c r="GI556" s="228"/>
      <c r="GJ556" s="228"/>
      <c r="GK556" s="228"/>
      <c r="GL556" s="228"/>
      <c r="GM556" s="228"/>
      <c r="GN556" s="228"/>
      <c r="GO556" s="228"/>
      <c r="GP556" s="228"/>
      <c r="GQ556" s="228"/>
      <c r="GR556" s="228"/>
      <c r="GS556" s="228"/>
      <c r="GT556" s="228"/>
      <c r="GU556" s="228"/>
      <c r="GV556" s="228"/>
      <c r="GW556" s="228"/>
      <c r="GX556" s="228"/>
      <c r="GY556" s="228"/>
      <c r="GZ556" s="228"/>
      <c r="HA556" s="228"/>
      <c r="HB556" s="228"/>
      <c r="HC556" s="228"/>
      <c r="HD556" s="228"/>
      <c r="HE556" s="228"/>
      <c r="HF556" s="228"/>
      <c r="HG556" s="228"/>
      <c r="HH556" s="228"/>
      <c r="HI556" s="228"/>
      <c r="HJ556" s="228"/>
      <c r="HK556" s="228"/>
      <c r="HL556" s="228"/>
      <c r="HM556" s="228"/>
      <c r="HN556" s="228"/>
      <c r="HO556" s="228"/>
      <c r="HP556" s="228"/>
      <c r="HQ556" s="228"/>
      <c r="HR556" s="228"/>
      <c r="HS556" s="228"/>
      <c r="HT556" s="228"/>
      <c r="HU556" s="228"/>
      <c r="HV556" s="228"/>
      <c r="HW556" s="228"/>
      <c r="HX556" s="228"/>
      <c r="HY556" s="228"/>
      <c r="HZ556" s="228"/>
      <c r="IA556" s="228"/>
      <c r="IB556" s="228"/>
      <c r="IC556" s="228"/>
      <c r="ID556" s="228"/>
      <c r="IE556" s="228"/>
      <c r="IF556" s="228"/>
      <c r="IG556" s="228"/>
      <c r="IH556" s="228"/>
      <c r="II556" s="228"/>
      <c r="IJ556" s="228"/>
      <c r="IK556" s="228"/>
      <c r="IL556" s="228"/>
      <c r="IM556" s="228"/>
      <c r="IN556" s="228"/>
    </row>
    <row r="557" spans="1:248" s="230" customFormat="1">
      <c r="A557" s="1595"/>
      <c r="B557" s="1600"/>
      <c r="C557" s="1600"/>
      <c r="D557" s="1600"/>
      <c r="E557" s="1600"/>
      <c r="G557" s="234"/>
      <c r="H557" s="228"/>
      <c r="I557" s="228"/>
      <c r="J557" s="228"/>
      <c r="K557" s="228"/>
      <c r="L557" s="228"/>
      <c r="M557" s="228"/>
      <c r="N557" s="228"/>
      <c r="O557" s="228"/>
      <c r="P557" s="228"/>
      <c r="Q557" s="228"/>
      <c r="R557" s="228"/>
      <c r="S557" s="228"/>
      <c r="T557" s="228"/>
      <c r="U557" s="228"/>
      <c r="V557" s="228"/>
      <c r="W557" s="228"/>
      <c r="X557" s="228"/>
      <c r="Y557" s="228"/>
      <c r="Z557" s="228"/>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228"/>
      <c r="BE557" s="228"/>
      <c r="BF557" s="228"/>
      <c r="BG557" s="228"/>
      <c r="BH557" s="228"/>
      <c r="BI557" s="228"/>
      <c r="BJ557" s="228"/>
      <c r="BK557" s="228"/>
      <c r="BL557" s="228"/>
      <c r="BM557" s="228"/>
      <c r="BN557" s="228"/>
      <c r="BO557" s="228"/>
      <c r="BP557" s="228"/>
      <c r="BQ557" s="228"/>
      <c r="BR557" s="228"/>
      <c r="BS557" s="228"/>
      <c r="BT557" s="228"/>
      <c r="BU557" s="228"/>
      <c r="BV557" s="228"/>
      <c r="BW557" s="228"/>
      <c r="BX557" s="228"/>
      <c r="BY557" s="228"/>
      <c r="BZ557" s="228"/>
      <c r="CA557" s="228"/>
      <c r="CB557" s="228"/>
      <c r="CC557" s="228"/>
      <c r="CD557" s="228"/>
      <c r="CE557" s="228"/>
      <c r="CF557" s="228"/>
      <c r="CG557" s="228"/>
      <c r="CH557" s="228"/>
      <c r="CI557" s="228"/>
      <c r="CJ557" s="228"/>
      <c r="CK557" s="228"/>
      <c r="CL557" s="228"/>
      <c r="CM557" s="228"/>
      <c r="CN557" s="228"/>
      <c r="CO557" s="228"/>
      <c r="CP557" s="228"/>
      <c r="CQ557" s="228"/>
      <c r="CR557" s="228"/>
      <c r="CS557" s="228"/>
      <c r="CT557" s="228"/>
      <c r="CU557" s="228"/>
      <c r="CV557" s="228"/>
      <c r="CW557" s="228"/>
      <c r="CX557" s="228"/>
      <c r="CY557" s="228"/>
      <c r="CZ557" s="228"/>
      <c r="DA557" s="228"/>
      <c r="DB557" s="228"/>
      <c r="DC557" s="228"/>
      <c r="DD557" s="228"/>
      <c r="DE557" s="228"/>
      <c r="DF557" s="228"/>
      <c r="DG557" s="228"/>
      <c r="DH557" s="228"/>
      <c r="DI557" s="228"/>
      <c r="DJ557" s="228"/>
      <c r="DK557" s="228"/>
      <c r="DL557" s="228"/>
      <c r="DM557" s="228"/>
      <c r="DN557" s="228"/>
      <c r="DO557" s="228"/>
      <c r="DP557" s="228"/>
      <c r="DQ557" s="228"/>
      <c r="DR557" s="228"/>
      <c r="DS557" s="228"/>
      <c r="DT557" s="228"/>
      <c r="DU557" s="228"/>
      <c r="DV557" s="228"/>
      <c r="DW557" s="228"/>
      <c r="DX557" s="228"/>
      <c r="DY557" s="228"/>
      <c r="DZ557" s="228"/>
      <c r="EA557" s="228"/>
      <c r="EB557" s="228"/>
      <c r="EC557" s="228"/>
      <c r="ED557" s="228"/>
      <c r="EE557" s="228"/>
      <c r="EF557" s="228"/>
      <c r="EG557" s="228"/>
      <c r="EH557" s="228"/>
      <c r="EI557" s="228"/>
      <c r="EJ557" s="228"/>
      <c r="EK557" s="228"/>
      <c r="EL557" s="228"/>
      <c r="EM557" s="228"/>
      <c r="EN557" s="228"/>
      <c r="EO557" s="228"/>
      <c r="EP557" s="228"/>
      <c r="EQ557" s="228"/>
      <c r="ER557" s="228"/>
      <c r="ES557" s="228"/>
      <c r="ET557" s="228"/>
      <c r="EU557" s="228"/>
      <c r="EV557" s="228"/>
      <c r="EW557" s="228"/>
      <c r="EX557" s="228"/>
      <c r="EY557" s="228"/>
      <c r="EZ557" s="228"/>
      <c r="FA557" s="228"/>
      <c r="FB557" s="228"/>
      <c r="FC557" s="228"/>
      <c r="FD557" s="228"/>
      <c r="FE557" s="228"/>
      <c r="FF557" s="228"/>
      <c r="FG557" s="228"/>
      <c r="FH557" s="228"/>
      <c r="FI557" s="228"/>
      <c r="FJ557" s="228"/>
      <c r="FK557" s="228"/>
      <c r="FL557" s="228"/>
      <c r="FM557" s="228"/>
      <c r="FN557" s="228"/>
      <c r="FO557" s="228"/>
      <c r="FP557" s="228"/>
      <c r="FQ557" s="228"/>
      <c r="FR557" s="228"/>
      <c r="FS557" s="228"/>
      <c r="FT557" s="228"/>
      <c r="FU557" s="228"/>
      <c r="FV557" s="228"/>
      <c r="FW557" s="228"/>
      <c r="FX557" s="228"/>
      <c r="FY557" s="228"/>
      <c r="FZ557" s="228"/>
      <c r="GA557" s="228"/>
      <c r="GB557" s="228"/>
      <c r="GC557" s="228"/>
      <c r="GD557" s="228"/>
      <c r="GE557" s="228"/>
      <c r="GF557" s="228"/>
      <c r="GG557" s="228"/>
      <c r="GH557" s="228"/>
      <c r="GI557" s="228"/>
      <c r="GJ557" s="228"/>
      <c r="GK557" s="228"/>
      <c r="GL557" s="228"/>
      <c r="GM557" s="228"/>
      <c r="GN557" s="228"/>
      <c r="GO557" s="228"/>
      <c r="GP557" s="228"/>
      <c r="GQ557" s="228"/>
      <c r="GR557" s="228"/>
      <c r="GS557" s="228"/>
      <c r="GT557" s="228"/>
      <c r="GU557" s="228"/>
      <c r="GV557" s="228"/>
      <c r="GW557" s="228"/>
      <c r="GX557" s="228"/>
      <c r="GY557" s="228"/>
      <c r="GZ557" s="228"/>
      <c r="HA557" s="228"/>
      <c r="HB557" s="228"/>
      <c r="HC557" s="228"/>
      <c r="HD557" s="228"/>
      <c r="HE557" s="228"/>
      <c r="HF557" s="228"/>
      <c r="HG557" s="228"/>
      <c r="HH557" s="228"/>
      <c r="HI557" s="228"/>
      <c r="HJ557" s="228"/>
      <c r="HK557" s="228"/>
      <c r="HL557" s="228"/>
      <c r="HM557" s="228"/>
      <c r="HN557" s="228"/>
      <c r="HO557" s="228"/>
      <c r="HP557" s="228"/>
      <c r="HQ557" s="228"/>
      <c r="HR557" s="228"/>
      <c r="HS557" s="228"/>
      <c r="HT557" s="228"/>
      <c r="HU557" s="228"/>
      <c r="HV557" s="228"/>
      <c r="HW557" s="228"/>
      <c r="HX557" s="228"/>
      <c r="HY557" s="228"/>
      <c r="HZ557" s="228"/>
      <c r="IA557" s="228"/>
      <c r="IB557" s="228"/>
      <c r="IC557" s="228"/>
      <c r="ID557" s="228"/>
      <c r="IE557" s="228"/>
      <c r="IF557" s="228"/>
      <c r="IG557" s="228"/>
      <c r="IH557" s="228"/>
      <c r="II557" s="228"/>
      <c r="IJ557" s="228"/>
      <c r="IK557" s="228"/>
      <c r="IL557" s="228"/>
      <c r="IM557" s="228"/>
      <c r="IN557" s="228"/>
    </row>
    <row r="564" spans="1:248" s="230" customFormat="1">
      <c r="A564" s="1595"/>
      <c r="B564" s="1600"/>
      <c r="C564" s="1600"/>
      <c r="D564" s="1600"/>
      <c r="E564" s="1600"/>
      <c r="G564" s="234"/>
      <c r="H564" s="228"/>
      <c r="I564" s="228"/>
      <c r="J564" s="228"/>
      <c r="K564" s="228"/>
      <c r="L564" s="228"/>
      <c r="M564" s="228"/>
      <c r="N564" s="228"/>
      <c r="O564" s="228"/>
      <c r="P564" s="228"/>
      <c r="Q564" s="228"/>
      <c r="R564" s="228"/>
      <c r="S564" s="228"/>
      <c r="T564" s="228"/>
      <c r="U564" s="228"/>
      <c r="V564" s="228"/>
      <c r="W564" s="228"/>
      <c r="X564" s="228"/>
      <c r="Y564" s="228"/>
      <c r="Z564" s="228"/>
      <c r="AA564" s="228"/>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228"/>
      <c r="BE564" s="228"/>
      <c r="BF564" s="228"/>
      <c r="BG564" s="228"/>
      <c r="BH564" s="228"/>
      <c r="BI564" s="228"/>
      <c r="BJ564" s="228"/>
      <c r="BK564" s="228"/>
      <c r="BL564" s="228"/>
      <c r="BM564" s="228"/>
      <c r="BN564" s="228"/>
      <c r="BO564" s="228"/>
      <c r="BP564" s="228"/>
      <c r="BQ564" s="228"/>
      <c r="BR564" s="228"/>
      <c r="BS564" s="228"/>
      <c r="BT564" s="228"/>
      <c r="BU564" s="228"/>
      <c r="BV564" s="228"/>
      <c r="BW564" s="228"/>
      <c r="BX564" s="228"/>
      <c r="BY564" s="228"/>
      <c r="BZ564" s="228"/>
      <c r="CA564" s="228"/>
      <c r="CB564" s="228"/>
      <c r="CC564" s="228"/>
      <c r="CD564" s="228"/>
      <c r="CE564" s="228"/>
      <c r="CF564" s="228"/>
      <c r="CG564" s="228"/>
      <c r="CH564" s="228"/>
      <c r="CI564" s="228"/>
      <c r="CJ564" s="228"/>
      <c r="CK564" s="228"/>
      <c r="CL564" s="228"/>
      <c r="CM564" s="228"/>
      <c r="CN564" s="228"/>
      <c r="CO564" s="228"/>
      <c r="CP564" s="228"/>
      <c r="CQ564" s="228"/>
      <c r="CR564" s="228"/>
      <c r="CS564" s="228"/>
      <c r="CT564" s="228"/>
      <c r="CU564" s="228"/>
      <c r="CV564" s="228"/>
      <c r="CW564" s="228"/>
      <c r="CX564" s="228"/>
      <c r="CY564" s="228"/>
      <c r="CZ564" s="228"/>
      <c r="DA564" s="228"/>
      <c r="DB564" s="228"/>
      <c r="DC564" s="228"/>
      <c r="DD564" s="228"/>
      <c r="DE564" s="228"/>
      <c r="DF564" s="228"/>
      <c r="DG564" s="228"/>
      <c r="DH564" s="228"/>
      <c r="DI564" s="228"/>
      <c r="DJ564" s="228"/>
      <c r="DK564" s="228"/>
      <c r="DL564" s="228"/>
      <c r="DM564" s="228"/>
      <c r="DN564" s="228"/>
      <c r="DO564" s="228"/>
      <c r="DP564" s="228"/>
      <c r="DQ564" s="228"/>
      <c r="DR564" s="228"/>
      <c r="DS564" s="228"/>
      <c r="DT564" s="228"/>
      <c r="DU564" s="228"/>
      <c r="DV564" s="228"/>
      <c r="DW564" s="228"/>
      <c r="DX564" s="228"/>
      <c r="DY564" s="228"/>
      <c r="DZ564" s="228"/>
      <c r="EA564" s="228"/>
      <c r="EB564" s="228"/>
      <c r="EC564" s="228"/>
      <c r="ED564" s="228"/>
      <c r="EE564" s="228"/>
      <c r="EF564" s="228"/>
      <c r="EG564" s="228"/>
      <c r="EH564" s="228"/>
      <c r="EI564" s="228"/>
      <c r="EJ564" s="228"/>
      <c r="EK564" s="228"/>
      <c r="EL564" s="228"/>
      <c r="EM564" s="228"/>
      <c r="EN564" s="228"/>
      <c r="EO564" s="228"/>
      <c r="EP564" s="228"/>
      <c r="EQ564" s="228"/>
      <c r="ER564" s="228"/>
      <c r="ES564" s="228"/>
      <c r="ET564" s="228"/>
      <c r="EU564" s="228"/>
      <c r="EV564" s="228"/>
      <c r="EW564" s="228"/>
      <c r="EX564" s="228"/>
      <c r="EY564" s="228"/>
      <c r="EZ564" s="228"/>
      <c r="FA564" s="228"/>
      <c r="FB564" s="228"/>
      <c r="FC564" s="228"/>
      <c r="FD564" s="228"/>
      <c r="FE564" s="228"/>
      <c r="FF564" s="228"/>
      <c r="FG564" s="228"/>
      <c r="FH564" s="228"/>
      <c r="FI564" s="228"/>
      <c r="FJ564" s="228"/>
      <c r="FK564" s="228"/>
      <c r="FL564" s="228"/>
      <c r="FM564" s="228"/>
      <c r="FN564" s="228"/>
      <c r="FO564" s="228"/>
      <c r="FP564" s="228"/>
      <c r="FQ564" s="228"/>
      <c r="FR564" s="228"/>
      <c r="FS564" s="228"/>
      <c r="FT564" s="228"/>
      <c r="FU564" s="228"/>
      <c r="FV564" s="228"/>
      <c r="FW564" s="228"/>
      <c r="FX564" s="228"/>
      <c r="FY564" s="228"/>
      <c r="FZ564" s="228"/>
      <c r="GA564" s="228"/>
      <c r="GB564" s="228"/>
      <c r="GC564" s="228"/>
      <c r="GD564" s="228"/>
      <c r="GE564" s="228"/>
      <c r="GF564" s="228"/>
      <c r="GG564" s="228"/>
      <c r="GH564" s="228"/>
      <c r="GI564" s="228"/>
      <c r="GJ564" s="228"/>
      <c r="GK564" s="228"/>
      <c r="GL564" s="228"/>
      <c r="GM564" s="228"/>
      <c r="GN564" s="228"/>
      <c r="GO564" s="228"/>
      <c r="GP564" s="228"/>
      <c r="GQ564" s="228"/>
      <c r="GR564" s="228"/>
      <c r="GS564" s="228"/>
      <c r="GT564" s="228"/>
      <c r="GU564" s="228"/>
      <c r="GV564" s="228"/>
      <c r="GW564" s="228"/>
      <c r="GX564" s="228"/>
      <c r="GY564" s="228"/>
      <c r="GZ564" s="228"/>
      <c r="HA564" s="228"/>
      <c r="HB564" s="228"/>
      <c r="HC564" s="228"/>
      <c r="HD564" s="228"/>
      <c r="HE564" s="228"/>
      <c r="HF564" s="228"/>
      <c r="HG564" s="228"/>
      <c r="HH564" s="228"/>
      <c r="HI564" s="228"/>
      <c r="HJ564" s="228"/>
      <c r="HK564" s="228"/>
      <c r="HL564" s="228"/>
      <c r="HM564" s="228"/>
      <c r="HN564" s="228"/>
      <c r="HO564" s="228"/>
      <c r="HP564" s="228"/>
      <c r="HQ564" s="228"/>
      <c r="HR564" s="228"/>
      <c r="HS564" s="228"/>
      <c r="HT564" s="228"/>
      <c r="HU564" s="228"/>
      <c r="HV564" s="228"/>
      <c r="HW564" s="228"/>
      <c r="HX564" s="228"/>
      <c r="HY564" s="228"/>
      <c r="HZ564" s="228"/>
      <c r="IA564" s="228"/>
      <c r="IB564" s="228"/>
      <c r="IC564" s="228"/>
      <c r="ID564" s="228"/>
      <c r="IE564" s="228"/>
      <c r="IF564" s="228"/>
      <c r="IG564" s="228"/>
      <c r="IH564" s="228"/>
      <c r="II564" s="228"/>
      <c r="IJ564" s="228"/>
      <c r="IK564" s="228"/>
      <c r="IL564" s="228"/>
      <c r="IM564" s="228"/>
      <c r="IN564" s="228"/>
    </row>
    <row r="573" spans="1:248" s="232" customFormat="1">
      <c r="A573" s="1595"/>
      <c r="B573" s="1600"/>
      <c r="C573" s="1600"/>
      <c r="D573" s="1600"/>
      <c r="E573" s="1600"/>
      <c r="F573" s="230"/>
      <c r="G573" s="234"/>
      <c r="H573" s="228"/>
      <c r="I573" s="228"/>
      <c r="J573" s="228"/>
      <c r="K573" s="228"/>
      <c r="L573" s="228"/>
      <c r="M573" s="228"/>
      <c r="N573" s="228"/>
      <c r="O573" s="228"/>
      <c r="P573" s="228"/>
      <c r="Q573" s="228"/>
      <c r="R573" s="228"/>
      <c r="S573" s="228"/>
      <c r="T573" s="228"/>
      <c r="U573" s="228"/>
      <c r="V573" s="228"/>
      <c r="W573" s="228"/>
      <c r="X573" s="228"/>
      <c r="Y573" s="228"/>
      <c r="Z573" s="228"/>
      <c r="AA573" s="228"/>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228"/>
      <c r="BE573" s="228"/>
      <c r="BF573" s="228"/>
      <c r="BG573" s="228"/>
      <c r="BH573" s="228"/>
      <c r="BI573" s="228"/>
      <c r="BJ573" s="228"/>
      <c r="BK573" s="228"/>
      <c r="BL573" s="228"/>
      <c r="BM573" s="228"/>
      <c r="BN573" s="228"/>
      <c r="BO573" s="228"/>
      <c r="BP573" s="228"/>
      <c r="BQ573" s="228"/>
      <c r="BR573" s="228"/>
      <c r="BS573" s="228"/>
      <c r="BT573" s="228"/>
      <c r="BU573" s="228"/>
      <c r="BV573" s="228"/>
      <c r="BW573" s="228"/>
      <c r="BX573" s="228"/>
      <c r="BY573" s="228"/>
      <c r="BZ573" s="228"/>
      <c r="CA573" s="228"/>
      <c r="CB573" s="228"/>
      <c r="CC573" s="228"/>
      <c r="CD573" s="228"/>
      <c r="CE573" s="228"/>
      <c r="CF573" s="228"/>
      <c r="CG573" s="228"/>
      <c r="CH573" s="228"/>
      <c r="CI573" s="228"/>
      <c r="CJ573" s="228"/>
      <c r="CK573" s="228"/>
      <c r="CL573" s="228"/>
      <c r="CM573" s="228"/>
      <c r="CN573" s="228"/>
      <c r="CO573" s="228"/>
      <c r="CP573" s="228"/>
      <c r="CQ573" s="228"/>
      <c r="CR573" s="228"/>
      <c r="CS573" s="228"/>
      <c r="CT573" s="228"/>
      <c r="CU573" s="228"/>
      <c r="CV573" s="228"/>
      <c r="CW573" s="228"/>
      <c r="CX573" s="228"/>
      <c r="CY573" s="228"/>
      <c r="CZ573" s="228"/>
      <c r="DA573" s="228"/>
      <c r="DB573" s="228"/>
      <c r="DC573" s="228"/>
      <c r="DD573" s="228"/>
      <c r="DE573" s="228"/>
      <c r="DF573" s="228"/>
      <c r="DG573" s="228"/>
      <c r="DH573" s="228"/>
      <c r="DI573" s="228"/>
      <c r="DJ573" s="228"/>
      <c r="DK573" s="228"/>
      <c r="DL573" s="228"/>
      <c r="DM573" s="228"/>
      <c r="DN573" s="228"/>
      <c r="DO573" s="228"/>
      <c r="DP573" s="228"/>
      <c r="DQ573" s="228"/>
      <c r="DR573" s="228"/>
      <c r="DS573" s="228"/>
      <c r="DT573" s="228"/>
      <c r="DU573" s="228"/>
      <c r="DV573" s="228"/>
      <c r="DW573" s="228"/>
      <c r="DX573" s="228"/>
      <c r="DY573" s="228"/>
      <c r="DZ573" s="228"/>
      <c r="EA573" s="228"/>
      <c r="EB573" s="228"/>
      <c r="EC573" s="228"/>
      <c r="ED573" s="228"/>
      <c r="EE573" s="228"/>
      <c r="EF573" s="228"/>
      <c r="EG573" s="228"/>
      <c r="EH573" s="228"/>
      <c r="EI573" s="228"/>
      <c r="EJ573" s="228"/>
      <c r="EK573" s="228"/>
      <c r="EL573" s="228"/>
      <c r="EM573" s="228"/>
      <c r="EN573" s="228"/>
      <c r="EO573" s="228"/>
      <c r="EP573" s="228"/>
      <c r="EQ573" s="228"/>
      <c r="ER573" s="228"/>
      <c r="ES573" s="228"/>
      <c r="ET573" s="228"/>
      <c r="EU573" s="228"/>
      <c r="EV573" s="228"/>
      <c r="EW573" s="228"/>
      <c r="EX573" s="228"/>
      <c r="EY573" s="228"/>
      <c r="EZ573" s="228"/>
      <c r="FA573" s="228"/>
      <c r="FB573" s="228"/>
      <c r="FC573" s="228"/>
      <c r="FD573" s="228"/>
      <c r="FE573" s="228"/>
      <c r="FF573" s="228"/>
      <c r="FG573" s="228"/>
      <c r="FH573" s="228"/>
      <c r="FI573" s="228"/>
      <c r="FJ573" s="228"/>
      <c r="FK573" s="228"/>
      <c r="FL573" s="228"/>
      <c r="FM573" s="228"/>
      <c r="FN573" s="228"/>
      <c r="FO573" s="228"/>
      <c r="FP573" s="228"/>
      <c r="FQ573" s="228"/>
      <c r="FR573" s="228"/>
      <c r="FS573" s="228"/>
      <c r="FT573" s="228"/>
      <c r="FU573" s="228"/>
      <c r="FV573" s="228"/>
      <c r="FW573" s="228"/>
      <c r="FX573" s="228"/>
      <c r="FY573" s="228"/>
      <c r="FZ573" s="228"/>
      <c r="GA573" s="228"/>
      <c r="GB573" s="228"/>
      <c r="GC573" s="228"/>
      <c r="GD573" s="228"/>
      <c r="GE573" s="228"/>
      <c r="GF573" s="228"/>
      <c r="GG573" s="228"/>
      <c r="GH573" s="228"/>
      <c r="GI573" s="228"/>
      <c r="GJ573" s="228"/>
      <c r="GK573" s="228"/>
      <c r="GL573" s="228"/>
      <c r="GM573" s="228"/>
      <c r="GN573" s="228"/>
      <c r="GO573" s="228"/>
      <c r="GP573" s="228"/>
      <c r="GQ573" s="228"/>
      <c r="GR573" s="228"/>
      <c r="GS573" s="228"/>
      <c r="GT573" s="228"/>
      <c r="GU573" s="228"/>
      <c r="GV573" s="228"/>
      <c r="GW573" s="228"/>
      <c r="GX573" s="228"/>
      <c r="GY573" s="228"/>
      <c r="GZ573" s="228"/>
      <c r="HA573" s="228"/>
      <c r="HB573" s="228"/>
      <c r="HC573" s="228"/>
      <c r="HD573" s="228"/>
      <c r="HE573" s="228"/>
      <c r="HF573" s="228"/>
      <c r="HG573" s="228"/>
      <c r="HH573" s="228"/>
      <c r="HI573" s="228"/>
      <c r="HJ573" s="228"/>
      <c r="HK573" s="228"/>
      <c r="HL573" s="228"/>
      <c r="HM573" s="228"/>
      <c r="HN573" s="228"/>
      <c r="HO573" s="228"/>
      <c r="HP573" s="228"/>
      <c r="HQ573" s="228"/>
      <c r="HR573" s="228"/>
      <c r="HS573" s="228"/>
      <c r="HT573" s="228"/>
      <c r="HU573" s="228"/>
      <c r="HV573" s="228"/>
      <c r="HW573" s="228"/>
      <c r="HX573" s="228"/>
      <c r="HY573" s="228"/>
      <c r="HZ573" s="228"/>
      <c r="IA573" s="228"/>
      <c r="IB573" s="228"/>
      <c r="IC573" s="228"/>
      <c r="ID573" s="228"/>
      <c r="IE573" s="228"/>
      <c r="IF573" s="228"/>
      <c r="IG573" s="228"/>
      <c r="IH573" s="228"/>
      <c r="II573" s="228"/>
      <c r="IJ573" s="228"/>
      <c r="IK573" s="228"/>
      <c r="IL573" s="228"/>
      <c r="IM573" s="228"/>
      <c r="IN573" s="228"/>
    </row>
  </sheetData>
  <mergeCells count="3">
    <mergeCell ref="B5:B6"/>
    <mergeCell ref="E5:E6"/>
    <mergeCell ref="J5:M5"/>
  </mergeCells>
  <pageMargins left="0.7" right="0.7" top="0.75" bottom="0.75" header="0.3" footer="0.3"/>
  <pageSetup scale="38" fitToHeight="5" orientation="portrait" r:id="rId1"/>
  <headerFooter alignWithMargins="0">
    <oddFooter>&amp;C&amp;P</oddFooter>
  </headerFooter>
  <rowBreaks count="3" manualBreakCount="3">
    <brk id="108" max="5" man="1"/>
    <brk id="218" max="5" man="1"/>
    <brk id="323" max="5"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1"/>
  <sheetViews>
    <sheetView view="pageBreakPreview" zoomScale="85" zoomScaleNormal="85" zoomScaleSheetLayoutView="85" workbookViewId="0">
      <pane ySplit="4" topLeftCell="A33" activePane="bottomLeft" state="frozen"/>
      <selection activeCell="Q27" sqref="Q27"/>
      <selection pane="bottomLeft" activeCell="Q27" sqref="Q27"/>
    </sheetView>
  </sheetViews>
  <sheetFormatPr defaultRowHeight="12.75"/>
  <cols>
    <col min="1" max="1" width="9.42578125" style="993" customWidth="1"/>
    <col min="2" max="2" width="7.7109375" style="1063" customWidth="1"/>
    <col min="3" max="3" width="11.5703125" style="1064" customWidth="1"/>
    <col min="4" max="4" width="12.5703125" style="1063" customWidth="1"/>
    <col min="5" max="5" width="14.7109375" style="1064" customWidth="1"/>
    <col min="6" max="6" width="13" style="1063" customWidth="1"/>
    <col min="7" max="7" width="9.42578125" style="1074" customWidth="1"/>
    <col min="8" max="8" width="12.42578125" style="1075" customWidth="1"/>
    <col min="9" max="9" width="8.140625" style="1074" customWidth="1"/>
    <col min="10" max="10" width="14" style="1075" customWidth="1"/>
    <col min="11" max="11" width="10.28515625" style="1063" customWidth="1"/>
    <col min="12" max="12" width="8.42578125" style="1074" customWidth="1"/>
    <col min="13" max="13" width="14" style="1075" customWidth="1"/>
    <col min="14" max="14" width="9" style="1074" customWidth="1"/>
    <col min="15" max="15" width="0.28515625" style="1075" customWidth="1"/>
    <col min="16" max="16" width="0.7109375" style="1063" customWidth="1"/>
    <col min="17" max="17" width="12.5703125" style="1074" customWidth="1"/>
    <col min="18" max="18" width="15.42578125" style="1075" customWidth="1"/>
    <col min="19" max="19" width="2" style="1063" customWidth="1"/>
    <col min="20" max="20" width="16.85546875" style="993" customWidth="1"/>
    <col min="21" max="21" width="17.140625" style="1064" customWidth="1"/>
    <col min="22" max="22" width="2" style="1064" customWidth="1"/>
    <col min="23" max="23" width="13.140625" style="1063" bestFit="1" customWidth="1"/>
    <col min="24" max="24" width="13.42578125" style="1064" bestFit="1" customWidth="1"/>
    <col min="25" max="25" width="11.5703125" style="1063" bestFit="1" customWidth="1"/>
    <col min="26" max="26" width="12.5703125" style="1064" bestFit="1" customWidth="1"/>
    <col min="27" max="27" width="10.5703125" style="1063" bestFit="1" customWidth="1"/>
    <col min="28" max="28" width="12.5703125" style="1064" bestFit="1" customWidth="1"/>
    <col min="29" max="16384" width="9.140625" style="993"/>
  </cols>
  <sheetData>
    <row r="1" spans="1:28">
      <c r="A1" s="980" t="s">
        <v>404</v>
      </c>
      <c r="V1" s="993"/>
      <c r="W1" s="993"/>
      <c r="X1" s="993"/>
      <c r="Y1" s="993"/>
      <c r="Z1" s="993"/>
      <c r="AA1" s="993"/>
      <c r="AB1" s="993"/>
    </row>
    <row r="2" spans="1:28">
      <c r="A2" s="980" t="s">
        <v>1804</v>
      </c>
      <c r="V2" s="993"/>
      <c r="W2" s="993"/>
      <c r="X2" s="993"/>
      <c r="Y2" s="993"/>
      <c r="Z2" s="993"/>
      <c r="AA2" s="993"/>
      <c r="AB2" s="993"/>
    </row>
    <row r="3" spans="1:28" ht="9" hidden="1" customHeight="1">
      <c r="V3" s="993"/>
      <c r="W3" s="993"/>
      <c r="X3" s="993"/>
      <c r="Y3" s="993"/>
      <c r="Z3" s="993"/>
      <c r="AA3" s="993"/>
      <c r="AB3" s="993"/>
    </row>
    <row r="4" spans="1:28" ht="9" hidden="1" customHeight="1">
      <c r="B4" s="989"/>
      <c r="E4" s="1007"/>
    </row>
    <row r="5" spans="1:28" ht="9" customHeight="1">
      <c r="B5" s="989"/>
      <c r="C5" s="1107"/>
      <c r="D5" s="1106"/>
      <c r="E5" s="1007"/>
      <c r="F5" s="1106"/>
      <c r="G5" s="1108"/>
      <c r="H5" s="1109"/>
      <c r="I5" s="1108"/>
      <c r="J5" s="1109"/>
      <c r="K5" s="1106"/>
      <c r="L5" s="1108"/>
      <c r="M5" s="1109"/>
      <c r="N5" s="1108"/>
      <c r="O5" s="1109"/>
      <c r="P5" s="1106"/>
      <c r="Q5" s="1108"/>
      <c r="R5" s="1109"/>
      <c r="S5" s="1106"/>
      <c r="U5" s="1107"/>
      <c r="V5" s="1107"/>
      <c r="W5" s="1106"/>
      <c r="X5" s="1107"/>
      <c r="Y5" s="1106"/>
      <c r="Z5" s="1107"/>
      <c r="AA5" s="1106"/>
      <c r="AB5" s="1107"/>
    </row>
    <row r="6" spans="1:28">
      <c r="A6" s="1093" t="s">
        <v>404</v>
      </c>
      <c r="B6" s="989"/>
      <c r="E6" s="1007"/>
    </row>
    <row r="7" spans="1:28" s="1090" customFormat="1">
      <c r="A7" s="967" t="s">
        <v>1898</v>
      </c>
      <c r="B7" s="988"/>
      <c r="C7" s="971"/>
      <c r="D7" s="1063"/>
      <c r="E7" s="1064"/>
      <c r="G7" s="1064"/>
      <c r="H7" s="1063"/>
      <c r="J7" s="1064"/>
    </row>
    <row r="8" spans="1:28" s="1090" customFormat="1" ht="7.5" customHeight="1">
      <c r="B8" s="1063"/>
      <c r="C8" s="1064"/>
      <c r="D8" s="1063"/>
      <c r="E8" s="1064"/>
      <c r="G8" s="1064"/>
      <c r="H8" s="1063"/>
      <c r="J8" s="1064"/>
    </row>
    <row r="9" spans="1:28" s="1090" customFormat="1">
      <c r="B9" s="1676" t="s">
        <v>1803</v>
      </c>
      <c r="C9" s="1677"/>
      <c r="D9" s="1677"/>
      <c r="E9" s="1678"/>
      <c r="G9" s="1679" t="s">
        <v>26</v>
      </c>
      <c r="H9" s="1680"/>
      <c r="I9" s="1197"/>
      <c r="J9" s="1192"/>
    </row>
    <row r="10" spans="1:28" s="1090" customFormat="1">
      <c r="B10" s="1673" t="s">
        <v>1802</v>
      </c>
      <c r="C10" s="1673"/>
      <c r="D10" s="1674" t="s">
        <v>1801</v>
      </c>
      <c r="E10" s="1674"/>
      <c r="F10" s="1063"/>
      <c r="G10" s="1681"/>
      <c r="H10" s="1681"/>
      <c r="I10" s="1197"/>
      <c r="J10" s="1197"/>
    </row>
    <row r="11" spans="1:28" s="1090" customFormat="1">
      <c r="B11" s="1065" t="s">
        <v>1799</v>
      </c>
      <c r="C11" s="1066" t="s">
        <v>1800</v>
      </c>
      <c r="D11" s="1065" t="s">
        <v>1799</v>
      </c>
      <c r="E11" s="1066" t="s">
        <v>1800</v>
      </c>
      <c r="F11" s="1063"/>
      <c r="G11" s="1065" t="s">
        <v>1799</v>
      </c>
      <c r="H11" s="1066" t="s">
        <v>1800</v>
      </c>
      <c r="I11" s="1197"/>
      <c r="J11" s="1197"/>
    </row>
    <row r="12" spans="1:28" s="1090" customFormat="1" ht="15" hidden="1" customHeight="1">
      <c r="A12" s="979">
        <v>41183</v>
      </c>
      <c r="B12" s="1063">
        <f>107.4-1.58</f>
        <v>105.82000000000001</v>
      </c>
      <c r="C12" s="1064">
        <f>11062.2-162.97</f>
        <v>10899.230000000001</v>
      </c>
      <c r="D12" s="1063">
        <v>583.03</v>
      </c>
      <c r="E12" s="1064">
        <v>60052.9</v>
      </c>
      <c r="F12" s="1063"/>
      <c r="G12" s="1068">
        <f t="shared" ref="G12:H27" si="0">B12+D12</f>
        <v>688.85</v>
      </c>
      <c r="H12" s="1069">
        <f t="shared" si="0"/>
        <v>70952.13</v>
      </c>
      <c r="I12" s="1192"/>
      <c r="J12" s="1197"/>
      <c r="M12" s="1103"/>
      <c r="N12" s="1105"/>
      <c r="O12" s="1064"/>
      <c r="P12" s="1063"/>
      <c r="Q12" s="1064"/>
      <c r="R12" s="1063"/>
      <c r="S12" s="1064"/>
    </row>
    <row r="13" spans="1:28" s="1090" customFormat="1" ht="15" hidden="1" customHeight="1">
      <c r="A13" s="979">
        <v>41214</v>
      </c>
      <c r="B13" s="1063">
        <f>74.5+8.25</f>
        <v>82.75</v>
      </c>
      <c r="C13" s="1064">
        <f>6573.75+849.98</f>
        <v>7423.73</v>
      </c>
      <c r="D13" s="1063">
        <v>540.67999999999995</v>
      </c>
      <c r="E13" s="1064">
        <v>55691.66</v>
      </c>
      <c r="F13" s="1063"/>
      <c r="G13" s="1068">
        <f t="shared" si="0"/>
        <v>623.42999999999995</v>
      </c>
      <c r="H13" s="1069">
        <f t="shared" si="0"/>
        <v>63115.39</v>
      </c>
      <c r="I13" s="1192"/>
      <c r="J13" s="1197"/>
      <c r="M13" s="1103"/>
      <c r="N13" s="1105"/>
      <c r="O13" s="1064"/>
      <c r="P13" s="1063"/>
      <c r="Q13" s="1064"/>
      <c r="R13" s="1063"/>
      <c r="S13" s="1064"/>
    </row>
    <row r="14" spans="1:28" s="1090" customFormat="1" ht="15" hidden="1" customHeight="1">
      <c r="A14" s="979">
        <v>41244</v>
      </c>
      <c r="B14" s="1063">
        <v>95.27</v>
      </c>
      <c r="C14" s="1064">
        <v>9812.81</v>
      </c>
      <c r="D14" s="1063">
        <v>510.98</v>
      </c>
      <c r="E14" s="1064">
        <v>52630.94</v>
      </c>
      <c r="F14" s="1063"/>
      <c r="G14" s="1068">
        <f t="shared" si="0"/>
        <v>606.25</v>
      </c>
      <c r="H14" s="1069">
        <f t="shared" si="0"/>
        <v>62443.75</v>
      </c>
      <c r="I14" s="1192"/>
      <c r="J14" s="1197"/>
      <c r="M14" s="1675" t="s">
        <v>1383</v>
      </c>
      <c r="N14" s="1675"/>
      <c r="O14" s="1064"/>
      <c r="P14" s="1063"/>
      <c r="Q14" s="1064"/>
      <c r="R14" s="1063"/>
      <c r="S14" s="1064"/>
    </row>
    <row r="15" spans="1:28" s="1090" customFormat="1" ht="15" hidden="1" customHeight="1">
      <c r="A15" s="979">
        <v>41275</v>
      </c>
      <c r="B15" s="1063">
        <v>35.99</v>
      </c>
      <c r="C15" s="1064">
        <v>3706.97</v>
      </c>
      <c r="D15" s="1063">
        <v>526.70999999999981</v>
      </c>
      <c r="E15" s="1064">
        <v>54251.129999999983</v>
      </c>
      <c r="F15" s="1063"/>
      <c r="G15" s="1068">
        <f t="shared" si="0"/>
        <v>562.69999999999982</v>
      </c>
      <c r="H15" s="1069">
        <f t="shared" si="0"/>
        <v>57958.099999999984</v>
      </c>
      <c r="I15" s="1192"/>
      <c r="J15" s="1197"/>
      <c r="M15" s="1104" t="s">
        <v>604</v>
      </c>
      <c r="N15" s="1105">
        <v>72853.759999999995</v>
      </c>
      <c r="O15" s="1064"/>
      <c r="P15" s="1063"/>
      <c r="Q15" s="1064"/>
      <c r="R15" s="1063"/>
      <c r="S15" s="1064"/>
    </row>
    <row r="16" spans="1:28" s="1090" customFormat="1" ht="15" hidden="1" customHeight="1">
      <c r="A16" s="979">
        <v>41306</v>
      </c>
      <c r="B16" s="1063">
        <f>C16/103</f>
        <v>8.6</v>
      </c>
      <c r="C16" s="1064">
        <f>885.8</f>
        <v>885.8</v>
      </c>
      <c r="D16" s="1063">
        <v>426.7</v>
      </c>
      <c r="E16" s="1064">
        <v>43950.1</v>
      </c>
      <c r="F16" s="1063"/>
      <c r="G16" s="1068">
        <f t="shared" si="0"/>
        <v>435.3</v>
      </c>
      <c r="H16" s="1069">
        <f t="shared" si="0"/>
        <v>44835.9</v>
      </c>
      <c r="I16" s="1192"/>
      <c r="J16" s="1197"/>
      <c r="M16" s="1104" t="s">
        <v>605</v>
      </c>
      <c r="N16" s="1105">
        <v>-4016.3400000000111</v>
      </c>
      <c r="O16" s="1064"/>
      <c r="P16" s="1063"/>
      <c r="Q16" s="1064"/>
      <c r="R16" s="1063"/>
      <c r="S16" s="1064"/>
    </row>
    <row r="17" spans="1:19" s="1090" customFormat="1" ht="15" hidden="1" customHeight="1">
      <c r="A17" s="979">
        <v>41334</v>
      </c>
      <c r="B17" s="1063">
        <v>17.02</v>
      </c>
      <c r="C17" s="1064">
        <v>1753.06</v>
      </c>
      <c r="D17" s="1063">
        <v>452.43</v>
      </c>
      <c r="E17" s="1064">
        <v>46600.29</v>
      </c>
      <c r="F17" s="1063"/>
      <c r="G17" s="1068">
        <f t="shared" si="0"/>
        <v>469.45</v>
      </c>
      <c r="H17" s="1069">
        <f t="shared" si="0"/>
        <v>48353.35</v>
      </c>
      <c r="I17" s="1192"/>
      <c r="J17" s="1197"/>
      <c r="O17" s="1064"/>
      <c r="P17" s="1063"/>
      <c r="Q17" s="1064"/>
      <c r="R17" s="1063"/>
      <c r="S17" s="1064"/>
    </row>
    <row r="18" spans="1:19" s="1090" customFormat="1" ht="15" hidden="1" customHeight="1">
      <c r="A18" s="979">
        <v>41365</v>
      </c>
      <c r="B18" s="1063">
        <v>24.139999999999997</v>
      </c>
      <c r="C18" s="1064">
        <v>2276.2999999999997</v>
      </c>
      <c r="D18" s="1063">
        <v>542.30000000000007</v>
      </c>
      <c r="E18" s="1064">
        <v>55856.900000000009</v>
      </c>
      <c r="F18" s="1063"/>
      <c r="G18" s="1068">
        <f t="shared" si="0"/>
        <v>566.44000000000005</v>
      </c>
      <c r="H18" s="1069">
        <f t="shared" si="0"/>
        <v>58133.200000000012</v>
      </c>
      <c r="I18" s="1192"/>
      <c r="J18" s="1197"/>
      <c r="O18" s="1064"/>
      <c r="P18" s="1063"/>
      <c r="Q18" s="1064"/>
      <c r="R18" s="1063"/>
      <c r="S18" s="1064"/>
    </row>
    <row r="19" spans="1:19" s="1090" customFormat="1" ht="15" hidden="1" customHeight="1">
      <c r="A19" s="979">
        <v>41395</v>
      </c>
      <c r="B19" s="1063">
        <v>30.470000000000002</v>
      </c>
      <c r="C19" s="1064">
        <v>3154.6099999999997</v>
      </c>
      <c r="D19" s="1063">
        <v>563.57999999999981</v>
      </c>
      <c r="E19" s="1064">
        <v>58048.739999999983</v>
      </c>
      <c r="F19" s="1063"/>
      <c r="G19" s="1068">
        <f t="shared" si="0"/>
        <v>594.04999999999984</v>
      </c>
      <c r="H19" s="1069">
        <f t="shared" si="0"/>
        <v>61203.349999999984</v>
      </c>
      <c r="I19" s="1192"/>
      <c r="J19" s="1197"/>
      <c r="O19" s="1064"/>
      <c r="P19" s="1063"/>
      <c r="Q19" s="1064"/>
      <c r="R19" s="1063"/>
      <c r="S19" s="1064"/>
    </row>
    <row r="20" spans="1:19" s="1090" customFormat="1" ht="15" hidden="1" customHeight="1">
      <c r="A20" s="979">
        <v>41426</v>
      </c>
      <c r="B20" s="1063">
        <v>28.849999999999998</v>
      </c>
      <c r="C20" s="1064">
        <v>2971.5499999999997</v>
      </c>
      <c r="D20" s="1063">
        <v>524.8900000000001</v>
      </c>
      <c r="E20" s="1064">
        <v>54063.670000000006</v>
      </c>
      <c r="F20" s="1063"/>
      <c r="G20" s="1068">
        <f t="shared" si="0"/>
        <v>553.74000000000012</v>
      </c>
      <c r="H20" s="1069">
        <f t="shared" si="0"/>
        <v>57035.220000000008</v>
      </c>
      <c r="I20" s="1192"/>
      <c r="J20" s="1197"/>
      <c r="O20" s="1064"/>
      <c r="P20" s="1063"/>
      <c r="Q20" s="1064"/>
      <c r="R20" s="1063"/>
      <c r="S20" s="1064"/>
    </row>
    <row r="21" spans="1:19" s="1090" customFormat="1" ht="15" hidden="1" customHeight="1">
      <c r="A21" s="979">
        <v>41456</v>
      </c>
      <c r="B21" s="1063">
        <v>132.79999999999998</v>
      </c>
      <c r="C21" s="1064">
        <v>13014.399999999998</v>
      </c>
      <c r="D21" s="1063">
        <v>574.40000000000009</v>
      </c>
      <c r="E21" s="1064">
        <v>56291.199999999997</v>
      </c>
      <c r="F21" s="1063"/>
      <c r="G21" s="1068">
        <f t="shared" si="0"/>
        <v>707.2</v>
      </c>
      <c r="H21" s="1069">
        <f t="shared" si="0"/>
        <v>69305.599999999991</v>
      </c>
      <c r="I21" s="1192"/>
      <c r="J21" s="1197"/>
      <c r="O21" s="1064"/>
      <c r="P21" s="1063"/>
      <c r="Q21" s="1064"/>
      <c r="R21" s="1063"/>
      <c r="S21" s="1064"/>
    </row>
    <row r="22" spans="1:19" s="1090" customFormat="1" ht="15" hidden="1" customHeight="1">
      <c r="A22" s="979">
        <v>41487</v>
      </c>
      <c r="B22" s="1063">
        <v>97.689999999999984</v>
      </c>
      <c r="C22" s="1064">
        <v>9317.0600000000031</v>
      </c>
      <c r="D22" s="1063">
        <v>527.32000000000005</v>
      </c>
      <c r="E22" s="1064">
        <v>51677.359999999979</v>
      </c>
      <c r="F22" s="1063"/>
      <c r="G22" s="1068">
        <f t="shared" si="0"/>
        <v>625.01</v>
      </c>
      <c r="H22" s="1069">
        <f t="shared" si="0"/>
        <v>60994.419999999984</v>
      </c>
      <c r="I22" s="1192"/>
      <c r="J22" s="1197"/>
      <c r="O22" s="1064"/>
      <c r="P22" s="1063"/>
      <c r="Q22" s="1064"/>
      <c r="R22" s="1063"/>
      <c r="S22" s="1064"/>
    </row>
    <row r="23" spans="1:19" s="1090" customFormat="1" ht="15" hidden="1" customHeight="1">
      <c r="A23" s="979">
        <v>41518</v>
      </c>
      <c r="B23" s="1063">
        <v>71.679999999999978</v>
      </c>
      <c r="C23" s="1064">
        <v>6701.260000000002</v>
      </c>
      <c r="D23" s="1063">
        <v>517.92000000000019</v>
      </c>
      <c r="E23" s="1064">
        <v>50756.159999999989</v>
      </c>
      <c r="F23" s="1063"/>
      <c r="G23" s="1068">
        <f t="shared" si="0"/>
        <v>589.60000000000014</v>
      </c>
      <c r="H23" s="1069">
        <f t="shared" si="0"/>
        <v>57457.419999999991</v>
      </c>
      <c r="I23" s="1192"/>
      <c r="J23" s="1197"/>
      <c r="O23" s="1064"/>
      <c r="P23" s="1063"/>
      <c r="Q23" s="1064"/>
      <c r="R23" s="1063"/>
      <c r="S23" s="1064"/>
    </row>
    <row r="24" spans="1:19" s="1090" customFormat="1" ht="15" hidden="1" customHeight="1">
      <c r="A24" s="979">
        <v>41548</v>
      </c>
      <c r="B24" s="1063">
        <v>53.379999999999995</v>
      </c>
      <c r="C24" s="1064">
        <v>5246.630000000001</v>
      </c>
      <c r="D24" s="1063">
        <v>584.97999999999968</v>
      </c>
      <c r="E24" s="1064">
        <v>57328.039999999972</v>
      </c>
      <c r="F24" s="1063"/>
      <c r="G24" s="1068">
        <f t="shared" si="0"/>
        <v>638.35999999999967</v>
      </c>
      <c r="H24" s="1069">
        <f t="shared" si="0"/>
        <v>62574.669999999969</v>
      </c>
      <c r="I24" s="1192"/>
      <c r="J24" s="1197"/>
      <c r="O24" s="1064"/>
      <c r="P24" s="1063"/>
      <c r="Q24" s="1064"/>
      <c r="R24" s="1063"/>
      <c r="S24" s="1064"/>
    </row>
    <row r="25" spans="1:19" s="1090" customFormat="1" ht="15" hidden="1" customHeight="1">
      <c r="A25" s="979">
        <v>41579</v>
      </c>
      <c r="B25" s="1063">
        <v>10.440000000000001</v>
      </c>
      <c r="C25" s="1064">
        <v>1023.12</v>
      </c>
      <c r="D25" s="1063">
        <v>477.95000000000005</v>
      </c>
      <c r="E25" s="1064">
        <v>46839.100000000006</v>
      </c>
      <c r="F25" s="1063"/>
      <c r="G25" s="1068">
        <f t="shared" si="0"/>
        <v>488.39000000000004</v>
      </c>
      <c r="H25" s="1069">
        <f t="shared" si="0"/>
        <v>47862.220000000008</v>
      </c>
      <c r="I25" s="1192"/>
      <c r="J25" s="1197"/>
      <c r="O25" s="1064"/>
      <c r="P25" s="1063"/>
      <c r="Q25" s="1064"/>
      <c r="R25" s="1063"/>
      <c r="S25" s="1064"/>
    </row>
    <row r="26" spans="1:19" s="1090" customFormat="1" ht="15" hidden="1" customHeight="1">
      <c r="A26" s="979">
        <v>41609</v>
      </c>
      <c r="B26" s="1063">
        <v>41.519999999999996</v>
      </c>
      <c r="C26" s="1064">
        <v>4068.96</v>
      </c>
      <c r="D26" s="1063">
        <v>497.49</v>
      </c>
      <c r="E26" s="1064">
        <v>48754.020000000011</v>
      </c>
      <c r="F26" s="1063"/>
      <c r="G26" s="1068">
        <f t="shared" si="0"/>
        <v>539.01</v>
      </c>
      <c r="H26" s="1069">
        <f t="shared" si="0"/>
        <v>52822.98000000001</v>
      </c>
      <c r="I26" s="1192"/>
      <c r="J26" s="1197"/>
      <c r="O26" s="1064"/>
      <c r="P26" s="1063"/>
      <c r="Q26" s="1064"/>
      <c r="R26" s="1063"/>
      <c r="S26" s="1064"/>
    </row>
    <row r="27" spans="1:19" s="1090" customFormat="1" ht="15" customHeight="1">
      <c r="A27" s="978">
        <v>42736</v>
      </c>
      <c r="B27" s="1008">
        <v>33.28</v>
      </c>
      <c r="C27" s="977">
        <v>3527.68</v>
      </c>
      <c r="D27" s="1008">
        <v>536.99</v>
      </c>
      <c r="E27" s="977">
        <v>56920.94</v>
      </c>
      <c r="F27" s="1067"/>
      <c r="G27" s="984">
        <f t="shared" si="0"/>
        <v>570.27</v>
      </c>
      <c r="H27" s="985">
        <f t="shared" si="0"/>
        <v>60448.62</v>
      </c>
      <c r="I27" s="1192"/>
      <c r="J27" s="1197"/>
      <c r="O27" s="1064"/>
      <c r="P27" s="1063"/>
      <c r="Q27" s="1064"/>
      <c r="R27" s="1063"/>
      <c r="S27" s="1064"/>
    </row>
    <row r="28" spans="1:19" s="1090" customFormat="1" ht="15" customHeight="1">
      <c r="A28" s="978">
        <f>A27+32</f>
        <v>42768</v>
      </c>
      <c r="B28" s="1008">
        <v>21.58</v>
      </c>
      <c r="C28" s="977">
        <v>2293.48</v>
      </c>
      <c r="D28" s="1008">
        <v>492.7</v>
      </c>
      <c r="E28" s="977">
        <v>52226.2</v>
      </c>
      <c r="F28" s="1067"/>
      <c r="G28" s="984">
        <f t="shared" ref="G28:H38" si="1">B28+D28</f>
        <v>514.28</v>
      </c>
      <c r="H28" s="985">
        <f t="shared" si="1"/>
        <v>54519.68</v>
      </c>
      <c r="I28" s="1192"/>
      <c r="J28" s="1197"/>
      <c r="O28" s="1064"/>
      <c r="P28" s="1063"/>
      <c r="Q28" s="1064"/>
      <c r="R28" s="1063"/>
      <c r="S28" s="1064"/>
    </row>
    <row r="29" spans="1:19" s="1090" customFormat="1" ht="15" customHeight="1">
      <c r="A29" s="978">
        <f t="shared" ref="A29:A38" si="2">A28+32</f>
        <v>42800</v>
      </c>
      <c r="B29" s="1008">
        <v>60.47</v>
      </c>
      <c r="C29" s="977">
        <v>6409.82</v>
      </c>
      <c r="D29" s="1008">
        <v>582.15</v>
      </c>
      <c r="E29" s="977">
        <v>61707.9</v>
      </c>
      <c r="F29" s="1067"/>
      <c r="G29" s="984">
        <f t="shared" si="1"/>
        <v>642.62</v>
      </c>
      <c r="H29" s="985">
        <f t="shared" si="1"/>
        <v>68117.72</v>
      </c>
      <c r="I29" s="1192"/>
      <c r="J29" s="1197"/>
      <c r="O29" s="1064"/>
      <c r="P29" s="1063"/>
      <c r="Q29" s="1064"/>
      <c r="R29" s="1063"/>
      <c r="S29" s="1064"/>
    </row>
    <row r="30" spans="1:19" s="1090" customFormat="1" ht="15" customHeight="1">
      <c r="A30" s="978">
        <f t="shared" si="2"/>
        <v>42832</v>
      </c>
      <c r="B30" s="1008">
        <v>48.15</v>
      </c>
      <c r="C30" s="977">
        <v>4578.5</v>
      </c>
      <c r="D30" s="1008">
        <v>525.28</v>
      </c>
      <c r="E30" s="977">
        <v>55679.68</v>
      </c>
      <c r="F30" s="1067"/>
      <c r="G30" s="984">
        <f t="shared" si="1"/>
        <v>573.42999999999995</v>
      </c>
      <c r="H30" s="985">
        <f>C30+E30</f>
        <v>60258.18</v>
      </c>
      <c r="I30" s="1192"/>
      <c r="J30" s="1197"/>
      <c r="O30" s="1064"/>
      <c r="P30" s="1063"/>
      <c r="Q30" s="1064"/>
      <c r="R30" s="1063"/>
      <c r="S30" s="1064"/>
    </row>
    <row r="31" spans="1:19" s="1090" customFormat="1" ht="15" customHeight="1">
      <c r="A31" s="978">
        <f t="shared" si="2"/>
        <v>42864</v>
      </c>
      <c r="B31" s="1008">
        <v>68.11</v>
      </c>
      <c r="C31" s="977">
        <v>7219.66</v>
      </c>
      <c r="D31" s="1008">
        <v>603.6</v>
      </c>
      <c r="E31" s="977">
        <v>63981.599999999999</v>
      </c>
      <c r="F31" s="1067"/>
      <c r="G31" s="984">
        <f t="shared" si="1"/>
        <v>671.71</v>
      </c>
      <c r="H31" s="985">
        <f t="shared" si="1"/>
        <v>71201.259999999995</v>
      </c>
      <c r="I31" s="1192"/>
      <c r="J31" s="1197"/>
      <c r="O31" s="1064"/>
      <c r="P31" s="1063"/>
      <c r="Q31" s="1064"/>
      <c r="R31" s="1063"/>
      <c r="S31" s="1064"/>
    </row>
    <row r="32" spans="1:19" s="1090" customFormat="1" ht="15" customHeight="1">
      <c r="A32" s="978">
        <f t="shared" si="2"/>
        <v>42896</v>
      </c>
      <c r="B32" s="1008">
        <v>81.84</v>
      </c>
      <c r="C32" s="977">
        <v>8675.0400000000009</v>
      </c>
      <c r="D32" s="1008">
        <v>590.09</v>
      </c>
      <c r="E32" s="977">
        <v>62549.54</v>
      </c>
      <c r="F32" s="1067"/>
      <c r="G32" s="984">
        <f>B32+D32</f>
        <v>671.93000000000006</v>
      </c>
      <c r="H32" s="985">
        <f>C32+E32</f>
        <v>71224.58</v>
      </c>
      <c r="I32" s="1192"/>
      <c r="J32" s="1197"/>
      <c r="O32" s="1064"/>
      <c r="P32" s="1063"/>
      <c r="Q32" s="1064"/>
      <c r="R32" s="1063"/>
      <c r="S32" s="1064"/>
    </row>
    <row r="33" spans="1:19" s="1090" customFormat="1" ht="15" customHeight="1">
      <c r="A33" s="978">
        <f t="shared" si="2"/>
        <v>42928</v>
      </c>
      <c r="B33" s="1008">
        <v>76.83</v>
      </c>
      <c r="C33" s="977">
        <v>8013.24</v>
      </c>
      <c r="D33" s="1008">
        <v>559.62</v>
      </c>
      <c r="E33" s="977">
        <v>59319.72</v>
      </c>
      <c r="F33" s="1067"/>
      <c r="G33" s="984">
        <f t="shared" si="1"/>
        <v>636.45000000000005</v>
      </c>
      <c r="H33" s="985">
        <f t="shared" si="1"/>
        <v>67332.960000000006</v>
      </c>
      <c r="I33" s="1192"/>
      <c r="J33" s="1197"/>
      <c r="O33" s="1064"/>
      <c r="P33" s="1063"/>
      <c r="Q33" s="1064"/>
      <c r="R33" s="1063"/>
      <c r="S33" s="1064"/>
    </row>
    <row r="34" spans="1:19" s="1090" customFormat="1" ht="15" customHeight="1">
      <c r="A34" s="978">
        <f t="shared" si="2"/>
        <v>42960</v>
      </c>
      <c r="B34" s="1008">
        <v>135.22</v>
      </c>
      <c r="C34" s="977">
        <v>13023.16</v>
      </c>
      <c r="D34" s="1008">
        <v>590.73</v>
      </c>
      <c r="E34" s="977">
        <v>62617.38</v>
      </c>
      <c r="F34" s="1067"/>
      <c r="G34" s="984">
        <f t="shared" si="1"/>
        <v>725.95</v>
      </c>
      <c r="H34" s="985">
        <f t="shared" si="1"/>
        <v>75640.539999999994</v>
      </c>
      <c r="I34" s="1192"/>
      <c r="J34" s="1197"/>
      <c r="O34" s="1064"/>
      <c r="P34" s="1063"/>
      <c r="Q34" s="1064"/>
      <c r="R34" s="1063"/>
      <c r="S34" s="1064"/>
    </row>
    <row r="35" spans="1:19" s="1090" customFormat="1" ht="15" customHeight="1">
      <c r="A35" s="978">
        <f t="shared" si="2"/>
        <v>42992</v>
      </c>
      <c r="B35" s="1008">
        <v>90.33</v>
      </c>
      <c r="C35" s="977">
        <v>9574.98</v>
      </c>
      <c r="D35" s="1008">
        <v>528.9</v>
      </c>
      <c r="E35" s="977">
        <v>56063.4</v>
      </c>
      <c r="F35" s="1067"/>
      <c r="G35" s="984">
        <f t="shared" si="1"/>
        <v>619.23</v>
      </c>
      <c r="H35" s="985">
        <f t="shared" si="1"/>
        <v>65638.38</v>
      </c>
      <c r="I35" s="1192"/>
      <c r="J35" s="1197"/>
      <c r="O35" s="1064"/>
      <c r="P35" s="1063"/>
      <c r="Q35" s="1064"/>
      <c r="R35" s="1063"/>
      <c r="S35" s="1064"/>
    </row>
    <row r="36" spans="1:19" s="1090" customFormat="1" ht="15" customHeight="1">
      <c r="A36" s="978">
        <f t="shared" si="2"/>
        <v>43024</v>
      </c>
      <c r="B36" s="1008">
        <v>93.81</v>
      </c>
      <c r="C36" s="977">
        <v>9671.9</v>
      </c>
      <c r="D36" s="1008">
        <v>579.54999999999995</v>
      </c>
      <c r="E36" s="977">
        <v>61432.3</v>
      </c>
      <c r="F36" s="1067"/>
      <c r="G36" s="984">
        <f t="shared" si="1"/>
        <v>673.3599999999999</v>
      </c>
      <c r="H36" s="985">
        <f t="shared" si="1"/>
        <v>71104.2</v>
      </c>
      <c r="I36" s="1192"/>
      <c r="J36" s="1197"/>
      <c r="O36" s="1064"/>
      <c r="P36" s="1063"/>
      <c r="Q36" s="1064"/>
      <c r="R36" s="1063"/>
      <c r="S36" s="1064"/>
    </row>
    <row r="37" spans="1:19" s="1090" customFormat="1" ht="15" customHeight="1">
      <c r="A37" s="978">
        <f t="shared" si="2"/>
        <v>43056</v>
      </c>
      <c r="B37" s="1008">
        <v>61.77</v>
      </c>
      <c r="C37" s="977">
        <v>6435.09</v>
      </c>
      <c r="D37" s="1008">
        <v>605.52</v>
      </c>
      <c r="E37" s="977">
        <v>64185.120000000003</v>
      </c>
      <c r="F37" s="1067"/>
      <c r="G37" s="984">
        <f t="shared" si="1"/>
        <v>667.29</v>
      </c>
      <c r="H37" s="985">
        <f t="shared" si="1"/>
        <v>70620.210000000006</v>
      </c>
      <c r="I37" s="1192"/>
      <c r="J37" s="1197"/>
      <c r="O37" s="1064"/>
      <c r="P37" s="1063"/>
      <c r="Q37" s="1064"/>
      <c r="R37" s="1063"/>
      <c r="S37" s="1064"/>
    </row>
    <row r="38" spans="1:19" s="1090" customFormat="1" ht="15" customHeight="1">
      <c r="A38" s="978">
        <f t="shared" si="2"/>
        <v>43088</v>
      </c>
      <c r="B38" s="1008">
        <v>48.62</v>
      </c>
      <c r="C38" s="977">
        <v>5153.72</v>
      </c>
      <c r="D38" s="1008">
        <v>484.01</v>
      </c>
      <c r="E38" s="977">
        <v>51305.06</v>
      </c>
      <c r="F38" s="1067"/>
      <c r="G38" s="984">
        <f t="shared" si="1"/>
        <v>532.63</v>
      </c>
      <c r="H38" s="985">
        <f t="shared" si="1"/>
        <v>56458.78</v>
      </c>
      <c r="I38" s="1192"/>
      <c r="J38" s="1197"/>
      <c r="O38" s="1064"/>
      <c r="P38" s="1063"/>
      <c r="Q38" s="1064"/>
      <c r="R38" s="1063"/>
      <c r="S38" s="1064"/>
    </row>
    <row r="39" spans="1:19" s="1090" customFormat="1" ht="6" customHeight="1">
      <c r="A39" s="976"/>
      <c r="B39" s="1070"/>
      <c r="C39" s="1071"/>
      <c r="D39" s="1070"/>
      <c r="E39" s="1071"/>
      <c r="F39" s="1006"/>
      <c r="G39" s="1072"/>
      <c r="H39" s="1073"/>
      <c r="I39" s="1064"/>
      <c r="O39" s="1064"/>
      <c r="P39" s="1063"/>
      <c r="Q39" s="1064"/>
      <c r="R39" s="1063"/>
      <c r="S39" s="1064"/>
    </row>
    <row r="40" spans="1:19" s="1090" customFormat="1" ht="13.5" thickBot="1">
      <c r="B40" s="975">
        <f>SUM(B27:B38)</f>
        <v>820.00999999999988</v>
      </c>
      <c r="C40" s="974">
        <f t="shared" ref="C40:H40" si="3">SUM(C27:C38)</f>
        <v>84576.26999999999</v>
      </c>
      <c r="D40" s="975">
        <f t="shared" si="3"/>
        <v>6679.1399999999994</v>
      </c>
      <c r="E40" s="974">
        <f t="shared" si="3"/>
        <v>707988.84000000008</v>
      </c>
      <c r="F40" s="975"/>
      <c r="G40" s="975">
        <f t="shared" si="3"/>
        <v>7499.1499999999987</v>
      </c>
      <c r="H40" s="974">
        <f t="shared" si="3"/>
        <v>792565.11</v>
      </c>
      <c r="I40" s="1064"/>
      <c r="O40" s="1064"/>
      <c r="P40" s="1063"/>
      <c r="Q40" s="1064"/>
      <c r="R40" s="1063"/>
      <c r="S40" s="1064"/>
    </row>
    <row r="41" spans="1:19" s="1090" customFormat="1" ht="9" hidden="1" customHeight="1" thickTop="1">
      <c r="B41" s="982"/>
      <c r="C41" s="973"/>
      <c r="D41" s="982"/>
      <c r="E41" s="973"/>
      <c r="F41" s="982"/>
      <c r="G41" s="972"/>
      <c r="H41" s="973"/>
      <c r="I41" s="1064"/>
      <c r="J41" s="1063"/>
      <c r="K41" s="1064"/>
      <c r="L41" s="1063"/>
      <c r="M41" s="1064"/>
      <c r="N41" s="1063"/>
      <c r="O41" s="1064"/>
      <c r="P41" s="1063"/>
      <c r="Q41" s="1064"/>
      <c r="R41" s="1063"/>
      <c r="S41" s="1064"/>
    </row>
    <row r="42" spans="1:19" s="1090" customFormat="1" ht="9" hidden="1" customHeight="1">
      <c r="B42" s="1063"/>
      <c r="C42" s="1064"/>
      <c r="D42" s="1063"/>
      <c r="E42" s="1064"/>
      <c r="F42" s="1063"/>
      <c r="H42" s="1064"/>
      <c r="I42" s="1064"/>
      <c r="J42" s="1063"/>
      <c r="K42" s="1064"/>
      <c r="L42" s="1063"/>
      <c r="M42" s="1064"/>
      <c r="N42" s="1063"/>
      <c r="O42" s="1064"/>
      <c r="P42" s="1063"/>
      <c r="Q42" s="1064"/>
      <c r="R42" s="1063"/>
      <c r="S42" s="1064"/>
    </row>
    <row r="43" spans="1:19" s="1110" customFormat="1" ht="8.25" customHeight="1" thickTop="1">
      <c r="B43" s="1106"/>
      <c r="C43" s="1107"/>
      <c r="D43" s="1106"/>
      <c r="E43" s="1107"/>
      <c r="F43" s="1106"/>
      <c r="H43" s="1107"/>
      <c r="I43" s="1107"/>
      <c r="J43" s="1106"/>
      <c r="K43" s="1107"/>
      <c r="L43" s="1106"/>
      <c r="M43" s="1107"/>
      <c r="N43" s="1106"/>
      <c r="O43" s="1107"/>
      <c r="P43" s="1106"/>
      <c r="Q43" s="1107"/>
      <c r="R43" s="1106"/>
      <c r="S43" s="1107"/>
    </row>
    <row r="44" spans="1:19">
      <c r="A44" s="1093" t="s">
        <v>404</v>
      </c>
      <c r="C44" s="991"/>
      <c r="D44" s="990"/>
      <c r="E44" s="991"/>
      <c r="F44" s="990"/>
      <c r="G44" s="992"/>
    </row>
    <row r="45" spans="1:19" s="1012" customFormat="1" ht="15">
      <c r="A45" s="1015" t="s">
        <v>1805</v>
      </c>
      <c r="B45" s="1074"/>
      <c r="C45" s="1075"/>
      <c r="D45" s="1075"/>
      <c r="E45" s="1078"/>
      <c r="F45" s="1075"/>
      <c r="G45" s="1075"/>
      <c r="H45" s="1014"/>
      <c r="I45" s="1077"/>
      <c r="J45" s="1078"/>
      <c r="K45" s="1076"/>
      <c r="L45" s="1074"/>
      <c r="M45" s="1075"/>
      <c r="N45" s="1075"/>
      <c r="P45" s="1075"/>
      <c r="Q45" s="1075"/>
      <c r="S45" s="1075"/>
    </row>
    <row r="46" spans="1:19" s="1012" customFormat="1" ht="9" customHeight="1">
      <c r="B46" s="1074"/>
      <c r="C46" s="1075"/>
      <c r="D46" s="1075"/>
      <c r="E46" s="1074"/>
      <c r="F46" s="1075"/>
      <c r="G46" s="1075"/>
      <c r="I46" s="1074"/>
      <c r="J46" s="1075"/>
      <c r="K46" s="1075"/>
      <c r="L46" s="1074"/>
      <c r="M46" s="1075"/>
      <c r="N46" s="1075"/>
      <c r="P46" s="1075"/>
      <c r="Q46" s="1075"/>
      <c r="S46" s="1075"/>
    </row>
    <row r="47" spans="1:19" s="1012" customFormat="1" ht="15">
      <c r="B47" s="1676" t="s">
        <v>1899</v>
      </c>
      <c r="C47" s="1677"/>
      <c r="D47" s="1677"/>
      <c r="E47" s="1677"/>
      <c r="F47" s="1678"/>
      <c r="G47" s="1079"/>
      <c r="I47" s="1676" t="s">
        <v>1900</v>
      </c>
      <c r="J47" s="1677"/>
      <c r="K47" s="1677"/>
      <c r="L47" s="1677"/>
      <c r="M47" s="1678"/>
      <c r="N47" s="1079"/>
      <c r="Q47" s="1442" t="s">
        <v>26</v>
      </c>
      <c r="S47" s="1075"/>
    </row>
    <row r="48" spans="1:19" s="1012" customFormat="1" ht="15">
      <c r="B48" s="1673" t="s">
        <v>1802</v>
      </c>
      <c r="C48" s="1673"/>
      <c r="D48" s="1080" t="s">
        <v>902</v>
      </c>
      <c r="E48" s="1674" t="s">
        <v>1801</v>
      </c>
      <c r="F48" s="1674"/>
      <c r="G48" s="1080" t="s">
        <v>902</v>
      </c>
      <c r="H48" s="1074"/>
      <c r="I48" s="1673" t="s">
        <v>1802</v>
      </c>
      <c r="J48" s="1673"/>
      <c r="K48" s="1080" t="s">
        <v>902</v>
      </c>
      <c r="L48" s="1674" t="s">
        <v>1801</v>
      </c>
      <c r="M48" s="1674"/>
      <c r="N48" s="1081" t="s">
        <v>902</v>
      </c>
      <c r="O48" s="1074"/>
    </row>
    <row r="49" spans="1:28" s="1012" customFormat="1" ht="15">
      <c r="B49" s="1065" t="s">
        <v>1799</v>
      </c>
      <c r="C49" s="1066" t="s">
        <v>1800</v>
      </c>
      <c r="D49" s="1066"/>
      <c r="E49" s="1065" t="s">
        <v>1799</v>
      </c>
      <c r="F49" s="1066" t="s">
        <v>1800</v>
      </c>
      <c r="G49" s="1082"/>
      <c r="H49" s="1074"/>
      <c r="I49" s="1065" t="s">
        <v>1799</v>
      </c>
      <c r="J49" s="1066" t="s">
        <v>1800</v>
      </c>
      <c r="K49" s="1066"/>
      <c r="L49" s="1065" t="s">
        <v>1799</v>
      </c>
      <c r="M49" s="1066" t="s">
        <v>1800</v>
      </c>
      <c r="N49" s="1066"/>
      <c r="O49" s="1077"/>
      <c r="P49" s="1488" t="s">
        <v>1799</v>
      </c>
      <c r="Q49" s="1066" t="s">
        <v>1800</v>
      </c>
    </row>
    <row r="50" spans="1:28" s="1012" customFormat="1" ht="15" hidden="1">
      <c r="A50" s="979">
        <v>41183</v>
      </c>
      <c r="B50" s="981">
        <v>3.45</v>
      </c>
      <c r="C50" s="1064">
        <v>376.05</v>
      </c>
      <c r="D50" s="1064">
        <f>IFERROR((C50/B50),0)</f>
        <v>109</v>
      </c>
      <c r="E50" s="981">
        <v>103.82</v>
      </c>
      <c r="F50" s="1064">
        <v>11316.38</v>
      </c>
      <c r="G50" s="1064">
        <f t="shared" ref="G50:G76" si="4">F50/E50</f>
        <v>109</v>
      </c>
      <c r="H50" s="1063"/>
      <c r="I50" s="981">
        <v>2.23</v>
      </c>
      <c r="J50" s="1064">
        <v>231.92</v>
      </c>
      <c r="K50" s="1064">
        <f>IFERROR((J50/I50),0)</f>
        <v>104</v>
      </c>
      <c r="L50" s="981">
        <v>50.13</v>
      </c>
      <c r="M50" s="1064">
        <v>5213.5200000000004</v>
      </c>
      <c r="N50" s="1064">
        <f>IFERROR((M50/L50),0)</f>
        <v>104</v>
      </c>
      <c r="O50" s="1067"/>
      <c r="P50" s="1068">
        <f t="shared" ref="P50:Q65" si="5">B50+E50+I50+L50</f>
        <v>159.63</v>
      </c>
      <c r="Q50" s="1069">
        <f t="shared" si="5"/>
        <v>17137.87</v>
      </c>
      <c r="R50" s="1064"/>
      <c r="S50" s="1074"/>
      <c r="T50" s="970"/>
      <c r="U50" s="1074"/>
      <c r="V50" s="1075"/>
      <c r="W50" s="1074"/>
      <c r="X50" s="1075"/>
      <c r="Y50" s="1074"/>
      <c r="Z50" s="1075"/>
      <c r="AA50" s="1074"/>
      <c r="AB50" s="1075"/>
    </row>
    <row r="51" spans="1:28" s="1012" customFormat="1" ht="15" hidden="1">
      <c r="A51" s="979">
        <v>41214</v>
      </c>
      <c r="B51" s="981">
        <v>0</v>
      </c>
      <c r="C51" s="1064">
        <v>0</v>
      </c>
      <c r="D51" s="1064">
        <f t="shared" ref="D51:D76" si="6">IFERROR((C51/B51),0)</f>
        <v>0</v>
      </c>
      <c r="E51" s="981">
        <v>88.47</v>
      </c>
      <c r="F51" s="1064">
        <v>9643.23</v>
      </c>
      <c r="G51" s="1064">
        <f t="shared" si="4"/>
        <v>109</v>
      </c>
      <c r="H51" s="1063"/>
      <c r="I51" s="981">
        <v>10.09</v>
      </c>
      <c r="J51" s="1064">
        <v>1049.3599999999999</v>
      </c>
      <c r="K51" s="1064">
        <f t="shared" ref="K51:K76" si="7">IFERROR((J51/I51),0)</f>
        <v>103.99999999999999</v>
      </c>
      <c r="L51" s="981">
        <v>43.27</v>
      </c>
      <c r="M51" s="1064">
        <v>4500.08</v>
      </c>
      <c r="N51" s="1064">
        <f t="shared" ref="N51:N76" si="8">IFERROR((M51/L51),0)</f>
        <v>103.99999999999999</v>
      </c>
      <c r="O51" s="1067"/>
      <c r="P51" s="1068">
        <f t="shared" si="5"/>
        <v>141.83000000000001</v>
      </c>
      <c r="Q51" s="1069">
        <f t="shared" si="5"/>
        <v>15192.67</v>
      </c>
      <c r="R51" s="1064"/>
      <c r="S51" s="1074"/>
      <c r="T51" s="970"/>
      <c r="U51" s="1074"/>
      <c r="V51" s="1075"/>
      <c r="W51" s="1074"/>
      <c r="X51" s="1075"/>
      <c r="Y51" s="1074"/>
      <c r="Z51" s="1075"/>
      <c r="AA51" s="1074"/>
      <c r="AB51" s="1075"/>
    </row>
    <row r="52" spans="1:28" s="1012" customFormat="1" ht="15" hidden="1">
      <c r="A52" s="979">
        <v>41244</v>
      </c>
      <c r="B52" s="981">
        <v>2.87</v>
      </c>
      <c r="C52" s="1064">
        <v>312.83</v>
      </c>
      <c r="D52" s="1064">
        <f t="shared" si="6"/>
        <v>108.99999999999999</v>
      </c>
      <c r="E52" s="981">
        <v>63.76</v>
      </c>
      <c r="F52" s="1064">
        <v>6949.84</v>
      </c>
      <c r="G52" s="1064">
        <f t="shared" si="4"/>
        <v>109</v>
      </c>
      <c r="H52" s="1063"/>
      <c r="I52" s="981">
        <v>0</v>
      </c>
      <c r="J52" s="1064">
        <v>0</v>
      </c>
      <c r="K52" s="1064">
        <f t="shared" si="7"/>
        <v>0</v>
      </c>
      <c r="L52" s="981">
        <v>42.78</v>
      </c>
      <c r="M52" s="1064">
        <v>4449.12</v>
      </c>
      <c r="N52" s="1064">
        <f t="shared" si="8"/>
        <v>104</v>
      </c>
      <c r="O52" s="1067"/>
      <c r="P52" s="1068">
        <f t="shared" si="5"/>
        <v>109.41</v>
      </c>
      <c r="Q52" s="1069">
        <f t="shared" si="5"/>
        <v>11711.79</v>
      </c>
      <c r="R52" s="1064"/>
      <c r="S52" s="1074"/>
      <c r="T52" s="970"/>
      <c r="U52" s="1074"/>
      <c r="V52" s="1075"/>
      <c r="W52" s="1074"/>
      <c r="X52" s="1075"/>
      <c r="Y52" s="1074"/>
      <c r="Z52" s="1075"/>
      <c r="AA52" s="1074"/>
      <c r="AB52" s="1075"/>
    </row>
    <row r="53" spans="1:28" s="1012" customFormat="1" ht="15" hidden="1">
      <c r="A53" s="979">
        <v>41275</v>
      </c>
      <c r="B53" s="981">
        <v>3.65</v>
      </c>
      <c r="C53" s="1064">
        <v>408.8</v>
      </c>
      <c r="D53" s="1064">
        <f t="shared" si="6"/>
        <v>112</v>
      </c>
      <c r="E53" s="981">
        <v>78.400000000000006</v>
      </c>
      <c r="F53" s="1064">
        <v>8780.7999999999993</v>
      </c>
      <c r="G53" s="1064">
        <f t="shared" si="4"/>
        <v>111.99999999999999</v>
      </c>
      <c r="H53" s="1063"/>
      <c r="I53" s="981">
        <v>5.97</v>
      </c>
      <c r="J53" s="1064">
        <v>638.79</v>
      </c>
      <c r="K53" s="1064">
        <f t="shared" si="7"/>
        <v>107</v>
      </c>
      <c r="L53" s="981">
        <v>33.93</v>
      </c>
      <c r="M53" s="1064">
        <v>3630.51</v>
      </c>
      <c r="N53" s="1064">
        <f t="shared" si="8"/>
        <v>107.00000000000001</v>
      </c>
      <c r="O53" s="1067"/>
      <c r="P53" s="1068">
        <f t="shared" si="5"/>
        <v>121.95000000000002</v>
      </c>
      <c r="Q53" s="1069">
        <f t="shared" si="5"/>
        <v>13458.9</v>
      </c>
      <c r="R53" s="1064"/>
      <c r="S53" s="1074"/>
      <c r="T53" s="970"/>
      <c r="U53" s="1074"/>
      <c r="V53" s="1075"/>
      <c r="W53" s="1074"/>
      <c r="X53" s="1075"/>
      <c r="Y53" s="1074"/>
      <c r="Z53" s="1075"/>
      <c r="AA53" s="1074"/>
      <c r="AB53" s="1075"/>
    </row>
    <row r="54" spans="1:28" s="1012" customFormat="1" ht="15" hidden="1">
      <c r="A54" s="979">
        <v>41306</v>
      </c>
      <c r="B54" s="981">
        <v>3.61</v>
      </c>
      <c r="C54" s="1064">
        <v>404.32</v>
      </c>
      <c r="D54" s="1064">
        <f t="shared" si="6"/>
        <v>112</v>
      </c>
      <c r="E54" s="981">
        <v>74.16</v>
      </c>
      <c r="F54" s="1064">
        <v>8305.92</v>
      </c>
      <c r="G54" s="1064">
        <f t="shared" si="4"/>
        <v>112</v>
      </c>
      <c r="H54" s="1063"/>
      <c r="I54" s="981">
        <v>22.25</v>
      </c>
      <c r="J54" s="1064">
        <v>2380.75</v>
      </c>
      <c r="K54" s="1064">
        <f t="shared" si="7"/>
        <v>107</v>
      </c>
      <c r="L54" s="981">
        <v>27.78</v>
      </c>
      <c r="M54" s="1064">
        <v>2972.46</v>
      </c>
      <c r="N54" s="1064">
        <f t="shared" si="8"/>
        <v>107</v>
      </c>
      <c r="O54" s="1067"/>
      <c r="P54" s="1068">
        <f t="shared" si="5"/>
        <v>127.8</v>
      </c>
      <c r="Q54" s="1069">
        <f t="shared" si="5"/>
        <v>14063.45</v>
      </c>
      <c r="R54" s="1064"/>
      <c r="S54" s="1074"/>
      <c r="T54" s="970"/>
      <c r="U54" s="1074"/>
      <c r="V54" s="1075"/>
      <c r="W54" s="1074"/>
      <c r="X54" s="1075"/>
      <c r="Y54" s="1074"/>
      <c r="Z54" s="1075"/>
      <c r="AA54" s="1074"/>
      <c r="AB54" s="1075"/>
    </row>
    <row r="55" spans="1:28" s="1012" customFormat="1" ht="15" hidden="1">
      <c r="A55" s="979">
        <v>41334</v>
      </c>
      <c r="B55" s="981">
        <v>3.39</v>
      </c>
      <c r="C55" s="1064">
        <v>379.68</v>
      </c>
      <c r="D55" s="1064">
        <f t="shared" si="6"/>
        <v>112</v>
      </c>
      <c r="E55" s="981">
        <v>86.1</v>
      </c>
      <c r="F55" s="1064">
        <v>9643.2000000000007</v>
      </c>
      <c r="G55" s="1064">
        <f t="shared" si="4"/>
        <v>112.00000000000001</v>
      </c>
      <c r="H55" s="1063"/>
      <c r="I55" s="981">
        <v>0</v>
      </c>
      <c r="J55" s="1064">
        <v>0</v>
      </c>
      <c r="K55" s="1064">
        <f t="shared" si="7"/>
        <v>0</v>
      </c>
      <c r="L55" s="981">
        <v>39.6</v>
      </c>
      <c r="M55" s="1064">
        <v>4237.2</v>
      </c>
      <c r="N55" s="1064">
        <f t="shared" si="8"/>
        <v>106.99999999999999</v>
      </c>
      <c r="O55" s="1067"/>
      <c r="P55" s="1068">
        <f t="shared" si="5"/>
        <v>129.09</v>
      </c>
      <c r="Q55" s="1069">
        <f t="shared" si="5"/>
        <v>14260.080000000002</v>
      </c>
      <c r="R55" s="1064"/>
      <c r="S55" s="1074"/>
      <c r="T55" s="970"/>
      <c r="U55" s="1074"/>
      <c r="V55" s="1075"/>
      <c r="W55" s="1074"/>
      <c r="X55" s="1075"/>
      <c r="Y55" s="1074"/>
      <c r="Z55" s="1075"/>
      <c r="AA55" s="1074"/>
      <c r="AB55" s="1075"/>
    </row>
    <row r="56" spans="1:28" s="1012" customFormat="1" ht="15" hidden="1">
      <c r="A56" s="979">
        <v>41365</v>
      </c>
      <c r="B56" s="981">
        <v>3.25</v>
      </c>
      <c r="C56" s="1064">
        <v>364</v>
      </c>
      <c r="D56" s="1064">
        <f t="shared" si="6"/>
        <v>112</v>
      </c>
      <c r="E56" s="981">
        <v>89.609999999999985</v>
      </c>
      <c r="F56" s="1064">
        <v>10036.32</v>
      </c>
      <c r="G56" s="1064">
        <f t="shared" si="4"/>
        <v>112.00000000000001</v>
      </c>
      <c r="H56" s="1063"/>
      <c r="I56" s="981">
        <v>16.89</v>
      </c>
      <c r="J56" s="1064">
        <v>1807.23</v>
      </c>
      <c r="K56" s="1064">
        <f t="shared" si="7"/>
        <v>107</v>
      </c>
      <c r="L56" s="981">
        <v>47.55</v>
      </c>
      <c r="M56" s="1064">
        <v>5087.8499999999995</v>
      </c>
      <c r="N56" s="1064">
        <f t="shared" si="8"/>
        <v>107</v>
      </c>
      <c r="O56" s="1067"/>
      <c r="P56" s="1068">
        <f t="shared" si="5"/>
        <v>157.29999999999998</v>
      </c>
      <c r="Q56" s="1069">
        <f t="shared" si="5"/>
        <v>17295.399999999998</v>
      </c>
      <c r="R56" s="1064"/>
      <c r="S56" s="1074"/>
      <c r="T56" s="970"/>
      <c r="U56" s="1074"/>
      <c r="V56" s="1075"/>
      <c r="W56" s="1074"/>
      <c r="X56" s="1075"/>
      <c r="Y56" s="1074"/>
      <c r="Z56" s="1075"/>
      <c r="AA56" s="1074"/>
      <c r="AB56" s="1075"/>
    </row>
    <row r="57" spans="1:28" s="1012" customFormat="1" ht="15" hidden="1">
      <c r="A57" s="979">
        <v>41395</v>
      </c>
      <c r="B57" s="981">
        <v>0</v>
      </c>
      <c r="C57" s="1064">
        <v>0</v>
      </c>
      <c r="D57" s="1064">
        <f t="shared" si="6"/>
        <v>0</v>
      </c>
      <c r="E57" s="981">
        <v>104.82000000000001</v>
      </c>
      <c r="F57" s="1064">
        <v>10796.460000000001</v>
      </c>
      <c r="G57" s="1064">
        <f t="shared" si="4"/>
        <v>103</v>
      </c>
      <c r="H57" s="1063"/>
      <c r="I57" s="981">
        <v>21.729999999999997</v>
      </c>
      <c r="J57" s="1064">
        <v>2129.54</v>
      </c>
      <c r="K57" s="1064">
        <f t="shared" si="7"/>
        <v>98.000000000000014</v>
      </c>
      <c r="L57" s="981">
        <v>36.03</v>
      </c>
      <c r="M57" s="1064">
        <v>3530.94</v>
      </c>
      <c r="N57" s="1064">
        <f t="shared" si="8"/>
        <v>98</v>
      </c>
      <c r="O57" s="1067"/>
      <c r="P57" s="1068">
        <f t="shared" si="5"/>
        <v>162.58000000000001</v>
      </c>
      <c r="Q57" s="1069">
        <f t="shared" si="5"/>
        <v>16456.939999999999</v>
      </c>
      <c r="R57" s="1064"/>
      <c r="S57" s="1074"/>
      <c r="T57" s="970"/>
      <c r="U57" s="1074"/>
      <c r="V57" s="1075"/>
      <c r="W57" s="1074"/>
      <c r="X57" s="1075"/>
      <c r="Y57" s="1074"/>
      <c r="Z57" s="1075"/>
      <c r="AA57" s="1074"/>
      <c r="AB57" s="1075"/>
    </row>
    <row r="58" spans="1:28" s="1012" customFormat="1" ht="15" hidden="1">
      <c r="A58" s="979">
        <v>41426</v>
      </c>
      <c r="B58" s="981"/>
      <c r="C58" s="1064"/>
      <c r="D58" s="1064">
        <f t="shared" si="6"/>
        <v>0</v>
      </c>
      <c r="E58" s="981">
        <v>88.649999999999991</v>
      </c>
      <c r="F58" s="1064">
        <v>9130.9499999999989</v>
      </c>
      <c r="G58" s="1064">
        <f t="shared" si="4"/>
        <v>103</v>
      </c>
      <c r="H58" s="1063"/>
      <c r="I58" s="981">
        <v>4.8499999999999996</v>
      </c>
      <c r="J58" s="1064">
        <v>475.3</v>
      </c>
      <c r="K58" s="1064">
        <f t="shared" si="7"/>
        <v>98.000000000000014</v>
      </c>
      <c r="L58" s="981">
        <v>43.32</v>
      </c>
      <c r="M58" s="1064">
        <v>4245.3600000000006</v>
      </c>
      <c r="N58" s="1064">
        <f t="shared" si="8"/>
        <v>98.000000000000014</v>
      </c>
      <c r="O58" s="1067"/>
      <c r="P58" s="1068">
        <f t="shared" si="5"/>
        <v>136.82</v>
      </c>
      <c r="Q58" s="1069">
        <f t="shared" si="5"/>
        <v>13851.609999999999</v>
      </c>
      <c r="R58" s="1064"/>
      <c r="S58" s="1074"/>
      <c r="T58" s="970"/>
      <c r="U58" s="1074"/>
      <c r="V58" s="1075"/>
      <c r="W58" s="1074"/>
      <c r="X58" s="1075"/>
      <c r="Y58" s="1074"/>
      <c r="Z58" s="1075"/>
      <c r="AA58" s="1074"/>
      <c r="AB58" s="1075"/>
    </row>
    <row r="59" spans="1:28" s="1012" customFormat="1" ht="15" hidden="1">
      <c r="A59" s="979">
        <v>41456</v>
      </c>
      <c r="B59" s="981">
        <v>14.29</v>
      </c>
      <c r="C59" s="1064">
        <v>1471.87</v>
      </c>
      <c r="D59" s="1064">
        <f t="shared" si="6"/>
        <v>103</v>
      </c>
      <c r="E59" s="981">
        <v>109.78000000000002</v>
      </c>
      <c r="F59" s="1064">
        <v>11307.340000000002</v>
      </c>
      <c r="G59" s="1064">
        <f t="shared" si="4"/>
        <v>103</v>
      </c>
      <c r="H59" s="1063"/>
      <c r="I59" s="981">
        <v>10.07</v>
      </c>
      <c r="J59" s="1064">
        <v>986.86</v>
      </c>
      <c r="K59" s="1064">
        <f t="shared" si="7"/>
        <v>98</v>
      </c>
      <c r="L59" s="981">
        <v>46.510000000000005</v>
      </c>
      <c r="M59" s="1064">
        <v>4557.9799999999996</v>
      </c>
      <c r="N59" s="1064">
        <f t="shared" si="8"/>
        <v>97.999999999999986</v>
      </c>
      <c r="O59" s="1067"/>
      <c r="P59" s="1068">
        <f t="shared" si="5"/>
        <v>180.65000000000003</v>
      </c>
      <c r="Q59" s="1069">
        <f t="shared" si="5"/>
        <v>18324.050000000003</v>
      </c>
      <c r="R59" s="1064"/>
      <c r="S59" s="1074"/>
      <c r="T59" s="970"/>
      <c r="U59" s="1074"/>
      <c r="V59" s="1075"/>
      <c r="W59" s="1074"/>
      <c r="X59" s="1075"/>
      <c r="Y59" s="1074"/>
      <c r="Z59" s="1075"/>
      <c r="AA59" s="1074"/>
      <c r="AB59" s="1075"/>
    </row>
    <row r="60" spans="1:28" s="1012" customFormat="1" ht="15" hidden="1">
      <c r="A60" s="979">
        <v>41487</v>
      </c>
      <c r="B60" s="981">
        <v>8.11</v>
      </c>
      <c r="C60" s="1064">
        <v>835.33</v>
      </c>
      <c r="D60" s="1064">
        <f t="shared" si="6"/>
        <v>103.00000000000001</v>
      </c>
      <c r="E60" s="981">
        <v>90.21</v>
      </c>
      <c r="F60" s="1064">
        <v>9291.6299999999992</v>
      </c>
      <c r="G60" s="1064">
        <f t="shared" si="4"/>
        <v>103</v>
      </c>
      <c r="H60" s="1063"/>
      <c r="I60" s="981">
        <v>0</v>
      </c>
      <c r="J60" s="1064">
        <v>0</v>
      </c>
      <c r="K60" s="1064">
        <f t="shared" si="7"/>
        <v>0</v>
      </c>
      <c r="L60" s="981">
        <v>33.620000000000005</v>
      </c>
      <c r="M60" s="1064">
        <v>3294.76</v>
      </c>
      <c r="N60" s="1064">
        <f t="shared" si="8"/>
        <v>98</v>
      </c>
      <c r="O60" s="1067"/>
      <c r="P60" s="1068">
        <f t="shared" si="5"/>
        <v>131.94</v>
      </c>
      <c r="Q60" s="1069">
        <f t="shared" si="5"/>
        <v>13421.72</v>
      </c>
      <c r="R60" s="1064"/>
      <c r="S60" s="1074"/>
      <c r="T60" s="970"/>
      <c r="U60" s="1074"/>
      <c r="V60" s="1075"/>
      <c r="W60" s="1074"/>
      <c r="X60" s="1075"/>
      <c r="Y60" s="1074"/>
      <c r="Z60" s="1075"/>
      <c r="AA60" s="1074"/>
      <c r="AB60" s="1075"/>
    </row>
    <row r="61" spans="1:28" s="1012" customFormat="1" ht="15" hidden="1">
      <c r="A61" s="979">
        <v>41518</v>
      </c>
      <c r="B61" s="981">
        <v>5.12</v>
      </c>
      <c r="C61" s="1064">
        <v>527.36</v>
      </c>
      <c r="D61" s="1064">
        <f t="shared" si="6"/>
        <v>103</v>
      </c>
      <c r="E61" s="981">
        <v>103.13</v>
      </c>
      <c r="F61" s="1064">
        <v>10622.39</v>
      </c>
      <c r="G61" s="1064">
        <f t="shared" si="4"/>
        <v>103</v>
      </c>
      <c r="H61" s="1063"/>
      <c r="I61" s="981">
        <v>8.75</v>
      </c>
      <c r="J61" s="1064">
        <v>857.5</v>
      </c>
      <c r="K61" s="1064">
        <f t="shared" si="7"/>
        <v>98</v>
      </c>
      <c r="L61" s="981">
        <v>44.550000000000004</v>
      </c>
      <c r="M61" s="1064">
        <v>4365.8999999999996</v>
      </c>
      <c r="N61" s="1064">
        <f t="shared" si="8"/>
        <v>97.999999999999986</v>
      </c>
      <c r="O61" s="1067"/>
      <c r="P61" s="1068">
        <f t="shared" si="5"/>
        <v>161.55000000000001</v>
      </c>
      <c r="Q61" s="1069">
        <f t="shared" si="5"/>
        <v>16373.15</v>
      </c>
      <c r="R61" s="1064"/>
      <c r="S61" s="1074"/>
      <c r="T61" s="970"/>
      <c r="U61" s="1074"/>
      <c r="V61" s="1075"/>
      <c r="W61" s="1074"/>
      <c r="X61" s="1075"/>
      <c r="Y61" s="1074"/>
      <c r="Z61" s="1075"/>
      <c r="AA61" s="1074"/>
      <c r="AB61" s="1075"/>
    </row>
    <row r="62" spans="1:28" s="1012" customFormat="1" ht="15" hidden="1">
      <c r="A62" s="979">
        <v>41548</v>
      </c>
      <c r="B62" s="981">
        <v>5.39</v>
      </c>
      <c r="C62" s="1064">
        <v>555.16999999999996</v>
      </c>
      <c r="D62" s="1064">
        <f t="shared" si="6"/>
        <v>103</v>
      </c>
      <c r="E62" s="981">
        <v>111.01</v>
      </c>
      <c r="F62" s="1064">
        <v>11434.03</v>
      </c>
      <c r="G62" s="1064">
        <f t="shared" si="4"/>
        <v>103</v>
      </c>
      <c r="H62" s="1063"/>
      <c r="I62" s="981">
        <v>19.02</v>
      </c>
      <c r="J62" s="1064">
        <v>1863.96</v>
      </c>
      <c r="K62" s="1064">
        <f t="shared" si="7"/>
        <v>98</v>
      </c>
      <c r="L62" s="981">
        <v>36</v>
      </c>
      <c r="M62" s="1064">
        <v>3528</v>
      </c>
      <c r="N62" s="1064">
        <f t="shared" si="8"/>
        <v>98</v>
      </c>
      <c r="O62" s="1067"/>
      <c r="P62" s="1068">
        <f t="shared" si="5"/>
        <v>171.42000000000002</v>
      </c>
      <c r="Q62" s="1069">
        <f t="shared" si="5"/>
        <v>17381.16</v>
      </c>
      <c r="R62" s="1064"/>
      <c r="S62" s="1074"/>
      <c r="T62" s="970"/>
      <c r="U62" s="1074"/>
      <c r="V62" s="1075"/>
      <c r="W62" s="1074"/>
      <c r="X62" s="1075"/>
      <c r="Y62" s="1074"/>
      <c r="Z62" s="1075"/>
      <c r="AA62" s="1074"/>
      <c r="AB62" s="1075"/>
    </row>
    <row r="63" spans="1:28" s="1012" customFormat="1" ht="15" hidden="1">
      <c r="A63" s="979">
        <v>41579</v>
      </c>
      <c r="B63" s="981">
        <v>3.8899999999999997</v>
      </c>
      <c r="C63" s="1064">
        <v>400.66999999999996</v>
      </c>
      <c r="D63" s="1064">
        <f t="shared" si="6"/>
        <v>103</v>
      </c>
      <c r="E63" s="981">
        <v>90.320000000000007</v>
      </c>
      <c r="F63" s="1064">
        <v>9302.9599999999991</v>
      </c>
      <c r="G63" s="1064">
        <f t="shared" si="4"/>
        <v>102.99999999999999</v>
      </c>
      <c r="H63" s="1063"/>
      <c r="I63" s="981">
        <v>5.57</v>
      </c>
      <c r="J63" s="1064">
        <v>545.86</v>
      </c>
      <c r="K63" s="1064">
        <f t="shared" si="7"/>
        <v>98</v>
      </c>
      <c r="L63" s="981">
        <v>32.880000000000003</v>
      </c>
      <c r="M63" s="1064">
        <v>3222.24</v>
      </c>
      <c r="N63" s="1064">
        <f t="shared" si="8"/>
        <v>97.999999999999986</v>
      </c>
      <c r="O63" s="1067"/>
      <c r="P63" s="1068">
        <f t="shared" si="5"/>
        <v>132.66</v>
      </c>
      <c r="Q63" s="1069">
        <f t="shared" si="5"/>
        <v>13471.73</v>
      </c>
      <c r="R63" s="1064"/>
      <c r="S63" s="1074"/>
      <c r="T63" s="970"/>
      <c r="U63" s="1074"/>
      <c r="V63" s="1075"/>
      <c r="W63" s="1074"/>
      <c r="X63" s="1075"/>
      <c r="Y63" s="1074"/>
      <c r="Z63" s="1075"/>
      <c r="AA63" s="1074"/>
      <c r="AB63" s="1075"/>
    </row>
    <row r="64" spans="1:28" s="1012" customFormat="1" ht="15" hidden="1">
      <c r="A64" s="979">
        <v>41609</v>
      </c>
      <c r="B64" s="981">
        <v>2.58</v>
      </c>
      <c r="C64" s="1064">
        <v>265.74</v>
      </c>
      <c r="D64" s="1064">
        <f t="shared" si="6"/>
        <v>103</v>
      </c>
      <c r="E64" s="981">
        <v>94.620000000000019</v>
      </c>
      <c r="F64" s="1064">
        <v>9745.86</v>
      </c>
      <c r="G64" s="1064">
        <f t="shared" si="4"/>
        <v>102.99999999999999</v>
      </c>
      <c r="H64" s="1063"/>
      <c r="I64" s="981">
        <v>1.8</v>
      </c>
      <c r="J64" s="1064">
        <v>176.4</v>
      </c>
      <c r="K64" s="1064">
        <f t="shared" si="7"/>
        <v>98</v>
      </c>
      <c r="L64" s="981">
        <v>39.28</v>
      </c>
      <c r="M64" s="1064">
        <v>3849.4399999999996</v>
      </c>
      <c r="N64" s="1064">
        <f t="shared" si="8"/>
        <v>97.999999999999986</v>
      </c>
      <c r="O64" s="1067"/>
      <c r="P64" s="1068">
        <f t="shared" si="5"/>
        <v>138.28000000000003</v>
      </c>
      <c r="Q64" s="1069">
        <f t="shared" si="5"/>
        <v>14037.439999999999</v>
      </c>
      <c r="R64" s="1064"/>
      <c r="S64" s="1074"/>
      <c r="T64" s="970"/>
      <c r="U64" s="1074"/>
      <c r="V64" s="1075"/>
      <c r="W64" s="1074"/>
      <c r="X64" s="1075"/>
      <c r="Y64" s="1074"/>
      <c r="Z64" s="1075"/>
      <c r="AA64" s="1074"/>
      <c r="AB64" s="1075"/>
    </row>
    <row r="65" spans="1:28" s="1012" customFormat="1" ht="15">
      <c r="A65" s="986">
        <v>42748</v>
      </c>
      <c r="B65" s="983">
        <v>0</v>
      </c>
      <c r="C65" s="977">
        <v>0</v>
      </c>
      <c r="D65" s="977">
        <f t="shared" si="6"/>
        <v>0</v>
      </c>
      <c r="E65" s="983">
        <v>105.05</v>
      </c>
      <c r="F65" s="977">
        <v>10610.05</v>
      </c>
      <c r="G65" s="977">
        <f t="shared" si="4"/>
        <v>101</v>
      </c>
      <c r="H65" s="1067"/>
      <c r="I65" s="983">
        <v>11.24</v>
      </c>
      <c r="J65" s="977">
        <v>1218.53</v>
      </c>
      <c r="K65" s="977">
        <f t="shared" si="7"/>
        <v>108.41014234875445</v>
      </c>
      <c r="L65" s="983">
        <v>41.47</v>
      </c>
      <c r="M65" s="977">
        <v>4495.7700000000004</v>
      </c>
      <c r="N65" s="977">
        <f t="shared" si="8"/>
        <v>108.4101760308657</v>
      </c>
      <c r="O65" s="1067"/>
      <c r="P65" s="1487">
        <f t="shared" si="5"/>
        <v>157.76</v>
      </c>
      <c r="Q65" s="985">
        <f t="shared" si="5"/>
        <v>16324.35</v>
      </c>
      <c r="R65" s="1064"/>
      <c r="Y65" s="1074"/>
      <c r="Z65" s="1075"/>
      <c r="AA65" s="1074"/>
      <c r="AB65" s="1075"/>
    </row>
    <row r="66" spans="1:28" s="1012" customFormat="1" ht="15">
      <c r="A66" s="986">
        <v>42779</v>
      </c>
      <c r="B66" s="983">
        <v>5.39</v>
      </c>
      <c r="C66" s="977">
        <v>544.39</v>
      </c>
      <c r="D66" s="977">
        <f t="shared" si="6"/>
        <v>101</v>
      </c>
      <c r="E66" s="983">
        <v>95.88</v>
      </c>
      <c r="F66" s="977">
        <v>9683.8799999999992</v>
      </c>
      <c r="G66" s="977">
        <f t="shared" si="4"/>
        <v>101</v>
      </c>
      <c r="H66" s="1067"/>
      <c r="I66" s="983">
        <v>0</v>
      </c>
      <c r="J66" s="977">
        <v>0</v>
      </c>
      <c r="K66" s="977">
        <f t="shared" si="7"/>
        <v>0</v>
      </c>
      <c r="L66" s="983">
        <v>37.18</v>
      </c>
      <c r="M66" s="977">
        <v>4030.68</v>
      </c>
      <c r="N66" s="977">
        <f t="shared" si="8"/>
        <v>108.40989779451317</v>
      </c>
      <c r="O66" s="1067"/>
      <c r="P66" s="1487">
        <f t="shared" ref="P66:Q76" si="9">B66+E66+I66+L66</f>
        <v>138.44999999999999</v>
      </c>
      <c r="Q66" s="985">
        <f t="shared" si="9"/>
        <v>14258.949999999999</v>
      </c>
      <c r="R66" s="1064"/>
      <c r="Y66" s="1074"/>
      <c r="Z66" s="1075"/>
      <c r="AA66" s="1074"/>
      <c r="AB66" s="1075"/>
    </row>
    <row r="67" spans="1:28" s="1012" customFormat="1" ht="15">
      <c r="A67" s="986">
        <v>42807</v>
      </c>
      <c r="B67" s="983">
        <v>13.63</v>
      </c>
      <c r="C67" s="977">
        <v>1376.63</v>
      </c>
      <c r="D67" s="977">
        <f t="shared" si="6"/>
        <v>101</v>
      </c>
      <c r="E67" s="983">
        <v>115.42</v>
      </c>
      <c r="F67" s="977">
        <v>11657.42</v>
      </c>
      <c r="G67" s="977">
        <f t="shared" si="4"/>
        <v>101</v>
      </c>
      <c r="H67" s="1067"/>
      <c r="I67" s="983">
        <v>4.1399999999999997</v>
      </c>
      <c r="J67" s="977">
        <v>448.82</v>
      </c>
      <c r="K67" s="977">
        <f t="shared" si="7"/>
        <v>108.41062801932368</v>
      </c>
      <c r="L67" s="983">
        <v>45.27</v>
      </c>
      <c r="M67" s="977">
        <v>4907.71</v>
      </c>
      <c r="N67" s="977">
        <f t="shared" si="8"/>
        <v>108.40976364037994</v>
      </c>
      <c r="O67" s="1067"/>
      <c r="P67" s="1487">
        <f t="shared" si="9"/>
        <v>178.46</v>
      </c>
      <c r="Q67" s="985">
        <f t="shared" si="9"/>
        <v>18390.579999999998</v>
      </c>
      <c r="R67" s="1064"/>
      <c r="Y67" s="1074"/>
      <c r="Z67" s="1075"/>
      <c r="AA67" s="1074"/>
      <c r="AB67" s="1075"/>
    </row>
    <row r="68" spans="1:28" s="1012" customFormat="1" ht="15">
      <c r="A68" s="986">
        <v>42838</v>
      </c>
      <c r="B68" s="983">
        <v>28.22</v>
      </c>
      <c r="C68" s="977">
        <v>2948.99</v>
      </c>
      <c r="D68" s="977">
        <f t="shared" si="6"/>
        <v>104.5</v>
      </c>
      <c r="E68" s="983">
        <v>107.11</v>
      </c>
      <c r="F68" s="977">
        <v>11192.99</v>
      </c>
      <c r="G68" s="977">
        <f t="shared" si="4"/>
        <v>104.49995331901783</v>
      </c>
      <c r="H68" s="1067"/>
      <c r="I68" s="983">
        <v>14.86</v>
      </c>
      <c r="J68" s="977">
        <v>1610.97</v>
      </c>
      <c r="K68" s="977">
        <f>IFERROR((J68/I68),0)</f>
        <v>108.40982503364738</v>
      </c>
      <c r="L68" s="983">
        <v>40</v>
      </c>
      <c r="M68" s="977">
        <v>4336.3999999999996</v>
      </c>
      <c r="N68" s="977">
        <f t="shared" si="8"/>
        <v>108.41</v>
      </c>
      <c r="O68" s="1067"/>
      <c r="P68" s="1487">
        <f t="shared" si="9"/>
        <v>190.19</v>
      </c>
      <c r="Q68" s="985">
        <f t="shared" si="9"/>
        <v>20089.349999999999</v>
      </c>
      <c r="R68" s="1064"/>
      <c r="Y68" s="1074"/>
      <c r="Z68" s="1075"/>
      <c r="AA68" s="1074"/>
      <c r="AB68" s="1075"/>
    </row>
    <row r="69" spans="1:28" s="1012" customFormat="1" ht="15">
      <c r="A69" s="986">
        <v>42868</v>
      </c>
      <c r="B69" s="983">
        <v>6.21</v>
      </c>
      <c r="C69" s="977">
        <v>648.95000000000005</v>
      </c>
      <c r="D69" s="977">
        <f>IFERROR((C69/B69),0)</f>
        <v>104.50080515297907</v>
      </c>
      <c r="E69" s="983">
        <v>117.05</v>
      </c>
      <c r="F69" s="977">
        <v>12231.74</v>
      </c>
      <c r="G69" s="977">
        <f>F69/E69</f>
        <v>104.5001281503631</v>
      </c>
      <c r="H69" s="1067"/>
      <c r="I69" s="983">
        <v>16.559999999999999</v>
      </c>
      <c r="J69" s="977">
        <v>1795.27</v>
      </c>
      <c r="K69" s="977">
        <f t="shared" si="7"/>
        <v>108.41002415458938</v>
      </c>
      <c r="L69" s="983">
        <v>59.67</v>
      </c>
      <c r="M69" s="977">
        <v>6468.82</v>
      </c>
      <c r="N69" s="977">
        <f>IFERROR((M69/L69),0)</f>
        <v>108.40992123345063</v>
      </c>
      <c r="O69" s="1067"/>
      <c r="P69" s="1487">
        <f t="shared" si="9"/>
        <v>199.49</v>
      </c>
      <c r="Q69" s="985">
        <f>C69+F69+J69+M69</f>
        <v>21144.78</v>
      </c>
      <c r="R69" s="1064"/>
      <c r="Y69" s="1074"/>
      <c r="Z69" s="1075"/>
      <c r="AA69" s="1074"/>
      <c r="AB69" s="1075"/>
    </row>
    <row r="70" spans="1:28" s="1012" customFormat="1" ht="15">
      <c r="A70" s="986">
        <v>42899</v>
      </c>
      <c r="B70" s="983">
        <v>3.69</v>
      </c>
      <c r="C70" s="977">
        <v>385.61</v>
      </c>
      <c r="D70" s="977">
        <f t="shared" si="6"/>
        <v>104.50135501355014</v>
      </c>
      <c r="E70" s="983">
        <v>127.14</v>
      </c>
      <c r="F70" s="977">
        <v>13286.14</v>
      </c>
      <c r="G70" s="977">
        <f t="shared" si="4"/>
        <v>104.50007865345289</v>
      </c>
      <c r="H70" s="1067"/>
      <c r="I70" s="983">
        <v>3.45</v>
      </c>
      <c r="J70" s="977">
        <v>374.01</v>
      </c>
      <c r="K70" s="977">
        <f t="shared" si="7"/>
        <v>108.4086956521739</v>
      </c>
      <c r="L70" s="983">
        <v>34.21</v>
      </c>
      <c r="M70" s="977">
        <v>3708.71</v>
      </c>
      <c r="N70" s="977">
        <f t="shared" si="8"/>
        <v>108.41011400175387</v>
      </c>
      <c r="O70" s="1067"/>
      <c r="P70" s="1487">
        <f t="shared" si="9"/>
        <v>168.49</v>
      </c>
      <c r="Q70" s="985">
        <f t="shared" si="9"/>
        <v>17754.47</v>
      </c>
      <c r="R70" s="1064"/>
      <c r="Y70" s="1074"/>
      <c r="Z70" s="1075"/>
      <c r="AA70" s="1074"/>
      <c r="AB70" s="1075"/>
    </row>
    <row r="71" spans="1:28" s="1012" customFormat="1" ht="15">
      <c r="A71" s="986">
        <v>42929</v>
      </c>
      <c r="B71" s="983">
        <v>18.3</v>
      </c>
      <c r="C71" s="977">
        <v>1912.36</v>
      </c>
      <c r="D71" s="977">
        <f t="shared" si="6"/>
        <v>104.50054644808742</v>
      </c>
      <c r="E71" s="983">
        <v>90.56</v>
      </c>
      <c r="F71" s="977">
        <v>9463.5300000000007</v>
      </c>
      <c r="G71" s="977">
        <f t="shared" si="4"/>
        <v>104.50011042402828</v>
      </c>
      <c r="H71" s="1067"/>
      <c r="I71" s="983">
        <v>13.07</v>
      </c>
      <c r="J71" s="977">
        <v>1416.92</v>
      </c>
      <c r="K71" s="977">
        <f t="shared" si="7"/>
        <v>108.41009946442234</v>
      </c>
      <c r="L71" s="983">
        <v>41.1</v>
      </c>
      <c r="M71" s="977">
        <v>4445.8900000000003</v>
      </c>
      <c r="N71" s="977">
        <f t="shared" si="8"/>
        <v>108.17250608272506</v>
      </c>
      <c r="O71" s="1067"/>
      <c r="P71" s="1487">
        <f t="shared" si="9"/>
        <v>163.03</v>
      </c>
      <c r="Q71" s="985">
        <f t="shared" si="9"/>
        <v>17238.7</v>
      </c>
      <c r="R71" s="1064"/>
      <c r="Y71" s="1074"/>
      <c r="Z71" s="1075"/>
      <c r="AA71" s="1074"/>
      <c r="AB71" s="1075"/>
    </row>
    <row r="72" spans="1:28" s="1012" customFormat="1" ht="15">
      <c r="A72" s="986">
        <v>42960</v>
      </c>
      <c r="B72" s="983">
        <v>8.4700000000000006</v>
      </c>
      <c r="C72" s="977">
        <v>885.11</v>
      </c>
      <c r="D72" s="977">
        <f t="shared" si="6"/>
        <v>104.49940968122786</v>
      </c>
      <c r="E72" s="983">
        <v>120.34</v>
      </c>
      <c r="F72" s="977">
        <v>12575.55</v>
      </c>
      <c r="G72" s="977">
        <f t="shared" si="4"/>
        <v>104.50016619577862</v>
      </c>
      <c r="H72" s="1067"/>
      <c r="I72" s="983">
        <v>0</v>
      </c>
      <c r="J72" s="977">
        <v>0</v>
      </c>
      <c r="K72" s="977">
        <f t="shared" si="7"/>
        <v>0</v>
      </c>
      <c r="L72" s="983">
        <v>41.73</v>
      </c>
      <c r="M72" s="977">
        <v>4523.95</v>
      </c>
      <c r="N72" s="977">
        <f t="shared" si="8"/>
        <v>108.41001677450276</v>
      </c>
      <c r="O72" s="1067"/>
      <c r="P72" s="1487">
        <f t="shared" si="9"/>
        <v>170.54</v>
      </c>
      <c r="Q72" s="985">
        <f t="shared" si="9"/>
        <v>17984.61</v>
      </c>
      <c r="R72" s="1064"/>
      <c r="Y72" s="1074"/>
      <c r="Z72" s="1075"/>
      <c r="AA72" s="1074"/>
      <c r="AB72" s="1075"/>
    </row>
    <row r="73" spans="1:28" s="1012" customFormat="1" ht="15">
      <c r="A73" s="986">
        <v>42991</v>
      </c>
      <c r="B73" s="983">
        <v>12.48</v>
      </c>
      <c r="C73" s="977">
        <v>1304.1500000000001</v>
      </c>
      <c r="D73" s="977">
        <f t="shared" si="6"/>
        <v>104.49919871794872</v>
      </c>
      <c r="E73" s="983">
        <v>96.25</v>
      </c>
      <c r="F73" s="977">
        <v>10058.129999999999</v>
      </c>
      <c r="G73" s="977">
        <f t="shared" si="4"/>
        <v>104.50005194805193</v>
      </c>
      <c r="H73" s="1067"/>
      <c r="I73" s="983">
        <v>19.38</v>
      </c>
      <c r="J73" s="977">
        <v>2100.98</v>
      </c>
      <c r="K73" s="977">
        <f t="shared" si="7"/>
        <v>108.40970072239423</v>
      </c>
      <c r="L73" s="983">
        <v>42.8</v>
      </c>
      <c r="M73" s="977">
        <v>4639.95</v>
      </c>
      <c r="N73" s="977">
        <f t="shared" si="8"/>
        <v>108.41004672897196</v>
      </c>
      <c r="O73" s="1067"/>
      <c r="P73" s="1487">
        <f t="shared" si="9"/>
        <v>170.91000000000003</v>
      </c>
      <c r="Q73" s="985">
        <f t="shared" si="9"/>
        <v>18103.21</v>
      </c>
      <c r="R73" s="1064"/>
      <c r="Y73" s="1074"/>
      <c r="Z73" s="1075"/>
      <c r="AA73" s="1074"/>
      <c r="AB73" s="1075"/>
    </row>
    <row r="74" spans="1:28" s="1012" customFormat="1" ht="15">
      <c r="A74" s="986">
        <v>43021</v>
      </c>
      <c r="B74" s="983">
        <v>4.25</v>
      </c>
      <c r="C74" s="977">
        <v>444.12</v>
      </c>
      <c r="D74" s="977">
        <f t="shared" si="6"/>
        <v>104.49882352941177</v>
      </c>
      <c r="E74" s="983">
        <v>115.95</v>
      </c>
      <c r="F74" s="977">
        <v>12116.76</v>
      </c>
      <c r="G74" s="977">
        <f t="shared" si="4"/>
        <v>104.49987063389392</v>
      </c>
      <c r="H74" s="1067"/>
      <c r="I74" s="983">
        <v>24.07</v>
      </c>
      <c r="J74" s="977">
        <v>2609.4299999999998</v>
      </c>
      <c r="K74" s="977">
        <f t="shared" si="7"/>
        <v>108.41005400914</v>
      </c>
      <c r="L74" s="983">
        <v>54.84</v>
      </c>
      <c r="M74" s="977">
        <v>5945.2</v>
      </c>
      <c r="N74" s="977">
        <f t="shared" si="8"/>
        <v>108.40991976659372</v>
      </c>
      <c r="O74" s="1067"/>
      <c r="P74" s="1487">
        <f t="shared" si="9"/>
        <v>199.11</v>
      </c>
      <c r="Q74" s="985">
        <f t="shared" si="9"/>
        <v>21115.510000000002</v>
      </c>
      <c r="R74" s="1064"/>
      <c r="Y74" s="1074"/>
      <c r="Z74" s="1075"/>
      <c r="AA74" s="1074"/>
      <c r="AB74" s="1075"/>
    </row>
    <row r="75" spans="1:28" s="1012" customFormat="1" ht="15">
      <c r="A75" s="986">
        <v>43052</v>
      </c>
      <c r="B75" s="983">
        <v>14.97</v>
      </c>
      <c r="C75" s="977">
        <v>1564.36</v>
      </c>
      <c r="D75" s="977">
        <f t="shared" si="6"/>
        <v>104.49966599866399</v>
      </c>
      <c r="E75" s="983">
        <v>115.13</v>
      </c>
      <c r="F75" s="977">
        <v>12031.1</v>
      </c>
      <c r="G75" s="977">
        <f t="shared" si="4"/>
        <v>104.50013028750109</v>
      </c>
      <c r="H75" s="1067"/>
      <c r="I75" s="983">
        <v>11.46</v>
      </c>
      <c r="J75" s="977">
        <v>1242.3800000000001</v>
      </c>
      <c r="K75" s="977">
        <f t="shared" si="7"/>
        <v>108.41012216404887</v>
      </c>
      <c r="L75" s="983">
        <v>45.38</v>
      </c>
      <c r="M75" s="977">
        <v>4919.6499999999996</v>
      </c>
      <c r="N75" s="977">
        <f t="shared" si="8"/>
        <v>108.41009255178491</v>
      </c>
      <c r="O75" s="1067"/>
      <c r="P75" s="1487">
        <f t="shared" si="9"/>
        <v>186.94</v>
      </c>
      <c r="Q75" s="985">
        <f t="shared" si="9"/>
        <v>19757.489999999998</v>
      </c>
      <c r="R75" s="1064"/>
      <c r="Y75" s="1074"/>
      <c r="Z75" s="1075"/>
      <c r="AA75" s="1074"/>
      <c r="AB75" s="1075"/>
    </row>
    <row r="76" spans="1:28" s="1012" customFormat="1" ht="15">
      <c r="A76" s="986">
        <v>43082</v>
      </c>
      <c r="B76" s="983">
        <v>4.6100000000000003</v>
      </c>
      <c r="C76" s="977">
        <v>481.74</v>
      </c>
      <c r="D76" s="977">
        <f t="shared" si="6"/>
        <v>104.49891540130152</v>
      </c>
      <c r="E76" s="983">
        <v>103.89</v>
      </c>
      <c r="F76" s="977">
        <v>10856.5</v>
      </c>
      <c r="G76" s="977">
        <f t="shared" si="4"/>
        <v>104.49995187217249</v>
      </c>
      <c r="H76" s="1067"/>
      <c r="I76" s="983">
        <v>17.37</v>
      </c>
      <c r="J76" s="977">
        <v>1883.08</v>
      </c>
      <c r="K76" s="977">
        <f t="shared" si="7"/>
        <v>108.40990213010937</v>
      </c>
      <c r="L76" s="983">
        <v>28.66</v>
      </c>
      <c r="M76" s="977">
        <v>3107.04</v>
      </c>
      <c r="N76" s="977">
        <f t="shared" si="8"/>
        <v>108.41032798325192</v>
      </c>
      <c r="O76" s="1067"/>
      <c r="P76" s="1487">
        <f t="shared" si="9"/>
        <v>154.53</v>
      </c>
      <c r="Q76" s="985">
        <f t="shared" si="9"/>
        <v>16328.36</v>
      </c>
      <c r="R76" s="1064"/>
      <c r="S76" s="1074"/>
      <c r="T76" s="970"/>
      <c r="U76" s="1074"/>
      <c r="V76" s="1075"/>
      <c r="W76" s="1074"/>
      <c r="X76" s="1075"/>
      <c r="Y76" s="1074"/>
      <c r="Z76" s="1075"/>
      <c r="AA76" s="1074"/>
      <c r="AB76" s="1075"/>
    </row>
    <row r="77" spans="1:28" s="1012" customFormat="1" ht="5.25" customHeight="1">
      <c r="A77" s="979"/>
      <c r="B77" s="1083"/>
      <c r="C77" s="1084"/>
      <c r="D77" s="1084"/>
      <c r="E77" s="1085"/>
      <c r="F77" s="1084"/>
      <c r="G77" s="1084"/>
      <c r="H77" s="969"/>
      <c r="I77" s="1083"/>
      <c r="J77" s="1084"/>
      <c r="K77" s="1084"/>
      <c r="L77" s="1085"/>
      <c r="M77" s="1084"/>
      <c r="N77" s="1084"/>
      <c r="O77" s="969"/>
      <c r="P77" s="1068"/>
      <c r="Q77" s="1069"/>
      <c r="R77" s="1075"/>
      <c r="S77" s="1074"/>
      <c r="T77" s="1075"/>
      <c r="U77" s="1074"/>
      <c r="V77" s="1075"/>
      <c r="W77" s="1074"/>
      <c r="X77" s="1075"/>
      <c r="Y77" s="1074"/>
      <c r="Z77" s="1075"/>
      <c r="AA77" s="1074"/>
      <c r="AB77" s="1075"/>
    </row>
    <row r="78" spans="1:28" s="1012" customFormat="1" ht="15.75" thickBot="1">
      <c r="B78" s="1086">
        <f>SUM(B65:B76)</f>
        <v>120.22</v>
      </c>
      <c r="C78" s="1087">
        <f t="shared" ref="C78:Q78" si="10">SUM(C65:C76)</f>
        <v>12496.41</v>
      </c>
      <c r="D78" s="1087">
        <f>C78/B78</f>
        <v>103.94618199966727</v>
      </c>
      <c r="E78" s="1086">
        <f t="shared" si="10"/>
        <v>1309.7700000000002</v>
      </c>
      <c r="F78" s="1087">
        <f t="shared" si="10"/>
        <v>135763.79</v>
      </c>
      <c r="G78" s="1087">
        <f>F78/E78</f>
        <v>103.654679829283</v>
      </c>
      <c r="H78" s="968"/>
      <c r="I78" s="1086">
        <f t="shared" si="10"/>
        <v>135.60000000000002</v>
      </c>
      <c r="J78" s="1087">
        <f t="shared" si="10"/>
        <v>14700.390000000001</v>
      </c>
      <c r="K78" s="1087">
        <f>J78/I78</f>
        <v>108.40995575221238</v>
      </c>
      <c r="L78" s="1086">
        <f t="shared" si="10"/>
        <v>512.31000000000006</v>
      </c>
      <c r="M78" s="1087">
        <f t="shared" si="10"/>
        <v>55529.76999999999</v>
      </c>
      <c r="N78" s="1087">
        <f>M78/L78</f>
        <v>108.39095469539923</v>
      </c>
      <c r="O78" s="968"/>
      <c r="P78" s="1086">
        <f t="shared" si="10"/>
        <v>2077.9</v>
      </c>
      <c r="Q78" s="1087">
        <f t="shared" si="10"/>
        <v>218490.36</v>
      </c>
      <c r="R78" s="1075"/>
      <c r="S78" s="1074"/>
      <c r="T78" s="1075"/>
      <c r="U78" s="1074"/>
      <c r="V78" s="1075"/>
      <c r="W78" s="1074"/>
      <c r="X78" s="1075"/>
      <c r="Y78" s="1074"/>
      <c r="Z78" s="1075"/>
      <c r="AA78" s="1074"/>
      <c r="AB78" s="1075"/>
    </row>
    <row r="79" spans="1:28" s="1012" customFormat="1" ht="10.5" customHeight="1" thickTop="1">
      <c r="B79" s="1074"/>
      <c r="C79" s="1075"/>
      <c r="D79" s="1075"/>
      <c r="E79" s="1074"/>
      <c r="F79" s="1075"/>
      <c r="G79" s="1075"/>
      <c r="H79" s="1074"/>
      <c r="I79" s="1074"/>
      <c r="J79" s="1075"/>
      <c r="K79" s="1075"/>
      <c r="L79" s="1074"/>
      <c r="M79" s="1075"/>
      <c r="N79" s="1075"/>
      <c r="O79" s="1074"/>
      <c r="Q79" s="1075"/>
      <c r="R79" s="1075"/>
      <c r="S79" s="1074"/>
      <c r="T79" s="1075"/>
      <c r="U79" s="1074"/>
      <c r="V79" s="1075"/>
      <c r="W79" s="1074"/>
      <c r="X79" s="1075"/>
      <c r="Y79" s="1074"/>
      <c r="Z79" s="1075"/>
      <c r="AA79" s="1074"/>
      <c r="AB79" s="1075"/>
    </row>
    <row r="80" spans="1:28" s="1012" customFormat="1" ht="10.5" customHeight="1" thickBot="1">
      <c r="B80" s="1074"/>
      <c r="C80" s="1075"/>
      <c r="D80" s="1075"/>
      <c r="E80" s="1074"/>
      <c r="F80" s="1075"/>
      <c r="G80" s="1075"/>
      <c r="H80" s="1074"/>
      <c r="I80" s="1074"/>
      <c r="J80" s="1075"/>
      <c r="K80" s="1075"/>
      <c r="L80" s="1074"/>
      <c r="M80" s="1075"/>
      <c r="N80" s="1075"/>
      <c r="O80" s="1074"/>
      <c r="Q80" s="1075"/>
      <c r="R80" s="1075"/>
      <c r="S80" s="1074"/>
      <c r="T80" s="1075"/>
      <c r="U80" s="1074"/>
      <c r="V80" s="1075"/>
      <c r="W80" s="1074"/>
      <c r="X80" s="1075"/>
      <c r="Y80" s="1074"/>
      <c r="Z80" s="1075"/>
      <c r="AA80" s="1074"/>
      <c r="AB80" s="1075"/>
    </row>
    <row r="81" spans="2:28" s="1103" customFormat="1" ht="15">
      <c r="B81" s="1097"/>
      <c r="C81" s="1096"/>
      <c r="D81" s="1418"/>
      <c r="E81" s="1424"/>
      <c r="F81" s="963"/>
      <c r="G81" s="987"/>
      <c r="H81" s="1108"/>
      <c r="I81" s="1108"/>
      <c r="J81" s="1109"/>
      <c r="K81" s="1109"/>
      <c r="L81" s="1108"/>
      <c r="M81" s="1109"/>
      <c r="N81" s="1109"/>
      <c r="O81" s="1108"/>
      <c r="Q81" s="1109"/>
      <c r="R81" s="1109"/>
      <c r="S81" s="1108"/>
      <c r="T81" s="1109"/>
      <c r="U81" s="1108"/>
      <c r="V81" s="1109"/>
      <c r="W81" s="1108"/>
      <c r="X81" s="1109"/>
      <c r="Y81" s="1108"/>
      <c r="Z81" s="1109"/>
      <c r="AA81" s="1108"/>
      <c r="AB81" s="1109"/>
    </row>
    <row r="82" spans="2:28" ht="15">
      <c r="B82" s="1095"/>
      <c r="C82" s="1121" t="s">
        <v>1806</v>
      </c>
      <c r="D82" s="1419">
        <f>'Consolidated IS'!C108</f>
        <v>157419.25999999998</v>
      </c>
      <c r="E82" s="1424"/>
      <c r="F82" s="963"/>
      <c r="G82" s="987"/>
    </row>
    <row r="83" spans="2:28" ht="15">
      <c r="B83" s="1095"/>
      <c r="C83" s="1423" t="s">
        <v>1807</v>
      </c>
      <c r="D83" s="1419">
        <f>-'40131'!C145</f>
        <v>-9885.5599999999977</v>
      </c>
      <c r="E83" s="1424"/>
      <c r="F83" s="963"/>
      <c r="G83" s="987"/>
    </row>
    <row r="84" spans="2:28" ht="15">
      <c r="B84" s="1095"/>
      <c r="C84" s="1117"/>
      <c r="D84" s="1419">
        <f>SUM(D82:D83)</f>
        <v>147533.69999999998</v>
      </c>
      <c r="E84" s="1424"/>
      <c r="F84" s="963"/>
      <c r="G84" s="987"/>
    </row>
    <row r="85" spans="2:28" ht="15">
      <c r="B85" s="1095"/>
      <c r="C85" s="1423" t="s">
        <v>605</v>
      </c>
      <c r="D85" s="1420">
        <f>D84-C78-F78</f>
        <v>-726.5000000000291</v>
      </c>
      <c r="E85" s="1424"/>
      <c r="F85" s="963"/>
      <c r="G85" s="987"/>
    </row>
    <row r="86" spans="2:28">
      <c r="B86" s="1095"/>
      <c r="C86" s="1098"/>
      <c r="D86" s="1421"/>
      <c r="E86" s="1424"/>
      <c r="F86" s="963"/>
      <c r="G86" s="987"/>
    </row>
    <row r="87" spans="2:28">
      <c r="B87" s="1095"/>
      <c r="C87" s="1098"/>
      <c r="D87" s="1421"/>
      <c r="E87" s="1424"/>
      <c r="F87" s="963"/>
      <c r="G87" s="987"/>
    </row>
    <row r="88" spans="2:28">
      <c r="B88" s="1095"/>
      <c r="C88" s="962" t="s">
        <v>608</v>
      </c>
      <c r="D88" s="1421"/>
      <c r="E88" s="1424"/>
      <c r="F88" s="963"/>
      <c r="G88" s="987"/>
    </row>
    <row r="89" spans="2:28">
      <c r="B89" s="1095"/>
      <c r="C89" s="1011" t="s">
        <v>604</v>
      </c>
      <c r="D89" s="1421">
        <f>'Consolidated IS'!H13</f>
        <v>111390.73</v>
      </c>
      <c r="E89" s="1424"/>
      <c r="F89" s="963"/>
      <c r="G89" s="987"/>
    </row>
    <row r="90" spans="2:28">
      <c r="B90" s="1095"/>
      <c r="C90" s="1011" t="s">
        <v>605</v>
      </c>
      <c r="D90" s="1421">
        <f>D89-C78-J78-C40</f>
        <v>-382.33999999999651</v>
      </c>
      <c r="E90" s="1424"/>
      <c r="F90" s="963"/>
      <c r="G90" s="987"/>
    </row>
    <row r="91" spans="2:28" ht="13.5" thickBot="1">
      <c r="B91" s="1094"/>
      <c r="C91" s="1102"/>
      <c r="D91" s="1422"/>
      <c r="E91" s="1424"/>
      <c r="F91" s="963"/>
      <c r="G91" s="987"/>
    </row>
  </sheetData>
  <mergeCells count="12">
    <mergeCell ref="B9:E9"/>
    <mergeCell ref="G9:H9"/>
    <mergeCell ref="B10:C10"/>
    <mergeCell ref="D10:E10"/>
    <mergeCell ref="G10:H10"/>
    <mergeCell ref="B48:C48"/>
    <mergeCell ref="E48:F48"/>
    <mergeCell ref="I48:J48"/>
    <mergeCell ref="L48:M48"/>
    <mergeCell ref="M14:N14"/>
    <mergeCell ref="B47:F47"/>
    <mergeCell ref="I47:M47"/>
  </mergeCells>
  <pageMargins left="0.25" right="0.25" top="0.75" bottom="0.75" header="0.3" footer="0.3"/>
  <pageSetup scale="79" fitToHeight="0" orientation="landscape" r:id="rId1"/>
  <headerFooter alignWithMargins="0"/>
  <rowBreaks count="1" manualBreakCount="1">
    <brk id="79" max="16" man="1"/>
  </rowBreaks>
  <colBreaks count="1" manualBreakCount="1">
    <brk id="23" max="96"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90"/>
  <sheetViews>
    <sheetView showGridLines="0" view="pageBreakPreview" zoomScaleNormal="100" zoomScaleSheetLayoutView="100" workbookViewId="0">
      <pane xSplit="4" ySplit="8" topLeftCell="P55" activePane="bottomRight" state="frozen"/>
      <selection activeCell="Q27" sqref="Q27"/>
      <selection pane="topRight" activeCell="Q27" sqref="Q27"/>
      <selection pane="bottomLeft" activeCell="Q27" sqref="Q27"/>
      <selection pane="bottomRight" activeCell="Q27" sqref="Q27"/>
    </sheetView>
  </sheetViews>
  <sheetFormatPr defaultRowHeight="11.25" outlineLevelCol="1"/>
  <cols>
    <col min="1" max="1" width="7.28515625" style="728" customWidth="1"/>
    <col min="2" max="2" width="7" style="728" customWidth="1"/>
    <col min="3" max="3" width="16.42578125" style="728" customWidth="1"/>
    <col min="4" max="4" width="25" style="730" customWidth="1"/>
    <col min="5" max="6" width="10.140625" style="730" hidden="1" customWidth="1" outlineLevel="1"/>
    <col min="7" max="7" width="11.140625" style="730" hidden="1" customWidth="1" outlineLevel="1"/>
    <col min="8" max="9" width="10.140625" style="730" hidden="1" customWidth="1" outlineLevel="1"/>
    <col min="10" max="14" width="10.28515625" style="730" hidden="1" customWidth="1" outlineLevel="1"/>
    <col min="15" max="15" width="9.140625" style="730" hidden="1" customWidth="1" outlineLevel="1"/>
    <col min="16" max="16" width="14.42578125" style="731" customWidth="1" collapsed="1"/>
    <col min="17" max="17" width="8" style="731" customWidth="1"/>
    <col min="18" max="18" width="6.85546875" style="732" customWidth="1"/>
    <col min="19" max="19" width="8.5703125" style="732" customWidth="1"/>
    <col min="20" max="20" width="8.140625" style="732" customWidth="1"/>
    <col min="21" max="21" width="1.5703125" style="733" customWidth="1"/>
    <col min="22" max="22" width="8.5703125" style="734" customWidth="1"/>
    <col min="23" max="23" width="8.5703125" style="735" customWidth="1"/>
    <col min="24" max="24" width="8.5703125" style="736" customWidth="1"/>
    <col min="25" max="25" width="10.5703125" style="737" customWidth="1"/>
    <col min="26" max="26" width="2.140625" style="733" customWidth="1"/>
    <col min="27" max="27" width="8.5703125" style="728" customWidth="1"/>
    <col min="28" max="28" width="9.5703125" style="738" customWidth="1"/>
    <col min="29" max="29" width="9.140625" style="728" customWidth="1"/>
    <col min="30" max="30" width="8.7109375" style="728" customWidth="1"/>
    <col min="31" max="31" width="1.85546875" style="728" customWidth="1"/>
    <col min="32" max="32" width="15.140625" style="728" customWidth="1"/>
    <col min="33" max="36" width="10.85546875" style="728" customWidth="1"/>
    <col min="37" max="16384" width="9.140625" style="728"/>
  </cols>
  <sheetData>
    <row r="1" spans="1:39" ht="15">
      <c r="A1" s="727" t="s">
        <v>406</v>
      </c>
      <c r="C1" s="729"/>
      <c r="AM1" s="739"/>
    </row>
    <row r="2" spans="1:39" ht="15">
      <c r="A2" s="727" t="s">
        <v>1465</v>
      </c>
      <c r="C2" s="729"/>
      <c r="W2" s="728"/>
      <c r="Y2" s="740"/>
      <c r="AA2" s="741" t="s">
        <v>1466</v>
      </c>
      <c r="AM2" s="739"/>
    </row>
    <row r="3" spans="1:39" ht="15">
      <c r="A3" s="742">
        <v>2017</v>
      </c>
      <c r="C3" s="743"/>
      <c r="W3" s="744"/>
      <c r="AB3" s="748" t="s">
        <v>1467</v>
      </c>
      <c r="AC3" s="749">
        <v>42736</v>
      </c>
      <c r="AD3" s="734"/>
      <c r="AM3" s="739"/>
    </row>
    <row r="4" spans="1:39" ht="15">
      <c r="B4" s="745"/>
      <c r="C4" s="745"/>
      <c r="D4" s="746"/>
      <c r="E4" s="746"/>
      <c r="F4" s="746"/>
      <c r="G4" s="746"/>
      <c r="H4" s="746"/>
      <c r="I4" s="746"/>
      <c r="J4" s="746"/>
      <c r="K4" s="746"/>
      <c r="L4" s="746"/>
      <c r="M4" s="746"/>
      <c r="N4" s="746"/>
      <c r="O4" s="746"/>
      <c r="P4" s="747"/>
      <c r="Q4" s="747"/>
      <c r="AB4" s="748" t="s">
        <v>1468</v>
      </c>
      <c r="AC4" s="753">
        <v>42961</v>
      </c>
      <c r="AD4" s="749">
        <v>43057</v>
      </c>
      <c r="AI4" s="734"/>
      <c r="AJ4" s="734"/>
      <c r="AM4" s="739"/>
    </row>
    <row r="5" spans="1:39" ht="35.25" thickBot="1">
      <c r="A5" s="750"/>
      <c r="B5" s="750"/>
      <c r="C5" s="750"/>
      <c r="D5" s="751"/>
      <c r="E5" s="751"/>
      <c r="F5" s="751"/>
      <c r="G5" s="751"/>
      <c r="H5" s="751"/>
      <c r="I5" s="751"/>
      <c r="J5" s="751"/>
      <c r="K5" s="751"/>
      <c r="L5" s="751"/>
      <c r="M5" s="751"/>
      <c r="N5" s="751"/>
      <c r="O5" s="751"/>
      <c r="P5" s="752"/>
      <c r="Q5" s="747"/>
      <c r="AB5" s="759" t="s">
        <v>1469</v>
      </c>
      <c r="AC5" s="760">
        <f>AC4-AC3</f>
        <v>225</v>
      </c>
      <c r="AD5" s="760">
        <f>AD4-AC3</f>
        <v>321</v>
      </c>
      <c r="AI5" s="739"/>
    </row>
    <row r="6" spans="1:39" ht="12" customHeight="1">
      <c r="C6" s="754"/>
      <c r="E6" s="755"/>
      <c r="F6" s="755"/>
      <c r="G6" s="755"/>
      <c r="H6" s="755"/>
      <c r="I6" s="755"/>
      <c r="J6" s="756"/>
      <c r="K6" s="757"/>
      <c r="L6" s="757"/>
      <c r="M6" s="755"/>
      <c r="N6" s="755"/>
      <c r="O6" s="755"/>
      <c r="P6" s="758"/>
      <c r="Q6" s="747"/>
    </row>
    <row r="7" spans="1:39" ht="21" customHeight="1">
      <c r="E7" s="761" t="s">
        <v>1470</v>
      </c>
      <c r="F7" s="761" t="s">
        <v>1471</v>
      </c>
      <c r="G7" s="761" t="s">
        <v>1472</v>
      </c>
      <c r="H7" s="761" t="s">
        <v>1473</v>
      </c>
      <c r="I7" s="761" t="s">
        <v>1474</v>
      </c>
      <c r="J7" s="762" t="s">
        <v>1470</v>
      </c>
      <c r="K7" s="761" t="s">
        <v>1471</v>
      </c>
      <c r="L7" s="761" t="s">
        <v>1472</v>
      </c>
      <c r="M7" s="761" t="s">
        <v>1473</v>
      </c>
      <c r="N7" s="761" t="s">
        <v>1475</v>
      </c>
      <c r="O7" s="761" t="s">
        <v>1474</v>
      </c>
      <c r="P7" s="763"/>
      <c r="Q7" s="764"/>
      <c r="V7" s="765">
        <v>2017</v>
      </c>
      <c r="W7" s="766">
        <v>2017</v>
      </c>
      <c r="X7" s="766">
        <v>2017</v>
      </c>
      <c r="Y7" s="765">
        <v>2017</v>
      </c>
      <c r="Z7" s="766"/>
      <c r="AA7" s="767">
        <v>2018</v>
      </c>
      <c r="AB7" s="767">
        <v>2018</v>
      </c>
      <c r="AC7" s="767">
        <v>2018</v>
      </c>
      <c r="AD7" s="767">
        <v>2018</v>
      </c>
    </row>
    <row r="8" spans="1:39" ht="24.75" customHeight="1" thickBot="1">
      <c r="A8" s="768" t="s">
        <v>1476</v>
      </c>
      <c r="B8" s="768" t="s">
        <v>1477</v>
      </c>
      <c r="C8" s="768" t="s">
        <v>1478</v>
      </c>
      <c r="D8" s="768" t="s">
        <v>1479</v>
      </c>
      <c r="E8" s="769" t="s">
        <v>1480</v>
      </c>
      <c r="F8" s="769" t="s">
        <v>1480</v>
      </c>
      <c r="G8" s="769" t="s">
        <v>1480</v>
      </c>
      <c r="H8" s="769" t="s">
        <v>1480</v>
      </c>
      <c r="I8" s="769" t="s">
        <v>1480</v>
      </c>
      <c r="J8" s="770" t="s">
        <v>1481</v>
      </c>
      <c r="K8" s="770" t="s">
        <v>1481</v>
      </c>
      <c r="L8" s="770" t="s">
        <v>1481</v>
      </c>
      <c r="M8" s="770" t="s">
        <v>1481</v>
      </c>
      <c r="N8" s="770" t="s">
        <v>1481</v>
      </c>
      <c r="O8" s="770" t="s">
        <v>1481</v>
      </c>
      <c r="P8" s="771" t="s">
        <v>1482</v>
      </c>
      <c r="Q8" s="772" t="s">
        <v>321</v>
      </c>
      <c r="R8" s="773" t="s">
        <v>1483</v>
      </c>
      <c r="S8" s="773" t="s">
        <v>1484</v>
      </c>
      <c r="T8" s="774" t="s">
        <v>1485</v>
      </c>
      <c r="U8" s="774"/>
      <c r="V8" s="775" t="s">
        <v>1486</v>
      </c>
      <c r="W8" s="776" t="s">
        <v>1487</v>
      </c>
      <c r="X8" s="777" t="s">
        <v>1488</v>
      </c>
      <c r="Y8" s="778" t="s">
        <v>1489</v>
      </c>
      <c r="Z8" s="779"/>
      <c r="AA8" s="767" t="s">
        <v>1486</v>
      </c>
      <c r="AB8" s="780" t="s">
        <v>1487</v>
      </c>
      <c r="AC8" s="767" t="s">
        <v>1488</v>
      </c>
      <c r="AD8" s="767" t="s">
        <v>1490</v>
      </c>
    </row>
    <row r="9" spans="1:39" ht="12" thickTop="1">
      <c r="A9" s="781"/>
      <c r="B9" s="782" t="s">
        <v>1491</v>
      </c>
      <c r="C9" s="783"/>
      <c r="D9" s="784"/>
      <c r="E9" s="747"/>
      <c r="F9" s="747"/>
      <c r="G9" s="747"/>
      <c r="H9" s="747"/>
      <c r="I9" s="747"/>
      <c r="J9" s="785"/>
      <c r="K9" s="747"/>
      <c r="L9" s="747"/>
      <c r="M9" s="747"/>
      <c r="N9" s="747"/>
      <c r="O9" s="747"/>
      <c r="P9" s="786"/>
      <c r="Q9" s="787"/>
      <c r="R9" s="788"/>
      <c r="T9" s="788"/>
      <c r="V9" s="789"/>
      <c r="W9" s="790"/>
      <c r="Z9" s="791"/>
    </row>
    <row r="10" spans="1:39">
      <c r="B10" s="792"/>
      <c r="C10" s="792"/>
      <c r="D10" s="792"/>
      <c r="E10" s="793"/>
      <c r="F10" s="793"/>
      <c r="G10" s="793"/>
      <c r="H10" s="793"/>
      <c r="I10" s="793"/>
      <c r="J10" s="794"/>
      <c r="K10" s="793"/>
      <c r="L10" s="793"/>
      <c r="M10" s="793"/>
      <c r="N10" s="793"/>
      <c r="O10" s="793"/>
      <c r="P10" s="795"/>
      <c r="Q10" s="796"/>
      <c r="T10" s="797"/>
      <c r="U10" s="798"/>
      <c r="V10" s="789"/>
      <c r="W10" s="790"/>
      <c r="X10" s="799"/>
      <c r="Y10" s="800"/>
      <c r="Z10" s="791"/>
      <c r="AA10" s="732"/>
      <c r="AB10" s="735"/>
      <c r="AC10" s="801"/>
      <c r="AD10" s="802"/>
    </row>
    <row r="11" spans="1:39">
      <c r="A11" s="803">
        <v>2120</v>
      </c>
      <c r="B11" s="1489" t="s">
        <v>1492</v>
      </c>
      <c r="C11" s="804" t="s">
        <v>1493</v>
      </c>
      <c r="D11" s="803" t="str">
        <f>VLOOKUP(B11,'[49]EE Listing'!$A$2:$D$19,4,FALSE)</f>
        <v>Residential/Commercial Garbage</v>
      </c>
      <c r="E11" s="805">
        <f>IFERROR(VLOOKUP($B11,'[49]Employee Pay &amp; Hours'!$B$2:$AL$21,27,FALSE),0)</f>
        <v>2007.75</v>
      </c>
      <c r="F11" s="806">
        <f>IFERROR(VLOOKUP($B11,'[49]Employee Pay &amp; Hours'!$B$2:$AL$21,28,FALSE),0)</f>
        <v>60.166666999999997</v>
      </c>
      <c r="G11" s="806">
        <f>IFERROR(VLOOKUP($B11,'[49]Employee Pay &amp; Hours'!$B$2:$AL$21,29,FALSE),0)</f>
        <v>155</v>
      </c>
      <c r="H11" s="806">
        <f>IFERROR(VLOOKUP($B11,'[49]Employee Pay &amp; Hours'!$B$2:$AL$21,30,FALSE),0)</f>
        <v>48</v>
      </c>
      <c r="I11" s="806">
        <f>IFERROR(VLOOKUP($B11,'[49]Employee Pay &amp; Hours'!$B$2:$AL$21,31,FALSE),0)</f>
        <v>0</v>
      </c>
      <c r="J11" s="807">
        <f>IFERROR(VLOOKUP($B11,'[49]Employee Pay &amp; Hours'!$B$2:$AL$21,32,FALSE),0)</f>
        <v>40802.859999999971</v>
      </c>
      <c r="K11" s="806">
        <f>IFERROR(VLOOKUP($B11,'[49]Employee Pay &amp; Hours'!$B$2:$AL$21,33,FALSE),0)</f>
        <v>1854.5200000000004</v>
      </c>
      <c r="L11" s="806">
        <f>IFERROR(VLOOKUP($B11,'[49]Employee Pay &amp; Hours'!$B$2:$AL$21,34,FALSE),0)</f>
        <v>3194.15</v>
      </c>
      <c r="M11" s="806">
        <f>IFERROR(VLOOKUP($B11,'[49]Employee Pay &amp; Hours'!$B$2:$AL$21,35,FALSE),0)</f>
        <v>977.19999999999993</v>
      </c>
      <c r="N11" s="806">
        <f>IFERROR(VLOOKUP($B11,'[49]Employee Pay &amp; Hours'!$B$2:$AL$21,36,FALSE),0)</f>
        <v>1581.6599999999994</v>
      </c>
      <c r="O11" s="806">
        <f>IFERROR(VLOOKUP($B11,'[49]Employee Pay &amp; Hours'!$B$2:$AL$21,37,FALSE),0)</f>
        <v>0</v>
      </c>
      <c r="P11" s="808">
        <f t="shared" ref="P11:P20" si="0">SUM(J11:O11)</f>
        <v>48410.38999999997</v>
      </c>
      <c r="Q11" s="809">
        <f>P11-VLOOKUP(B11,'[49]Employee Pay &amp; Hours'!$B$4:$Z$21,25,FALSE)</f>
        <v>0</v>
      </c>
      <c r="R11" s="732">
        <f t="shared" ref="R11:R20" si="1">SUM(E11:I11)</f>
        <v>2270.916667</v>
      </c>
      <c r="S11" s="732">
        <f t="shared" ref="S11:S20" si="2">G11+H11+I11</f>
        <v>203</v>
      </c>
      <c r="T11" s="797">
        <f t="shared" ref="T11:T20" si="3">R11-S11</f>
        <v>2067.916667</v>
      </c>
      <c r="U11" s="798"/>
      <c r="V11" s="810">
        <f>SUM(J11,L11:M11)*($AD$5/365)</f>
        <v>39552.66139726025</v>
      </c>
      <c r="W11" s="811">
        <f>VLOOKUP(B11,[49]Raises!$A$4:$L$22,12,FALSE)</f>
        <v>43057</v>
      </c>
      <c r="X11" s="812">
        <f>VLOOKUP(B11,[49]Raises!$A$5:$N$22,14,FALSE)</f>
        <v>1.9999999999999928E-2</v>
      </c>
      <c r="Y11" s="810">
        <f t="shared" ref="Y11:Y20" si="4">V11*X11</f>
        <v>791.05322794520214</v>
      </c>
      <c r="Z11" s="813"/>
      <c r="AA11" s="814">
        <f t="shared" ref="AA11:AA20" si="5">SUM(J11,L11:M11)+Y11</f>
        <v>45765.263227945172</v>
      </c>
      <c r="AB11" s="811">
        <f>VLOOKUP(B11,[49]Raises!$A$5:$X$22,23,FALSE)</f>
        <v>43416</v>
      </c>
      <c r="AC11" s="812">
        <f>VLOOKUP(B11,[49]Raises!$A$5:$Y$22,25,FALSE)</f>
        <v>1.9999999999999928E-2</v>
      </c>
      <c r="AD11" s="788">
        <f t="shared" ref="AD11:AD20" si="6">AA11*AC11</f>
        <v>915.30526455890015</v>
      </c>
    </row>
    <row r="12" spans="1:39">
      <c r="A12" s="803">
        <v>2120</v>
      </c>
      <c r="B12" s="1489" t="s">
        <v>1494</v>
      </c>
      <c r="C12" s="804" t="s">
        <v>1495</v>
      </c>
      <c r="D12" s="803" t="str">
        <f>VLOOKUP(B12,'[49]EE Listing'!$A$2:$D$19,4,FALSE)</f>
        <v>Residential/Commercial Garbage</v>
      </c>
      <c r="E12" s="805">
        <f>IFERROR(VLOOKUP($B12,'[49]Employee Pay &amp; Hours'!$B$2:$AL$21,27,FALSE),0)</f>
        <v>1982.3333339999999</v>
      </c>
      <c r="F12" s="806">
        <f>IFERROR(VLOOKUP($B12,'[49]Employee Pay &amp; Hours'!$B$2:$AL$21,28,FALSE),0)</f>
        <v>209.24999899999995</v>
      </c>
      <c r="G12" s="806">
        <f>IFERROR(VLOOKUP($B12,'[49]Employee Pay &amp; Hours'!$B$2:$AL$21,29,FALSE),0)</f>
        <v>188</v>
      </c>
      <c r="H12" s="806">
        <f>IFERROR(VLOOKUP($B12,'[49]Employee Pay &amp; Hours'!$B$2:$AL$21,30,FALSE),0)</f>
        <v>48</v>
      </c>
      <c r="I12" s="806">
        <f>IFERROR(VLOOKUP($B12,'[49]Employee Pay &amp; Hours'!$B$2:$AL$21,31,FALSE),0)</f>
        <v>0</v>
      </c>
      <c r="J12" s="807">
        <f>IFERROR(VLOOKUP($B12,'[49]Employee Pay &amp; Hours'!$B$2:$AL$21,32,FALSE),0)</f>
        <v>40303.549999999967</v>
      </c>
      <c r="K12" s="806">
        <f>IFERROR(VLOOKUP($B12,'[49]Employee Pay &amp; Hours'!$B$2:$AL$21,33,FALSE),0)</f>
        <v>6436.4300000000021</v>
      </c>
      <c r="L12" s="806">
        <f>IFERROR(VLOOKUP($B12,'[49]Employee Pay &amp; Hours'!$B$2:$AL$21,34,FALSE),0)</f>
        <v>3814.52</v>
      </c>
      <c r="M12" s="806">
        <f>IFERROR(VLOOKUP($B12,'[49]Employee Pay &amp; Hours'!$B$2:$AL$21,35,FALSE),0)</f>
        <v>977.19999999999993</v>
      </c>
      <c r="N12" s="806">
        <f>IFERROR(VLOOKUP($B12,'[49]Employee Pay &amp; Hours'!$B$2:$AL$21,36,FALSE),0)</f>
        <v>1322.9100000000003</v>
      </c>
      <c r="O12" s="806">
        <f>IFERROR(VLOOKUP($B12,'[49]Employee Pay &amp; Hours'!$B$2:$AL$21,37,FALSE),0)</f>
        <v>0</v>
      </c>
      <c r="P12" s="808">
        <f t="shared" si="0"/>
        <v>52854.609999999964</v>
      </c>
      <c r="Q12" s="809">
        <f>P12-VLOOKUP(B12,'[49]Employee Pay &amp; Hours'!$B$4:$Z$21,25,FALSE)</f>
        <v>0</v>
      </c>
      <c r="R12" s="732">
        <f t="shared" si="1"/>
        <v>2427.583333</v>
      </c>
      <c r="S12" s="732">
        <f t="shared" si="2"/>
        <v>236</v>
      </c>
      <c r="T12" s="797">
        <f t="shared" si="3"/>
        <v>2191.583333</v>
      </c>
      <c r="U12" s="798"/>
      <c r="V12" s="810">
        <f>SUM(J12,L12:M12)*($AD$5/365)</f>
        <v>39659.127863013666</v>
      </c>
      <c r="W12" s="811">
        <f>VLOOKUP(B12,[49]Raises!$A$4:$L$22,12,FALSE)</f>
        <v>43057</v>
      </c>
      <c r="X12" s="812">
        <f>VLOOKUP(B12,[49]Raises!$A$5:$N$22,14,FALSE)</f>
        <v>1.9999999999999928E-2</v>
      </c>
      <c r="Y12" s="810">
        <f t="shared" si="4"/>
        <v>793.18255726027041</v>
      </c>
      <c r="Z12" s="813"/>
      <c r="AA12" s="814">
        <f t="shared" si="5"/>
        <v>45888.452557260229</v>
      </c>
      <c r="AB12" s="811">
        <f>VLOOKUP(B12,[49]Raises!$A$5:$X$22,23,FALSE)</f>
        <v>43416</v>
      </c>
      <c r="AC12" s="812">
        <f>VLOOKUP(B12,[49]Raises!$A$5:$Y$22,25,FALSE)</f>
        <v>1.9999999999999928E-2</v>
      </c>
      <c r="AD12" s="788">
        <f t="shared" si="6"/>
        <v>917.76905114520127</v>
      </c>
      <c r="AG12" s="753"/>
    </row>
    <row r="13" spans="1:39">
      <c r="A13" s="803">
        <v>2120</v>
      </c>
      <c r="B13" s="1489" t="s">
        <v>1496</v>
      </c>
      <c r="C13" s="804" t="s">
        <v>1497</v>
      </c>
      <c r="D13" s="803" t="str">
        <f>VLOOKUP(B13,'[49]EE Listing'!$A$2:$D$19,4,FALSE)</f>
        <v>Residential/Commercial Garbage</v>
      </c>
      <c r="E13" s="805">
        <f>IFERROR(VLOOKUP($B13,'[49]Employee Pay &amp; Hours'!$B$2:$AL$21,27,FALSE),0)</f>
        <v>259.5</v>
      </c>
      <c r="F13" s="806">
        <f>IFERROR(VLOOKUP($B13,'[49]Employee Pay &amp; Hours'!$B$2:$AL$21,28,FALSE),0)</f>
        <v>2.4000010000000001</v>
      </c>
      <c r="G13" s="806">
        <f>IFERROR(VLOOKUP($B13,'[49]Employee Pay &amp; Hours'!$B$2:$AL$21,29,FALSE),0)</f>
        <v>0</v>
      </c>
      <c r="H13" s="806">
        <f>IFERROR(VLOOKUP($B13,'[49]Employee Pay &amp; Hours'!$B$2:$AL$21,30,FALSE),0)</f>
        <v>0</v>
      </c>
      <c r="I13" s="806">
        <f>IFERROR(VLOOKUP($B13,'[49]Employee Pay &amp; Hours'!$B$2:$AL$21,31,FALSE),0)</f>
        <v>0</v>
      </c>
      <c r="J13" s="807">
        <f>IFERROR(VLOOKUP($B13,'[49]Employee Pay &amp; Hours'!$B$2:$AL$21,32,FALSE),0)</f>
        <v>4634.67</v>
      </c>
      <c r="K13" s="806">
        <f>IFERROR(VLOOKUP($B13,'[49]Employee Pay &amp; Hours'!$B$2:$AL$21,33,FALSE),0)</f>
        <v>64.33</v>
      </c>
      <c r="L13" s="806">
        <f>IFERROR(VLOOKUP($B13,'[49]Employee Pay &amp; Hours'!$B$2:$AL$21,34,FALSE),0)</f>
        <v>0</v>
      </c>
      <c r="M13" s="806">
        <f>IFERROR(VLOOKUP($B13,'[49]Employee Pay &amp; Hours'!$B$2:$AL$21,35,FALSE),0)</f>
        <v>0</v>
      </c>
      <c r="N13" s="806">
        <f>IFERROR(VLOOKUP($B13,'[49]Employee Pay &amp; Hours'!$B$2:$AL$21,36,FALSE),0)</f>
        <v>0</v>
      </c>
      <c r="O13" s="806">
        <f>IFERROR(VLOOKUP($B13,'[49]Employee Pay &amp; Hours'!$B$2:$AL$21,37,FALSE),0)</f>
        <v>0</v>
      </c>
      <c r="P13" s="808">
        <f t="shared" si="0"/>
        <v>4699</v>
      </c>
      <c r="Q13" s="809">
        <f>P13-VLOOKUP(B13,'[49]Employee Pay &amp; Hours'!$B$4:$Z$21,25,FALSE)</f>
        <v>0</v>
      </c>
      <c r="R13" s="732">
        <f t="shared" si="1"/>
        <v>261.90000099999997</v>
      </c>
      <c r="S13" s="732">
        <f t="shared" si="2"/>
        <v>0</v>
      </c>
      <c r="T13" s="797">
        <f t="shared" si="3"/>
        <v>261.90000099999997</v>
      </c>
      <c r="U13" s="798"/>
      <c r="V13" s="810"/>
      <c r="W13" s="811"/>
      <c r="X13" s="812">
        <f>VLOOKUP(B13,[49]Raises!$A$5:$N$22,14,FALSE)</f>
        <v>0</v>
      </c>
      <c r="Y13" s="810">
        <f t="shared" si="4"/>
        <v>0</v>
      </c>
      <c r="Z13" s="815"/>
      <c r="AA13" s="814">
        <f t="shared" si="5"/>
        <v>4634.67</v>
      </c>
      <c r="AB13" s="811"/>
      <c r="AC13" s="812">
        <f>VLOOKUP(B13,[49]Raises!$A$5:$Y$22,25,FALSE)</f>
        <v>0</v>
      </c>
      <c r="AD13" s="788">
        <f t="shared" si="6"/>
        <v>0</v>
      </c>
      <c r="AG13" s="753"/>
    </row>
    <row r="14" spans="1:39">
      <c r="A14" s="803">
        <v>2120</v>
      </c>
      <c r="B14" s="1489" t="s">
        <v>1498</v>
      </c>
      <c r="C14" s="804" t="s">
        <v>1499</v>
      </c>
      <c r="D14" s="803" t="str">
        <f>VLOOKUP(B14,'[49]EE Listing'!$A$2:$D$19,4,FALSE)</f>
        <v>Residential/Commercial Garbage</v>
      </c>
      <c r="E14" s="805">
        <f>IFERROR(VLOOKUP($B14,'[49]Employee Pay &amp; Hours'!$B$2:$AL$21,27,FALSE),0)</f>
        <v>306.98333400000001</v>
      </c>
      <c r="F14" s="806">
        <f>IFERROR(VLOOKUP($B14,'[49]Employee Pay &amp; Hours'!$B$2:$AL$21,28,FALSE),0)</f>
        <v>11.983333</v>
      </c>
      <c r="G14" s="806">
        <f>IFERROR(VLOOKUP($B14,'[49]Employee Pay &amp; Hours'!$B$2:$AL$21,29,FALSE),0)</f>
        <v>207</v>
      </c>
      <c r="H14" s="806">
        <f>IFERROR(VLOOKUP($B14,'[49]Employee Pay &amp; Hours'!$B$2:$AL$21,30,FALSE),0)</f>
        <v>16</v>
      </c>
      <c r="I14" s="806">
        <f>IFERROR(VLOOKUP($B14,'[49]Employee Pay &amp; Hours'!$B$2:$AL$21,31,FALSE),0)</f>
        <v>0</v>
      </c>
      <c r="J14" s="807">
        <f>IFERROR(VLOOKUP($B14,'[49]Employee Pay &amp; Hours'!$B$2:$AL$21,32,FALSE),0)</f>
        <v>6228.7100000000009</v>
      </c>
      <c r="K14" s="806">
        <f>IFERROR(VLOOKUP($B14,'[49]Employee Pay &amp; Hours'!$B$2:$AL$21,33,FALSE),0)</f>
        <v>364.73</v>
      </c>
      <c r="L14" s="806">
        <f>IFERROR(VLOOKUP($B14,'[49]Employee Pay &amp; Hours'!$B$2:$AL$21,34,FALSE),0)</f>
        <v>4200.0300000000007</v>
      </c>
      <c r="M14" s="806">
        <f>IFERROR(VLOOKUP($B14,'[49]Employee Pay &amp; Hours'!$B$2:$AL$21,35,FALSE),0)</f>
        <v>324.64</v>
      </c>
      <c r="N14" s="806">
        <f>IFERROR(VLOOKUP($B14,'[49]Employee Pay &amp; Hours'!$B$2:$AL$21,36,FALSE),0)</f>
        <v>8.91</v>
      </c>
      <c r="O14" s="806">
        <f>IFERROR(VLOOKUP($B14,'[49]Employee Pay &amp; Hours'!$B$2:$AL$21,37,FALSE),0)</f>
        <v>0</v>
      </c>
      <c r="P14" s="808">
        <f t="shared" si="0"/>
        <v>11127.02</v>
      </c>
      <c r="Q14" s="809">
        <f>P14-VLOOKUP(B14,'[49]Employee Pay &amp; Hours'!$B$4:$Z$21,25,FALSE)</f>
        <v>0</v>
      </c>
      <c r="R14" s="732">
        <f t="shared" si="1"/>
        <v>541.96666700000003</v>
      </c>
      <c r="S14" s="732">
        <f t="shared" si="2"/>
        <v>223</v>
      </c>
      <c r="T14" s="797">
        <f t="shared" si="3"/>
        <v>318.96666700000003</v>
      </c>
      <c r="U14" s="798"/>
      <c r="V14" s="810"/>
      <c r="W14" s="811"/>
      <c r="X14" s="812">
        <f>VLOOKUP(B14,[49]Raises!$A$5:$N$22,14,FALSE)</f>
        <v>0</v>
      </c>
      <c r="Y14" s="810">
        <f t="shared" si="4"/>
        <v>0</v>
      </c>
      <c r="Z14" s="815"/>
      <c r="AA14" s="814">
        <f t="shared" si="5"/>
        <v>10753.380000000001</v>
      </c>
      <c r="AB14" s="811"/>
      <c r="AC14" s="812">
        <f>VLOOKUP(B14,[49]Raises!$A$5:$Y$22,25,FALSE)</f>
        <v>0</v>
      </c>
      <c r="AD14" s="788">
        <f t="shared" si="6"/>
        <v>0</v>
      </c>
      <c r="AG14" s="753"/>
    </row>
    <row r="15" spans="1:39">
      <c r="A15" s="803">
        <v>2120</v>
      </c>
      <c r="B15" s="1489" t="s">
        <v>1500</v>
      </c>
      <c r="C15" s="804" t="s">
        <v>1501</v>
      </c>
      <c r="D15" s="803" t="str">
        <f>VLOOKUP(B15,'[49]EE Listing'!$A$2:$D$19,4,FALSE)</f>
        <v>Residential/Commercial Garbage</v>
      </c>
      <c r="E15" s="805">
        <f>IFERROR(VLOOKUP($B15,'[49]Employee Pay &amp; Hours'!$B$2:$AL$21,27,FALSE),0)</f>
        <v>1901.3833320000001</v>
      </c>
      <c r="F15" s="806">
        <f>IFERROR(VLOOKUP($B15,'[49]Employee Pay &amp; Hours'!$B$2:$AL$21,28,FALSE),0)</f>
        <v>205.71667399999995</v>
      </c>
      <c r="G15" s="806">
        <f>IFERROR(VLOOKUP($B15,'[49]Employee Pay &amp; Hours'!$B$2:$AL$21,29,FALSE),0)</f>
        <v>240</v>
      </c>
      <c r="H15" s="806">
        <f>IFERROR(VLOOKUP($B15,'[49]Employee Pay &amp; Hours'!$B$2:$AL$21,30,FALSE),0)</f>
        <v>48</v>
      </c>
      <c r="I15" s="806">
        <f>IFERROR(VLOOKUP($B15,'[49]Employee Pay &amp; Hours'!$B$2:$AL$21,31,FALSE),0)</f>
        <v>0</v>
      </c>
      <c r="J15" s="807">
        <f>IFERROR(VLOOKUP($B15,'[49]Employee Pay &amp; Hours'!$B$2:$AL$21,32,FALSE),0)</f>
        <v>41577.619999999988</v>
      </c>
      <c r="K15" s="806">
        <f>IFERROR(VLOOKUP($B15,'[49]Employee Pay &amp; Hours'!$B$2:$AL$21,33,FALSE),0)</f>
        <v>6820.1900000000005</v>
      </c>
      <c r="L15" s="806">
        <f>IFERROR(VLOOKUP($B15,'[49]Employee Pay &amp; Hours'!$B$2:$AL$21,34,FALSE),0)</f>
        <v>5256.8</v>
      </c>
      <c r="M15" s="806">
        <f>IFERROR(VLOOKUP($B15,'[49]Employee Pay &amp; Hours'!$B$2:$AL$21,35,FALSE),0)</f>
        <v>1051.3599999999999</v>
      </c>
      <c r="N15" s="806">
        <f>IFERROR(VLOOKUP($B15,'[49]Employee Pay &amp; Hours'!$B$2:$AL$21,36,FALSE),0)</f>
        <v>1710.9999999999991</v>
      </c>
      <c r="O15" s="806">
        <f>IFERROR(VLOOKUP($B15,'[49]Employee Pay &amp; Hours'!$B$2:$AL$21,37,FALSE),0)</f>
        <v>0</v>
      </c>
      <c r="P15" s="808">
        <f t="shared" si="0"/>
        <v>56416.969999999994</v>
      </c>
      <c r="Q15" s="809">
        <f>P15-VLOOKUP(B15,'[49]Employee Pay &amp; Hours'!$B$4:$Z$21,25,FALSE)</f>
        <v>0</v>
      </c>
      <c r="R15" s="732">
        <f t="shared" si="1"/>
        <v>2395.1000060000001</v>
      </c>
      <c r="S15" s="732">
        <f t="shared" si="2"/>
        <v>288</v>
      </c>
      <c r="T15" s="797">
        <f t="shared" si="3"/>
        <v>2107.1000060000001</v>
      </c>
      <c r="U15" s="798"/>
      <c r="V15" s="810">
        <f t="shared" ref="V15:V20" si="7">SUM(J15,L15:M15)*($AD$5/365)</f>
        <v>42113.247616438348</v>
      </c>
      <c r="W15" s="811">
        <f>VLOOKUP(B15,[49]Raises!$A$4:$L$22,12,FALSE)</f>
        <v>43057</v>
      </c>
      <c r="X15" s="812">
        <f>VLOOKUP(B15,[49]Raises!$A$5:$N$22,14,FALSE)</f>
        <v>1.9999999999999928E-2</v>
      </c>
      <c r="Y15" s="810">
        <f t="shared" si="4"/>
        <v>842.26495232876391</v>
      </c>
      <c r="Z15" s="815"/>
      <c r="AA15" s="814">
        <f t="shared" si="5"/>
        <v>48728.044952328753</v>
      </c>
      <c r="AB15" s="811">
        <f>VLOOKUP(B15,[49]Raises!$A$5:$X$22,23,FALSE)</f>
        <v>43416</v>
      </c>
      <c r="AC15" s="812">
        <f>VLOOKUP(B15,[49]Raises!$A$5:$Y$22,25,FALSE)</f>
        <v>1.9999999999999928E-2</v>
      </c>
      <c r="AD15" s="788">
        <f t="shared" si="6"/>
        <v>974.56089904657154</v>
      </c>
      <c r="AG15" s="753"/>
    </row>
    <row r="16" spans="1:39">
      <c r="A16" s="803">
        <v>2120</v>
      </c>
      <c r="B16" s="1489" t="s">
        <v>1502</v>
      </c>
      <c r="C16" s="804" t="s">
        <v>1503</v>
      </c>
      <c r="D16" s="803" t="str">
        <f>VLOOKUP(B16,'[49]EE Listing'!$A$2:$D$19,4,FALSE)</f>
        <v>Residential/Commercial Garbage</v>
      </c>
      <c r="E16" s="805">
        <f>IFERROR(VLOOKUP($B16,'[49]Employee Pay &amp; Hours'!$B$2:$AL$21,27,FALSE),0)</f>
        <v>1963.7</v>
      </c>
      <c r="F16" s="806">
        <f>IFERROR(VLOOKUP($B16,'[49]Employee Pay &amp; Hours'!$B$2:$AL$21,28,FALSE),0)</f>
        <v>82.299997000000005</v>
      </c>
      <c r="G16" s="806">
        <f>IFERROR(VLOOKUP($B16,'[49]Employee Pay &amp; Hours'!$B$2:$AL$21,29,FALSE),0)</f>
        <v>120</v>
      </c>
      <c r="H16" s="806">
        <f>IFERROR(VLOOKUP($B16,'[49]Employee Pay &amp; Hours'!$B$2:$AL$21,30,FALSE),0)</f>
        <v>48</v>
      </c>
      <c r="I16" s="806">
        <f>IFERROR(VLOOKUP($B16,'[49]Employee Pay &amp; Hours'!$B$2:$AL$21,31,FALSE),0)</f>
        <v>0</v>
      </c>
      <c r="J16" s="807">
        <f>IFERROR(VLOOKUP($B16,'[49]Employee Pay &amp; Hours'!$B$2:$AL$21,32,FALSE),0)</f>
        <v>35138.710000000021</v>
      </c>
      <c r="K16" s="806">
        <f>IFERROR(VLOOKUP($B16,'[49]Employee Pay &amp; Hours'!$B$2:$AL$21,33,FALSE),0)</f>
        <v>2181.7300000000005</v>
      </c>
      <c r="L16" s="806">
        <f>IFERROR(VLOOKUP($B16,'[49]Employee Pay &amp; Hours'!$B$2:$AL$21,34,FALSE),0)</f>
        <v>2106.6000000000004</v>
      </c>
      <c r="M16" s="806">
        <f>IFERROR(VLOOKUP($B16,'[49]Employee Pay &amp; Hours'!$B$2:$AL$21,35,FALSE),0)</f>
        <v>856.96</v>
      </c>
      <c r="N16" s="806">
        <f>IFERROR(VLOOKUP($B16,'[49]Employee Pay &amp; Hours'!$B$2:$AL$21,36,FALSE),0)</f>
        <v>1282.0000000000002</v>
      </c>
      <c r="O16" s="806">
        <f>IFERROR(VLOOKUP($B16,'[49]Employee Pay &amp; Hours'!$B$2:$AL$21,37,FALSE),0)</f>
        <v>0</v>
      </c>
      <c r="P16" s="808">
        <f t="shared" si="0"/>
        <v>41566.000000000022</v>
      </c>
      <c r="Q16" s="809">
        <f>P16-VLOOKUP(B16,'[49]Employee Pay &amp; Hours'!$B$4:$Z$21,25,FALSE)</f>
        <v>0</v>
      </c>
      <c r="R16" s="732">
        <f t="shared" si="1"/>
        <v>2213.9999969999999</v>
      </c>
      <c r="S16" s="732">
        <f t="shared" si="2"/>
        <v>168</v>
      </c>
      <c r="T16" s="797">
        <f t="shared" si="3"/>
        <v>2045.9999969999999</v>
      </c>
      <c r="U16" s="798"/>
      <c r="V16" s="810">
        <f t="shared" si="7"/>
        <v>33509.119643835635</v>
      </c>
      <c r="W16" s="811">
        <f>VLOOKUP(B16,[49]Raises!$A$4:$L$22,12,FALSE)</f>
        <v>43057</v>
      </c>
      <c r="X16" s="812">
        <f>VLOOKUP(B16,[49]Raises!$A$5:$N$22,14,FALSE)</f>
        <v>9.2624000000000262E-2</v>
      </c>
      <c r="Y16" s="810">
        <f t="shared" si="4"/>
        <v>3103.7486978906404</v>
      </c>
      <c r="Z16" s="815"/>
      <c r="AA16" s="814">
        <f t="shared" si="5"/>
        <v>41206.018697890657</v>
      </c>
      <c r="AB16" s="811">
        <f>VLOOKUP(B16,[49]Raises!$A$5:$X$22,23,FALSE)</f>
        <v>43416</v>
      </c>
      <c r="AC16" s="812">
        <f>VLOOKUP(B16,[49]Raises!$A$5:$Y$22,25,FALSE)</f>
        <v>0.10323200000000021</v>
      </c>
      <c r="AD16" s="788">
        <f t="shared" si="6"/>
        <v>4253.7797222206573</v>
      </c>
    </row>
    <row r="17" spans="1:31">
      <c r="A17" s="803">
        <v>2120</v>
      </c>
      <c r="B17" s="1489" t="s">
        <v>1504</v>
      </c>
      <c r="C17" s="804" t="s">
        <v>1505</v>
      </c>
      <c r="D17" s="803" t="str">
        <f>VLOOKUP(B17,'[49]EE Listing'!$A$2:$D$19,4,FALSE)</f>
        <v>Residential/Commercial Garbage</v>
      </c>
      <c r="E17" s="805">
        <f>IFERROR(VLOOKUP($B17,'[49]Employee Pay &amp; Hours'!$B$2:$AL$21,27,FALSE),0)</f>
        <v>955.93333400000006</v>
      </c>
      <c r="F17" s="806">
        <f>IFERROR(VLOOKUP($B17,'[49]Employee Pay &amp; Hours'!$B$2:$AL$21,28,FALSE),0)</f>
        <v>47.633336</v>
      </c>
      <c r="G17" s="806">
        <f>IFERROR(VLOOKUP($B17,'[49]Employee Pay &amp; Hours'!$B$2:$AL$21,29,FALSE),0)</f>
        <v>5</v>
      </c>
      <c r="H17" s="806">
        <f>IFERROR(VLOOKUP($B17,'[49]Employee Pay &amp; Hours'!$B$2:$AL$21,30,FALSE),0)</f>
        <v>16</v>
      </c>
      <c r="I17" s="806">
        <f>IFERROR(VLOOKUP($B17,'[49]Employee Pay &amp; Hours'!$B$2:$AL$21,31,FALSE),0)</f>
        <v>0</v>
      </c>
      <c r="J17" s="807">
        <f>IFERROR(VLOOKUP($B17,'[49]Employee Pay &amp; Hours'!$B$2:$AL$21,32,FALSE),0)</f>
        <v>16395.240000000002</v>
      </c>
      <c r="K17" s="806">
        <f>IFERROR(VLOOKUP($B17,'[49]Employee Pay &amp; Hours'!$B$2:$AL$21,33,FALSE),0)</f>
        <v>1221.8200000000002</v>
      </c>
      <c r="L17" s="806">
        <f>IFERROR(VLOOKUP($B17,'[49]Employee Pay &amp; Hours'!$B$2:$AL$21,34,FALSE),0)</f>
        <v>88</v>
      </c>
      <c r="M17" s="806">
        <f>IFERROR(VLOOKUP($B17,'[49]Employee Pay &amp; Hours'!$B$2:$AL$21,35,FALSE),0)</f>
        <v>278.8</v>
      </c>
      <c r="N17" s="806">
        <f>IFERROR(VLOOKUP($B17,'[49]Employee Pay &amp; Hours'!$B$2:$AL$21,36,FALSE),0)</f>
        <v>641.99999999999989</v>
      </c>
      <c r="O17" s="806">
        <f>IFERROR(VLOOKUP($B17,'[49]Employee Pay &amp; Hours'!$B$2:$AL$21,37,FALSE),0)</f>
        <v>0</v>
      </c>
      <c r="P17" s="808">
        <f t="shared" si="0"/>
        <v>18625.86</v>
      </c>
      <c r="Q17" s="809">
        <f>P17-VLOOKUP(B17,'[49]Employee Pay &amp; Hours'!$B$4:$Z$21,25,FALSE)</f>
        <v>0</v>
      </c>
      <c r="R17" s="732">
        <f t="shared" si="1"/>
        <v>1024.5666700000002</v>
      </c>
      <c r="S17" s="732">
        <f t="shared" si="2"/>
        <v>21</v>
      </c>
      <c r="T17" s="797">
        <f t="shared" si="3"/>
        <v>1003.5666700000002</v>
      </c>
      <c r="U17" s="798"/>
      <c r="V17" s="810">
        <f t="shared" si="7"/>
        <v>14741.410520547946</v>
      </c>
      <c r="W17" s="811">
        <f>VLOOKUP(B17,[49]Raises!$A$4:$L$22,12,FALSE)</f>
        <v>43057</v>
      </c>
      <c r="X17" s="812">
        <f>VLOOKUP(B17,[49]Raises!$A$5:$N$22,14,FALSE)</f>
        <v>7.1000000000000174E-2</v>
      </c>
      <c r="Y17" s="810">
        <f t="shared" si="4"/>
        <v>1046.6401469589068</v>
      </c>
      <c r="Z17" s="815"/>
      <c r="AA17" s="814">
        <f t="shared" si="5"/>
        <v>17808.680146958908</v>
      </c>
      <c r="AB17" s="811">
        <f>VLOOKUP(B17,[49]Raises!$A$5:$X$22,23,FALSE)</f>
        <v>43416</v>
      </c>
      <c r="AC17" s="812">
        <f>VLOOKUP(B17,[49]Raises!$A$5:$Y$22,25,FALSE)</f>
        <v>9.2624000000000262E-2</v>
      </c>
      <c r="AD17" s="788">
        <f t="shared" si="6"/>
        <v>1649.5111899319265</v>
      </c>
    </row>
    <row r="18" spans="1:31">
      <c r="A18" s="803">
        <v>2120</v>
      </c>
      <c r="B18" s="1489" t="s">
        <v>1506</v>
      </c>
      <c r="C18" s="804" t="s">
        <v>1507</v>
      </c>
      <c r="D18" s="803" t="str">
        <f>VLOOKUP(B18,'[49]EE Listing'!$A$2:$D$19,4,FALSE)</f>
        <v>Residential/Commercial Garbage</v>
      </c>
      <c r="E18" s="805">
        <f>IFERROR(VLOOKUP($B18,'[49]Employee Pay &amp; Hours'!$B$2:$AL$21,27,FALSE),0)</f>
        <v>2031.4499999999998</v>
      </c>
      <c r="F18" s="806">
        <f>IFERROR(VLOOKUP($B18,'[49]Employee Pay &amp; Hours'!$B$2:$AL$21,28,FALSE),0)</f>
        <v>118.86666599999997</v>
      </c>
      <c r="G18" s="806">
        <f>IFERROR(VLOOKUP($B18,'[49]Employee Pay &amp; Hours'!$B$2:$AL$21,29,FALSE),0)</f>
        <v>60</v>
      </c>
      <c r="H18" s="806">
        <f>IFERROR(VLOOKUP($B18,'[49]Employee Pay &amp; Hours'!$B$2:$AL$21,30,FALSE),0)</f>
        <v>48</v>
      </c>
      <c r="I18" s="806">
        <f>IFERROR(VLOOKUP($B18,'[49]Employee Pay &amp; Hours'!$B$2:$AL$21,31,FALSE),0)</f>
        <v>0</v>
      </c>
      <c r="J18" s="807">
        <f>IFERROR(VLOOKUP($B18,'[49]Employee Pay &amp; Hours'!$B$2:$AL$21,32,FALSE),0)</f>
        <v>35419.740000000013</v>
      </c>
      <c r="K18" s="806">
        <f>IFERROR(VLOOKUP($B18,'[49]Employee Pay &amp; Hours'!$B$2:$AL$21,33,FALSE),0)</f>
        <v>3092.2</v>
      </c>
      <c r="L18" s="806">
        <f>IFERROR(VLOOKUP($B18,'[49]Employee Pay &amp; Hours'!$B$2:$AL$21,34,FALSE),0)</f>
        <v>1004.8</v>
      </c>
      <c r="M18" s="806">
        <f>IFERROR(VLOOKUP($B18,'[49]Employee Pay &amp; Hours'!$B$2:$AL$21,35,FALSE),0)</f>
        <v>837.04000000000008</v>
      </c>
      <c r="N18" s="806">
        <f>IFERROR(VLOOKUP($B18,'[49]Employee Pay &amp; Hours'!$B$2:$AL$21,36,FALSE),0)</f>
        <v>1207.0000000000002</v>
      </c>
      <c r="O18" s="806">
        <f>IFERROR(VLOOKUP($B18,'[49]Employee Pay &amp; Hours'!$B$2:$AL$21,37,FALSE),0)</f>
        <v>0</v>
      </c>
      <c r="P18" s="808">
        <f t="shared" si="0"/>
        <v>41560.780000000013</v>
      </c>
      <c r="Q18" s="809">
        <f>P18-VLOOKUP(B18,'[49]Employee Pay &amp; Hours'!$B$4:$Z$21,25,FALSE)</f>
        <v>0</v>
      </c>
      <c r="R18" s="732">
        <f t="shared" si="1"/>
        <v>2258.3166659999997</v>
      </c>
      <c r="S18" s="732">
        <f t="shared" si="2"/>
        <v>108</v>
      </c>
      <c r="T18" s="797">
        <f t="shared" si="3"/>
        <v>2150.3166659999997</v>
      </c>
      <c r="U18" s="798"/>
      <c r="V18" s="810">
        <f t="shared" si="7"/>
        <v>32769.773095890429</v>
      </c>
      <c r="W18" s="811">
        <f>VLOOKUP(B18,[49]Raises!$A$4:$L$22,12,FALSE)</f>
        <v>43057</v>
      </c>
      <c r="X18" s="812">
        <f>VLOOKUP(B18,[49]Raises!$A$5:$N$22,14,FALSE)</f>
        <v>9.2624000000000262E-2</v>
      </c>
      <c r="Y18" s="810">
        <f t="shared" si="4"/>
        <v>3035.2674632337635</v>
      </c>
      <c r="Z18" s="815"/>
      <c r="AA18" s="814">
        <f t="shared" si="5"/>
        <v>40296.847463233782</v>
      </c>
      <c r="AB18" s="811">
        <f>VLOOKUP(B18,[49]Raises!$A$5:$X$22,23,FALSE)</f>
        <v>43416</v>
      </c>
      <c r="AC18" s="812">
        <f>VLOOKUP(B18,[49]Raises!$A$5:$Y$22,25,FALSE)</f>
        <v>0.10323200000000021</v>
      </c>
      <c r="AD18" s="788">
        <f t="shared" si="6"/>
        <v>4159.9241573245581</v>
      </c>
    </row>
    <row r="19" spans="1:31">
      <c r="A19" s="803">
        <v>2120</v>
      </c>
      <c r="B19" s="1489" t="s">
        <v>1508</v>
      </c>
      <c r="C19" s="804" t="s">
        <v>1509</v>
      </c>
      <c r="D19" s="803" t="str">
        <f>VLOOKUP(B19,'[49]EE Listing'!$A$2:$D$19,4,FALSE)</f>
        <v>Residential/Commercial Garbage</v>
      </c>
      <c r="E19" s="805">
        <f>IFERROR(VLOOKUP($B19,'[49]Employee Pay &amp; Hours'!$B$2:$AL$21,27,FALSE),0)</f>
        <v>1951.3666679999999</v>
      </c>
      <c r="F19" s="806">
        <f>IFERROR(VLOOKUP($B19,'[49]Employee Pay &amp; Hours'!$B$2:$AL$21,28,FALSE),0)</f>
        <v>39.399998000000004</v>
      </c>
      <c r="G19" s="806">
        <f>IFERROR(VLOOKUP($B19,'[49]Employee Pay &amp; Hours'!$B$2:$AL$21,29,FALSE),0)</f>
        <v>170</v>
      </c>
      <c r="H19" s="806">
        <f>IFERROR(VLOOKUP($B19,'[49]Employee Pay &amp; Hours'!$B$2:$AL$21,30,FALSE),0)</f>
        <v>48</v>
      </c>
      <c r="I19" s="806">
        <f>IFERROR(VLOOKUP($B19,'[49]Employee Pay &amp; Hours'!$B$2:$AL$21,31,FALSE),0)</f>
        <v>0</v>
      </c>
      <c r="J19" s="807">
        <f>IFERROR(VLOOKUP($B19,'[49]Employee Pay &amp; Hours'!$B$2:$AL$21,32,FALSE),0)</f>
        <v>39675.279999999977</v>
      </c>
      <c r="K19" s="806">
        <f>IFERROR(VLOOKUP($B19,'[49]Employee Pay &amp; Hours'!$B$2:$AL$21,33,FALSE),0)</f>
        <v>1216.08</v>
      </c>
      <c r="L19" s="806">
        <f>IFERROR(VLOOKUP($B19,'[49]Employee Pay &amp; Hours'!$B$2:$AL$21,34,FALSE),0)</f>
        <v>3449.3</v>
      </c>
      <c r="M19" s="806">
        <f>IFERROR(VLOOKUP($B19,'[49]Employee Pay &amp; Hours'!$B$2:$AL$21,35,FALSE),0)</f>
        <v>977.19999999999993</v>
      </c>
      <c r="N19" s="806">
        <f>IFERROR(VLOOKUP($B19,'[49]Employee Pay &amp; Hours'!$B$2:$AL$21,36,FALSE),0)</f>
        <v>1597.52</v>
      </c>
      <c r="O19" s="806">
        <f>IFERROR(VLOOKUP($B19,'[49]Employee Pay &amp; Hours'!$B$2:$AL$21,37,FALSE),0)</f>
        <v>0</v>
      </c>
      <c r="P19" s="808">
        <f t="shared" si="0"/>
        <v>46915.379999999976</v>
      </c>
      <c r="Q19" s="809">
        <f>P19-VLOOKUP(B19,'[49]Employee Pay &amp; Hours'!$B$4:$Z$21,25,FALSE)</f>
        <v>0</v>
      </c>
      <c r="R19" s="732">
        <f t="shared" si="1"/>
        <v>2208.766666</v>
      </c>
      <c r="S19" s="732">
        <f t="shared" si="2"/>
        <v>218</v>
      </c>
      <c r="T19" s="797">
        <f t="shared" si="3"/>
        <v>1990.766666</v>
      </c>
      <c r="U19" s="798"/>
      <c r="V19" s="810">
        <f t="shared" si="7"/>
        <v>38785.401041095873</v>
      </c>
      <c r="W19" s="811">
        <f>VLOOKUP(B19,[49]Raises!$A$4:$L$22,12,FALSE)</f>
        <v>43057</v>
      </c>
      <c r="X19" s="812">
        <f>VLOOKUP(B19,[49]Raises!$A$5:$N$22,14,FALSE)</f>
        <v>1.9999999999999928E-2</v>
      </c>
      <c r="Y19" s="810">
        <f t="shared" si="4"/>
        <v>775.7080208219146</v>
      </c>
      <c r="Z19" s="815"/>
      <c r="AA19" s="814">
        <f t="shared" si="5"/>
        <v>44877.488020821889</v>
      </c>
      <c r="AB19" s="811">
        <f>VLOOKUP(B19,[49]Raises!$A$5:$X$22,23,FALSE)</f>
        <v>43416</v>
      </c>
      <c r="AC19" s="812">
        <f>VLOOKUP(B19,[49]Raises!$A$5:$Y$22,25,FALSE)</f>
        <v>1.9999999999999928E-2</v>
      </c>
      <c r="AD19" s="788">
        <f t="shared" si="6"/>
        <v>897.54976041643454</v>
      </c>
    </row>
    <row r="20" spans="1:31">
      <c r="A20" s="803">
        <v>2120</v>
      </c>
      <c r="B20" s="1489" t="s">
        <v>1510</v>
      </c>
      <c r="C20" s="804" t="s">
        <v>1511</v>
      </c>
      <c r="D20" s="803" t="str">
        <f>VLOOKUP(B20,'[49]EE Listing'!$A$2:$D$19,4,FALSE)</f>
        <v>Residential/Commercial Garbage</v>
      </c>
      <c r="E20" s="805">
        <f>IFERROR(VLOOKUP($B20,'[49]Employee Pay &amp; Hours'!$B$2:$AL$21,27,FALSE),0)</f>
        <v>2021.9999990000001</v>
      </c>
      <c r="F20" s="806">
        <f>IFERROR(VLOOKUP($B20,'[49]Employee Pay &amp; Hours'!$B$2:$AL$21,28,FALSE),0)</f>
        <v>67.900007000000016</v>
      </c>
      <c r="G20" s="806">
        <f>IFERROR(VLOOKUP($B20,'[49]Employee Pay &amp; Hours'!$B$2:$AL$21,29,FALSE),0)</f>
        <v>140</v>
      </c>
      <c r="H20" s="806">
        <f>IFERROR(VLOOKUP($B20,'[49]Employee Pay &amp; Hours'!$B$2:$AL$21,30,FALSE),0)</f>
        <v>48</v>
      </c>
      <c r="I20" s="806">
        <f>IFERROR(VLOOKUP($B20,'[49]Employee Pay &amp; Hours'!$B$2:$AL$21,31,FALSE),0)</f>
        <v>0</v>
      </c>
      <c r="J20" s="807">
        <f>IFERROR(VLOOKUP($B20,'[49]Employee Pay &amp; Hours'!$B$2:$AL$21,32,FALSE),0)</f>
        <v>41104.309999999961</v>
      </c>
      <c r="K20" s="806">
        <f>IFERROR(VLOOKUP($B20,'[49]Employee Pay &amp; Hours'!$B$2:$AL$21,33,FALSE),0)</f>
        <v>2075.71</v>
      </c>
      <c r="L20" s="806">
        <f>IFERROR(VLOOKUP($B20,'[49]Employee Pay &amp; Hours'!$B$2:$AL$21,34,FALSE),0)</f>
        <v>2844.7</v>
      </c>
      <c r="M20" s="806">
        <f>IFERROR(VLOOKUP($B20,'[49]Employee Pay &amp; Hours'!$B$2:$AL$21,35,FALSE),0)</f>
        <v>977.19999999999993</v>
      </c>
      <c r="N20" s="806">
        <f>IFERROR(VLOOKUP($B20,'[49]Employee Pay &amp; Hours'!$B$2:$AL$21,36,FALSE),0)</f>
        <v>512.1699999999995</v>
      </c>
      <c r="O20" s="806">
        <f>IFERROR(VLOOKUP($B20,'[49]Employee Pay &amp; Hours'!$B$2:$AL$21,37,FALSE),0)</f>
        <v>0</v>
      </c>
      <c r="P20" s="808">
        <f t="shared" si="0"/>
        <v>47514.089999999953</v>
      </c>
      <c r="Q20" s="809">
        <f>P20-VLOOKUP(B20,'[49]Employee Pay &amp; Hours'!$B$4:$Z$21,25,FALSE)</f>
        <v>0</v>
      </c>
      <c r="R20" s="732">
        <f t="shared" si="1"/>
        <v>2277.9000060000003</v>
      </c>
      <c r="S20" s="732">
        <f t="shared" si="2"/>
        <v>188</v>
      </c>
      <c r="T20" s="797">
        <f t="shared" si="3"/>
        <v>2089.9000060000003</v>
      </c>
      <c r="U20" s="798"/>
      <c r="V20" s="810">
        <f t="shared" si="7"/>
        <v>39510.447698630102</v>
      </c>
      <c r="W20" s="811">
        <f>VLOOKUP(B20,[49]Raises!$A$4:$L$22,12,FALSE)</f>
        <v>43057</v>
      </c>
      <c r="X20" s="812">
        <f>VLOOKUP(B20,[49]Raises!$A$5:$N$22,14,FALSE)</f>
        <v>1.9999999999999928E-2</v>
      </c>
      <c r="Y20" s="810">
        <f t="shared" si="4"/>
        <v>790.20895397259915</v>
      </c>
      <c r="Z20" s="815"/>
      <c r="AA20" s="814">
        <f t="shared" si="5"/>
        <v>45716.418953972556</v>
      </c>
      <c r="AB20" s="811">
        <f>VLOOKUP(B20,[49]Raises!$A$5:$X$22,23,FALSE)</f>
        <v>43416</v>
      </c>
      <c r="AC20" s="812">
        <f>VLOOKUP(B20,[49]Raises!$A$5:$Y$22,25,FALSE)</f>
        <v>1.9999999999999928E-2</v>
      </c>
      <c r="AD20" s="788">
        <f t="shared" si="6"/>
        <v>914.32837907944781</v>
      </c>
    </row>
    <row r="21" spans="1:31">
      <c r="A21" s="793"/>
      <c r="B21" s="1490"/>
      <c r="C21" s="793"/>
      <c r="D21" s="793"/>
      <c r="E21" s="816"/>
      <c r="F21" s="793"/>
      <c r="G21" s="793"/>
      <c r="H21" s="793"/>
      <c r="I21" s="793"/>
      <c r="J21" s="794"/>
      <c r="K21" s="793"/>
      <c r="L21" s="793"/>
      <c r="M21" s="793"/>
      <c r="N21" s="793"/>
      <c r="O21" s="793"/>
      <c r="P21" s="795"/>
      <c r="Q21" s="796"/>
      <c r="T21" s="797"/>
      <c r="U21" s="798"/>
      <c r="V21" s="817"/>
      <c r="W21" s="818"/>
      <c r="X21" s="812"/>
      <c r="Y21" s="800"/>
      <c r="Z21" s="817"/>
      <c r="AA21" s="814"/>
      <c r="AB21" s="811"/>
      <c r="AC21" s="812"/>
      <c r="AD21" s="802"/>
    </row>
    <row r="22" spans="1:31">
      <c r="B22" s="928"/>
      <c r="C22" s="819" t="s">
        <v>1512</v>
      </c>
      <c r="D22" s="728"/>
      <c r="E22" s="820">
        <f t="shared" ref="E22:O22" si="8">SUM(E10:E21)</f>
        <v>15382.400001</v>
      </c>
      <c r="F22" s="821">
        <f t="shared" si="8"/>
        <v>845.61667799999987</v>
      </c>
      <c r="G22" s="821">
        <f t="shared" si="8"/>
        <v>1285</v>
      </c>
      <c r="H22" s="821">
        <f t="shared" si="8"/>
        <v>368</v>
      </c>
      <c r="I22" s="821">
        <f t="shared" si="8"/>
        <v>0</v>
      </c>
      <c r="J22" s="822">
        <f t="shared" si="8"/>
        <v>301280.68999999989</v>
      </c>
      <c r="K22" s="821">
        <f t="shared" si="8"/>
        <v>25327.740000000005</v>
      </c>
      <c r="L22" s="821">
        <f t="shared" si="8"/>
        <v>25958.899999999998</v>
      </c>
      <c r="M22" s="821">
        <f t="shared" si="8"/>
        <v>7257.5999999999995</v>
      </c>
      <c r="N22" s="821">
        <f t="shared" si="8"/>
        <v>9865.1699999999983</v>
      </c>
      <c r="O22" s="821">
        <f t="shared" si="8"/>
        <v>0</v>
      </c>
      <c r="P22" s="823">
        <f>SUM(J22:O22)</f>
        <v>369690.09999999986</v>
      </c>
      <c r="Q22" s="824"/>
      <c r="R22" s="825">
        <f>SUM(R11:R21)</f>
        <v>17881.016678999997</v>
      </c>
      <c r="S22" s="825">
        <f>SUM(S11:S21)</f>
        <v>1653</v>
      </c>
      <c r="T22" s="825">
        <f>SUM(T11:T21)</f>
        <v>16228.016678999997</v>
      </c>
      <c r="U22" s="825"/>
      <c r="V22" s="817"/>
      <c r="W22" s="818"/>
      <c r="X22" s="826"/>
      <c r="Y22" s="827">
        <f>SUM(Y11:Y21)</f>
        <v>11178.074020412061</v>
      </c>
      <c r="Z22" s="813"/>
      <c r="AA22" s="734"/>
      <c r="AB22" s="811"/>
      <c r="AC22" s="826"/>
      <c r="AD22" s="828">
        <f>SUM(AD11:AD21)</f>
        <v>14682.728423723698</v>
      </c>
      <c r="AE22" s="828"/>
    </row>
    <row r="23" spans="1:31" s="734" customFormat="1">
      <c r="A23" s="793"/>
      <c r="B23" s="1490"/>
      <c r="C23" s="819"/>
      <c r="D23" s="793"/>
      <c r="E23" s="820"/>
      <c r="F23" s="821"/>
      <c r="G23" s="821"/>
      <c r="H23" s="821"/>
      <c r="I23" s="821"/>
      <c r="J23" s="822"/>
      <c r="K23" s="821"/>
      <c r="L23" s="821"/>
      <c r="M23" s="821"/>
      <c r="N23" s="821"/>
      <c r="O23" s="821"/>
      <c r="P23" s="823"/>
      <c r="Q23" s="824"/>
      <c r="R23" s="825"/>
      <c r="S23" s="825"/>
      <c r="T23" s="825"/>
      <c r="U23" s="829"/>
      <c r="V23" s="810"/>
      <c r="W23" s="830"/>
      <c r="X23" s="812"/>
      <c r="Y23" s="829"/>
      <c r="Z23" s="815"/>
      <c r="AA23" s="814"/>
      <c r="AB23" s="811"/>
      <c r="AC23" s="812"/>
      <c r="AD23" s="829"/>
    </row>
    <row r="24" spans="1:31" s="734" customFormat="1">
      <c r="A24" s="803">
        <v>2120</v>
      </c>
      <c r="B24" s="1489" t="s">
        <v>1513</v>
      </c>
      <c r="C24" s="804" t="s">
        <v>1514</v>
      </c>
      <c r="D24" s="803" t="str">
        <f>VLOOKUP(B24,'[49]EE Listing'!$A$2:$D$19,4,FALSE)</f>
        <v>RO/Residential/Commercial Garbage</v>
      </c>
      <c r="E24" s="805">
        <f>IFERROR(VLOOKUP($B24,'[49]Employee Pay &amp; Hours'!$B$2:$AL$21,27,FALSE),0)</f>
        <v>1918.166667</v>
      </c>
      <c r="F24" s="806">
        <f>IFERROR(VLOOKUP($B24,'[49]Employee Pay &amp; Hours'!$B$2:$AL$21,28,FALSE),0)</f>
        <v>257.33334100000002</v>
      </c>
      <c r="G24" s="806">
        <f>IFERROR(VLOOKUP($B24,'[49]Employee Pay &amp; Hours'!$B$2:$AL$21,29,FALSE),0)</f>
        <v>250</v>
      </c>
      <c r="H24" s="806">
        <f>IFERROR(VLOOKUP($B24,'[49]Employee Pay &amp; Hours'!$B$2:$AL$21,30,FALSE),0)</f>
        <v>48</v>
      </c>
      <c r="I24" s="806">
        <f>IFERROR(VLOOKUP($B24,'[49]Employee Pay &amp; Hours'!$B$2:$AL$21,31,FALSE),0)</f>
        <v>0</v>
      </c>
      <c r="J24" s="807">
        <f>IFERROR(VLOOKUP($B24,'[49]Employee Pay &amp; Hours'!$B$2:$AL$21,32,FALSE),0)</f>
        <v>40003.439999999988</v>
      </c>
      <c r="K24" s="806">
        <f>IFERROR(VLOOKUP($B24,'[49]Employee Pay &amp; Hours'!$B$2:$AL$21,33,FALSE),0)</f>
        <v>8094.8700000000017</v>
      </c>
      <c r="L24" s="806">
        <f>IFERROR(VLOOKUP($B24,'[49]Employee Pay &amp; Hours'!$B$2:$AL$21,34,FALSE),0)</f>
        <v>5221.8</v>
      </c>
      <c r="M24" s="806">
        <f>IFERROR(VLOOKUP($B24,'[49]Employee Pay &amp; Hours'!$B$2:$AL$21,35,FALSE),0)</f>
        <v>1002.7199999999999</v>
      </c>
      <c r="N24" s="806">
        <f>IFERROR(VLOOKUP($B24,'[49]Employee Pay &amp; Hours'!$B$2:$AL$21,36,FALSE),0)</f>
        <v>910.43000000000029</v>
      </c>
      <c r="O24" s="806">
        <f>IFERROR(VLOOKUP($B24,'[49]Employee Pay &amp; Hours'!$B$2:$AL$21,37,FALSE),0)</f>
        <v>0</v>
      </c>
      <c r="P24" s="808">
        <f>SUM(J24:O24)</f>
        <v>55233.259999999995</v>
      </c>
      <c r="Q24" s="809">
        <f>P24-VLOOKUP(B24,'[49]Employee Pay &amp; Hours'!$B$4:$Z$21,25,FALSE)</f>
        <v>0</v>
      </c>
      <c r="R24" s="732">
        <f>SUM(E24:I24)</f>
        <v>2473.500008</v>
      </c>
      <c r="S24" s="732">
        <f>G24+H24+I24</f>
        <v>298</v>
      </c>
      <c r="T24" s="797">
        <f>R24-S24</f>
        <v>2175.500008</v>
      </c>
      <c r="U24" s="798"/>
      <c r="V24" s="810">
        <f>SUM(J24,L24:M24)*($AD$5/365)</f>
        <v>40655.274410958897</v>
      </c>
      <c r="W24" s="811">
        <f>VLOOKUP(B24,[49]Raises!$A$4:$L$22,12,FALSE)</f>
        <v>43057</v>
      </c>
      <c r="X24" s="812">
        <f>VLOOKUP(B24,[49]Raises!$A$5:$N$22,14,FALSE)</f>
        <v>1.9999999999999928E-2</v>
      </c>
      <c r="Y24" s="810">
        <f>V24*X24</f>
        <v>813.10548821917496</v>
      </c>
      <c r="Z24" s="815"/>
      <c r="AA24" s="814">
        <f>SUM(J24,L24:M24)+Y24</f>
        <v>47041.065488219167</v>
      </c>
      <c r="AB24" s="811">
        <f>VLOOKUP(B24,[49]Raises!$A$5:$X$22,23,FALSE)</f>
        <v>43416</v>
      </c>
      <c r="AC24" s="812">
        <f>VLOOKUP(B24,[49]Raises!$A$5:$Y$22,25,FALSE)</f>
        <v>1.9999999999999928E-2</v>
      </c>
      <c r="AD24" s="788">
        <f>AA24*AC24</f>
        <v>940.82130976437998</v>
      </c>
    </row>
    <row r="25" spans="1:31" s="734" customFormat="1">
      <c r="A25" s="803">
        <v>2120</v>
      </c>
      <c r="B25" s="1489" t="s">
        <v>1515</v>
      </c>
      <c r="C25" s="804" t="s">
        <v>1516</v>
      </c>
      <c r="D25" s="803" t="str">
        <f>VLOOKUP(B25,'[49]EE Listing'!$A$2:$D$19,4,FALSE)</f>
        <v>RO/Residential/Commercial Garbage</v>
      </c>
      <c r="E25" s="805">
        <f>IFERROR(VLOOKUP($B25,'[49]Employee Pay &amp; Hours'!$B$2:$AL$21,27,FALSE),0)</f>
        <v>2000.0000009999999</v>
      </c>
      <c r="F25" s="806">
        <f>IFERROR(VLOOKUP($B25,'[49]Employee Pay &amp; Hours'!$B$2:$AL$21,28,FALSE),0)</f>
        <v>296.33333599999997</v>
      </c>
      <c r="G25" s="806">
        <f>IFERROR(VLOOKUP($B25,'[49]Employee Pay &amp; Hours'!$B$2:$AL$21,29,FALSE),0)</f>
        <v>128</v>
      </c>
      <c r="H25" s="806">
        <f>IFERROR(VLOOKUP($B25,'[49]Employee Pay &amp; Hours'!$B$2:$AL$21,30,FALSE),0)</f>
        <v>48</v>
      </c>
      <c r="I25" s="806">
        <f>IFERROR(VLOOKUP($B25,'[49]Employee Pay &amp; Hours'!$B$2:$AL$21,31,FALSE),0)</f>
        <v>0</v>
      </c>
      <c r="J25" s="807">
        <f>IFERROR(VLOOKUP($B25,'[49]Employee Pay &amp; Hours'!$B$2:$AL$21,32,FALSE),0)</f>
        <v>40662.009999999966</v>
      </c>
      <c r="K25" s="806">
        <f>IFERROR(VLOOKUP($B25,'[49]Employee Pay &amp; Hours'!$B$2:$AL$21,33,FALSE),0)</f>
        <v>9122.119999999999</v>
      </c>
      <c r="L25" s="806">
        <f>IFERROR(VLOOKUP($B25,'[49]Employee Pay &amp; Hours'!$B$2:$AL$21,34,FALSE),0)</f>
        <v>2597.12</v>
      </c>
      <c r="M25" s="806">
        <f>IFERROR(VLOOKUP($B25,'[49]Employee Pay &amp; Hours'!$B$2:$AL$21,35,FALSE),0)</f>
        <v>977.19999999999993</v>
      </c>
      <c r="N25" s="806">
        <f>IFERROR(VLOOKUP($B25,'[49]Employee Pay &amp; Hours'!$B$2:$AL$21,36,FALSE),0)</f>
        <v>1555.4399999999998</v>
      </c>
      <c r="O25" s="806">
        <f>IFERROR(VLOOKUP($B25,'[49]Employee Pay &amp; Hours'!$B$2:$AL$21,37,FALSE),0)</f>
        <v>0</v>
      </c>
      <c r="P25" s="808">
        <f>SUM(J25:O25)</f>
        <v>54913.889999999963</v>
      </c>
      <c r="Q25" s="809">
        <f>P25-VLOOKUP(B25,'[49]Employee Pay &amp; Hours'!$B$4:$Z$21,25,FALSE)</f>
        <v>0</v>
      </c>
      <c r="R25" s="732">
        <f>SUM(E25:I25)</f>
        <v>2472.333337</v>
      </c>
      <c r="S25" s="732">
        <f>G25+H25+I25</f>
        <v>176</v>
      </c>
      <c r="T25" s="797">
        <f>R25-S25</f>
        <v>2296.333337</v>
      </c>
      <c r="U25" s="798"/>
      <c r="V25" s="810">
        <f>SUM(J25,L25:M25)*($AD$5/365)</f>
        <v>38903.731315068464</v>
      </c>
      <c r="W25" s="811">
        <f>VLOOKUP(B25,[49]Raises!$A$4:$L$22,12,FALSE)</f>
        <v>43057</v>
      </c>
      <c r="X25" s="812">
        <f>VLOOKUP(B25,[49]Raises!$A$5:$N$22,14,FALSE)</f>
        <v>1.9999999999999928E-2</v>
      </c>
      <c r="Y25" s="810">
        <f>V25*X25</f>
        <v>778.07462630136649</v>
      </c>
      <c r="Z25" s="815"/>
      <c r="AA25" s="814">
        <f>SUM(J25,L25:M25)+Y25</f>
        <v>45014.40462630133</v>
      </c>
      <c r="AB25" s="811">
        <f>VLOOKUP(B25,[49]Raises!$A$5:$X$22,23,FALSE)</f>
        <v>43416</v>
      </c>
      <c r="AC25" s="812">
        <f>VLOOKUP(B25,[49]Raises!$A$5:$Y$22,25,FALSE)</f>
        <v>1.9999999999999928E-2</v>
      </c>
      <c r="AD25" s="788">
        <f>AA25*AC25</f>
        <v>900.28809252602332</v>
      </c>
    </row>
    <row r="26" spans="1:31">
      <c r="B26" s="792"/>
      <c r="C26" s="792"/>
      <c r="D26" s="792"/>
      <c r="E26" s="816"/>
      <c r="F26" s="793"/>
      <c r="G26" s="793"/>
      <c r="H26" s="793"/>
      <c r="I26" s="793"/>
      <c r="J26" s="794"/>
      <c r="K26" s="793"/>
      <c r="L26" s="793"/>
      <c r="M26" s="793"/>
      <c r="N26" s="793"/>
      <c r="O26" s="793"/>
      <c r="P26" s="795"/>
      <c r="Q26" s="796"/>
      <c r="T26" s="797"/>
      <c r="U26" s="798"/>
      <c r="V26" s="817"/>
      <c r="W26" s="818"/>
      <c r="X26" s="812"/>
      <c r="Y26" s="800"/>
      <c r="Z26" s="813"/>
      <c r="AA26" s="814"/>
      <c r="AB26" s="811"/>
      <c r="AC26" s="812"/>
      <c r="AD26" s="802"/>
    </row>
    <row r="27" spans="1:31">
      <c r="C27" s="819" t="s">
        <v>1517</v>
      </c>
      <c r="D27" s="746"/>
      <c r="E27" s="820">
        <f t="shared" ref="E27:O27" si="9">SUM(E24:E26)</f>
        <v>3918.1666679999998</v>
      </c>
      <c r="F27" s="821">
        <f t="shared" si="9"/>
        <v>553.66667699999994</v>
      </c>
      <c r="G27" s="821">
        <f t="shared" si="9"/>
        <v>378</v>
      </c>
      <c r="H27" s="821">
        <f t="shared" si="9"/>
        <v>96</v>
      </c>
      <c r="I27" s="821">
        <f t="shared" si="9"/>
        <v>0</v>
      </c>
      <c r="J27" s="822">
        <f t="shared" si="9"/>
        <v>80665.449999999953</v>
      </c>
      <c r="K27" s="821">
        <f t="shared" si="9"/>
        <v>17216.990000000002</v>
      </c>
      <c r="L27" s="821">
        <f t="shared" si="9"/>
        <v>7818.92</v>
      </c>
      <c r="M27" s="821">
        <f t="shared" si="9"/>
        <v>1979.9199999999998</v>
      </c>
      <c r="N27" s="821">
        <f t="shared" si="9"/>
        <v>2465.87</v>
      </c>
      <c r="O27" s="821">
        <f t="shared" si="9"/>
        <v>0</v>
      </c>
      <c r="P27" s="831">
        <f>SUM(J27:O27)</f>
        <v>110147.14999999995</v>
      </c>
      <c r="Q27" s="832"/>
      <c r="R27" s="833">
        <f>SUM(R24:R26)</f>
        <v>4945.833345</v>
      </c>
      <c r="S27" s="833">
        <f>SUM(S24:S26)</f>
        <v>474</v>
      </c>
      <c r="T27" s="833">
        <f>SUM(T24:T26)</f>
        <v>4471.833345</v>
      </c>
      <c r="U27" s="833"/>
      <c r="V27" s="817"/>
      <c r="W27" s="818"/>
      <c r="X27" s="826"/>
      <c r="Y27" s="834">
        <f>SUM(Y24:Y26)</f>
        <v>1591.1801145205413</v>
      </c>
      <c r="Z27" s="813"/>
      <c r="AA27" s="734"/>
      <c r="AB27" s="811"/>
      <c r="AC27" s="826"/>
      <c r="AD27" s="834">
        <f>SUM(AD24:AD26)</f>
        <v>1841.1094022904033</v>
      </c>
    </row>
    <row r="28" spans="1:31">
      <c r="A28" s="793"/>
      <c r="B28" s="835"/>
      <c r="C28" s="836"/>
      <c r="D28" s="792"/>
      <c r="E28" s="805"/>
      <c r="F28" s="814"/>
      <c r="G28" s="814"/>
      <c r="H28" s="814"/>
      <c r="I28" s="814"/>
      <c r="J28" s="807"/>
      <c r="K28" s="814"/>
      <c r="L28" s="814"/>
      <c r="M28" s="814"/>
      <c r="N28" s="814"/>
      <c r="O28" s="814"/>
      <c r="P28" s="808">
        <f>SUM(J28:O28)</f>
        <v>0</v>
      </c>
      <c r="Q28" s="809"/>
      <c r="T28" s="797"/>
      <c r="U28" s="798"/>
      <c r="V28" s="810"/>
      <c r="W28" s="811"/>
      <c r="X28" s="812"/>
      <c r="Y28" s="837"/>
      <c r="Z28" s="815"/>
      <c r="AA28" s="814"/>
      <c r="AB28" s="811"/>
      <c r="AC28" s="812"/>
      <c r="AD28" s="788"/>
    </row>
    <row r="29" spans="1:31">
      <c r="C29" s="838" t="s">
        <v>1518</v>
      </c>
      <c r="E29" s="839">
        <f t="shared" ref="E29:P29" si="10">+E27+E22</f>
        <v>19300.566669</v>
      </c>
      <c r="F29" s="840">
        <f t="shared" si="10"/>
        <v>1399.2833549999998</v>
      </c>
      <c r="G29" s="840">
        <f t="shared" si="10"/>
        <v>1663</v>
      </c>
      <c r="H29" s="840">
        <f t="shared" si="10"/>
        <v>464</v>
      </c>
      <c r="I29" s="840">
        <f t="shared" si="10"/>
        <v>0</v>
      </c>
      <c r="J29" s="841">
        <f t="shared" si="10"/>
        <v>381946.13999999984</v>
      </c>
      <c r="K29" s="840">
        <f t="shared" si="10"/>
        <v>42544.73000000001</v>
      </c>
      <c r="L29" s="840">
        <f t="shared" si="10"/>
        <v>33777.82</v>
      </c>
      <c r="M29" s="840">
        <f t="shared" si="10"/>
        <v>9237.5199999999986</v>
      </c>
      <c r="N29" s="840">
        <f t="shared" si="10"/>
        <v>12331.039999999997</v>
      </c>
      <c r="O29" s="840">
        <f t="shared" si="10"/>
        <v>0</v>
      </c>
      <c r="P29" s="842">
        <f t="shared" si="10"/>
        <v>479837.24999999983</v>
      </c>
      <c r="Q29" s="824"/>
      <c r="R29" s="833">
        <f>+R27+R22</f>
        <v>22826.850023999996</v>
      </c>
      <c r="S29" s="833">
        <f>+S27+S22</f>
        <v>2127</v>
      </c>
      <c r="T29" s="833">
        <f>+T27+T22</f>
        <v>20699.850023999996</v>
      </c>
      <c r="U29" s="833"/>
      <c r="V29" s="817"/>
      <c r="W29" s="818"/>
      <c r="X29" s="826"/>
      <c r="Y29" s="834">
        <f>+Y27+Y22</f>
        <v>12769.254134932602</v>
      </c>
      <c r="Z29" s="813"/>
      <c r="AA29" s="734"/>
      <c r="AB29" s="811"/>
      <c r="AC29" s="826"/>
      <c r="AD29" s="833">
        <f>+AD27+AD22</f>
        <v>16523.8378260141</v>
      </c>
    </row>
    <row r="30" spans="1:31">
      <c r="C30" s="792"/>
      <c r="E30" s="843"/>
      <c r="F30" s="731"/>
      <c r="G30" s="731"/>
      <c r="H30" s="731"/>
      <c r="I30" s="731"/>
      <c r="J30" s="785"/>
      <c r="K30" s="731"/>
      <c r="L30" s="731"/>
      <c r="M30" s="731"/>
      <c r="N30" s="731"/>
      <c r="O30" s="731"/>
      <c r="P30" s="844"/>
      <c r="Q30" s="787"/>
      <c r="T30" s="845"/>
      <c r="U30" s="846"/>
      <c r="V30" s="817"/>
      <c r="W30" s="818"/>
      <c r="X30" s="826"/>
      <c r="Z30" s="817"/>
      <c r="AA30" s="734"/>
      <c r="AB30" s="811"/>
      <c r="AC30" s="826"/>
    </row>
    <row r="31" spans="1:31" ht="12" thickBot="1">
      <c r="C31" s="730"/>
      <c r="E31" s="843"/>
      <c r="F31" s="731"/>
      <c r="G31" s="731"/>
      <c r="H31" s="731"/>
      <c r="I31" s="731"/>
      <c r="J31" s="785"/>
      <c r="K31" s="731"/>
      <c r="L31" s="731"/>
      <c r="M31" s="731"/>
      <c r="N31" s="731"/>
      <c r="O31" s="731"/>
      <c r="P31" s="844"/>
      <c r="Q31" s="787"/>
      <c r="U31" s="798"/>
      <c r="V31" s="817"/>
      <c r="W31" s="818"/>
      <c r="X31" s="826"/>
      <c r="Z31" s="817"/>
      <c r="AA31" s="734"/>
      <c r="AB31" s="811"/>
      <c r="AC31" s="826"/>
    </row>
    <row r="32" spans="1:31" ht="12" thickTop="1">
      <c r="A32" s="847"/>
      <c r="B32" s="847" t="s">
        <v>1519</v>
      </c>
      <c r="C32" s="783"/>
      <c r="D32" s="784"/>
      <c r="E32" s="843"/>
      <c r="F32" s="747"/>
      <c r="G32" s="747"/>
      <c r="H32" s="747"/>
      <c r="I32" s="747"/>
      <c r="J32" s="785"/>
      <c r="K32" s="747"/>
      <c r="L32" s="747"/>
      <c r="M32" s="747"/>
      <c r="N32" s="747"/>
      <c r="O32" s="747"/>
      <c r="P32" s="844"/>
      <c r="Q32" s="787"/>
      <c r="R32" s="728"/>
      <c r="S32" s="728"/>
      <c r="T32" s="728"/>
      <c r="U32" s="728"/>
      <c r="W32" s="734"/>
      <c r="X32" s="826"/>
      <c r="Y32" s="734"/>
      <c r="Z32" s="734"/>
      <c r="AA32" s="734"/>
      <c r="AB32" s="811"/>
      <c r="AC32" s="826"/>
    </row>
    <row r="33" spans="1:30">
      <c r="E33" s="843"/>
      <c r="F33" s="731"/>
      <c r="G33" s="731"/>
      <c r="H33" s="731"/>
      <c r="I33" s="731"/>
      <c r="J33" s="785"/>
      <c r="K33" s="731"/>
      <c r="L33" s="731"/>
      <c r="M33" s="731"/>
      <c r="N33" s="731"/>
      <c r="O33" s="731"/>
      <c r="P33" s="844"/>
      <c r="Q33" s="787"/>
      <c r="R33" s="728"/>
      <c r="S33" s="728"/>
      <c r="T33" s="728"/>
      <c r="U33" s="728"/>
      <c r="W33" s="734"/>
      <c r="X33" s="826"/>
      <c r="Y33" s="734"/>
      <c r="Z33" s="734"/>
      <c r="AA33" s="734"/>
      <c r="AB33" s="811"/>
      <c r="AC33" s="826"/>
    </row>
    <row r="34" spans="1:30">
      <c r="A34" s="803">
        <v>2120</v>
      </c>
      <c r="B34" s="1489" t="s">
        <v>1520</v>
      </c>
      <c r="C34" s="804" t="s">
        <v>1521</v>
      </c>
      <c r="D34" s="803" t="str">
        <f>VLOOKUP(B34,'[49]EE Listing'!$A$2:$D$19,4,FALSE)</f>
        <v>Mechanic</v>
      </c>
      <c r="E34" s="805">
        <f>IFERROR(VLOOKUP($B34,'[49]Employee Pay &amp; Hours'!$B$2:$AL$21,27,FALSE),0)</f>
        <v>1802.116665</v>
      </c>
      <c r="F34" s="806">
        <f>IFERROR(VLOOKUP($B34,'[49]Employee Pay &amp; Hours'!$B$2:$AL$21,28,FALSE),0)</f>
        <v>71.083334000000008</v>
      </c>
      <c r="G34" s="806">
        <f>IFERROR(VLOOKUP($B34,'[49]Employee Pay &amp; Hours'!$B$2:$AL$21,29,FALSE),0)</f>
        <v>56</v>
      </c>
      <c r="H34" s="806">
        <f>IFERROR(VLOOKUP($B34,'[49]Employee Pay &amp; Hours'!$B$2:$AL$21,30,FALSE),0)</f>
        <v>32</v>
      </c>
      <c r="I34" s="806">
        <f>IFERROR(VLOOKUP($B34,'[49]Employee Pay &amp; Hours'!$B$2:$AL$21,31,FALSE),0)</f>
        <v>0</v>
      </c>
      <c r="J34" s="807">
        <f>IFERROR(VLOOKUP($B34,'[49]Employee Pay &amp; Hours'!$B$2:$AL$21,32,FALSE),0)</f>
        <v>32885.289999999986</v>
      </c>
      <c r="K34" s="806">
        <f>IFERROR(VLOOKUP($B34,'[49]Employee Pay &amp; Hours'!$B$2:$AL$21,33,FALSE),0)</f>
        <v>1984.369999999999</v>
      </c>
      <c r="L34" s="806">
        <f>IFERROR(VLOOKUP($B34,'[49]Employee Pay &amp; Hours'!$B$2:$AL$21,34,FALSE),0)</f>
        <v>1045.52</v>
      </c>
      <c r="M34" s="806">
        <f>IFERROR(VLOOKUP($B34,'[49]Employee Pay &amp; Hours'!$B$2:$AL$21,35,FALSE),0)</f>
        <v>587.44000000000005</v>
      </c>
      <c r="N34" s="806">
        <f>IFERROR(VLOOKUP($B34,'[49]Employee Pay &amp; Hours'!$B$2:$AL$21,36,FALSE),0)</f>
        <v>1501.9999999999989</v>
      </c>
      <c r="O34" s="806">
        <f>IFERROR(VLOOKUP($B34,'[49]Employee Pay &amp; Hours'!$B$2:$AL$21,37,FALSE),0)</f>
        <v>0</v>
      </c>
      <c r="P34" s="808">
        <f>SUM(J34:O34)</f>
        <v>38004.619999999988</v>
      </c>
      <c r="Q34" s="809">
        <f>P34-VLOOKUP(B34,'[49]Employee Pay &amp; Hours'!$B$4:$Z$21,25,FALSE)</f>
        <v>0</v>
      </c>
      <c r="R34" s="732">
        <f>SUM(E34:I34)</f>
        <v>1961.1999989999999</v>
      </c>
      <c r="S34" s="732">
        <f>G34+H34+I34</f>
        <v>88</v>
      </c>
      <c r="T34" s="797">
        <f>R34-S34</f>
        <v>1873.1999989999999</v>
      </c>
      <c r="U34" s="798"/>
      <c r="V34" s="810">
        <f>SUM(J34,L34:M34)*($AD$5/365)</f>
        <v>30357.14589041095</v>
      </c>
      <c r="W34" s="811">
        <f>VLOOKUP(B34,[49]Raises!$A$4:$L$22,12,FALSE)</f>
        <v>43057</v>
      </c>
      <c r="X34" s="812">
        <f>VLOOKUP(B34,[49]Raises!$A$5:$N$22,14,FALSE)</f>
        <v>4.0399999999999991E-2</v>
      </c>
      <c r="Y34" s="810">
        <f>V34*X34</f>
        <v>1226.4286939726021</v>
      </c>
      <c r="Z34" s="815"/>
      <c r="AA34" s="814">
        <f>SUM(J34,L34:M34)+Y34</f>
        <v>35744.678693972586</v>
      </c>
      <c r="AB34" s="811">
        <f>VLOOKUP(B34,[49]Raises!$A$5:$X$22,23,FALSE)</f>
        <v>43416</v>
      </c>
      <c r="AC34" s="812">
        <f>VLOOKUP(B34,[49]Raises!$A$5:$Y$22,25,FALSE)</f>
        <v>0.10323200000000021</v>
      </c>
      <c r="AD34" s="788">
        <f>AA34*AC34</f>
        <v>3689.9946709361857</v>
      </c>
    </row>
    <row r="35" spans="1:30">
      <c r="A35" s="803">
        <v>2120</v>
      </c>
      <c r="B35" s="1489" t="s">
        <v>1522</v>
      </c>
      <c r="C35" s="804" t="s">
        <v>1523</v>
      </c>
      <c r="D35" s="803" t="str">
        <f>VLOOKUP(B35,'[49]EE Listing'!$A$2:$D$19,4,FALSE)</f>
        <v>Maintenance Manager</v>
      </c>
      <c r="E35" s="805">
        <f>IFERROR(VLOOKUP($B35,'[49]Employee Pay &amp; Hours'!$B$2:$AL$21,27,FALSE),0)</f>
        <v>2032</v>
      </c>
      <c r="F35" s="806">
        <f>IFERROR(VLOOKUP($B35,'[49]Employee Pay &amp; Hours'!$B$2:$AL$21,28,FALSE),0)</f>
        <v>0</v>
      </c>
      <c r="G35" s="806">
        <f>IFERROR(VLOOKUP($B35,'[49]Employee Pay &amp; Hours'!$B$2:$AL$21,29,FALSE),0)</f>
        <v>0</v>
      </c>
      <c r="H35" s="806">
        <f>IFERROR(VLOOKUP($B35,'[49]Employee Pay &amp; Hours'!$B$2:$AL$21,30,FALSE),0)</f>
        <v>48</v>
      </c>
      <c r="I35" s="806">
        <f>IFERROR(VLOOKUP($B35,'[49]Employee Pay &amp; Hours'!$B$2:$AL$21,31,FALSE),0)</f>
        <v>0</v>
      </c>
      <c r="J35" s="807">
        <f>IFERROR(VLOOKUP($B35,'[49]Employee Pay &amp; Hours'!$B$2:$AL$21,32,FALSE),0)</f>
        <v>46379.119999999988</v>
      </c>
      <c r="K35" s="806">
        <f>IFERROR(VLOOKUP($B35,'[49]Employee Pay &amp; Hours'!$B$2:$AL$21,33,FALSE),0)</f>
        <v>0</v>
      </c>
      <c r="L35" s="806">
        <f>IFERROR(VLOOKUP($B35,'[49]Employee Pay &amp; Hours'!$B$2:$AL$21,34,FALSE),0)</f>
        <v>0</v>
      </c>
      <c r="M35" s="806">
        <f>IFERROR(VLOOKUP($B35,'[49]Employee Pay &amp; Hours'!$B$2:$AL$21,35,FALSE),0)</f>
        <v>1095.8399999999999</v>
      </c>
      <c r="N35" s="806">
        <f>IFERROR(VLOOKUP($B35,'[49]Employee Pay &amp; Hours'!$B$2:$AL$21,36,FALSE),0)</f>
        <v>0</v>
      </c>
      <c r="O35" s="806">
        <f>IFERROR(VLOOKUP($B35,'[49]Employee Pay &amp; Hours'!$B$2:$AL$21,37,FALSE),0)</f>
        <v>0</v>
      </c>
      <c r="P35" s="808">
        <f>SUM(J35:O35)</f>
        <v>47474.959999999985</v>
      </c>
      <c r="Q35" s="809">
        <f>P35-VLOOKUP(B35,'[49]Employee Pay &amp; Hours'!$B$4:$Z$21,25,FALSE)</f>
        <v>0</v>
      </c>
      <c r="R35" s="732">
        <f>SUM(E35:I35)</f>
        <v>2080</v>
      </c>
      <c r="S35" s="732">
        <f>G35+H35+I35</f>
        <v>48</v>
      </c>
      <c r="T35" s="797">
        <f>R35-S35</f>
        <v>2032</v>
      </c>
      <c r="U35" s="798"/>
      <c r="V35" s="810">
        <f>SUM(J35,L35:M35)*($AD$5/365)</f>
        <v>41751.951123287661</v>
      </c>
      <c r="W35" s="811"/>
      <c r="X35" s="812">
        <f>VLOOKUP(B35,[49]Raises!$A$5:$N$22,14,FALSE)</f>
        <v>0</v>
      </c>
      <c r="Y35" s="810">
        <f>V35*X35</f>
        <v>0</v>
      </c>
      <c r="Z35" s="815"/>
      <c r="AA35" s="814">
        <f>SUM(J35,L35:M35)+Y35</f>
        <v>47474.959999999985</v>
      </c>
      <c r="AB35" s="811">
        <f>VLOOKUP(B35,[49]Raises!$A$5:$X$22,23,FALSE)</f>
        <v>43101</v>
      </c>
      <c r="AC35" s="812">
        <f>VLOOKUP(B35,[49]Raises!$A$5:$Y$22,25,FALSE)</f>
        <v>1.9999999999999928E-2</v>
      </c>
      <c r="AD35" s="788">
        <f>AA35*AC35</f>
        <v>949.49919999999622</v>
      </c>
    </row>
    <row r="36" spans="1:30">
      <c r="A36" s="793"/>
      <c r="B36" s="792"/>
      <c r="C36" s="792"/>
      <c r="D36" s="793"/>
      <c r="E36" s="848"/>
      <c r="F36" s="849"/>
      <c r="G36" s="849"/>
      <c r="H36" s="849"/>
      <c r="I36" s="849"/>
      <c r="J36" s="807"/>
      <c r="K36" s="814"/>
      <c r="L36" s="814"/>
      <c r="M36" s="814"/>
      <c r="N36" s="814"/>
      <c r="O36" s="814"/>
      <c r="P36" s="808"/>
      <c r="Q36" s="809"/>
      <c r="T36" s="797"/>
      <c r="U36" s="798"/>
      <c r="V36" s="817"/>
      <c r="W36" s="830"/>
      <c r="X36" s="812"/>
      <c r="Y36" s="800"/>
      <c r="Z36" s="817"/>
      <c r="AA36" s="814"/>
      <c r="AB36" s="811"/>
      <c r="AC36" s="812"/>
      <c r="AD36" s="788"/>
    </row>
    <row r="37" spans="1:30">
      <c r="C37" s="838" t="s">
        <v>1524</v>
      </c>
      <c r="E37" s="839">
        <f t="shared" ref="E37:O37" si="11">SUM(E34:E36)</f>
        <v>3834.116665</v>
      </c>
      <c r="F37" s="840">
        <f t="shared" si="11"/>
        <v>71.083334000000008</v>
      </c>
      <c r="G37" s="840">
        <f t="shared" si="11"/>
        <v>56</v>
      </c>
      <c r="H37" s="840">
        <f t="shared" si="11"/>
        <v>80</v>
      </c>
      <c r="I37" s="840">
        <f t="shared" si="11"/>
        <v>0</v>
      </c>
      <c r="J37" s="841">
        <f t="shared" si="11"/>
        <v>79264.409999999974</v>
      </c>
      <c r="K37" s="840">
        <f t="shared" si="11"/>
        <v>1984.369999999999</v>
      </c>
      <c r="L37" s="840">
        <f t="shared" si="11"/>
        <v>1045.52</v>
      </c>
      <c r="M37" s="840">
        <f t="shared" si="11"/>
        <v>1683.28</v>
      </c>
      <c r="N37" s="840">
        <f t="shared" si="11"/>
        <v>1501.9999999999989</v>
      </c>
      <c r="O37" s="840">
        <f t="shared" si="11"/>
        <v>0</v>
      </c>
      <c r="P37" s="842">
        <f>SUM(J37:O37)</f>
        <v>85479.579999999973</v>
      </c>
      <c r="Q37" s="824"/>
      <c r="R37" s="833">
        <f>SUM(R34:R36)</f>
        <v>4041.1999989999999</v>
      </c>
      <c r="S37" s="833">
        <f>SUM(S34:S36)</f>
        <v>136</v>
      </c>
      <c r="T37" s="833">
        <f>SUM(T34:T36)</f>
        <v>3905.1999989999999</v>
      </c>
      <c r="U37" s="833"/>
      <c r="V37" s="817"/>
      <c r="W37" s="818"/>
      <c r="X37" s="826"/>
      <c r="Y37" s="850">
        <f>SUM(Y34:Y36)</f>
        <v>1226.4286939726021</v>
      </c>
      <c r="Z37" s="813"/>
      <c r="AA37" s="734"/>
      <c r="AB37" s="811"/>
      <c r="AC37" s="826"/>
      <c r="AD37" s="851">
        <f>SUM(AD34:AD36)</f>
        <v>4639.4938709361822</v>
      </c>
    </row>
    <row r="38" spans="1:30" ht="12" hidden="1" thickTop="1">
      <c r="A38" s="781"/>
      <c r="B38" s="782" t="s">
        <v>465</v>
      </c>
      <c r="C38" s="783"/>
      <c r="D38" s="784"/>
      <c r="E38" s="843"/>
      <c r="F38" s="747"/>
      <c r="G38" s="747"/>
      <c r="H38" s="747"/>
      <c r="I38" s="747"/>
      <c r="J38" s="785"/>
      <c r="K38" s="747"/>
      <c r="L38" s="747"/>
      <c r="M38" s="747"/>
      <c r="N38" s="747"/>
      <c r="O38" s="747"/>
      <c r="P38" s="844"/>
      <c r="Q38" s="787"/>
      <c r="U38" s="798"/>
      <c r="V38" s="817"/>
      <c r="W38" s="818"/>
      <c r="X38" s="826"/>
      <c r="Z38" s="817"/>
      <c r="AA38" s="734"/>
      <c r="AB38" s="811"/>
      <c r="AC38" s="826"/>
    </row>
    <row r="39" spans="1:30" hidden="1">
      <c r="C39" s="730"/>
      <c r="D39" s="730" t="s">
        <v>465</v>
      </c>
      <c r="E39" s="843"/>
      <c r="F39" s="731"/>
      <c r="G39" s="731"/>
      <c r="H39" s="731"/>
      <c r="I39" s="731"/>
      <c r="J39" s="785"/>
      <c r="K39" s="731"/>
      <c r="L39" s="731"/>
      <c r="M39" s="731"/>
      <c r="N39" s="731"/>
      <c r="O39" s="731"/>
      <c r="P39" s="844"/>
      <c r="Q39" s="787"/>
      <c r="T39" s="797"/>
      <c r="U39" s="798"/>
      <c r="V39" s="817"/>
      <c r="W39" s="818"/>
      <c r="X39" s="812"/>
      <c r="Y39" s="800">
        <f>V39*X39</f>
        <v>0</v>
      </c>
      <c r="Z39" s="817"/>
      <c r="AA39" s="814"/>
      <c r="AB39" s="811"/>
      <c r="AC39" s="812"/>
      <c r="AD39" s="802">
        <f>AA39*AC39</f>
        <v>0</v>
      </c>
    </row>
    <row r="40" spans="1:30" hidden="1">
      <c r="C40" s="730"/>
      <c r="D40" s="730" t="s">
        <v>465</v>
      </c>
      <c r="E40" s="843"/>
      <c r="F40" s="731"/>
      <c r="G40" s="731"/>
      <c r="H40" s="731"/>
      <c r="I40" s="731"/>
      <c r="J40" s="785"/>
      <c r="K40" s="731"/>
      <c r="L40" s="731"/>
      <c r="M40" s="731"/>
      <c r="N40" s="731"/>
      <c r="O40" s="731"/>
      <c r="P40" s="844"/>
      <c r="Q40" s="787"/>
      <c r="T40" s="797"/>
      <c r="U40" s="798"/>
      <c r="V40" s="817"/>
      <c r="W40" s="818"/>
      <c r="X40" s="812"/>
      <c r="Y40" s="800">
        <f>V40*X40</f>
        <v>0</v>
      </c>
      <c r="Z40" s="817"/>
      <c r="AA40" s="814"/>
      <c r="AB40" s="811"/>
      <c r="AC40" s="812"/>
      <c r="AD40" s="802">
        <f>AA40*AC40</f>
        <v>0</v>
      </c>
    </row>
    <row r="41" spans="1:30" hidden="1">
      <c r="B41" s="734"/>
      <c r="C41" s="730"/>
      <c r="D41" s="730" t="s">
        <v>465</v>
      </c>
      <c r="E41" s="843"/>
      <c r="F41" s="731"/>
      <c r="G41" s="731"/>
      <c r="H41" s="731"/>
      <c r="I41" s="731"/>
      <c r="J41" s="785"/>
      <c r="K41" s="731"/>
      <c r="L41" s="731"/>
      <c r="M41" s="731"/>
      <c r="N41" s="731"/>
      <c r="O41" s="731"/>
      <c r="P41" s="844"/>
      <c r="Q41" s="787"/>
      <c r="T41" s="797"/>
      <c r="U41" s="798"/>
      <c r="V41" s="817"/>
      <c r="W41" s="818"/>
      <c r="X41" s="812"/>
      <c r="Y41" s="800">
        <f>V41*X41</f>
        <v>0</v>
      </c>
      <c r="Z41" s="817"/>
      <c r="AA41" s="814"/>
      <c r="AB41" s="811"/>
      <c r="AC41" s="812"/>
      <c r="AD41" s="802">
        <f>AA41*AC41</f>
        <v>0</v>
      </c>
    </row>
    <row r="42" spans="1:30" hidden="1">
      <c r="C42" s="730"/>
      <c r="D42" s="730" t="s">
        <v>465</v>
      </c>
      <c r="E42" s="843"/>
      <c r="F42" s="731"/>
      <c r="G42" s="731"/>
      <c r="H42" s="731"/>
      <c r="I42" s="731"/>
      <c r="J42" s="785"/>
      <c r="K42" s="731"/>
      <c r="L42" s="731"/>
      <c r="M42" s="731"/>
      <c r="N42" s="731"/>
      <c r="O42" s="731"/>
      <c r="P42" s="844"/>
      <c r="Q42" s="787"/>
      <c r="T42" s="797"/>
      <c r="U42" s="798"/>
      <c r="V42" s="817"/>
      <c r="W42" s="818"/>
      <c r="X42" s="812"/>
      <c r="Y42" s="800">
        <f>V42*X42</f>
        <v>0</v>
      </c>
      <c r="Z42" s="817"/>
      <c r="AA42" s="814"/>
      <c r="AB42" s="811"/>
      <c r="AC42" s="812"/>
      <c r="AD42" s="802">
        <f>AA42*AC42</f>
        <v>0</v>
      </c>
    </row>
    <row r="43" spans="1:30" hidden="1">
      <c r="C43" s="730"/>
      <c r="D43" s="730" t="s">
        <v>465</v>
      </c>
      <c r="E43" s="843"/>
      <c r="F43" s="731"/>
      <c r="G43" s="731"/>
      <c r="H43" s="731"/>
      <c r="I43" s="731"/>
      <c r="J43" s="785"/>
      <c r="K43" s="731"/>
      <c r="L43" s="731"/>
      <c r="M43" s="731"/>
      <c r="N43" s="731"/>
      <c r="O43" s="731"/>
      <c r="P43" s="844"/>
      <c r="Q43" s="787"/>
      <c r="T43" s="797"/>
      <c r="U43" s="798"/>
      <c r="V43" s="817"/>
      <c r="W43" s="818"/>
      <c r="X43" s="812"/>
      <c r="Y43" s="800">
        <f>V43*X43</f>
        <v>0</v>
      </c>
      <c r="Z43" s="817"/>
      <c r="AA43" s="814"/>
      <c r="AB43" s="811"/>
      <c r="AC43" s="812"/>
      <c r="AD43" s="802">
        <f>AA43*AC43</f>
        <v>0</v>
      </c>
    </row>
    <row r="44" spans="1:30" hidden="1">
      <c r="C44" s="730"/>
      <c r="E44" s="843"/>
      <c r="F44" s="731"/>
      <c r="G44" s="731"/>
      <c r="H44" s="731"/>
      <c r="I44" s="731"/>
      <c r="J44" s="785"/>
      <c r="K44" s="731"/>
      <c r="L44" s="731"/>
      <c r="M44" s="731"/>
      <c r="N44" s="731"/>
      <c r="O44" s="731"/>
      <c r="P44" s="844"/>
      <c r="Q44" s="787"/>
      <c r="U44" s="798"/>
      <c r="V44" s="817"/>
      <c r="W44" s="818"/>
      <c r="X44" s="826"/>
      <c r="Z44" s="817"/>
      <c r="AA44" s="734"/>
      <c r="AB44" s="811"/>
      <c r="AC44" s="826"/>
    </row>
    <row r="45" spans="1:30" hidden="1">
      <c r="C45" s="838" t="s">
        <v>1525</v>
      </c>
      <c r="E45" s="843"/>
      <c r="F45" s="731"/>
      <c r="G45" s="731"/>
      <c r="H45" s="731"/>
      <c r="I45" s="731"/>
      <c r="J45" s="785"/>
      <c r="K45" s="731"/>
      <c r="L45" s="731"/>
      <c r="M45" s="731"/>
      <c r="N45" s="731"/>
      <c r="O45" s="731"/>
      <c r="P45" s="844"/>
      <c r="Q45" s="787"/>
      <c r="R45" s="833"/>
      <c r="S45" s="833"/>
      <c r="T45" s="833"/>
      <c r="U45" s="852"/>
      <c r="V45" s="817"/>
      <c r="W45" s="818"/>
      <c r="X45" s="826"/>
      <c r="Y45" s="850">
        <f>SUM(Y39:Y44)</f>
        <v>0</v>
      </c>
      <c r="Z45" s="817"/>
      <c r="AA45" s="734"/>
      <c r="AB45" s="811"/>
      <c r="AC45" s="826"/>
      <c r="AD45" s="825">
        <f>SUM(AD39:AD44)</f>
        <v>0</v>
      </c>
    </row>
    <row r="46" spans="1:30" ht="12" thickBot="1">
      <c r="E46" s="843"/>
      <c r="F46" s="731"/>
      <c r="G46" s="731"/>
      <c r="H46" s="731"/>
      <c r="I46" s="731"/>
      <c r="J46" s="785"/>
      <c r="K46" s="731"/>
      <c r="L46" s="731"/>
      <c r="M46" s="731"/>
      <c r="N46" s="731"/>
      <c r="O46" s="731"/>
      <c r="P46" s="844"/>
      <c r="Q46" s="787"/>
      <c r="U46" s="798"/>
      <c r="V46" s="817"/>
      <c r="W46" s="818"/>
      <c r="X46" s="826"/>
      <c r="Z46" s="817"/>
      <c r="AA46" s="734"/>
      <c r="AB46" s="811"/>
      <c r="AC46" s="826"/>
    </row>
    <row r="47" spans="1:30" ht="12" thickTop="1">
      <c r="A47" s="781"/>
      <c r="B47" s="847" t="s">
        <v>1526</v>
      </c>
      <c r="C47" s="783"/>
      <c r="D47" s="784"/>
      <c r="E47" s="843"/>
      <c r="F47" s="747"/>
      <c r="G47" s="747"/>
      <c r="H47" s="747"/>
      <c r="I47" s="747"/>
      <c r="J47" s="785"/>
      <c r="K47" s="747"/>
      <c r="L47" s="747"/>
      <c r="M47" s="747"/>
      <c r="N47" s="747"/>
      <c r="O47" s="747"/>
      <c r="P47" s="844"/>
      <c r="Q47" s="787"/>
      <c r="U47" s="798"/>
      <c r="V47" s="817"/>
      <c r="W47" s="818"/>
      <c r="X47" s="826"/>
      <c r="Z47" s="817"/>
      <c r="AA47" s="734"/>
      <c r="AB47" s="811"/>
      <c r="AC47" s="826"/>
    </row>
    <row r="48" spans="1:30" s="734" customFormat="1">
      <c r="B48" s="764"/>
      <c r="C48" s="853"/>
      <c r="D48" s="747"/>
      <c r="E48" s="843"/>
      <c r="F48" s="747"/>
      <c r="G48" s="747"/>
      <c r="H48" s="747"/>
      <c r="I48" s="747"/>
      <c r="J48" s="785"/>
      <c r="K48" s="747"/>
      <c r="L48" s="747"/>
      <c r="M48" s="747"/>
      <c r="N48" s="747"/>
      <c r="O48" s="747"/>
      <c r="P48" s="844"/>
      <c r="Q48" s="787"/>
      <c r="R48" s="814"/>
      <c r="S48" s="814"/>
      <c r="T48" s="814"/>
      <c r="U48" s="854"/>
      <c r="V48" s="817"/>
      <c r="W48" s="818"/>
      <c r="X48" s="826"/>
      <c r="Y48" s="737"/>
      <c r="Z48" s="817"/>
      <c r="AB48" s="811"/>
      <c r="AC48" s="826"/>
    </row>
    <row r="49" spans="1:35" s="734" customFormat="1">
      <c r="A49" s="855">
        <v>2120</v>
      </c>
      <c r="B49" s="1489" t="s">
        <v>1527</v>
      </c>
      <c r="C49" s="804" t="s">
        <v>1528</v>
      </c>
      <c r="D49" s="803" t="str">
        <f>VLOOKUP(B49,'[49]EE Listing'!$A$2:$D$19,4,FALSE)</f>
        <v>CSR</v>
      </c>
      <c r="E49" s="805">
        <f>IFERROR(VLOOKUP($B49,'[49]Employee Pay &amp; Hours'!$B$2:$AL$21,27,FALSE),0)</f>
        <v>629.66666500000008</v>
      </c>
      <c r="F49" s="806">
        <f>IFERROR(VLOOKUP($B49,'[49]Employee Pay &amp; Hours'!$B$2:$AL$21,28,FALSE),0)</f>
        <v>12.5</v>
      </c>
      <c r="G49" s="806">
        <f>IFERROR(VLOOKUP($B49,'[49]Employee Pay &amp; Hours'!$B$2:$AL$21,29,FALSE),0)</f>
        <v>0</v>
      </c>
      <c r="H49" s="806">
        <f>IFERROR(VLOOKUP($B49,'[49]Employee Pay &amp; Hours'!$B$2:$AL$21,30,FALSE),0)</f>
        <v>16</v>
      </c>
      <c r="I49" s="806">
        <f>IFERROR(VLOOKUP($B49,'[49]Employee Pay &amp; Hours'!$B$2:$AL$21,31,FALSE),0)</f>
        <v>0</v>
      </c>
      <c r="J49" s="807">
        <f>IFERROR(VLOOKUP($B49,'[49]Employee Pay &amp; Hours'!$B$2:$AL$21,32,FALSE),0)</f>
        <v>9022.4599999999973</v>
      </c>
      <c r="K49" s="806">
        <f>IFERROR(VLOOKUP($B49,'[49]Employee Pay &amp; Hours'!$B$2:$AL$21,33,FALSE),0)</f>
        <v>267.2</v>
      </c>
      <c r="L49" s="806">
        <f>IFERROR(VLOOKUP($B49,'[49]Employee Pay &amp; Hours'!$B$2:$AL$21,34,FALSE),0)</f>
        <v>0</v>
      </c>
      <c r="M49" s="806">
        <f>IFERROR(VLOOKUP($B49,'[49]Employee Pay &amp; Hours'!$B$2:$AL$21,35,FALSE),0)</f>
        <v>230.32</v>
      </c>
      <c r="N49" s="806">
        <f>IFERROR(VLOOKUP($B49,'[49]Employee Pay &amp; Hours'!$B$2:$AL$21,36,FALSE),0)</f>
        <v>0</v>
      </c>
      <c r="O49" s="806">
        <f>IFERROR(VLOOKUP($B49,'[49]Employee Pay &amp; Hours'!$B$2:$AL$21,37,FALSE),0)</f>
        <v>0</v>
      </c>
      <c r="P49" s="808">
        <f>SUM(J49:O49)</f>
        <v>9519.9799999999977</v>
      </c>
      <c r="Q49" s="809">
        <f>P49-VLOOKUP(B49,'[49]Employee Pay &amp; Hours'!$B$4:$Z$21,25,FALSE)</f>
        <v>0</v>
      </c>
      <c r="R49" s="732">
        <f>SUM(E49:I49)</f>
        <v>658.16666500000008</v>
      </c>
      <c r="S49" s="732">
        <f>G49+H49+I49</f>
        <v>16</v>
      </c>
      <c r="T49" s="797">
        <f>R49-S49</f>
        <v>642.16666500000008</v>
      </c>
      <c r="U49" s="798"/>
      <c r="V49" s="810">
        <f>SUM(J49,L49:M49)*($AD$5/365)</f>
        <v>8137.3763835616419</v>
      </c>
      <c r="W49" s="811">
        <f>VLOOKUP(B49,[49]Raises!$A$4:$L$22,12,FALSE)</f>
        <v>43057</v>
      </c>
      <c r="X49" s="812">
        <f>VLOOKUP(B49,[49]Raises!$A$5:$N$22,14,FALSE)</f>
        <v>1.9999999999999928E-2</v>
      </c>
      <c r="Y49" s="810">
        <f>V49*X49</f>
        <v>162.74752767123223</v>
      </c>
      <c r="Z49" s="815"/>
      <c r="AA49" s="814">
        <f>SUM(J49,L49:M49)+Y49</f>
        <v>9415.5275276712291</v>
      </c>
      <c r="AB49" s="811">
        <f>VLOOKUP(B49,[49]Raises!$A$5:$X$22,23,FALSE)</f>
        <v>43416</v>
      </c>
      <c r="AC49" s="812">
        <f>VLOOKUP(B49,[49]Raises!$A$5:$Y$22,25,FALSE)</f>
        <v>1.9999999999999928E-2</v>
      </c>
      <c r="AD49" s="788">
        <f>AA49*AC49</f>
        <v>188.31055055342389</v>
      </c>
    </row>
    <row r="50" spans="1:35" s="734" customFormat="1">
      <c r="A50" s="855">
        <v>2120</v>
      </c>
      <c r="B50" s="1489" t="s">
        <v>1529</v>
      </c>
      <c r="C50" s="804" t="s">
        <v>1530</v>
      </c>
      <c r="D50" s="803" t="str">
        <f>VLOOKUP(B50,'[49]EE Listing'!$A$2:$D$19,4,FALSE)</f>
        <v>Office Manager</v>
      </c>
      <c r="E50" s="805">
        <f>IFERROR(VLOOKUP($B50,'[49]Employee Pay &amp; Hours'!$B$2:$AL$21,27,FALSE),0)</f>
        <v>1922.25</v>
      </c>
      <c r="F50" s="806">
        <f>IFERROR(VLOOKUP($B50,'[49]Employee Pay &amp; Hours'!$B$2:$AL$21,28,FALSE),0)</f>
        <v>16.500002000000002</v>
      </c>
      <c r="G50" s="806">
        <f>IFERROR(VLOOKUP($B50,'[49]Employee Pay &amp; Hours'!$B$2:$AL$21,29,FALSE),0)</f>
        <v>132</v>
      </c>
      <c r="H50" s="806">
        <f>IFERROR(VLOOKUP($B50,'[49]Employee Pay &amp; Hours'!$B$2:$AL$21,30,FALSE),0)</f>
        <v>48</v>
      </c>
      <c r="I50" s="806">
        <f>IFERROR(VLOOKUP($B50,'[49]Employee Pay &amp; Hours'!$B$2:$AL$21,31,FALSE),0)</f>
        <v>0</v>
      </c>
      <c r="J50" s="807">
        <f>IFERROR(VLOOKUP($B50,'[49]Employee Pay &amp; Hours'!$B$2:$AL$21,32,FALSE),0)</f>
        <v>35134.609999999986</v>
      </c>
      <c r="K50" s="806">
        <f>IFERROR(VLOOKUP($B50,'[49]Employee Pay &amp; Hours'!$B$2:$AL$21,33,FALSE),0)</f>
        <v>473.69</v>
      </c>
      <c r="L50" s="806">
        <f>IFERROR(VLOOKUP($B50,'[49]Employee Pay &amp; Hours'!$B$2:$AL$21,34,FALSE),0)</f>
        <v>2427.1999999999998</v>
      </c>
      <c r="M50" s="806">
        <f>IFERROR(VLOOKUP($B50,'[49]Employee Pay &amp; Hours'!$B$2:$AL$21,35,FALSE),0)</f>
        <v>874.16</v>
      </c>
      <c r="N50" s="806">
        <f>IFERROR(VLOOKUP($B50,'[49]Employee Pay &amp; Hours'!$B$2:$AL$21,36,FALSE),0)</f>
        <v>133</v>
      </c>
      <c r="O50" s="806">
        <f>IFERROR(VLOOKUP($B50,'[49]Employee Pay &amp; Hours'!$B$2:$AL$21,37,FALSE),0)</f>
        <v>0</v>
      </c>
      <c r="P50" s="808">
        <f>SUM(J50:O50)</f>
        <v>39042.659999999989</v>
      </c>
      <c r="Q50" s="809">
        <f>P50-VLOOKUP(B50,'[49]Employee Pay &amp; Hours'!$B$4:$Z$21,25,FALSE)</f>
        <v>0</v>
      </c>
      <c r="R50" s="732">
        <f>SUM(E50:I50)</f>
        <v>2118.7500019999998</v>
      </c>
      <c r="S50" s="732">
        <f>G50+H50+I50</f>
        <v>180</v>
      </c>
      <c r="T50" s="797">
        <f>R50-S50</f>
        <v>1938.7500019999998</v>
      </c>
      <c r="U50" s="798"/>
      <c r="V50" s="810">
        <f>SUM(J50,L50:M50)*($AD$5/365)</f>
        <v>33802.59279452054</v>
      </c>
      <c r="W50" s="811">
        <f>VLOOKUP(B50,[49]Raises!$A$4:$L$22,12,FALSE)</f>
        <v>43057</v>
      </c>
      <c r="X50" s="812">
        <f>VLOOKUP(B50,[49]Raises!$A$5:$N$22,14,FALSE)</f>
        <v>0.13852400000000009</v>
      </c>
      <c r="Y50" s="810">
        <f>V50*X50</f>
        <v>4682.4703642681661</v>
      </c>
      <c r="Z50" s="815"/>
      <c r="AA50" s="814">
        <f>SUM(J50,L50:M50)+Y50</f>
        <v>43118.44036426815</v>
      </c>
      <c r="AB50" s="811">
        <f>VLOOKUP(B50,[49]Raises!$A$5:$X$22,23,FALSE)</f>
        <v>43416</v>
      </c>
      <c r="AC50" s="812">
        <f>VLOOKUP(B50,[49]Raises!$A$5:$Y$22,25,FALSE)</f>
        <v>1.9999999999999928E-2</v>
      </c>
      <c r="AD50" s="788">
        <f>AA50*AC50</f>
        <v>862.36880728535982</v>
      </c>
    </row>
    <row r="51" spans="1:35" s="734" customFormat="1">
      <c r="A51" s="855">
        <v>2120</v>
      </c>
      <c r="B51" s="1489" t="s">
        <v>1531</v>
      </c>
      <c r="C51" s="804" t="s">
        <v>1532</v>
      </c>
      <c r="D51" s="803" t="str">
        <f>VLOOKUP(B51,'[49]EE Listing'!$A$2:$D$19,4,FALSE)</f>
        <v>Lead Office Administrator</v>
      </c>
      <c r="E51" s="805">
        <f>IFERROR(VLOOKUP($B51,'[49]Employee Pay &amp; Hours'!$B$2:$AL$21,27,FALSE),0)</f>
        <v>971.61667299999999</v>
      </c>
      <c r="F51" s="806">
        <f>IFERROR(VLOOKUP($B51,'[49]Employee Pay &amp; Hours'!$B$2:$AL$21,28,FALSE),0)</f>
        <v>12.883333</v>
      </c>
      <c r="G51" s="806">
        <f>IFERROR(VLOOKUP($B51,'[49]Employee Pay &amp; Hours'!$B$2:$AL$21,29,FALSE),0)</f>
        <v>284.34000000000003</v>
      </c>
      <c r="H51" s="806">
        <f>IFERROR(VLOOKUP($B51,'[49]Employee Pay &amp; Hours'!$B$2:$AL$21,30,FALSE),0)</f>
        <v>32</v>
      </c>
      <c r="I51" s="806">
        <f>IFERROR(VLOOKUP($B51,'[49]Employee Pay &amp; Hours'!$B$2:$AL$21,31,FALSE),0)</f>
        <v>0</v>
      </c>
      <c r="J51" s="807">
        <f>IFERROR(VLOOKUP($B51,'[49]Employee Pay &amp; Hours'!$B$2:$AL$21,32,FALSE),0)</f>
        <v>18810.630000000005</v>
      </c>
      <c r="K51" s="806">
        <f>IFERROR(VLOOKUP($B51,'[49]Employee Pay &amp; Hours'!$B$2:$AL$21,33,FALSE),0)</f>
        <v>384.51</v>
      </c>
      <c r="L51" s="806">
        <f>IFERROR(VLOOKUP($B51,'[49]Employee Pay &amp; Hours'!$B$2:$AL$21,34,FALSE),0)</f>
        <v>5504.8300000000008</v>
      </c>
      <c r="M51" s="806">
        <f>IFERROR(VLOOKUP($B51,'[49]Employee Pay &amp; Hours'!$B$2:$AL$21,35,FALSE),0)</f>
        <v>619.52</v>
      </c>
      <c r="N51" s="806">
        <f>IFERROR(VLOOKUP($B51,'[49]Employee Pay &amp; Hours'!$B$2:$AL$21,36,FALSE),0)</f>
        <v>399.00000000000006</v>
      </c>
      <c r="O51" s="806">
        <f>IFERROR(VLOOKUP($B51,'[49]Employee Pay &amp; Hours'!$B$2:$AL$21,37,FALSE),0)</f>
        <v>0</v>
      </c>
      <c r="P51" s="808">
        <f>SUM(J51:O51)</f>
        <v>25718.490000000005</v>
      </c>
      <c r="Q51" s="809">
        <f>P51-VLOOKUP(B51,'[49]Employee Pay &amp; Hours'!$B$4:$Z$21,25,FALSE)</f>
        <v>0</v>
      </c>
      <c r="R51" s="732">
        <f>SUM(E51:I51)</f>
        <v>1300.8400059999999</v>
      </c>
      <c r="S51" s="732">
        <f>G51+H51+I51</f>
        <v>316.34000000000003</v>
      </c>
      <c r="T51" s="797">
        <f>R51-S51</f>
        <v>984.50000599999987</v>
      </c>
      <c r="U51" s="798"/>
      <c r="V51" s="810"/>
      <c r="W51" s="811"/>
      <c r="X51" s="812">
        <f>VLOOKUP(B51,[49]Raises!$A$5:$N$22,14,FALSE)</f>
        <v>0</v>
      </c>
      <c r="Y51" s="810">
        <f>V51*X51</f>
        <v>0</v>
      </c>
      <c r="Z51" s="815"/>
      <c r="AA51" s="814">
        <f>SUM(J51,L51:M51)+Y51</f>
        <v>24934.980000000007</v>
      </c>
      <c r="AB51" s="811"/>
      <c r="AC51" s="812">
        <f>VLOOKUP(B51,[49]Raises!$A$5:$Y$22,25,FALSE)</f>
        <v>0</v>
      </c>
      <c r="AD51" s="788">
        <f>AA51*AC51</f>
        <v>0</v>
      </c>
    </row>
    <row r="52" spans="1:35" s="734" customFormat="1">
      <c r="B52" s="1491"/>
      <c r="C52" s="836"/>
      <c r="D52" s="792"/>
      <c r="E52" s="805"/>
      <c r="F52" s="814"/>
      <c r="G52" s="814"/>
      <c r="H52" s="814"/>
      <c r="I52" s="814"/>
      <c r="J52" s="807"/>
      <c r="K52" s="814"/>
      <c r="L52" s="814"/>
      <c r="M52" s="814"/>
      <c r="N52" s="814"/>
      <c r="O52" s="814"/>
      <c r="P52" s="808">
        <f>SUM(J52:O52)</f>
        <v>0</v>
      </c>
      <c r="Q52" s="809"/>
      <c r="R52" s="732">
        <f>SUM(E52:I52)</f>
        <v>0</v>
      </c>
      <c r="S52" s="732">
        <f>G52+H52+I52</f>
        <v>0</v>
      </c>
      <c r="T52" s="797">
        <f>R52-S52</f>
        <v>0</v>
      </c>
      <c r="U52" s="798"/>
      <c r="V52" s="810"/>
      <c r="W52" s="811"/>
      <c r="X52" s="812"/>
      <c r="Y52" s="837"/>
      <c r="Z52" s="817"/>
      <c r="AA52" s="814"/>
      <c r="AB52" s="811"/>
      <c r="AC52" s="812"/>
      <c r="AD52" s="788"/>
    </row>
    <row r="53" spans="1:35" s="856" customFormat="1">
      <c r="B53" s="728"/>
      <c r="C53" s="838" t="s">
        <v>1533</v>
      </c>
      <c r="D53" s="746"/>
      <c r="E53" s="839">
        <f t="shared" ref="E53:O53" si="12">SUM(E49:E52)</f>
        <v>3523.5333380000002</v>
      </c>
      <c r="F53" s="840">
        <f t="shared" si="12"/>
        <v>41.883335000000002</v>
      </c>
      <c r="G53" s="840">
        <f t="shared" si="12"/>
        <v>416.34000000000003</v>
      </c>
      <c r="H53" s="840">
        <f t="shared" si="12"/>
        <v>96</v>
      </c>
      <c r="I53" s="840">
        <f t="shared" si="12"/>
        <v>0</v>
      </c>
      <c r="J53" s="841">
        <f t="shared" si="12"/>
        <v>62967.69999999999</v>
      </c>
      <c r="K53" s="840">
        <f t="shared" si="12"/>
        <v>1125.4000000000001</v>
      </c>
      <c r="L53" s="840">
        <f t="shared" si="12"/>
        <v>7932.0300000000007</v>
      </c>
      <c r="M53" s="840">
        <f t="shared" si="12"/>
        <v>1724</v>
      </c>
      <c r="N53" s="840">
        <f t="shared" si="12"/>
        <v>532</v>
      </c>
      <c r="O53" s="840">
        <f t="shared" si="12"/>
        <v>0</v>
      </c>
      <c r="P53" s="842">
        <f>SUM(J53:O53)</f>
        <v>74281.12999999999</v>
      </c>
      <c r="Q53" s="824"/>
      <c r="R53" s="833">
        <f>SUM(R49:R52)</f>
        <v>4077.7566729999999</v>
      </c>
      <c r="S53" s="833">
        <f>SUM(S49:S52)</f>
        <v>512.34</v>
      </c>
      <c r="T53" s="833">
        <f>SUM(T49:T52)</f>
        <v>3565.4166729999997</v>
      </c>
      <c r="U53" s="833"/>
      <c r="V53" s="817"/>
      <c r="W53" s="818"/>
      <c r="X53" s="826"/>
      <c r="Y53" s="850">
        <f>SUM(Y49:Y52)</f>
        <v>4845.2178919393982</v>
      </c>
      <c r="Z53" s="813"/>
      <c r="AA53" s="734"/>
      <c r="AB53" s="811"/>
      <c r="AC53" s="826"/>
      <c r="AD53" s="851">
        <f>SUM(AD49:AD52)</f>
        <v>1050.6793578387837</v>
      </c>
      <c r="AE53" s="846"/>
    </row>
    <row r="54" spans="1:35">
      <c r="E54" s="843"/>
      <c r="F54" s="731"/>
      <c r="G54" s="731"/>
      <c r="H54" s="731"/>
      <c r="I54" s="731"/>
      <c r="J54" s="785"/>
      <c r="K54" s="731"/>
      <c r="L54" s="731"/>
      <c r="M54" s="731"/>
      <c r="N54" s="731"/>
      <c r="O54" s="731"/>
      <c r="P54" s="844"/>
      <c r="Q54" s="787"/>
      <c r="U54" s="798"/>
      <c r="V54" s="817"/>
      <c r="W54" s="818"/>
      <c r="X54" s="826"/>
      <c r="Z54" s="817"/>
      <c r="AA54" s="734"/>
      <c r="AB54" s="811"/>
      <c r="AC54" s="826"/>
    </row>
    <row r="55" spans="1:35" ht="12" thickBot="1">
      <c r="C55" s="838"/>
      <c r="E55" s="843"/>
      <c r="F55" s="731"/>
      <c r="G55" s="731"/>
      <c r="H55" s="731"/>
      <c r="I55" s="731"/>
      <c r="J55" s="785"/>
      <c r="K55" s="731"/>
      <c r="L55" s="731"/>
      <c r="M55" s="731"/>
      <c r="N55" s="731"/>
      <c r="O55" s="731"/>
      <c r="P55" s="844"/>
      <c r="Q55" s="787"/>
      <c r="R55" s="833"/>
      <c r="S55" s="833"/>
      <c r="T55" s="833"/>
      <c r="U55" s="857"/>
      <c r="V55" s="817"/>
      <c r="W55" s="818"/>
      <c r="X55" s="826"/>
      <c r="Z55" s="817"/>
      <c r="AA55" s="734"/>
      <c r="AB55" s="811"/>
      <c r="AC55" s="826"/>
    </row>
    <row r="56" spans="1:35" ht="12" thickTop="1">
      <c r="A56" s="783"/>
      <c r="B56" s="858"/>
      <c r="C56" s="781" t="s">
        <v>1534</v>
      </c>
      <c r="D56" s="784"/>
      <c r="E56" s="843"/>
      <c r="F56" s="747"/>
      <c r="G56" s="747"/>
      <c r="H56" s="747"/>
      <c r="I56" s="747"/>
      <c r="J56" s="785"/>
      <c r="K56" s="747"/>
      <c r="L56" s="747"/>
      <c r="M56" s="747"/>
      <c r="N56" s="747"/>
      <c r="O56" s="747"/>
      <c r="P56" s="844"/>
      <c r="Q56" s="787"/>
      <c r="R56" s="833"/>
      <c r="S56" s="833"/>
      <c r="T56" s="833"/>
      <c r="U56" s="857"/>
      <c r="V56" s="817"/>
      <c r="W56" s="818"/>
      <c r="X56" s="826"/>
      <c r="Z56" s="817"/>
      <c r="AA56" s="734"/>
      <c r="AB56" s="811"/>
      <c r="AC56" s="826"/>
    </row>
    <row r="57" spans="1:35">
      <c r="B57" s="792"/>
      <c r="C57" s="792"/>
      <c r="D57" s="731"/>
      <c r="E57" s="843"/>
      <c r="F57" s="731"/>
      <c r="G57" s="731"/>
      <c r="H57" s="731"/>
      <c r="I57" s="731"/>
      <c r="J57" s="785"/>
      <c r="K57" s="731"/>
      <c r="L57" s="731"/>
      <c r="M57" s="731"/>
      <c r="N57" s="731"/>
      <c r="O57" s="731"/>
      <c r="P57" s="844"/>
      <c r="Q57" s="787"/>
      <c r="T57" s="797"/>
      <c r="U57" s="798"/>
      <c r="V57" s="817"/>
      <c r="W57" s="818"/>
      <c r="X57" s="812"/>
      <c r="Y57" s="800">
        <f>V57*X57</f>
        <v>0</v>
      </c>
      <c r="Z57" s="817"/>
      <c r="AA57" s="814"/>
      <c r="AB57" s="811"/>
      <c r="AC57" s="812"/>
      <c r="AD57" s="732">
        <f>AA57*AC57</f>
        <v>0</v>
      </c>
    </row>
    <row r="58" spans="1:35">
      <c r="A58" s="855">
        <v>2120</v>
      </c>
      <c r="B58" s="1489" t="s">
        <v>1535</v>
      </c>
      <c r="C58" s="804" t="s">
        <v>1536</v>
      </c>
      <c r="D58" s="803" t="str">
        <f>VLOOKUP(B58,'[49]EE Listing'!$A$2:$D$19,4,FALSE)</f>
        <v>Site Manager</v>
      </c>
      <c r="E58" s="805">
        <f>IFERROR(VLOOKUP($B58,'[49]Employee Pay &amp; Hours'!$B$2:$AL$21,27,FALSE),0)</f>
        <v>1992</v>
      </c>
      <c r="F58" s="806">
        <f>IFERROR(VLOOKUP($B58,'[49]Employee Pay &amp; Hours'!$B$2:$AL$21,28,FALSE),0)</f>
        <v>0</v>
      </c>
      <c r="G58" s="806">
        <f>IFERROR(VLOOKUP($B58,'[49]Employee Pay &amp; Hours'!$B$2:$AL$21,29,FALSE),0)</f>
        <v>40</v>
      </c>
      <c r="H58" s="806">
        <f>IFERROR(VLOOKUP($B58,'[49]Employee Pay &amp; Hours'!$B$2:$AL$21,30,FALSE),0)</f>
        <v>48</v>
      </c>
      <c r="I58" s="806">
        <f>IFERROR(VLOOKUP($B58,'[49]Employee Pay &amp; Hours'!$B$2:$AL$21,31,FALSE),0)</f>
        <v>0</v>
      </c>
      <c r="J58" s="807">
        <f>IFERROR(VLOOKUP($B58,'[49]Employee Pay &amp; Hours'!$B$2:$AL$21,32,FALSE),0)</f>
        <v>66676.819999999992</v>
      </c>
      <c r="K58" s="806">
        <f>IFERROR(VLOOKUP($B58,'[49]Employee Pay &amp; Hours'!$B$2:$AL$21,33,FALSE),0)</f>
        <v>0</v>
      </c>
      <c r="L58" s="806">
        <f>IFERROR(VLOOKUP($B58,'[49]Employee Pay &amp; Hours'!$B$2:$AL$21,34,FALSE),0)</f>
        <v>1339.2</v>
      </c>
      <c r="M58" s="806">
        <f>IFERROR(VLOOKUP($B58,'[49]Employee Pay &amp; Hours'!$B$2:$AL$21,35,FALSE),0)</f>
        <v>1607.0399999999997</v>
      </c>
      <c r="N58" s="806">
        <f>IFERROR(VLOOKUP($B58,'[49]Employee Pay &amp; Hours'!$B$2:$AL$21,36,FALSE),0)</f>
        <v>0</v>
      </c>
      <c r="O58" s="806">
        <f>IFERROR(VLOOKUP($B58,'[49]Employee Pay &amp; Hours'!$B$2:$AL$21,37,FALSE),0)</f>
        <v>0</v>
      </c>
      <c r="P58" s="808">
        <f>SUM(J58:O58)</f>
        <v>69623.059999999983</v>
      </c>
      <c r="Q58" s="809">
        <f>P58-VLOOKUP(B58,'[49]Employee Pay &amp; Hours'!$B$4:$Z$21,25,FALSE)</f>
        <v>0</v>
      </c>
      <c r="R58" s="732">
        <f>SUM(E58:I58)</f>
        <v>2080</v>
      </c>
      <c r="S58" s="732">
        <f>G58+H58+I58</f>
        <v>88</v>
      </c>
      <c r="T58" s="797">
        <f>R58-S58</f>
        <v>1992</v>
      </c>
      <c r="U58" s="798"/>
      <c r="V58" s="810">
        <f>SUM(J58,L58:M58)*($AC$5/365)</f>
        <v>42918.324657534235</v>
      </c>
      <c r="W58" s="811">
        <f>VLOOKUP(B58,[49]Raises!$A$4:$L$22,12,FALSE)</f>
        <v>42961</v>
      </c>
      <c r="X58" s="812">
        <f>VLOOKUP(B58,[49]Raises!$A$5:$N$22,14,FALSE)</f>
        <v>2.5000000000000001E-2</v>
      </c>
      <c r="Y58" s="810">
        <f>V58*X58</f>
        <v>1072.958116438356</v>
      </c>
      <c r="Z58" s="815"/>
      <c r="AA58" s="814">
        <f>SUM(J58,L58:M58)+Y58</f>
        <v>70696.018116438339</v>
      </c>
      <c r="AB58" s="811">
        <f>VLOOKUP(B58,[49]Raises!$A$5:$X$22,23,FALSE)</f>
        <v>43331</v>
      </c>
      <c r="AC58" s="812">
        <f>VLOOKUP(B58,[49]Raises!$A$5:$Y$22,25,FALSE)</f>
        <v>2.5000000000000001E-2</v>
      </c>
      <c r="AD58" s="788">
        <f>AA58*AC58</f>
        <v>1767.4004529109586</v>
      </c>
    </row>
    <row r="59" spans="1:35">
      <c r="A59" s="792"/>
      <c r="B59" s="835"/>
      <c r="C59" s="836"/>
      <c r="D59" s="792"/>
      <c r="E59" s="805"/>
      <c r="F59" s="814"/>
      <c r="G59" s="814"/>
      <c r="H59" s="814"/>
      <c r="I59" s="814"/>
      <c r="J59" s="807"/>
      <c r="K59" s="814"/>
      <c r="L59" s="814"/>
      <c r="M59" s="814"/>
      <c r="N59" s="814"/>
      <c r="O59" s="814"/>
      <c r="P59" s="808">
        <f>SUM(J59:O59)</f>
        <v>0</v>
      </c>
      <c r="Q59" s="809"/>
      <c r="R59" s="732">
        <f>SUM(E59:I59)</f>
        <v>0</v>
      </c>
      <c r="S59" s="732">
        <f>G59+H59+I59</f>
        <v>0</v>
      </c>
      <c r="T59" s="797">
        <f>R59-S59</f>
        <v>0</v>
      </c>
      <c r="U59" s="798"/>
      <c r="V59" s="810"/>
      <c r="W59" s="859"/>
      <c r="X59" s="801"/>
      <c r="Y59" s="800"/>
      <c r="AA59" s="732"/>
      <c r="AB59" s="811"/>
      <c r="AC59" s="744"/>
      <c r="AD59" s="788"/>
    </row>
    <row r="60" spans="1:35">
      <c r="C60" s="838" t="s">
        <v>1537</v>
      </c>
      <c r="E60" s="839">
        <f t="shared" ref="E60:O60" si="13">SUM(E57:E59)</f>
        <v>1992</v>
      </c>
      <c r="F60" s="840">
        <f t="shared" si="13"/>
        <v>0</v>
      </c>
      <c r="G60" s="840">
        <f t="shared" si="13"/>
        <v>40</v>
      </c>
      <c r="H60" s="840">
        <f t="shared" si="13"/>
        <v>48</v>
      </c>
      <c r="I60" s="840">
        <f t="shared" si="13"/>
        <v>0</v>
      </c>
      <c r="J60" s="841">
        <f t="shared" si="13"/>
        <v>66676.819999999992</v>
      </c>
      <c r="K60" s="840">
        <f t="shared" si="13"/>
        <v>0</v>
      </c>
      <c r="L60" s="840">
        <f t="shared" si="13"/>
        <v>1339.2</v>
      </c>
      <c r="M60" s="840">
        <f t="shared" si="13"/>
        <v>1607.0399999999997</v>
      </c>
      <c r="N60" s="840">
        <f t="shared" si="13"/>
        <v>0</v>
      </c>
      <c r="O60" s="840">
        <f t="shared" si="13"/>
        <v>0</v>
      </c>
      <c r="P60" s="842">
        <f>SUM(J60:O60)</f>
        <v>69623.059999999983</v>
      </c>
      <c r="Q60" s="824"/>
      <c r="R60" s="833">
        <f>SUM(R58:R59)</f>
        <v>2080</v>
      </c>
      <c r="S60" s="833">
        <f>SUM(S58:S59)</f>
        <v>88</v>
      </c>
      <c r="T60" s="833">
        <f>SUM(T58:T59)</f>
        <v>1992</v>
      </c>
      <c r="U60" s="833"/>
      <c r="V60" s="817"/>
      <c r="Y60" s="860">
        <f>SUM(Y57:Y59)</f>
        <v>1072.958116438356</v>
      </c>
      <c r="AB60" s="811"/>
      <c r="AD60" s="852">
        <f>SUM(AD57:AD59)</f>
        <v>1767.4004529109586</v>
      </c>
    </row>
    <row r="61" spans="1:35">
      <c r="E61" s="843"/>
      <c r="F61" s="731"/>
      <c r="G61" s="731"/>
      <c r="H61" s="731"/>
      <c r="I61" s="731"/>
      <c r="J61" s="785"/>
      <c r="K61" s="731"/>
      <c r="L61" s="731"/>
      <c r="M61" s="731"/>
      <c r="N61" s="731"/>
      <c r="O61" s="731"/>
      <c r="P61" s="844"/>
      <c r="Q61" s="787"/>
      <c r="U61" s="798"/>
      <c r="V61" s="817"/>
      <c r="AB61" s="811"/>
      <c r="AE61" s="861"/>
    </row>
    <row r="62" spans="1:35">
      <c r="E62" s="820"/>
      <c r="F62" s="821"/>
      <c r="G62" s="821"/>
      <c r="H62" s="821"/>
      <c r="I62" s="821"/>
      <c r="J62" s="822"/>
      <c r="K62" s="821"/>
      <c r="L62" s="821"/>
      <c r="M62" s="821"/>
      <c r="N62" s="821"/>
      <c r="O62" s="821"/>
      <c r="P62" s="823"/>
      <c r="Q62" s="824"/>
      <c r="U62" s="798"/>
      <c r="V62" s="817"/>
      <c r="AB62" s="811"/>
      <c r="AE62" s="861"/>
    </row>
    <row r="63" spans="1:35">
      <c r="C63" s="838" t="s">
        <v>1538</v>
      </c>
      <c r="E63" s="839">
        <f t="shared" ref="E63:P63" si="14">E60+E53+E45+E37+E29</f>
        <v>28650.216672000002</v>
      </c>
      <c r="F63" s="840">
        <f t="shared" si="14"/>
        <v>1512.2500239999997</v>
      </c>
      <c r="G63" s="840">
        <f t="shared" si="14"/>
        <v>2175.34</v>
      </c>
      <c r="H63" s="840">
        <f t="shared" si="14"/>
        <v>688</v>
      </c>
      <c r="I63" s="840">
        <f t="shared" si="14"/>
        <v>0</v>
      </c>
      <c r="J63" s="841">
        <f t="shared" si="14"/>
        <v>590855.06999999983</v>
      </c>
      <c r="K63" s="840">
        <f t="shared" si="14"/>
        <v>45654.500000000007</v>
      </c>
      <c r="L63" s="840">
        <f t="shared" si="14"/>
        <v>44094.57</v>
      </c>
      <c r="M63" s="840">
        <f t="shared" si="14"/>
        <v>14251.839999999998</v>
      </c>
      <c r="N63" s="840">
        <f t="shared" si="14"/>
        <v>14365.039999999995</v>
      </c>
      <c r="O63" s="840">
        <f t="shared" si="14"/>
        <v>0</v>
      </c>
      <c r="P63" s="842">
        <f t="shared" si="14"/>
        <v>709221.01999999979</v>
      </c>
      <c r="Q63" s="824"/>
      <c r="R63" s="862">
        <f>R60+R53+R45+R37+R29</f>
        <v>33025.806696</v>
      </c>
      <c r="S63" s="862"/>
      <c r="T63" s="862">
        <f>T60+T53+T45+T37+T29</f>
        <v>30162.466695999996</v>
      </c>
      <c r="U63" s="863"/>
      <c r="Y63" s="860">
        <f>Y60+Y53+Y45+Y37+Y29</f>
        <v>19913.858837282958</v>
      </c>
      <c r="AB63" s="811"/>
      <c r="AD63" s="864">
        <f>AD60+AD53+AD45+AD37+AD29</f>
        <v>23981.411507700024</v>
      </c>
      <c r="AE63" s="865"/>
      <c r="AF63" s="732"/>
      <c r="AG63" s="732"/>
      <c r="AH63" s="732"/>
      <c r="AI63" s="732"/>
    </row>
    <row r="64" spans="1:35">
      <c r="D64" s="866" t="s">
        <v>1539</v>
      </c>
      <c r="E64" s="867">
        <f>E63-'[49]Employee Pay &amp; Hours'!AB22</f>
        <v>0</v>
      </c>
      <c r="F64" s="868">
        <f>F63-'[49]Employee Pay &amp; Hours'!AC22</f>
        <v>0</v>
      </c>
      <c r="G64" s="868">
        <f>G63-'[49]Employee Pay &amp; Hours'!AD22</f>
        <v>0</v>
      </c>
      <c r="H64" s="868">
        <f>H63-'[49]Employee Pay &amp; Hours'!AE22</f>
        <v>0</v>
      </c>
      <c r="I64" s="868">
        <f>I63-'[49]Employee Pay &amp; Hours'!AF22</f>
        <v>0</v>
      </c>
      <c r="J64" s="868">
        <f>J63-'[49]Employee Pay &amp; Hours'!AG22</f>
        <v>0</v>
      </c>
      <c r="K64" s="868">
        <f>K63-'[49]Employee Pay &amp; Hours'!AH22</f>
        <v>0</v>
      </c>
      <c r="L64" s="868">
        <f>L63-'[49]Employee Pay &amp; Hours'!AI22</f>
        <v>0</v>
      </c>
      <c r="M64" s="868">
        <f>M63-'[49]Employee Pay &amp; Hours'!AJ22</f>
        <v>0</v>
      </c>
      <c r="N64" s="868">
        <f>N63-'[49]Employee Pay &amp; Hours'!AK22</f>
        <v>0</v>
      </c>
      <c r="O64" s="868">
        <f>O63-'[49]Employee Pay &amp; Hours'!AL22</f>
        <v>0</v>
      </c>
      <c r="AE64" s="865"/>
      <c r="AH64" s="732"/>
      <c r="AI64" s="732"/>
    </row>
    <row r="65" spans="1:35">
      <c r="E65" s="869"/>
      <c r="J65" s="746"/>
      <c r="AE65" s="865"/>
      <c r="AH65" s="732"/>
      <c r="AI65" s="732"/>
    </row>
    <row r="66" spans="1:35" ht="12.75" customHeight="1">
      <c r="A66" s="1682" t="s">
        <v>1540</v>
      </c>
      <c r="B66" s="1682"/>
      <c r="C66" s="1682"/>
      <c r="D66" s="1682"/>
      <c r="E66" s="870"/>
      <c r="F66" s="870"/>
      <c r="G66" s="870"/>
      <c r="H66" s="870"/>
      <c r="I66" s="870"/>
      <c r="J66" s="871"/>
      <c r="K66" s="870"/>
      <c r="L66" s="870"/>
      <c r="M66" s="870"/>
      <c r="N66" s="870"/>
      <c r="O66" s="870"/>
      <c r="P66" s="870"/>
      <c r="R66" s="814"/>
      <c r="S66" s="814"/>
      <c r="T66" s="814"/>
      <c r="AE66" s="865"/>
      <c r="AH66" s="732"/>
      <c r="AI66" s="732"/>
    </row>
    <row r="67" spans="1:35">
      <c r="J67" s="872"/>
      <c r="AE67" s="865"/>
      <c r="AH67" s="732"/>
      <c r="AI67" s="732"/>
    </row>
    <row r="68" spans="1:35">
      <c r="A68" s="873"/>
      <c r="B68" s="873"/>
      <c r="C68" s="874" t="s">
        <v>1541</v>
      </c>
      <c r="D68" s="875"/>
      <c r="E68" s="875"/>
      <c r="F68" s="875"/>
      <c r="G68" s="875"/>
      <c r="H68" s="875"/>
      <c r="I68" s="875"/>
      <c r="J68" s="875"/>
      <c r="K68" s="875"/>
      <c r="L68" s="875"/>
      <c r="M68" s="875"/>
      <c r="N68" s="875"/>
      <c r="O68" s="875"/>
      <c r="P68" s="876">
        <f>P29</f>
        <v>479837.24999999983</v>
      </c>
      <c r="Q68" s="877"/>
      <c r="R68" s="814"/>
      <c r="S68" s="814"/>
      <c r="T68" s="814"/>
      <c r="AE68" s="814"/>
      <c r="AF68" s="814"/>
    </row>
    <row r="69" spans="1:35" ht="13.5" customHeight="1">
      <c r="AE69" s="732"/>
      <c r="AF69" s="732"/>
    </row>
    <row r="70" spans="1:35">
      <c r="D70" s="878" t="s">
        <v>1542</v>
      </c>
      <c r="P70" s="879">
        <f>'[49]Driver JE'!E370</f>
        <v>1839.57</v>
      </c>
      <c r="Q70" s="880"/>
      <c r="R70" s="806"/>
      <c r="S70" s="881"/>
      <c r="T70" s="764"/>
      <c r="U70" s="882"/>
      <c r="V70" s="881"/>
      <c r="W70" s="764"/>
      <c r="X70" s="883"/>
      <c r="Y70" s="764"/>
      <c r="Z70" s="884"/>
      <c r="AA70" s="764"/>
      <c r="AB70" s="885"/>
      <c r="AC70" s="881"/>
      <c r="AE70" s="886"/>
    </row>
    <row r="71" spans="1:35">
      <c r="D71" s="866" t="s">
        <v>1543</v>
      </c>
      <c r="R71" s="806"/>
      <c r="S71" s="887"/>
      <c r="T71" s="806"/>
      <c r="U71" s="806"/>
      <c r="V71" s="881"/>
      <c r="W71" s="806"/>
      <c r="X71" s="888"/>
      <c r="Y71" s="889"/>
      <c r="Z71" s="884"/>
      <c r="AA71" s="806"/>
      <c r="AB71" s="885"/>
      <c r="AC71" s="890"/>
      <c r="AE71" s="886"/>
    </row>
    <row r="72" spans="1:35">
      <c r="D72" s="878" t="s">
        <v>1544</v>
      </c>
      <c r="P72" s="880"/>
      <c r="Q72" s="880"/>
      <c r="R72" s="806"/>
      <c r="S72" s="887"/>
      <c r="T72" s="806"/>
      <c r="U72" s="806"/>
      <c r="V72" s="881"/>
      <c r="W72" s="891"/>
      <c r="X72" s="892"/>
      <c r="Y72" s="889"/>
      <c r="Z72" s="884"/>
      <c r="AA72" s="806"/>
      <c r="AB72" s="885"/>
      <c r="AC72" s="890"/>
      <c r="AE72" s="886"/>
    </row>
    <row r="73" spans="1:35">
      <c r="D73" s="878"/>
      <c r="R73" s="806"/>
      <c r="S73" s="887"/>
      <c r="T73" s="806"/>
      <c r="U73" s="806"/>
      <c r="V73" s="881"/>
      <c r="W73" s="891"/>
      <c r="X73" s="892"/>
      <c r="Y73" s="889"/>
      <c r="Z73" s="884"/>
      <c r="AA73" s="806"/>
      <c r="AB73" s="885"/>
      <c r="AC73" s="890"/>
      <c r="AE73" s="886"/>
    </row>
    <row r="74" spans="1:35">
      <c r="D74" s="728"/>
      <c r="E74" s="746"/>
      <c r="F74" s="746"/>
      <c r="G74" s="746"/>
      <c r="H74" s="746"/>
      <c r="I74" s="746"/>
      <c r="J74" s="746"/>
      <c r="K74" s="746"/>
      <c r="L74" s="746"/>
      <c r="M74" s="746"/>
      <c r="N74" s="746"/>
      <c r="O74" s="746"/>
      <c r="P74" s="893" t="s">
        <v>1545</v>
      </c>
      <c r="Q74" s="894"/>
      <c r="R74" s="806"/>
      <c r="S74" s="895"/>
      <c r="T74" s="806"/>
      <c r="U74" s="806"/>
      <c r="V74" s="881"/>
      <c r="W74" s="884"/>
      <c r="X74" s="888"/>
      <c r="Y74" s="895"/>
      <c r="Z74" s="881"/>
      <c r="AA74" s="806"/>
      <c r="AB74" s="881"/>
      <c r="AC74" s="890"/>
      <c r="AE74" s="745"/>
    </row>
    <row r="75" spans="1:35">
      <c r="C75" s="947">
        <v>50020</v>
      </c>
      <c r="D75" s="947" t="s">
        <v>40</v>
      </c>
      <c r="E75" s="954"/>
      <c r="F75" s="954"/>
      <c r="G75" s="954"/>
      <c r="H75" s="954"/>
      <c r="I75" s="954"/>
      <c r="J75" s="954"/>
      <c r="K75" s="954"/>
      <c r="L75" s="954"/>
      <c r="M75" s="954"/>
      <c r="N75" s="954"/>
      <c r="O75" s="954"/>
      <c r="P75" s="896">
        <f>'Consolidated IS'!C76</f>
        <v>392964.18999999994</v>
      </c>
      <c r="Q75" s="806"/>
      <c r="R75" s="806"/>
      <c r="S75" s="895"/>
      <c r="T75" s="806"/>
      <c r="U75" s="806"/>
      <c r="V75" s="881"/>
      <c r="W75" s="884"/>
      <c r="X75" s="888"/>
      <c r="Y75" s="895"/>
      <c r="Z75" s="881"/>
      <c r="AA75" s="806"/>
      <c r="AB75" s="897"/>
      <c r="AC75" s="897"/>
      <c r="AE75" s="745"/>
    </row>
    <row r="76" spans="1:35">
      <c r="C76" s="947">
        <v>50025</v>
      </c>
      <c r="D76" s="947" t="s">
        <v>41</v>
      </c>
      <c r="E76" s="954"/>
      <c r="F76" s="954"/>
      <c r="G76" s="954"/>
      <c r="H76" s="954"/>
      <c r="I76" s="954"/>
      <c r="J76" s="954"/>
      <c r="K76" s="954"/>
      <c r="L76" s="954"/>
      <c r="M76" s="954"/>
      <c r="N76" s="954"/>
      <c r="O76" s="954"/>
      <c r="P76" s="896">
        <f>'Consolidated IS'!C77</f>
        <v>42773.47</v>
      </c>
      <c r="Q76" s="806"/>
      <c r="R76" s="806"/>
      <c r="S76" s="895"/>
      <c r="T76" s="806"/>
      <c r="U76" s="806"/>
      <c r="V76" s="881"/>
      <c r="W76" s="881"/>
      <c r="X76" s="888"/>
      <c r="Y76" s="895"/>
      <c r="Z76" s="881"/>
      <c r="AA76" s="806"/>
      <c r="AB76" s="881"/>
      <c r="AC76" s="881"/>
      <c r="AE76" s="745"/>
    </row>
    <row r="77" spans="1:35">
      <c r="C77" s="947">
        <v>50035</v>
      </c>
      <c r="D77" s="948" t="s">
        <v>42</v>
      </c>
      <c r="E77" s="954"/>
      <c r="F77" s="954"/>
      <c r="G77" s="954"/>
      <c r="H77" s="954"/>
      <c r="I77" s="954"/>
      <c r="J77" s="954"/>
      <c r="K77" s="954"/>
      <c r="L77" s="954"/>
      <c r="M77" s="954"/>
      <c r="N77" s="954"/>
      <c r="O77" s="954"/>
      <c r="P77" s="896">
        <f>'Consolidated IS'!C78</f>
        <v>14333</v>
      </c>
      <c r="Q77" s="806"/>
      <c r="R77" s="806"/>
      <c r="S77" s="887"/>
      <c r="T77" s="806"/>
      <c r="U77" s="806"/>
      <c r="V77" s="881"/>
      <c r="W77" s="884"/>
      <c r="X77" s="888"/>
      <c r="Y77" s="895"/>
      <c r="Z77" s="881"/>
      <c r="AA77" s="806"/>
      <c r="AB77" s="885"/>
      <c r="AC77" s="881"/>
      <c r="AE77" s="865"/>
    </row>
    <row r="78" spans="1:35">
      <c r="C78" s="947">
        <v>50036</v>
      </c>
      <c r="D78" s="948" t="s">
        <v>1546</v>
      </c>
      <c r="E78" s="954"/>
      <c r="F78" s="954"/>
      <c r="G78" s="954"/>
      <c r="H78" s="954"/>
      <c r="I78" s="954"/>
      <c r="J78" s="954"/>
      <c r="K78" s="954"/>
      <c r="L78" s="954"/>
      <c r="M78" s="954"/>
      <c r="N78" s="954"/>
      <c r="O78" s="954"/>
      <c r="P78" s="898">
        <v>0</v>
      </c>
      <c r="Q78" s="734"/>
      <c r="R78" s="806"/>
      <c r="S78" s="887"/>
      <c r="T78" s="884"/>
      <c r="U78" s="884"/>
      <c r="V78" s="881"/>
      <c r="W78" s="884"/>
      <c r="X78" s="888"/>
      <c r="Y78" s="895"/>
      <c r="Z78" s="881"/>
      <c r="AA78" s="806"/>
      <c r="AB78" s="885"/>
      <c r="AC78" s="881"/>
      <c r="AE78" s="886"/>
    </row>
    <row r="79" spans="1:35">
      <c r="C79" s="947">
        <v>50065</v>
      </c>
      <c r="D79" s="947" t="s">
        <v>37</v>
      </c>
      <c r="E79" s="954"/>
      <c r="F79" s="954"/>
      <c r="G79" s="954"/>
      <c r="H79" s="954"/>
      <c r="I79" s="954"/>
      <c r="J79" s="954"/>
      <c r="K79" s="954"/>
      <c r="L79" s="954"/>
      <c r="M79" s="954"/>
      <c r="N79" s="954"/>
      <c r="O79" s="954"/>
      <c r="P79" s="896">
        <f>'Consolidated IS'!C79</f>
        <v>23130.309999999998</v>
      </c>
      <c r="Q79" s="806"/>
      <c r="R79" s="806"/>
      <c r="S79" s="887"/>
      <c r="T79" s="863"/>
      <c r="U79" s="863"/>
      <c r="V79" s="863"/>
      <c r="W79" s="863"/>
      <c r="X79" s="899"/>
      <c r="Y79" s="863"/>
      <c r="Z79" s="881"/>
      <c r="AA79" s="863"/>
      <c r="AB79" s="885"/>
      <c r="AC79" s="881"/>
      <c r="AE79" s="886"/>
    </row>
    <row r="80" spans="1:35">
      <c r="C80" s="947">
        <v>50070</v>
      </c>
      <c r="D80" s="947" t="s">
        <v>38</v>
      </c>
      <c r="E80" s="954"/>
      <c r="F80" s="954"/>
      <c r="G80" s="954"/>
      <c r="H80" s="954"/>
      <c r="I80" s="954"/>
      <c r="J80" s="954"/>
      <c r="K80" s="954"/>
      <c r="L80" s="954"/>
      <c r="M80" s="954"/>
      <c r="N80" s="954"/>
      <c r="O80" s="954"/>
      <c r="P80" s="912">
        <f>'Consolidated IS'!C80</f>
        <v>8475.85</v>
      </c>
      <c r="Q80" s="806"/>
      <c r="R80" s="806"/>
      <c r="S80" s="806"/>
      <c r="T80" s="806"/>
      <c r="U80" s="884"/>
      <c r="V80" s="881"/>
      <c r="W80" s="891"/>
      <c r="X80" s="892"/>
      <c r="Y80" s="895"/>
      <c r="Z80" s="881"/>
      <c r="AA80" s="900"/>
      <c r="AB80" s="885"/>
      <c r="AC80" s="881"/>
      <c r="AE80" s="886"/>
    </row>
    <row r="81" spans="1:32">
      <c r="C81" s="951"/>
      <c r="D81" s="951"/>
      <c r="E81" s="954"/>
      <c r="F81" s="954"/>
      <c r="G81" s="954"/>
      <c r="H81" s="954"/>
      <c r="I81" s="954"/>
      <c r="J81" s="954"/>
      <c r="K81" s="954"/>
      <c r="L81" s="954"/>
      <c r="M81" s="954"/>
      <c r="N81" s="954"/>
      <c r="O81" s="954"/>
      <c r="P81" s="806">
        <f>SUM(P75:P80)</f>
        <v>481676.81999999989</v>
      </c>
      <c r="Q81" s="806"/>
      <c r="R81" s="806"/>
      <c r="S81" s="895"/>
      <c r="T81" s="884"/>
      <c r="U81" s="901"/>
      <c r="V81" s="884"/>
      <c r="W81" s="891"/>
      <c r="X81" s="892"/>
      <c r="Y81" s="889"/>
      <c r="Z81" s="884"/>
      <c r="AA81" s="900"/>
      <c r="AB81" s="885"/>
      <c r="AC81" s="881"/>
      <c r="AE81" s="886"/>
    </row>
    <row r="82" spans="1:32">
      <c r="C82" s="951"/>
      <c r="D82" s="951"/>
      <c r="E82" s="954"/>
      <c r="F82" s="954"/>
      <c r="G82" s="954"/>
      <c r="H82" s="954"/>
      <c r="I82" s="954"/>
      <c r="J82" s="954"/>
      <c r="K82" s="954"/>
      <c r="L82" s="954"/>
      <c r="M82" s="954"/>
      <c r="N82" s="954"/>
      <c r="O82" s="954"/>
      <c r="P82" s="902"/>
      <c r="Q82" s="902"/>
      <c r="R82" s="806"/>
      <c r="S82" s="895"/>
      <c r="T82" s="764"/>
      <c r="U82" s="882"/>
      <c r="V82" s="882"/>
      <c r="W82" s="764"/>
      <c r="X82" s="883"/>
      <c r="Y82" s="764"/>
      <c r="Z82" s="884"/>
      <c r="AA82" s="903"/>
      <c r="AB82" s="885"/>
      <c r="AC82" s="881"/>
      <c r="AE82" s="886"/>
    </row>
    <row r="83" spans="1:32">
      <c r="C83" s="951"/>
      <c r="D83" s="948" t="s">
        <v>605</v>
      </c>
      <c r="E83" s="953"/>
      <c r="F83" s="953"/>
      <c r="G83" s="953"/>
      <c r="H83" s="953"/>
      <c r="I83" s="953"/>
      <c r="J83" s="953"/>
      <c r="K83" s="953"/>
      <c r="L83" s="953"/>
      <c r="M83" s="953"/>
      <c r="N83" s="953"/>
      <c r="O83" s="953"/>
      <c r="P83" s="902">
        <f>P68+P70-P81+P72</f>
        <v>-5.8207660913467407E-11</v>
      </c>
      <c r="Q83" s="890">
        <f>P83/P81</f>
        <v>-1.2084380750036387E-16</v>
      </c>
      <c r="S83" s="895"/>
      <c r="T83" s="904"/>
      <c r="U83" s="904"/>
      <c r="V83" s="904"/>
      <c r="W83" s="806"/>
      <c r="X83" s="888"/>
      <c r="Y83" s="889"/>
      <c r="Z83" s="884"/>
      <c r="AA83" s="806"/>
      <c r="AB83" s="885"/>
      <c r="AC83" s="881"/>
      <c r="AE83" s="886"/>
      <c r="AF83" s="801"/>
    </row>
    <row r="84" spans="1:32" s="729" customFormat="1">
      <c r="B84" s="728"/>
      <c r="C84" s="728"/>
      <c r="D84" s="730"/>
      <c r="E84" s="730"/>
      <c r="F84" s="730"/>
      <c r="G84" s="730"/>
      <c r="H84" s="730"/>
      <c r="I84" s="730"/>
      <c r="J84" s="730"/>
      <c r="K84" s="730"/>
      <c r="L84" s="730"/>
      <c r="M84" s="730"/>
      <c r="N84" s="730"/>
      <c r="O84" s="730"/>
      <c r="P84" s="806"/>
      <c r="Q84" s="806"/>
      <c r="S84" s="895"/>
      <c r="T84" s="904"/>
      <c r="U84" s="904"/>
      <c r="V84" s="904"/>
      <c r="W84" s="891"/>
      <c r="X84" s="888"/>
      <c r="Y84" s="889"/>
      <c r="Z84" s="884"/>
      <c r="AA84" s="806"/>
      <c r="AB84" s="884"/>
      <c r="AC84" s="884"/>
      <c r="AD84" s="886"/>
      <c r="AE84" s="886"/>
    </row>
    <row r="85" spans="1:32">
      <c r="P85" s="905"/>
      <c r="Q85" s="806"/>
      <c r="S85" s="895"/>
      <c r="T85" s="904"/>
      <c r="U85" s="904"/>
      <c r="V85" s="904"/>
      <c r="W85" s="891"/>
      <c r="X85" s="888"/>
      <c r="Y85" s="889"/>
      <c r="Z85" s="884"/>
      <c r="AA85" s="806"/>
      <c r="AB85" s="884"/>
      <c r="AC85" s="884"/>
      <c r="AD85" s="886"/>
      <c r="AE85" s="886"/>
    </row>
    <row r="86" spans="1:32">
      <c r="A86" s="906"/>
      <c r="B86" s="906"/>
      <c r="C86" s="907" t="s">
        <v>1547</v>
      </c>
      <c r="D86" s="908"/>
      <c r="E86" s="908"/>
      <c r="F86" s="908"/>
      <c r="G86" s="908"/>
      <c r="H86" s="908"/>
      <c r="I86" s="908"/>
      <c r="J86" s="908"/>
      <c r="K86" s="908"/>
      <c r="L86" s="908"/>
      <c r="M86" s="908"/>
      <c r="N86" s="908"/>
      <c r="O86" s="908"/>
      <c r="P86" s="909">
        <f>P37</f>
        <v>85479.579999999973</v>
      </c>
      <c r="Q86" s="910"/>
      <c r="S86" s="895"/>
      <c r="T86" s="904"/>
      <c r="U86" s="904"/>
      <c r="V86" s="904"/>
      <c r="W86" s="806"/>
      <c r="X86" s="888"/>
      <c r="Y86" s="889"/>
      <c r="Z86" s="884"/>
      <c r="AA86" s="806"/>
      <c r="AB86" s="884"/>
      <c r="AC86" s="884"/>
      <c r="AD86" s="886"/>
      <c r="AE86" s="886"/>
    </row>
    <row r="87" spans="1:32">
      <c r="D87" s="728"/>
      <c r="Q87" s="806"/>
      <c r="S87" s="895"/>
      <c r="T87" s="904"/>
      <c r="U87" s="904"/>
      <c r="V87" s="904"/>
      <c r="W87" s="884"/>
      <c r="X87" s="888"/>
      <c r="Y87" s="911"/>
      <c r="Z87" s="891"/>
      <c r="AA87" s="806"/>
      <c r="AB87" s="884"/>
      <c r="AC87" s="884"/>
      <c r="AD87" s="886"/>
      <c r="AE87" s="886"/>
    </row>
    <row r="88" spans="1:32">
      <c r="D88" s="878" t="s">
        <v>1542</v>
      </c>
      <c r="P88" s="879">
        <f>'[49]Mechanic JE'!$E$308</f>
        <v>2047.2200000000009</v>
      </c>
      <c r="Q88" s="806"/>
      <c r="S88" s="895"/>
      <c r="T88" s="904"/>
      <c r="U88" s="904"/>
      <c r="V88" s="904"/>
      <c r="W88" s="884"/>
      <c r="X88" s="888"/>
      <c r="Y88" s="911"/>
      <c r="Z88" s="891"/>
      <c r="AA88" s="806"/>
      <c r="AB88" s="884"/>
      <c r="AC88" s="884"/>
      <c r="AD88" s="886"/>
      <c r="AE88" s="886"/>
    </row>
    <row r="89" spans="1:32">
      <c r="D89" s="878" t="s">
        <v>1548</v>
      </c>
      <c r="Q89" s="806"/>
      <c r="S89" s="895"/>
      <c r="T89" s="904"/>
      <c r="U89" s="904"/>
      <c r="V89" s="904"/>
      <c r="W89" s="884"/>
      <c r="X89" s="888"/>
      <c r="Y89" s="911"/>
      <c r="Z89" s="891"/>
      <c r="AA89" s="806"/>
      <c r="AB89" s="884"/>
      <c r="AC89" s="884"/>
      <c r="AD89" s="886"/>
      <c r="AE89" s="886"/>
    </row>
    <row r="90" spans="1:32">
      <c r="D90" s="878"/>
      <c r="Q90" s="806"/>
      <c r="S90" s="895"/>
      <c r="T90" s="904"/>
      <c r="U90" s="904"/>
      <c r="V90" s="904"/>
      <c r="W90" s="881"/>
      <c r="X90" s="888"/>
      <c r="Y90" s="911"/>
      <c r="Z90" s="891"/>
      <c r="AA90" s="806"/>
      <c r="AB90" s="884"/>
      <c r="AC90" s="881"/>
      <c r="AD90" s="738"/>
    </row>
    <row r="91" spans="1:32">
      <c r="D91" s="728"/>
      <c r="E91" s="746"/>
      <c r="F91" s="746"/>
      <c r="G91" s="746"/>
      <c r="H91" s="746"/>
      <c r="I91" s="746"/>
      <c r="J91" s="746"/>
      <c r="K91" s="746"/>
      <c r="L91" s="746"/>
      <c r="M91" s="746"/>
      <c r="N91" s="746"/>
      <c r="O91" s="746"/>
      <c r="P91" s="893" t="s">
        <v>1545</v>
      </c>
      <c r="Q91" s="806"/>
      <c r="S91" s="806"/>
      <c r="T91" s="806"/>
      <c r="U91" s="806"/>
      <c r="V91" s="806"/>
      <c r="W91" s="806"/>
      <c r="X91" s="888"/>
      <c r="Y91" s="806"/>
      <c r="Z91" s="806"/>
      <c r="AA91" s="806"/>
      <c r="AB91" s="885"/>
      <c r="AC91" s="881"/>
    </row>
    <row r="92" spans="1:32">
      <c r="C92" s="947">
        <v>52010</v>
      </c>
      <c r="D92" s="947" t="s">
        <v>31</v>
      </c>
      <c r="E92" s="746"/>
      <c r="F92" s="746"/>
      <c r="G92" s="746"/>
      <c r="H92" s="746"/>
      <c r="I92" s="746"/>
      <c r="J92" s="746"/>
      <c r="K92" s="746"/>
      <c r="L92" s="746"/>
      <c r="M92" s="746"/>
      <c r="N92" s="746"/>
      <c r="O92" s="746"/>
      <c r="P92" s="896">
        <f>'Consolidated IS'!C28</f>
        <v>49474.880000000005</v>
      </c>
      <c r="Q92" s="806"/>
      <c r="S92" s="806"/>
      <c r="T92" s="806"/>
      <c r="U92" s="884"/>
      <c r="V92" s="881"/>
      <c r="W92" s="891"/>
      <c r="X92" s="892"/>
      <c r="Y92" s="889"/>
      <c r="Z92" s="884"/>
      <c r="AA92" s="881"/>
      <c r="AB92" s="885"/>
      <c r="AC92" s="881"/>
    </row>
    <row r="93" spans="1:32">
      <c r="C93" s="947">
        <v>52020</v>
      </c>
      <c r="D93" s="947" t="s">
        <v>40</v>
      </c>
      <c r="E93" s="954"/>
      <c r="F93" s="954"/>
      <c r="G93" s="954"/>
      <c r="H93" s="954"/>
      <c r="I93" s="954"/>
      <c r="J93" s="954"/>
      <c r="K93" s="954"/>
      <c r="L93" s="954"/>
      <c r="M93" s="954"/>
      <c r="N93" s="954"/>
      <c r="O93" s="954"/>
      <c r="P93" s="896">
        <f>'Consolidated IS'!C29</f>
        <v>35063.519999999997</v>
      </c>
      <c r="Q93" s="806"/>
      <c r="S93" s="806"/>
      <c r="T93" s="806"/>
      <c r="U93" s="884"/>
      <c r="V93" s="881"/>
      <c r="W93" s="891"/>
      <c r="X93" s="892"/>
      <c r="Y93" s="889"/>
      <c r="Z93" s="884"/>
      <c r="AA93" s="881"/>
      <c r="AB93" s="885"/>
      <c r="AC93" s="881"/>
    </row>
    <row r="94" spans="1:32">
      <c r="C94" s="947">
        <v>52025</v>
      </c>
      <c r="D94" s="947" t="s">
        <v>41</v>
      </c>
      <c r="E94" s="954"/>
      <c r="F94" s="954"/>
      <c r="G94" s="954"/>
      <c r="H94" s="954"/>
      <c r="I94" s="954"/>
      <c r="J94" s="954"/>
      <c r="K94" s="954"/>
      <c r="L94" s="954"/>
      <c r="M94" s="954"/>
      <c r="N94" s="954"/>
      <c r="O94" s="954"/>
      <c r="P94" s="896">
        <f>'Consolidated IS'!C30</f>
        <v>1980.8999999999999</v>
      </c>
      <c r="Q94" s="806"/>
    </row>
    <row r="95" spans="1:32">
      <c r="C95" s="947">
        <v>52035</v>
      </c>
      <c r="D95" s="948" t="s">
        <v>42</v>
      </c>
      <c r="E95" s="954"/>
      <c r="F95" s="954"/>
      <c r="G95" s="954"/>
      <c r="H95" s="954"/>
      <c r="I95" s="954"/>
      <c r="J95" s="954"/>
      <c r="K95" s="954"/>
      <c r="L95" s="954"/>
      <c r="M95" s="954"/>
      <c r="N95" s="954"/>
      <c r="O95" s="954"/>
      <c r="P95" s="896">
        <v>0</v>
      </c>
      <c r="Q95" s="806"/>
      <c r="S95" s="806"/>
    </row>
    <row r="96" spans="1:32">
      <c r="C96" s="947">
        <v>52065</v>
      </c>
      <c r="D96" s="947" t="s">
        <v>37</v>
      </c>
      <c r="E96" s="954"/>
      <c r="F96" s="954"/>
      <c r="G96" s="954"/>
      <c r="H96" s="954"/>
      <c r="I96" s="954"/>
      <c r="J96" s="954"/>
      <c r="K96" s="954"/>
      <c r="L96" s="954"/>
      <c r="M96" s="954"/>
      <c r="N96" s="954"/>
      <c r="O96" s="954"/>
      <c r="P96" s="896">
        <f>'Consolidated IS'!C31</f>
        <v>1813.4</v>
      </c>
      <c r="Q96" s="806"/>
      <c r="S96" s="806"/>
    </row>
    <row r="97" spans="1:33">
      <c r="C97" s="947">
        <v>52070</v>
      </c>
      <c r="D97" s="947" t="s">
        <v>38</v>
      </c>
      <c r="E97" s="954"/>
      <c r="F97" s="954"/>
      <c r="G97" s="954"/>
      <c r="H97" s="954"/>
      <c r="I97" s="954"/>
      <c r="J97" s="954"/>
      <c r="K97" s="954"/>
      <c r="L97" s="954"/>
      <c r="M97" s="954"/>
      <c r="N97" s="954"/>
      <c r="O97" s="954"/>
      <c r="P97" s="912">
        <f>'Consolidated IS'!C32</f>
        <v>298.72000000000003</v>
      </c>
      <c r="Q97" s="806"/>
      <c r="S97" s="806"/>
    </row>
    <row r="98" spans="1:33">
      <c r="C98" s="951"/>
      <c r="D98" s="951"/>
      <c r="E98" s="954"/>
      <c r="F98" s="954"/>
      <c r="G98" s="954"/>
      <c r="H98" s="954"/>
      <c r="I98" s="954"/>
      <c r="J98" s="954"/>
      <c r="K98" s="954"/>
      <c r="L98" s="954"/>
      <c r="M98" s="954"/>
      <c r="N98" s="954"/>
      <c r="O98" s="954"/>
      <c r="P98" s="806">
        <f>SUM(P92:P97)</f>
        <v>88631.419999999984</v>
      </c>
      <c r="Q98" s="806"/>
      <c r="S98" s="806"/>
    </row>
    <row r="99" spans="1:33">
      <c r="C99" s="951"/>
      <c r="D99" s="951"/>
      <c r="E99" s="954"/>
      <c r="F99" s="954"/>
      <c r="G99" s="954"/>
      <c r="H99" s="954"/>
      <c r="I99" s="954"/>
      <c r="J99" s="954"/>
      <c r="K99" s="954"/>
      <c r="L99" s="954"/>
      <c r="M99" s="954"/>
      <c r="N99" s="954"/>
      <c r="O99" s="954"/>
      <c r="P99" s="902"/>
      <c r="Q99" s="806"/>
      <c r="S99" s="806"/>
    </row>
    <row r="100" spans="1:33">
      <c r="C100" s="951"/>
      <c r="D100" s="948" t="s">
        <v>605</v>
      </c>
      <c r="E100" s="953"/>
      <c r="F100" s="953"/>
      <c r="G100" s="953"/>
      <c r="H100" s="953"/>
      <c r="I100" s="953"/>
      <c r="J100" s="953"/>
      <c r="K100" s="953"/>
      <c r="L100" s="953"/>
      <c r="M100" s="953"/>
      <c r="N100" s="953"/>
      <c r="O100" s="953"/>
      <c r="P100" s="902">
        <f>P86+P88-P98</f>
        <v>-1104.6200000000099</v>
      </c>
      <c r="Q100" s="890">
        <f>P100/P98</f>
        <v>-1.2463074607176666E-2</v>
      </c>
      <c r="S100" s="913"/>
      <c r="AG100" s="744"/>
    </row>
    <row r="101" spans="1:33" s="729" customFormat="1">
      <c r="B101" s="728"/>
      <c r="C101" s="728"/>
      <c r="D101" s="730"/>
      <c r="E101" s="730"/>
      <c r="F101" s="730"/>
      <c r="G101" s="730"/>
      <c r="H101" s="730"/>
      <c r="I101" s="730"/>
      <c r="J101" s="730"/>
      <c r="K101" s="730"/>
      <c r="L101" s="730"/>
      <c r="M101" s="730"/>
      <c r="N101" s="730"/>
      <c r="O101" s="730"/>
      <c r="P101" s="731"/>
      <c r="Q101" s="806"/>
      <c r="S101" s="806"/>
      <c r="T101" s="806"/>
      <c r="U101" s="884"/>
      <c r="V101" s="881"/>
      <c r="W101" s="735"/>
      <c r="X101" s="736"/>
      <c r="Y101" s="737"/>
      <c r="Z101" s="733"/>
      <c r="AA101" s="728"/>
      <c r="AB101" s="738"/>
      <c r="AC101" s="728"/>
      <c r="AD101" s="728"/>
      <c r="AE101" s="886"/>
    </row>
    <row r="102" spans="1:33">
      <c r="Q102" s="806"/>
      <c r="S102" s="806"/>
      <c r="T102" s="806"/>
      <c r="U102" s="884"/>
      <c r="V102" s="881"/>
      <c r="AE102" s="886"/>
    </row>
    <row r="103" spans="1:33" hidden="1">
      <c r="A103" s="906"/>
      <c r="B103" s="906"/>
      <c r="C103" s="907" t="s">
        <v>1549</v>
      </c>
      <c r="D103" s="908"/>
      <c r="E103" s="908"/>
      <c r="F103" s="908"/>
      <c r="G103" s="908"/>
      <c r="H103" s="908"/>
      <c r="I103" s="908"/>
      <c r="J103" s="908"/>
      <c r="K103" s="908"/>
      <c r="L103" s="908"/>
      <c r="M103" s="908"/>
      <c r="N103" s="908"/>
      <c r="O103" s="908"/>
      <c r="P103" s="914"/>
      <c r="Q103" s="910"/>
      <c r="S103" s="910"/>
      <c r="T103" s="910"/>
      <c r="U103" s="915"/>
      <c r="V103" s="916"/>
      <c r="W103" s="729"/>
      <c r="X103" s="917"/>
      <c r="Y103" s="911"/>
      <c r="Z103" s="918"/>
      <c r="AA103" s="886"/>
      <c r="AB103" s="886"/>
      <c r="AC103" s="886"/>
      <c r="AD103" s="886"/>
      <c r="AE103" s="886"/>
    </row>
    <row r="104" spans="1:33" hidden="1">
      <c r="Q104" s="806"/>
      <c r="S104" s="806"/>
      <c r="T104" s="806"/>
      <c r="U104" s="884"/>
      <c r="V104" s="881"/>
      <c r="X104" s="917"/>
      <c r="Y104" s="911"/>
      <c r="Z104" s="918"/>
      <c r="AA104" s="886"/>
      <c r="AB104" s="886"/>
      <c r="AC104" s="886"/>
      <c r="AD104" s="886"/>
      <c r="AE104" s="886"/>
    </row>
    <row r="105" spans="1:33" hidden="1">
      <c r="C105" s="878" t="s">
        <v>1550</v>
      </c>
      <c r="Q105" s="806"/>
      <c r="S105" s="806"/>
      <c r="T105" s="806"/>
      <c r="U105" s="884"/>
      <c r="V105" s="881"/>
      <c r="X105" s="917"/>
      <c r="Y105" s="911"/>
      <c r="Z105" s="918"/>
      <c r="AA105" s="886"/>
      <c r="AB105" s="886"/>
      <c r="AC105" s="886"/>
      <c r="AD105" s="886"/>
      <c r="AE105" s="886"/>
    </row>
    <row r="106" spans="1:33" hidden="1">
      <c r="C106" s="878" t="s">
        <v>1551</v>
      </c>
      <c r="Q106" s="806"/>
      <c r="S106" s="806"/>
      <c r="T106" s="806"/>
      <c r="U106" s="884"/>
      <c r="V106" s="881"/>
      <c r="X106" s="917"/>
      <c r="Y106" s="911"/>
      <c r="Z106" s="918"/>
      <c r="AA106" s="886"/>
      <c r="AB106" s="886"/>
      <c r="AC106" s="886"/>
      <c r="AD106" s="886"/>
      <c r="AE106" s="886"/>
    </row>
    <row r="107" spans="1:33" hidden="1">
      <c r="C107" s="878" t="s">
        <v>1552</v>
      </c>
      <c r="Q107" s="806"/>
      <c r="S107" s="806"/>
      <c r="T107" s="806"/>
      <c r="U107" s="884"/>
      <c r="V107" s="881"/>
      <c r="X107" s="917"/>
      <c r="Y107" s="911"/>
      <c r="Z107" s="918"/>
      <c r="AA107" s="886"/>
      <c r="AB107" s="886"/>
      <c r="AC107" s="886"/>
      <c r="AD107" s="886"/>
      <c r="AE107" s="886"/>
    </row>
    <row r="108" spans="1:33" hidden="1">
      <c r="C108" s="878" t="s">
        <v>1553</v>
      </c>
      <c r="Q108" s="806"/>
      <c r="S108" s="806"/>
      <c r="T108" s="806"/>
      <c r="U108" s="884"/>
      <c r="V108" s="881"/>
      <c r="X108" s="917"/>
      <c r="Y108" s="911"/>
      <c r="Z108" s="918"/>
      <c r="AA108" s="886"/>
      <c r="AB108" s="886"/>
      <c r="AC108" s="886"/>
      <c r="AD108" s="886"/>
      <c r="AE108" s="886"/>
    </row>
    <row r="109" spans="1:33" hidden="1">
      <c r="C109" s="878" t="s">
        <v>1554</v>
      </c>
      <c r="Q109" s="806"/>
      <c r="S109" s="806"/>
      <c r="T109" s="806"/>
      <c r="U109" s="884"/>
      <c r="V109" s="881"/>
      <c r="X109" s="917"/>
      <c r="Y109" s="911"/>
      <c r="Z109" s="918"/>
      <c r="AA109" s="886"/>
      <c r="AB109" s="886"/>
      <c r="AC109" s="886"/>
      <c r="AD109" s="886"/>
    </row>
    <row r="110" spans="1:33" hidden="1">
      <c r="C110" s="878" t="s">
        <v>1555</v>
      </c>
      <c r="Q110" s="806"/>
      <c r="S110" s="806"/>
      <c r="T110" s="806"/>
      <c r="U110" s="884"/>
      <c r="V110" s="881"/>
      <c r="X110" s="917"/>
      <c r="Y110" s="911"/>
      <c r="Z110" s="918"/>
      <c r="AA110" s="886"/>
      <c r="AB110" s="886"/>
      <c r="AC110" s="886"/>
      <c r="AD110" s="886"/>
    </row>
    <row r="111" spans="1:33" hidden="1">
      <c r="C111" s="878" t="s">
        <v>1556</v>
      </c>
      <c r="Q111" s="806"/>
      <c r="S111" s="806"/>
      <c r="T111" s="806"/>
      <c r="U111" s="884"/>
      <c r="V111" s="881"/>
      <c r="Y111" s="919"/>
      <c r="Z111" s="735"/>
      <c r="AA111" s="738"/>
      <c r="AB111" s="733"/>
      <c r="AE111" s="738"/>
    </row>
    <row r="112" spans="1:33" hidden="1">
      <c r="C112" s="878" t="s">
        <v>1557</v>
      </c>
      <c r="Q112" s="806"/>
      <c r="S112" s="806"/>
      <c r="T112" s="806"/>
      <c r="U112" s="884"/>
      <c r="V112" s="881"/>
      <c r="Y112" s="919"/>
      <c r="Z112" s="735"/>
      <c r="AA112" s="738"/>
      <c r="AB112" s="733"/>
    </row>
    <row r="113" spans="1:40" hidden="1">
      <c r="C113" s="878" t="s">
        <v>1558</v>
      </c>
      <c r="Q113" s="806"/>
      <c r="S113" s="806"/>
      <c r="T113" s="806"/>
      <c r="U113" s="884"/>
      <c r="V113" s="881"/>
      <c r="Y113" s="919"/>
      <c r="Z113" s="735"/>
      <c r="AA113" s="738"/>
      <c r="AB113" s="733"/>
      <c r="AD113" s="738"/>
    </row>
    <row r="114" spans="1:40" hidden="1">
      <c r="C114" s="878" t="s">
        <v>1559</v>
      </c>
      <c r="Q114" s="806"/>
      <c r="S114" s="806"/>
      <c r="T114" s="806"/>
      <c r="U114" s="884"/>
      <c r="V114" s="881"/>
    </row>
    <row r="115" spans="1:40" hidden="1">
      <c r="Q115" s="806"/>
      <c r="S115" s="806"/>
      <c r="T115" s="806"/>
      <c r="U115" s="884"/>
      <c r="V115" s="881"/>
    </row>
    <row r="116" spans="1:40" hidden="1">
      <c r="Q116" s="806"/>
      <c r="S116" s="806"/>
      <c r="T116" s="806"/>
      <c r="U116" s="884"/>
      <c r="V116" s="881"/>
    </row>
    <row r="117" spans="1:40" hidden="1">
      <c r="B117" s="947">
        <v>55020</v>
      </c>
      <c r="C117" s="947" t="s">
        <v>40</v>
      </c>
      <c r="D117" s="951"/>
      <c r="E117" s="951"/>
      <c r="F117" s="951"/>
      <c r="G117" s="951"/>
      <c r="H117" s="951"/>
      <c r="I117" s="951"/>
      <c r="J117" s="951"/>
      <c r="K117" s="951"/>
      <c r="L117" s="951"/>
      <c r="M117" s="951"/>
      <c r="N117" s="951"/>
      <c r="O117" s="951"/>
      <c r="P117" s="952"/>
      <c r="Q117" s="806"/>
      <c r="S117" s="806"/>
      <c r="T117" s="806"/>
      <c r="U117" s="884"/>
      <c r="V117" s="881"/>
    </row>
    <row r="118" spans="1:40" hidden="1">
      <c r="B118" s="947">
        <v>55025</v>
      </c>
      <c r="C118" s="947" t="s">
        <v>41</v>
      </c>
      <c r="D118" s="951"/>
      <c r="E118" s="951"/>
      <c r="F118" s="951"/>
      <c r="G118" s="951"/>
      <c r="H118" s="951"/>
      <c r="I118" s="951"/>
      <c r="J118" s="951"/>
      <c r="K118" s="951"/>
      <c r="L118" s="951"/>
      <c r="M118" s="951"/>
      <c r="N118" s="951"/>
      <c r="O118" s="951"/>
      <c r="P118" s="952"/>
      <c r="Q118" s="806"/>
      <c r="S118" s="806"/>
      <c r="T118" s="806"/>
      <c r="U118" s="884"/>
      <c r="V118" s="881"/>
    </row>
    <row r="119" spans="1:40" hidden="1">
      <c r="B119" s="947">
        <v>55035</v>
      </c>
      <c r="C119" s="948" t="s">
        <v>35</v>
      </c>
      <c r="D119" s="951"/>
      <c r="E119" s="951"/>
      <c r="F119" s="951"/>
      <c r="G119" s="951"/>
      <c r="H119" s="951"/>
      <c r="I119" s="951"/>
      <c r="J119" s="951"/>
      <c r="K119" s="951"/>
      <c r="L119" s="951"/>
      <c r="M119" s="951"/>
      <c r="N119" s="951"/>
      <c r="O119" s="951"/>
      <c r="P119" s="952"/>
      <c r="Q119" s="806"/>
      <c r="S119" s="806"/>
      <c r="T119" s="806"/>
      <c r="U119" s="884"/>
      <c r="V119" s="881"/>
    </row>
    <row r="120" spans="1:40" hidden="1">
      <c r="B120" s="947">
        <v>50065</v>
      </c>
      <c r="C120" s="947" t="s">
        <v>37</v>
      </c>
      <c r="D120" s="951"/>
      <c r="E120" s="951"/>
      <c r="F120" s="951"/>
      <c r="G120" s="951"/>
      <c r="H120" s="951"/>
      <c r="I120" s="951"/>
      <c r="J120" s="951"/>
      <c r="K120" s="951"/>
      <c r="L120" s="951"/>
      <c r="M120" s="951"/>
      <c r="N120" s="951"/>
      <c r="O120" s="951"/>
      <c r="P120" s="952"/>
      <c r="Q120" s="806"/>
      <c r="S120" s="806"/>
      <c r="T120" s="806"/>
      <c r="U120" s="884"/>
      <c r="V120" s="881"/>
    </row>
    <row r="121" spans="1:40" hidden="1">
      <c r="B121" s="947">
        <v>55070</v>
      </c>
      <c r="C121" s="947" t="s">
        <v>38</v>
      </c>
      <c r="D121" s="951"/>
      <c r="E121" s="951"/>
      <c r="F121" s="951"/>
      <c r="G121" s="951"/>
      <c r="H121" s="951"/>
      <c r="I121" s="951"/>
      <c r="J121" s="951"/>
      <c r="K121" s="951"/>
      <c r="L121" s="951"/>
      <c r="M121" s="951"/>
      <c r="N121" s="951"/>
      <c r="O121" s="951"/>
      <c r="P121" s="952"/>
      <c r="Q121" s="806"/>
      <c r="S121" s="806"/>
      <c r="T121" s="806"/>
      <c r="U121" s="884"/>
      <c r="V121" s="881"/>
    </row>
    <row r="122" spans="1:40" hidden="1">
      <c r="B122" s="951"/>
      <c r="C122" s="951"/>
      <c r="D122" s="951"/>
      <c r="E122" s="951"/>
      <c r="F122" s="951"/>
      <c r="G122" s="951"/>
      <c r="H122" s="951"/>
      <c r="I122" s="951"/>
      <c r="J122" s="951"/>
      <c r="K122" s="951"/>
      <c r="L122" s="951"/>
      <c r="M122" s="951"/>
      <c r="N122" s="951"/>
      <c r="O122" s="951"/>
      <c r="P122" s="952"/>
      <c r="Q122" s="806"/>
      <c r="S122" s="806"/>
      <c r="T122" s="806"/>
      <c r="U122" s="884"/>
      <c r="V122" s="881"/>
    </row>
    <row r="123" spans="1:40" hidden="1">
      <c r="B123" s="951"/>
      <c r="C123" s="951"/>
      <c r="D123" s="951"/>
      <c r="E123" s="951"/>
      <c r="F123" s="951"/>
      <c r="G123" s="951"/>
      <c r="H123" s="951"/>
      <c r="I123" s="951"/>
      <c r="J123" s="951"/>
      <c r="K123" s="951"/>
      <c r="L123" s="951"/>
      <c r="M123" s="951"/>
      <c r="N123" s="951"/>
      <c r="O123" s="951"/>
      <c r="P123" s="952"/>
      <c r="Q123" s="806"/>
      <c r="S123" s="806"/>
      <c r="T123" s="806"/>
      <c r="U123" s="884"/>
      <c r="V123" s="881"/>
    </row>
    <row r="124" spans="1:40" hidden="1">
      <c r="B124" s="951"/>
      <c r="C124" s="950" t="s">
        <v>605</v>
      </c>
      <c r="D124" s="950"/>
      <c r="E124" s="950"/>
      <c r="F124" s="950"/>
      <c r="G124" s="950"/>
      <c r="H124" s="950"/>
      <c r="I124" s="950"/>
      <c r="J124" s="950"/>
      <c r="K124" s="950"/>
      <c r="L124" s="950"/>
      <c r="M124" s="950"/>
      <c r="N124" s="950"/>
      <c r="O124" s="950"/>
      <c r="P124" s="949"/>
      <c r="Q124" s="806"/>
      <c r="S124" s="821"/>
      <c r="T124" s="806"/>
      <c r="U124" s="884"/>
      <c r="V124" s="881"/>
      <c r="AE124" s="734"/>
      <c r="AF124" s="734"/>
      <c r="AG124" s="734"/>
      <c r="AH124" s="734"/>
      <c r="AI124" s="734"/>
      <c r="AJ124" s="734"/>
      <c r="AK124" s="734"/>
      <c r="AL124" s="734"/>
      <c r="AM124" s="734"/>
      <c r="AN124" s="734"/>
    </row>
    <row r="125" spans="1:40" s="920" customFormat="1" hidden="1">
      <c r="A125" s="728"/>
      <c r="B125" s="728"/>
      <c r="C125" s="728"/>
      <c r="D125" s="730"/>
      <c r="E125" s="730"/>
      <c r="F125" s="730"/>
      <c r="G125" s="730"/>
      <c r="H125" s="730"/>
      <c r="I125" s="730"/>
      <c r="J125" s="730"/>
      <c r="K125" s="730"/>
      <c r="L125" s="730"/>
      <c r="M125" s="730"/>
      <c r="N125" s="730"/>
      <c r="O125" s="730"/>
      <c r="P125" s="731"/>
      <c r="Q125" s="806"/>
      <c r="S125" s="806"/>
      <c r="T125" s="806"/>
      <c r="U125" s="884"/>
      <c r="V125" s="881"/>
      <c r="W125" s="735"/>
      <c r="X125" s="736"/>
      <c r="Y125" s="737"/>
      <c r="Z125" s="733"/>
      <c r="AA125" s="728"/>
      <c r="AB125" s="738"/>
      <c r="AC125" s="728"/>
      <c r="AD125" s="728"/>
      <c r="AE125" s="734"/>
      <c r="AF125" s="734"/>
      <c r="AG125" s="734"/>
      <c r="AH125" s="734"/>
      <c r="AI125" s="734"/>
      <c r="AJ125" s="734"/>
      <c r="AK125" s="734"/>
      <c r="AL125" s="734"/>
      <c r="AM125" s="734"/>
      <c r="AN125" s="734"/>
    </row>
    <row r="126" spans="1:40">
      <c r="Q126" s="806"/>
      <c r="S126" s="806"/>
      <c r="T126" s="806"/>
      <c r="U126" s="884"/>
      <c r="V126" s="881"/>
      <c r="W126" s="818"/>
      <c r="X126" s="921"/>
      <c r="Z126" s="817"/>
      <c r="AA126" s="734"/>
      <c r="AB126" s="826"/>
      <c r="AC126" s="734"/>
      <c r="AD126" s="734"/>
      <c r="AE126" s="734"/>
      <c r="AF126" s="734"/>
      <c r="AG126" s="734"/>
      <c r="AH126" s="734"/>
      <c r="AI126" s="734"/>
      <c r="AJ126" s="734"/>
      <c r="AK126" s="734"/>
      <c r="AL126" s="734"/>
      <c r="AM126" s="734"/>
      <c r="AN126" s="734"/>
    </row>
    <row r="127" spans="1:40">
      <c r="A127" s="922"/>
      <c r="B127" s="922"/>
      <c r="C127" s="923" t="s">
        <v>1560</v>
      </c>
      <c r="D127" s="924"/>
      <c r="E127" s="924"/>
      <c r="F127" s="924"/>
      <c r="G127" s="924"/>
      <c r="H127" s="924"/>
      <c r="I127" s="924"/>
      <c r="J127" s="924"/>
      <c r="K127" s="924"/>
      <c r="L127" s="924"/>
      <c r="M127" s="924"/>
      <c r="N127" s="924"/>
      <c r="O127" s="924"/>
      <c r="P127" s="925">
        <f>P60</f>
        <v>69623.059999999983</v>
      </c>
      <c r="Q127" s="863"/>
      <c r="S127" s="863"/>
      <c r="T127" s="863"/>
      <c r="U127" s="926"/>
      <c r="V127" s="881"/>
      <c r="W127" s="818"/>
      <c r="X127" s="921"/>
      <c r="Z127" s="817"/>
      <c r="AA127" s="734"/>
      <c r="AB127" s="826"/>
      <c r="AC127" s="734"/>
      <c r="AD127" s="734"/>
      <c r="AE127" s="734"/>
      <c r="AF127" s="734"/>
      <c r="AG127" s="734"/>
      <c r="AH127" s="734"/>
      <c r="AI127" s="734"/>
      <c r="AJ127" s="734"/>
      <c r="AK127" s="734"/>
      <c r="AL127" s="734"/>
      <c r="AM127" s="734"/>
      <c r="AN127" s="734"/>
    </row>
    <row r="128" spans="1:40">
      <c r="B128" s="734"/>
      <c r="C128" s="927"/>
      <c r="D128" s="731"/>
      <c r="E128" s="731"/>
      <c r="F128" s="731"/>
      <c r="G128" s="731"/>
      <c r="H128" s="731"/>
      <c r="I128" s="731"/>
      <c r="J128" s="731"/>
      <c r="K128" s="731"/>
      <c r="L128" s="731"/>
      <c r="M128" s="731"/>
      <c r="N128" s="731"/>
      <c r="O128" s="731"/>
      <c r="Q128" s="863"/>
      <c r="S128" s="863"/>
      <c r="T128" s="863"/>
      <c r="U128" s="926"/>
      <c r="V128" s="881"/>
      <c r="W128" s="818"/>
      <c r="X128" s="921"/>
      <c r="Z128" s="817"/>
      <c r="AA128" s="734"/>
      <c r="AB128" s="826"/>
      <c r="AC128" s="734"/>
      <c r="AD128" s="734"/>
      <c r="AE128" s="734"/>
      <c r="AF128" s="734"/>
      <c r="AG128" s="734"/>
      <c r="AH128" s="734"/>
      <c r="AI128" s="734"/>
      <c r="AJ128" s="734"/>
      <c r="AK128" s="734"/>
      <c r="AL128" s="734"/>
      <c r="AM128" s="734"/>
      <c r="AN128" s="734"/>
    </row>
    <row r="129" spans="1:40">
      <c r="D129" s="878" t="s">
        <v>1561</v>
      </c>
      <c r="P129" s="879">
        <f>'[49]Supervisor JE'!E117</f>
        <v>-9162.99</v>
      </c>
      <c r="Q129" s="806"/>
      <c r="S129" s="806"/>
      <c r="T129" s="806"/>
      <c r="U129" s="884"/>
      <c r="V129" s="881"/>
      <c r="W129" s="818"/>
      <c r="X129" s="921"/>
      <c r="Z129" s="817"/>
      <c r="AA129" s="734"/>
      <c r="AB129" s="826"/>
      <c r="AC129" s="734"/>
      <c r="AD129" s="734"/>
      <c r="AE129" s="734"/>
      <c r="AF129" s="734"/>
      <c r="AG129" s="734"/>
      <c r="AH129" s="734"/>
      <c r="AI129" s="734"/>
      <c r="AJ129" s="734"/>
      <c r="AK129" s="734"/>
      <c r="AL129" s="734"/>
      <c r="AM129" s="734"/>
      <c r="AN129" s="734"/>
    </row>
    <row r="130" spans="1:40">
      <c r="D130" s="866" t="s">
        <v>1562</v>
      </c>
      <c r="Q130" s="806"/>
      <c r="S130" s="806"/>
      <c r="T130" s="806"/>
      <c r="U130" s="884"/>
      <c r="V130" s="881"/>
      <c r="W130" s="818"/>
      <c r="X130" s="921"/>
      <c r="Z130" s="817"/>
      <c r="AA130" s="734"/>
      <c r="AB130" s="826"/>
      <c r="AC130" s="734"/>
      <c r="AD130" s="734"/>
      <c r="AE130" s="734"/>
      <c r="AF130" s="734"/>
      <c r="AG130" s="734"/>
      <c r="AH130" s="734"/>
      <c r="AI130" s="734"/>
      <c r="AJ130" s="734"/>
      <c r="AK130" s="734"/>
      <c r="AL130" s="734"/>
      <c r="AM130" s="734"/>
      <c r="AN130" s="734"/>
    </row>
    <row r="131" spans="1:40">
      <c r="D131" s="878"/>
      <c r="Q131" s="806"/>
      <c r="S131" s="806"/>
      <c r="T131" s="806"/>
      <c r="U131" s="884"/>
      <c r="V131" s="881"/>
      <c r="W131" s="818"/>
      <c r="X131" s="921"/>
      <c r="Z131" s="817"/>
      <c r="AA131" s="734"/>
      <c r="AB131" s="826"/>
      <c r="AC131" s="734"/>
      <c r="AD131" s="734"/>
      <c r="AE131" s="734"/>
      <c r="AF131" s="734"/>
      <c r="AG131" s="734"/>
      <c r="AH131" s="734"/>
      <c r="AI131" s="734"/>
      <c r="AJ131" s="734"/>
      <c r="AK131" s="734"/>
      <c r="AL131" s="734"/>
      <c r="AM131" s="734"/>
      <c r="AN131" s="734"/>
    </row>
    <row r="132" spans="1:40">
      <c r="B132" s="928"/>
      <c r="D132" s="928"/>
      <c r="P132" s="893" t="s">
        <v>1545</v>
      </c>
      <c r="Q132" s="929"/>
      <c r="S132" s="929"/>
      <c r="T132" s="929"/>
      <c r="U132" s="930"/>
      <c r="V132" s="931"/>
      <c r="W132" s="830"/>
      <c r="X132" s="932"/>
      <c r="Z132" s="815"/>
      <c r="AA132" s="789"/>
      <c r="AB132" s="933"/>
      <c r="AC132" s="789"/>
      <c r="AD132" s="789"/>
      <c r="AE132" s="734"/>
      <c r="AF132" s="734"/>
      <c r="AG132" s="734"/>
      <c r="AH132" s="734"/>
      <c r="AI132" s="734"/>
      <c r="AJ132" s="734"/>
      <c r="AK132" s="734"/>
      <c r="AL132" s="734"/>
      <c r="AM132" s="734"/>
      <c r="AN132" s="734"/>
    </row>
    <row r="133" spans="1:40">
      <c r="C133" s="878">
        <v>56010</v>
      </c>
      <c r="D133" s="878" t="s">
        <v>31</v>
      </c>
      <c r="E133" s="746"/>
      <c r="F133" s="746"/>
      <c r="G133" s="746"/>
      <c r="H133" s="746"/>
      <c r="I133" s="746"/>
      <c r="J133" s="746"/>
      <c r="K133" s="746"/>
      <c r="L133" s="746"/>
      <c r="M133" s="746"/>
      <c r="N133" s="746"/>
      <c r="O133" s="746"/>
      <c r="P133" s="896">
        <f>'Consolidated IS'!C71</f>
        <v>45254.689999999995</v>
      </c>
      <c r="Q133" s="929"/>
      <c r="S133" s="929"/>
      <c r="T133" s="929"/>
      <c r="U133" s="930"/>
      <c r="V133" s="931"/>
      <c r="W133" s="830"/>
      <c r="X133" s="932"/>
      <c r="Z133" s="815"/>
      <c r="AA133" s="789"/>
      <c r="AB133" s="933"/>
      <c r="AC133" s="789"/>
      <c r="AD133" s="789"/>
      <c r="AE133" s="734"/>
      <c r="AF133" s="734"/>
      <c r="AG133" s="734"/>
      <c r="AH133" s="734"/>
      <c r="AI133" s="734"/>
      <c r="AJ133" s="734"/>
      <c r="AK133" s="734"/>
      <c r="AL133" s="734"/>
      <c r="AM133" s="734"/>
      <c r="AN133" s="734"/>
    </row>
    <row r="134" spans="1:40">
      <c r="C134" s="878">
        <v>56036</v>
      </c>
      <c r="D134" s="948" t="s">
        <v>36</v>
      </c>
      <c r="E134" s="746"/>
      <c r="F134" s="746"/>
      <c r="G134" s="746"/>
      <c r="H134" s="746"/>
      <c r="I134" s="746"/>
      <c r="J134" s="746"/>
      <c r="K134" s="746"/>
      <c r="L134" s="746"/>
      <c r="M134" s="746"/>
      <c r="N134" s="746"/>
      <c r="O134" s="746"/>
      <c r="P134" s="896">
        <v>0</v>
      </c>
      <c r="Q134" s="806"/>
      <c r="S134" s="806"/>
      <c r="T134" s="806"/>
      <c r="U134" s="884"/>
      <c r="V134" s="881"/>
      <c r="W134" s="818"/>
      <c r="X134" s="921"/>
      <c r="Z134" s="817"/>
      <c r="AA134" s="734"/>
      <c r="AB134" s="826"/>
      <c r="AC134" s="734"/>
      <c r="AD134" s="734"/>
      <c r="AE134" s="734"/>
      <c r="AF134" s="734"/>
      <c r="AG134" s="734"/>
      <c r="AH134" s="734"/>
      <c r="AI134" s="734"/>
      <c r="AJ134" s="734"/>
      <c r="AK134" s="734"/>
      <c r="AL134" s="734"/>
      <c r="AM134" s="734"/>
      <c r="AN134" s="734"/>
    </row>
    <row r="135" spans="1:40">
      <c r="C135" s="878">
        <v>56065</v>
      </c>
      <c r="D135" s="948" t="s">
        <v>37</v>
      </c>
      <c r="E135" s="746"/>
      <c r="F135" s="746"/>
      <c r="G135" s="746"/>
      <c r="H135" s="746"/>
      <c r="I135" s="746"/>
      <c r="J135" s="746"/>
      <c r="K135" s="746"/>
      <c r="L135" s="746"/>
      <c r="M135" s="746"/>
      <c r="N135" s="746"/>
      <c r="O135" s="746"/>
      <c r="P135" s="896">
        <f>'Consolidated IS'!C72</f>
        <v>1816.33</v>
      </c>
      <c r="Q135" s="806"/>
      <c r="S135" s="806"/>
      <c r="T135" s="806"/>
      <c r="U135" s="884"/>
      <c r="V135" s="881"/>
      <c r="W135" s="818"/>
      <c r="X135" s="921"/>
      <c r="Z135" s="817"/>
      <c r="AA135" s="734"/>
      <c r="AB135" s="826"/>
      <c r="AC135" s="734"/>
      <c r="AD135" s="734"/>
      <c r="AE135" s="734"/>
      <c r="AF135" s="734"/>
      <c r="AG135" s="734"/>
      <c r="AH135" s="734"/>
      <c r="AI135" s="734"/>
      <c r="AJ135" s="734"/>
      <c r="AK135" s="734"/>
      <c r="AL135" s="734"/>
      <c r="AM135" s="734"/>
      <c r="AN135" s="734"/>
    </row>
    <row r="136" spans="1:40">
      <c r="D136" s="878"/>
      <c r="P136" s="806"/>
      <c r="Q136" s="806"/>
      <c r="S136" s="806"/>
      <c r="T136" s="806"/>
      <c r="U136" s="884"/>
      <c r="V136" s="881"/>
      <c r="W136" s="818"/>
      <c r="X136" s="921"/>
      <c r="Z136" s="817"/>
      <c r="AA136" s="734"/>
      <c r="AB136" s="826"/>
      <c r="AC136" s="734"/>
      <c r="AD136" s="734"/>
      <c r="AE136" s="734"/>
      <c r="AF136" s="734"/>
      <c r="AG136" s="734"/>
      <c r="AH136" s="734"/>
      <c r="AI136" s="734"/>
      <c r="AJ136" s="734"/>
      <c r="AK136" s="734"/>
      <c r="AL136" s="734"/>
      <c r="AM136" s="734"/>
      <c r="AN136" s="734"/>
    </row>
    <row r="137" spans="1:40">
      <c r="D137" s="878"/>
      <c r="P137" s="934"/>
      <c r="Q137" s="806"/>
      <c r="S137" s="806"/>
      <c r="T137" s="806"/>
      <c r="U137" s="884"/>
      <c r="V137" s="881"/>
      <c r="W137" s="818"/>
      <c r="X137" s="921"/>
      <c r="Z137" s="817"/>
      <c r="AA137" s="734"/>
      <c r="AB137" s="826"/>
      <c r="AC137" s="734"/>
      <c r="AD137" s="734"/>
      <c r="AE137" s="734"/>
      <c r="AF137" s="734"/>
      <c r="AG137" s="734"/>
      <c r="AH137" s="734"/>
      <c r="AI137" s="734"/>
      <c r="AJ137" s="734"/>
      <c r="AK137" s="734"/>
      <c r="AL137" s="734"/>
      <c r="AM137" s="734"/>
      <c r="AN137" s="734"/>
    </row>
    <row r="138" spans="1:40">
      <c r="D138" s="728"/>
      <c r="P138" s="806">
        <f>SUM(P133:P137)</f>
        <v>47071.02</v>
      </c>
      <c r="Q138" s="863"/>
      <c r="S138" s="935"/>
      <c r="T138" s="806"/>
      <c r="U138" s="884"/>
      <c r="V138" s="881"/>
      <c r="W138" s="818"/>
      <c r="X138" s="921"/>
      <c r="Z138" s="817"/>
      <c r="AA138" s="734"/>
      <c r="AB138" s="826"/>
      <c r="AC138" s="734"/>
      <c r="AD138" s="734"/>
      <c r="AE138" s="734"/>
      <c r="AF138" s="734"/>
      <c r="AG138" s="734"/>
      <c r="AH138" s="734"/>
      <c r="AI138" s="734"/>
      <c r="AJ138" s="734"/>
      <c r="AK138" s="734"/>
      <c r="AL138" s="734"/>
      <c r="AM138" s="734"/>
      <c r="AN138" s="734"/>
    </row>
    <row r="139" spans="1:40" s="920" customFormat="1">
      <c r="A139" s="734"/>
      <c r="B139" s="728"/>
      <c r="C139" s="734"/>
      <c r="D139" s="728"/>
      <c r="E139" s="730"/>
      <c r="F139" s="730"/>
      <c r="G139" s="730"/>
      <c r="H139" s="730"/>
      <c r="I139" s="730"/>
      <c r="J139" s="730"/>
      <c r="K139" s="730"/>
      <c r="L139" s="730"/>
      <c r="M139" s="730"/>
      <c r="N139" s="730"/>
      <c r="O139" s="730"/>
      <c r="P139" s="902"/>
      <c r="Q139" s="806"/>
      <c r="R139" s="734"/>
      <c r="S139" s="806"/>
      <c r="T139" s="806"/>
      <c r="U139" s="884"/>
      <c r="V139" s="881"/>
      <c r="W139" s="818"/>
      <c r="X139" s="921"/>
      <c r="Y139" s="737"/>
      <c r="Z139" s="817"/>
      <c r="AA139" s="734"/>
      <c r="AB139" s="826"/>
      <c r="AC139" s="734"/>
      <c r="AD139" s="734"/>
      <c r="AE139" s="734"/>
      <c r="AF139" s="734"/>
      <c r="AG139" s="734"/>
      <c r="AH139" s="734"/>
      <c r="AI139" s="734"/>
      <c r="AJ139" s="734"/>
      <c r="AK139" s="734"/>
      <c r="AL139" s="734"/>
      <c r="AM139" s="734"/>
      <c r="AN139" s="734"/>
    </row>
    <row r="140" spans="1:40">
      <c r="D140" s="878" t="s">
        <v>605</v>
      </c>
      <c r="P140" s="902">
        <f>P127+P129-P138</f>
        <v>13389.049999999988</v>
      </c>
      <c r="Q140" s="890">
        <f>P140/P138</f>
        <v>0.28444359183208667</v>
      </c>
      <c r="S140" s="806"/>
      <c r="T140" s="806"/>
      <c r="U140" s="884"/>
      <c r="V140" s="881"/>
      <c r="W140" s="818"/>
      <c r="X140" s="921"/>
      <c r="Z140" s="817"/>
      <c r="AA140" s="734"/>
      <c r="AB140" s="826"/>
      <c r="AC140" s="734"/>
      <c r="AD140" s="734"/>
      <c r="AE140" s="734"/>
      <c r="AF140" s="734"/>
      <c r="AG140" s="734"/>
      <c r="AH140" s="734"/>
      <c r="AI140" s="734"/>
      <c r="AJ140" s="734"/>
      <c r="AK140" s="734"/>
      <c r="AL140" s="734"/>
      <c r="AM140" s="734"/>
      <c r="AN140" s="734"/>
    </row>
    <row r="141" spans="1:40">
      <c r="C141" s="878"/>
      <c r="P141" s="902"/>
      <c r="Q141" s="936" t="s">
        <v>1563</v>
      </c>
      <c r="S141" s="806"/>
      <c r="T141" s="806"/>
      <c r="U141" s="884"/>
      <c r="V141" s="881"/>
      <c r="W141" s="818"/>
      <c r="X141" s="921"/>
      <c r="Z141" s="817"/>
      <c r="AA141" s="734"/>
      <c r="AB141" s="826"/>
      <c r="AC141" s="734"/>
      <c r="AD141" s="734"/>
      <c r="AE141" s="734"/>
      <c r="AF141" s="734"/>
      <c r="AG141" s="734"/>
      <c r="AH141" s="734"/>
      <c r="AI141" s="734"/>
      <c r="AJ141" s="734"/>
      <c r="AK141" s="734"/>
      <c r="AL141" s="734"/>
      <c r="AM141" s="734"/>
      <c r="AN141" s="734"/>
    </row>
    <row r="142" spans="1:40">
      <c r="A142" s="937"/>
      <c r="B142" s="937"/>
      <c r="C142" s="938" t="s">
        <v>1564</v>
      </c>
      <c r="D142" s="939"/>
      <c r="E142" s="939"/>
      <c r="F142" s="939"/>
      <c r="G142" s="939"/>
      <c r="H142" s="939"/>
      <c r="I142" s="939"/>
      <c r="J142" s="939"/>
      <c r="K142" s="939"/>
      <c r="L142" s="939"/>
      <c r="M142" s="939"/>
      <c r="N142" s="939"/>
      <c r="O142" s="939"/>
      <c r="P142" s="940">
        <f>P53</f>
        <v>74281.12999999999</v>
      </c>
      <c r="Q142" s="863"/>
      <c r="S142" s="863"/>
      <c r="T142" s="863"/>
      <c r="U142" s="926"/>
      <c r="V142" s="881"/>
      <c r="W142" s="818"/>
      <c r="X142" s="921"/>
      <c r="Z142" s="817"/>
      <c r="AA142" s="734"/>
      <c r="AB142" s="826"/>
      <c r="AC142" s="734"/>
      <c r="AD142" s="734"/>
      <c r="AE142" s="734"/>
      <c r="AF142" s="734"/>
      <c r="AG142" s="734"/>
      <c r="AH142" s="734"/>
      <c r="AI142" s="734"/>
      <c r="AJ142" s="734"/>
      <c r="AK142" s="734"/>
      <c r="AL142" s="734"/>
      <c r="AM142" s="734"/>
      <c r="AN142" s="734"/>
    </row>
    <row r="143" spans="1:40">
      <c r="B143" s="734"/>
      <c r="C143" s="927"/>
      <c r="D143" s="731"/>
      <c r="E143" s="731"/>
      <c r="F143" s="731"/>
      <c r="G143" s="731"/>
      <c r="H143" s="731"/>
      <c r="I143" s="731"/>
      <c r="J143" s="731"/>
      <c r="K143" s="731"/>
      <c r="L143" s="731"/>
      <c r="M143" s="731"/>
      <c r="N143" s="731"/>
      <c r="O143" s="731"/>
      <c r="Q143" s="863"/>
      <c r="S143" s="863"/>
      <c r="T143" s="863"/>
      <c r="U143" s="926"/>
      <c r="V143" s="881"/>
      <c r="W143" s="818"/>
      <c r="X143" s="921"/>
      <c r="Z143" s="817"/>
      <c r="AA143" s="734"/>
      <c r="AB143" s="826"/>
      <c r="AC143" s="734"/>
      <c r="AD143" s="734"/>
      <c r="AE143" s="734"/>
      <c r="AF143" s="734"/>
      <c r="AG143" s="734"/>
      <c r="AH143" s="734"/>
      <c r="AI143" s="734"/>
      <c r="AJ143" s="734"/>
      <c r="AK143" s="734"/>
      <c r="AL143" s="734"/>
      <c r="AM143" s="734"/>
      <c r="AN143" s="734"/>
    </row>
    <row r="144" spans="1:40">
      <c r="D144" s="878" t="s">
        <v>1565</v>
      </c>
      <c r="P144" s="879">
        <f>'[49]G&amp;A JE'!$E$362</f>
        <v>107967.56999999995</v>
      </c>
      <c r="Q144" s="806"/>
      <c r="S144" s="806"/>
      <c r="T144" s="806"/>
      <c r="U144" s="884"/>
      <c r="V144" s="881"/>
      <c r="W144" s="818"/>
      <c r="X144" s="921"/>
      <c r="Z144" s="817"/>
      <c r="AA144" s="734"/>
      <c r="AB144" s="826"/>
      <c r="AC144" s="734"/>
      <c r="AD144" s="734"/>
      <c r="AE144" s="734"/>
      <c r="AF144" s="734"/>
      <c r="AG144" s="734"/>
      <c r="AH144" s="734"/>
      <c r="AI144" s="734"/>
      <c r="AJ144" s="734"/>
      <c r="AK144" s="734"/>
      <c r="AL144" s="734"/>
      <c r="AM144" s="734"/>
      <c r="AN144" s="734"/>
    </row>
    <row r="145" spans="3:40">
      <c r="D145" s="866" t="s">
        <v>1566</v>
      </c>
      <c r="Q145" s="806"/>
      <c r="S145" s="806"/>
      <c r="T145" s="806"/>
      <c r="U145" s="884"/>
      <c r="V145" s="881"/>
      <c r="W145" s="818"/>
      <c r="X145" s="921"/>
      <c r="Z145" s="817"/>
      <c r="AA145" s="734"/>
      <c r="AB145" s="826"/>
      <c r="AC145" s="734"/>
      <c r="AD145" s="734"/>
      <c r="AE145" s="734"/>
      <c r="AF145" s="734"/>
      <c r="AG145" s="734"/>
      <c r="AH145" s="734"/>
      <c r="AI145" s="734"/>
      <c r="AJ145" s="734"/>
      <c r="AK145" s="734"/>
      <c r="AL145" s="734"/>
      <c r="AM145" s="734"/>
      <c r="AN145" s="734"/>
    </row>
    <row r="146" spans="3:40">
      <c r="C146" s="878"/>
      <c r="D146" s="878" t="s">
        <v>1544</v>
      </c>
      <c r="P146" s="880"/>
      <c r="Q146" s="806"/>
      <c r="S146" s="806"/>
      <c r="T146" s="806"/>
      <c r="U146" s="884"/>
      <c r="V146" s="881"/>
      <c r="W146" s="818"/>
      <c r="X146" s="921"/>
      <c r="Z146" s="817"/>
      <c r="AA146" s="734"/>
      <c r="AB146" s="826"/>
      <c r="AC146" s="734"/>
      <c r="AD146" s="734"/>
      <c r="AE146" s="734"/>
      <c r="AF146" s="734"/>
      <c r="AG146" s="734"/>
      <c r="AH146" s="734"/>
      <c r="AI146" s="734"/>
      <c r="AJ146" s="734"/>
      <c r="AK146" s="734"/>
      <c r="AL146" s="734"/>
      <c r="AM146" s="734"/>
      <c r="AN146" s="734"/>
    </row>
    <row r="147" spans="3:40">
      <c r="C147" s="878"/>
      <c r="D147" s="878"/>
      <c r="P147" s="880"/>
      <c r="Q147" s="806"/>
      <c r="S147" s="806"/>
      <c r="T147" s="806"/>
      <c r="U147" s="884"/>
      <c r="V147" s="881"/>
      <c r="W147" s="818"/>
      <c r="X147" s="921"/>
      <c r="Z147" s="817"/>
      <c r="AA147" s="734"/>
      <c r="AB147" s="826"/>
      <c r="AC147" s="734"/>
      <c r="AD147" s="734"/>
      <c r="AE147" s="734"/>
      <c r="AF147" s="734"/>
      <c r="AG147" s="734"/>
      <c r="AH147" s="734"/>
      <c r="AI147" s="734"/>
      <c r="AJ147" s="734"/>
      <c r="AK147" s="734"/>
      <c r="AL147" s="734"/>
      <c r="AM147" s="734"/>
      <c r="AN147" s="734"/>
    </row>
    <row r="148" spans="3:40" s="928" customFormat="1">
      <c r="D148" s="730"/>
      <c r="E148" s="730"/>
      <c r="F148" s="730"/>
      <c r="G148" s="730"/>
      <c r="H148" s="730"/>
      <c r="I148" s="730"/>
      <c r="J148" s="730"/>
      <c r="K148" s="730"/>
      <c r="L148" s="730"/>
      <c r="M148" s="730"/>
      <c r="N148" s="730"/>
      <c r="O148" s="730"/>
      <c r="P148" s="893" t="s">
        <v>1545</v>
      </c>
      <c r="S148" s="929"/>
      <c r="T148" s="929"/>
      <c r="U148" s="930"/>
      <c r="V148" s="931"/>
      <c r="W148" s="830"/>
      <c r="X148" s="932"/>
      <c r="Y148" s="737"/>
      <c r="Z148" s="815"/>
      <c r="AA148" s="789"/>
      <c r="AB148" s="933"/>
      <c r="AC148" s="789"/>
      <c r="AD148" s="789"/>
      <c r="AE148" s="789"/>
      <c r="AF148" s="789"/>
      <c r="AG148" s="789"/>
      <c r="AH148" s="789"/>
      <c r="AI148" s="789"/>
      <c r="AJ148" s="789"/>
      <c r="AK148" s="789"/>
      <c r="AL148" s="789"/>
      <c r="AM148" s="789"/>
      <c r="AN148" s="789"/>
    </row>
    <row r="149" spans="3:40">
      <c r="C149" s="947">
        <v>70010</v>
      </c>
      <c r="D149" s="878" t="s">
        <v>31</v>
      </c>
      <c r="E149" s="746"/>
      <c r="F149" s="746"/>
      <c r="G149" s="746"/>
      <c r="H149" s="746"/>
      <c r="I149" s="746"/>
      <c r="J149" s="746"/>
      <c r="K149" s="746"/>
      <c r="L149" s="746"/>
      <c r="M149" s="746"/>
      <c r="N149" s="746"/>
      <c r="O149" s="746"/>
      <c r="P149" s="896">
        <f>'Consolidated IS'!C144</f>
        <v>120682.12000000001</v>
      </c>
      <c r="Q149" s="732"/>
      <c r="S149" s="806"/>
      <c r="T149" s="806"/>
      <c r="U149" s="884"/>
      <c r="V149" s="881"/>
      <c r="W149" s="818"/>
      <c r="X149" s="921"/>
      <c r="Z149" s="817"/>
      <c r="AA149" s="734"/>
      <c r="AB149" s="826"/>
      <c r="AC149" s="734"/>
      <c r="AD149" s="734"/>
      <c r="AE149" s="734"/>
      <c r="AF149" s="734"/>
      <c r="AG149" s="734"/>
      <c r="AH149" s="734"/>
      <c r="AI149" s="734"/>
      <c r="AJ149" s="734"/>
      <c r="AK149" s="734"/>
      <c r="AL149" s="734"/>
      <c r="AM149" s="734"/>
      <c r="AN149" s="734"/>
    </row>
    <row r="150" spans="3:40">
      <c r="C150" s="947">
        <v>70020</v>
      </c>
      <c r="D150" s="947" t="s">
        <v>40</v>
      </c>
      <c r="E150" s="746"/>
      <c r="F150" s="746"/>
      <c r="G150" s="746"/>
      <c r="H150" s="746"/>
      <c r="I150" s="746"/>
      <c r="J150" s="746"/>
      <c r="K150" s="746"/>
      <c r="L150" s="746"/>
      <c r="M150" s="746"/>
      <c r="N150" s="746"/>
      <c r="O150" s="746"/>
      <c r="P150" s="896">
        <f>'Consolidated IS'!C145</f>
        <v>64972.23</v>
      </c>
      <c r="Q150" s="732"/>
      <c r="S150" s="806"/>
      <c r="T150" s="806"/>
      <c r="U150" s="884"/>
      <c r="V150" s="881"/>
      <c r="W150" s="818"/>
      <c r="X150" s="921"/>
      <c r="Z150" s="817"/>
      <c r="AA150" s="734"/>
      <c r="AB150" s="826"/>
      <c r="AC150" s="734"/>
      <c r="AD150" s="734"/>
      <c r="AE150" s="734"/>
      <c r="AF150" s="734"/>
      <c r="AG150" s="734"/>
      <c r="AH150" s="734"/>
      <c r="AI150" s="734"/>
      <c r="AJ150" s="734"/>
      <c r="AK150" s="734"/>
      <c r="AL150" s="734"/>
      <c r="AM150" s="734"/>
      <c r="AN150" s="734"/>
    </row>
    <row r="151" spans="3:40">
      <c r="C151" s="947">
        <v>70025</v>
      </c>
      <c r="D151" s="947" t="s">
        <v>41</v>
      </c>
      <c r="E151" s="746"/>
      <c r="F151" s="746"/>
      <c r="G151" s="746"/>
      <c r="H151" s="746"/>
      <c r="I151" s="746"/>
      <c r="J151" s="746"/>
      <c r="K151" s="746"/>
      <c r="L151" s="746"/>
      <c r="M151" s="746"/>
      <c r="N151" s="746"/>
      <c r="O151" s="746"/>
      <c r="P151" s="896">
        <f>'Consolidated IS'!C146</f>
        <v>1137.9000000000001</v>
      </c>
      <c r="Q151" s="732"/>
      <c r="S151" s="806"/>
      <c r="T151" s="806"/>
      <c r="U151" s="884"/>
      <c r="V151" s="881"/>
      <c r="W151" s="818"/>
      <c r="X151" s="921"/>
      <c r="Z151" s="817"/>
      <c r="AA151" s="734"/>
      <c r="AB151" s="826"/>
      <c r="AC151" s="734"/>
      <c r="AD151" s="734"/>
      <c r="AE151" s="734"/>
      <c r="AF151" s="734"/>
      <c r="AG151" s="734"/>
      <c r="AH151" s="734"/>
      <c r="AI151" s="734"/>
      <c r="AJ151" s="734"/>
      <c r="AK151" s="734"/>
      <c r="AL151" s="734"/>
      <c r="AM151" s="734"/>
      <c r="AN151" s="734"/>
    </row>
    <row r="152" spans="3:40">
      <c r="C152" s="947">
        <v>70035</v>
      </c>
      <c r="D152" s="948" t="s">
        <v>42</v>
      </c>
      <c r="E152" s="746"/>
      <c r="F152" s="746"/>
      <c r="G152" s="746"/>
      <c r="H152" s="746"/>
      <c r="I152" s="746"/>
      <c r="J152" s="746"/>
      <c r="K152" s="746"/>
      <c r="L152" s="746"/>
      <c r="M152" s="746"/>
      <c r="N152" s="746"/>
      <c r="O152" s="746"/>
      <c r="P152" s="896">
        <f>0</f>
        <v>0</v>
      </c>
      <c r="Q152" s="732"/>
      <c r="S152" s="806"/>
      <c r="T152" s="806"/>
      <c r="U152" s="884"/>
      <c r="V152" s="881"/>
      <c r="W152" s="818"/>
      <c r="X152" s="921"/>
      <c r="Z152" s="817"/>
      <c r="AA152" s="734"/>
      <c r="AB152" s="826"/>
      <c r="AC152" s="734"/>
      <c r="AD152" s="734"/>
      <c r="AE152" s="734"/>
      <c r="AF152" s="734"/>
      <c r="AG152" s="734"/>
      <c r="AH152" s="734"/>
      <c r="AI152" s="734"/>
      <c r="AJ152" s="734"/>
      <c r="AK152" s="734"/>
      <c r="AL152" s="734"/>
      <c r="AM152" s="734"/>
      <c r="AN152" s="734"/>
    </row>
    <row r="153" spans="3:40">
      <c r="C153" s="947">
        <v>70036</v>
      </c>
      <c r="D153" s="948" t="s">
        <v>1567</v>
      </c>
      <c r="E153" s="746"/>
      <c r="F153" s="746"/>
      <c r="G153" s="746"/>
      <c r="H153" s="746"/>
      <c r="I153" s="746"/>
      <c r="J153" s="746"/>
      <c r="K153" s="746"/>
      <c r="L153" s="746"/>
      <c r="M153" s="746"/>
      <c r="N153" s="746"/>
      <c r="O153" s="746"/>
      <c r="P153" s="896">
        <f>'Consolidated IS'!C147</f>
        <v>532</v>
      </c>
      <c r="Q153" s="732"/>
      <c r="S153" s="806"/>
      <c r="T153" s="806"/>
      <c r="U153" s="884"/>
      <c r="V153" s="881"/>
      <c r="W153" s="818"/>
      <c r="X153" s="921"/>
      <c r="Z153" s="817"/>
      <c r="AA153" s="734"/>
      <c r="AB153" s="826"/>
      <c r="AC153" s="734"/>
      <c r="AD153" s="734"/>
      <c r="AE153" s="734"/>
      <c r="AF153" s="734"/>
      <c r="AG153" s="734"/>
      <c r="AH153" s="734"/>
      <c r="AI153" s="734"/>
      <c r="AJ153" s="734"/>
      <c r="AK153" s="734"/>
      <c r="AL153" s="734"/>
      <c r="AM153" s="734"/>
      <c r="AN153" s="734"/>
    </row>
    <row r="154" spans="3:40">
      <c r="C154" s="947">
        <v>70065</v>
      </c>
      <c r="D154" s="947" t="s">
        <v>37</v>
      </c>
      <c r="E154" s="746"/>
      <c r="F154" s="746"/>
      <c r="G154" s="746"/>
      <c r="H154" s="746"/>
      <c r="I154" s="746"/>
      <c r="J154" s="746"/>
      <c r="K154" s="746"/>
      <c r="L154" s="746"/>
      <c r="M154" s="746"/>
      <c r="N154" s="746"/>
      <c r="O154" s="746"/>
      <c r="P154" s="896">
        <f>'Consolidated IS'!C148</f>
        <v>5287.7999999999993</v>
      </c>
      <c r="Q154" s="732"/>
      <c r="S154" s="806"/>
      <c r="T154" s="806"/>
      <c r="U154" s="884"/>
      <c r="V154" s="881"/>
      <c r="W154" s="818"/>
      <c r="X154" s="921"/>
      <c r="Z154" s="817"/>
      <c r="AA154" s="734"/>
      <c r="AB154" s="826"/>
      <c r="AC154" s="734"/>
      <c r="AD154" s="734"/>
      <c r="AE154" s="734"/>
      <c r="AF154" s="734"/>
      <c r="AG154" s="734"/>
      <c r="AH154" s="734"/>
      <c r="AI154" s="734"/>
      <c r="AJ154" s="734"/>
      <c r="AK154" s="734"/>
      <c r="AL154" s="734"/>
      <c r="AM154" s="734"/>
      <c r="AN154" s="734"/>
    </row>
    <row r="155" spans="3:40">
      <c r="C155" s="947">
        <v>70070</v>
      </c>
      <c r="D155" s="947" t="s">
        <v>38</v>
      </c>
      <c r="E155" s="746"/>
      <c r="F155" s="746"/>
      <c r="G155" s="746"/>
      <c r="H155" s="746"/>
      <c r="I155" s="746"/>
      <c r="J155" s="746"/>
      <c r="K155" s="746"/>
      <c r="L155" s="746"/>
      <c r="M155" s="746"/>
      <c r="N155" s="746"/>
      <c r="O155" s="746"/>
      <c r="P155" s="912">
        <f>'Consolidated IS'!C149</f>
        <v>3025.7000000000003</v>
      </c>
      <c r="Q155" s="732"/>
      <c r="S155" s="806"/>
      <c r="T155" s="806"/>
      <c r="U155" s="884"/>
      <c r="V155" s="881"/>
      <c r="W155" s="818"/>
      <c r="X155" s="921"/>
      <c r="Z155" s="817"/>
      <c r="AA155" s="734"/>
      <c r="AB155" s="826"/>
      <c r="AC155" s="734"/>
      <c r="AD155" s="734"/>
      <c r="AE155" s="734"/>
      <c r="AF155" s="734"/>
      <c r="AG155" s="734"/>
      <c r="AH155" s="734"/>
      <c r="AI155" s="734"/>
      <c r="AJ155" s="734"/>
      <c r="AK155" s="734"/>
      <c r="AL155" s="734"/>
      <c r="AM155" s="734"/>
      <c r="AN155" s="734"/>
    </row>
    <row r="156" spans="3:40">
      <c r="D156" s="728"/>
      <c r="E156" s="746"/>
      <c r="F156" s="746"/>
      <c r="G156" s="746"/>
      <c r="H156" s="746"/>
      <c r="I156" s="746"/>
      <c r="J156" s="746"/>
      <c r="K156" s="746"/>
      <c r="L156" s="746"/>
      <c r="M156" s="746"/>
      <c r="N156" s="746"/>
      <c r="O156" s="746"/>
      <c r="P156" s="806">
        <f>SUM(P149:P155)</f>
        <v>195637.75</v>
      </c>
      <c r="Q156" s="732"/>
      <c r="S156" s="806"/>
      <c r="T156" s="806"/>
      <c r="U156" s="884"/>
      <c r="V156" s="881"/>
      <c r="W156" s="818"/>
      <c r="X156" s="921"/>
      <c r="Z156" s="817"/>
      <c r="AA156" s="734"/>
      <c r="AB156" s="826"/>
      <c r="AC156" s="734"/>
      <c r="AD156" s="734"/>
      <c r="AE156" s="734"/>
      <c r="AF156" s="734"/>
      <c r="AG156" s="734"/>
      <c r="AH156" s="734"/>
      <c r="AI156" s="734"/>
      <c r="AJ156" s="734"/>
      <c r="AK156" s="734"/>
      <c r="AL156" s="734"/>
      <c r="AM156" s="734"/>
      <c r="AN156" s="734"/>
    </row>
    <row r="157" spans="3:40">
      <c r="C157" s="878"/>
      <c r="D157" s="878"/>
      <c r="E157" s="746"/>
      <c r="F157" s="746"/>
      <c r="G157" s="746"/>
      <c r="H157" s="746"/>
      <c r="I157" s="746"/>
      <c r="J157" s="746"/>
      <c r="K157" s="746"/>
      <c r="L157" s="746"/>
      <c r="M157" s="746"/>
      <c r="N157" s="746"/>
      <c r="O157" s="746"/>
      <c r="P157" s="747"/>
      <c r="Q157" s="806"/>
      <c r="S157" s="806"/>
      <c r="T157" s="806"/>
      <c r="U157" s="884"/>
      <c r="V157" s="881"/>
      <c r="W157" s="818"/>
      <c r="X157" s="921"/>
      <c r="Z157" s="817"/>
      <c r="AA157" s="734"/>
      <c r="AB157" s="826"/>
      <c r="AC157" s="734"/>
      <c r="AD157" s="734"/>
      <c r="AE157" s="734"/>
      <c r="AF157" s="734"/>
      <c r="AG157" s="734"/>
      <c r="AH157" s="734"/>
      <c r="AI157" s="734"/>
      <c r="AJ157" s="734"/>
      <c r="AK157" s="734"/>
      <c r="AL157" s="734"/>
      <c r="AM157" s="734"/>
      <c r="AN157" s="734"/>
    </row>
    <row r="158" spans="3:40">
      <c r="D158" s="878"/>
      <c r="E158" s="746"/>
      <c r="F158" s="746"/>
      <c r="G158" s="746"/>
      <c r="H158" s="746"/>
      <c r="I158" s="746"/>
      <c r="J158" s="746"/>
      <c r="K158" s="746"/>
      <c r="L158" s="746"/>
      <c r="M158" s="746"/>
      <c r="N158" s="746"/>
      <c r="O158" s="746"/>
      <c r="P158" s="747"/>
      <c r="Q158" s="806"/>
      <c r="S158" s="806"/>
      <c r="T158" s="806"/>
      <c r="U158" s="884"/>
      <c r="V158" s="881"/>
      <c r="W158" s="818"/>
      <c r="X158" s="921"/>
      <c r="Z158" s="817"/>
      <c r="AA158" s="734"/>
      <c r="AB158" s="826"/>
      <c r="AC158" s="734"/>
      <c r="AD158" s="734"/>
      <c r="AE158" s="734"/>
      <c r="AF158" s="734"/>
      <c r="AG158" s="734"/>
      <c r="AH158" s="734"/>
      <c r="AI158" s="734"/>
      <c r="AJ158" s="734"/>
      <c r="AK158" s="734"/>
      <c r="AL158" s="734"/>
      <c r="AM158" s="734"/>
      <c r="AN158" s="734"/>
    </row>
    <row r="159" spans="3:40">
      <c r="D159" s="878" t="s">
        <v>605</v>
      </c>
      <c r="P159" s="880">
        <f>P142+P144-P156+P146</f>
        <v>-13389.050000000047</v>
      </c>
      <c r="Q159" s="890">
        <f>P159/P156</f>
        <v>-6.8437967621279877E-2</v>
      </c>
      <c r="S159" s="821"/>
      <c r="T159" s="806"/>
      <c r="U159" s="884"/>
      <c r="V159" s="881"/>
      <c r="W159" s="818"/>
      <c r="X159" s="921"/>
      <c r="Z159" s="817"/>
      <c r="AA159" s="734"/>
      <c r="AB159" s="826"/>
      <c r="AC159" s="734"/>
      <c r="AD159" s="734"/>
      <c r="AE159" s="734"/>
      <c r="AF159" s="734"/>
      <c r="AG159" s="734"/>
      <c r="AH159" s="734"/>
      <c r="AI159" s="734"/>
      <c r="AJ159" s="734"/>
      <c r="AK159" s="734"/>
      <c r="AL159" s="734"/>
      <c r="AM159" s="734"/>
      <c r="AN159" s="734"/>
    </row>
    <row r="160" spans="3:40">
      <c r="Q160" s="936" t="s">
        <v>1563</v>
      </c>
      <c r="S160" s="806"/>
      <c r="T160" s="806"/>
      <c r="U160" s="884"/>
      <c r="V160" s="881"/>
      <c r="W160" s="818"/>
      <c r="X160" s="921"/>
      <c r="Z160" s="817"/>
      <c r="AA160" s="734"/>
      <c r="AB160" s="826"/>
      <c r="AC160" s="734"/>
      <c r="AD160" s="734"/>
      <c r="AE160" s="734"/>
      <c r="AF160" s="734"/>
      <c r="AG160" s="734"/>
      <c r="AH160" s="734"/>
      <c r="AI160" s="734"/>
      <c r="AJ160" s="734"/>
      <c r="AK160" s="734"/>
      <c r="AL160" s="734"/>
      <c r="AM160" s="734"/>
      <c r="AN160" s="734"/>
    </row>
    <row r="161" spans="4:40">
      <c r="D161" s="728"/>
      <c r="E161" s="728"/>
      <c r="F161" s="728"/>
      <c r="G161" s="728"/>
      <c r="H161" s="728"/>
      <c r="I161" s="728"/>
      <c r="J161" s="728"/>
      <c r="K161" s="728"/>
      <c r="L161" s="728"/>
      <c r="M161" s="728"/>
      <c r="N161" s="728"/>
      <c r="O161" s="728"/>
      <c r="P161" s="734"/>
      <c r="Q161" s="806"/>
      <c r="W161" s="818"/>
      <c r="X161" s="921"/>
      <c r="Z161" s="817"/>
      <c r="AA161" s="734"/>
      <c r="AB161" s="826"/>
      <c r="AC161" s="734"/>
      <c r="AD161" s="734"/>
      <c r="AE161" s="734"/>
      <c r="AF161" s="734"/>
      <c r="AG161" s="734"/>
      <c r="AH161" s="734"/>
      <c r="AI161" s="734"/>
      <c r="AJ161" s="734"/>
      <c r="AK161" s="734"/>
      <c r="AL161" s="734"/>
      <c r="AM161" s="734"/>
      <c r="AN161" s="734"/>
    </row>
    <row r="162" spans="4:40">
      <c r="D162" s="728"/>
      <c r="E162" s="728"/>
      <c r="F162" s="728"/>
      <c r="G162" s="728"/>
      <c r="H162" s="728"/>
      <c r="I162" s="728"/>
      <c r="J162" s="728"/>
      <c r="K162" s="728"/>
      <c r="L162" s="728"/>
      <c r="M162" s="728"/>
      <c r="N162" s="728"/>
      <c r="O162" s="878"/>
      <c r="P162" s="941"/>
      <c r="Q162" s="806"/>
      <c r="W162" s="818"/>
      <c r="X162" s="921"/>
      <c r="Z162" s="817"/>
      <c r="AA162" s="734"/>
      <c r="AB162" s="826"/>
      <c r="AC162" s="734"/>
      <c r="AD162" s="734"/>
      <c r="AE162" s="734"/>
      <c r="AF162" s="734"/>
      <c r="AG162" s="734"/>
      <c r="AH162" s="734"/>
      <c r="AI162" s="734"/>
      <c r="AJ162" s="734"/>
      <c r="AK162" s="734"/>
      <c r="AL162" s="734"/>
      <c r="AM162" s="734"/>
      <c r="AN162" s="734"/>
    </row>
    <row r="163" spans="4:40">
      <c r="D163" s="728"/>
      <c r="E163" s="728"/>
      <c r="F163" s="728"/>
      <c r="G163" s="728"/>
      <c r="H163" s="728"/>
      <c r="I163" s="728"/>
      <c r="J163" s="728"/>
      <c r="K163" s="728"/>
      <c r="L163" s="728"/>
      <c r="M163" s="728"/>
      <c r="N163" s="728"/>
      <c r="O163" s="878"/>
      <c r="P163" s="941"/>
      <c r="Q163" s="806"/>
      <c r="W163" s="818"/>
      <c r="X163" s="921"/>
      <c r="Z163" s="817"/>
      <c r="AA163" s="734"/>
      <c r="AB163" s="826"/>
      <c r="AC163" s="734"/>
      <c r="AD163" s="734"/>
      <c r="AE163" s="734"/>
      <c r="AF163" s="734"/>
      <c r="AG163" s="734"/>
      <c r="AH163" s="734"/>
      <c r="AI163" s="734"/>
      <c r="AJ163" s="734"/>
      <c r="AK163" s="734"/>
      <c r="AL163" s="734"/>
      <c r="AM163" s="734"/>
      <c r="AN163" s="734"/>
    </row>
    <row r="164" spans="4:40">
      <c r="D164" s="728"/>
      <c r="E164" s="728"/>
      <c r="F164" s="728"/>
      <c r="G164" s="728"/>
      <c r="H164" s="728"/>
      <c r="I164" s="728"/>
      <c r="J164" s="728"/>
      <c r="K164" s="728"/>
      <c r="L164" s="728"/>
      <c r="M164" s="728"/>
      <c r="N164" s="728"/>
      <c r="O164" s="942" t="s">
        <v>1568</v>
      </c>
      <c r="P164" s="943">
        <f>P159+P140+P100+P83</f>
        <v>-1104.6200000001263</v>
      </c>
      <c r="Q164" s="1492">
        <f>P164/P63</f>
        <v>-1.557511648484596E-3</v>
      </c>
      <c r="W164" s="818"/>
      <c r="X164" s="921"/>
      <c r="Z164" s="817"/>
      <c r="AA164" s="734"/>
      <c r="AB164" s="826"/>
      <c r="AC164" s="734"/>
      <c r="AD164" s="734"/>
      <c r="AE164" s="734"/>
      <c r="AF164" s="734"/>
      <c r="AG164" s="734"/>
      <c r="AH164" s="734"/>
      <c r="AI164" s="734"/>
      <c r="AJ164" s="734"/>
      <c r="AK164" s="734"/>
      <c r="AL164" s="734"/>
      <c r="AM164" s="734"/>
      <c r="AN164" s="734"/>
    </row>
    <row r="165" spans="4:40">
      <c r="D165" s="728"/>
      <c r="E165" s="728"/>
      <c r="F165" s="728"/>
      <c r="G165" s="728"/>
      <c r="H165" s="728"/>
      <c r="I165" s="728"/>
      <c r="J165" s="728"/>
      <c r="K165" s="728"/>
      <c r="L165" s="728"/>
      <c r="M165" s="728"/>
      <c r="N165" s="728"/>
      <c r="O165" s="728"/>
      <c r="P165" s="944"/>
      <c r="Q165" s="944"/>
      <c r="R165" s="806"/>
      <c r="W165" s="818"/>
      <c r="X165" s="921"/>
      <c r="Z165" s="817"/>
      <c r="AA165" s="734"/>
      <c r="AB165" s="826"/>
      <c r="AC165" s="734"/>
      <c r="AD165" s="734"/>
      <c r="AE165" s="734"/>
      <c r="AF165" s="734"/>
      <c r="AG165" s="734"/>
      <c r="AH165" s="734"/>
      <c r="AI165" s="734"/>
      <c r="AJ165" s="734"/>
      <c r="AK165" s="734"/>
      <c r="AL165" s="734"/>
      <c r="AM165" s="734"/>
      <c r="AN165" s="734"/>
    </row>
    <row r="166" spans="4:40">
      <c r="D166" s="728"/>
      <c r="E166" s="728"/>
      <c r="F166" s="728"/>
      <c r="G166" s="728"/>
      <c r="H166" s="728"/>
      <c r="I166" s="728"/>
      <c r="J166" s="728"/>
      <c r="K166" s="728"/>
      <c r="L166" s="728"/>
      <c r="M166" s="728"/>
      <c r="N166" s="728"/>
      <c r="O166" s="728"/>
      <c r="P166" s="734"/>
      <c r="Q166" s="734"/>
      <c r="W166" s="818"/>
      <c r="X166" s="921"/>
      <c r="Z166" s="817"/>
      <c r="AA166" s="734"/>
      <c r="AB166" s="826"/>
      <c r="AC166" s="734"/>
      <c r="AD166" s="734"/>
      <c r="AE166" s="734"/>
      <c r="AF166" s="734"/>
      <c r="AG166" s="734"/>
      <c r="AH166" s="734"/>
      <c r="AI166" s="734"/>
      <c r="AJ166" s="734"/>
      <c r="AK166" s="734"/>
      <c r="AL166" s="734"/>
      <c r="AM166" s="734"/>
      <c r="AN166" s="734"/>
    </row>
    <row r="167" spans="4:40">
      <c r="D167" s="728"/>
      <c r="E167" s="728"/>
      <c r="F167" s="728"/>
      <c r="G167" s="728"/>
      <c r="H167" s="728"/>
      <c r="I167" s="728"/>
      <c r="J167" s="728"/>
      <c r="K167" s="728"/>
      <c r="L167" s="728"/>
      <c r="M167" s="728"/>
      <c r="N167" s="728"/>
      <c r="O167" s="728"/>
      <c r="P167" s="734"/>
      <c r="Q167" s="734"/>
      <c r="W167" s="818"/>
      <c r="X167" s="921"/>
      <c r="Z167" s="817"/>
      <c r="AA167" s="734"/>
      <c r="AB167" s="826"/>
      <c r="AC167" s="734"/>
      <c r="AD167" s="734"/>
      <c r="AE167" s="734"/>
      <c r="AF167" s="734"/>
      <c r="AG167" s="734"/>
      <c r="AH167" s="734"/>
      <c r="AI167" s="734"/>
      <c r="AJ167" s="734"/>
      <c r="AK167" s="734"/>
      <c r="AL167" s="734"/>
      <c r="AM167" s="734"/>
      <c r="AN167" s="734"/>
    </row>
    <row r="168" spans="4:40" ht="12">
      <c r="D168" s="728"/>
      <c r="E168" s="945" t="s">
        <v>1563</v>
      </c>
      <c r="F168" s="946" t="s">
        <v>1569</v>
      </c>
      <c r="G168" s="728"/>
      <c r="H168" s="728"/>
      <c r="I168" s="728"/>
      <c r="J168" s="728"/>
      <c r="K168" s="728"/>
      <c r="L168" s="728"/>
      <c r="M168" s="728"/>
      <c r="N168" s="728"/>
      <c r="O168" s="728"/>
      <c r="P168" s="734"/>
      <c r="Q168" s="734"/>
      <c r="W168" s="818"/>
      <c r="X168" s="921"/>
      <c r="Z168" s="817"/>
      <c r="AA168" s="734"/>
      <c r="AB168" s="826"/>
      <c r="AC168" s="734"/>
      <c r="AD168" s="734"/>
      <c r="AE168" s="734"/>
      <c r="AF168" s="734"/>
      <c r="AG168" s="734"/>
      <c r="AH168" s="734"/>
      <c r="AI168" s="734"/>
      <c r="AJ168" s="734"/>
      <c r="AK168" s="734"/>
      <c r="AL168" s="734"/>
      <c r="AM168" s="734"/>
      <c r="AN168" s="734"/>
    </row>
    <row r="169" spans="4:40">
      <c r="D169" s="728"/>
      <c r="E169" s="728"/>
      <c r="F169" s="728"/>
      <c r="G169" s="728"/>
      <c r="H169" s="728"/>
      <c r="I169" s="728"/>
      <c r="J169" s="728"/>
      <c r="K169" s="728"/>
      <c r="L169" s="728"/>
      <c r="M169" s="728"/>
      <c r="N169" s="728"/>
      <c r="O169" s="728"/>
      <c r="P169" s="734"/>
      <c r="Q169" s="734"/>
      <c r="W169" s="818"/>
      <c r="X169" s="921"/>
      <c r="Z169" s="817"/>
      <c r="AA169" s="734"/>
      <c r="AB169" s="826"/>
      <c r="AC169" s="734"/>
      <c r="AD169" s="734"/>
      <c r="AE169" s="734"/>
      <c r="AF169" s="734"/>
      <c r="AG169" s="734"/>
      <c r="AH169" s="734"/>
      <c r="AI169" s="734"/>
      <c r="AJ169" s="734"/>
      <c r="AK169" s="734"/>
      <c r="AL169" s="734"/>
      <c r="AM169" s="734"/>
      <c r="AN169" s="734"/>
    </row>
    <row r="170" spans="4:40">
      <c r="D170" s="728"/>
      <c r="E170" s="728"/>
      <c r="F170" s="728"/>
      <c r="G170" s="728"/>
      <c r="H170" s="728"/>
      <c r="I170" s="728"/>
      <c r="J170" s="728"/>
      <c r="K170" s="728"/>
      <c r="L170" s="728"/>
      <c r="M170" s="728"/>
      <c r="N170" s="728"/>
      <c r="O170" s="728"/>
      <c r="P170" s="734"/>
      <c r="Q170" s="734"/>
      <c r="W170" s="818"/>
      <c r="X170" s="921"/>
      <c r="Z170" s="817"/>
      <c r="AA170" s="734"/>
      <c r="AB170" s="826"/>
      <c r="AC170" s="734"/>
      <c r="AD170" s="734"/>
      <c r="AE170" s="734"/>
      <c r="AF170" s="734"/>
      <c r="AG170" s="734"/>
      <c r="AH170" s="734"/>
      <c r="AI170" s="734"/>
      <c r="AJ170" s="734"/>
      <c r="AK170" s="734"/>
      <c r="AL170" s="734"/>
      <c r="AM170" s="734"/>
      <c r="AN170" s="734"/>
    </row>
    <row r="171" spans="4:40">
      <c r="D171" s="728"/>
      <c r="E171" s="728"/>
      <c r="F171" s="728"/>
      <c r="G171" s="728"/>
      <c r="H171" s="728"/>
      <c r="I171" s="728"/>
      <c r="J171" s="728"/>
      <c r="K171" s="728"/>
      <c r="L171" s="728"/>
      <c r="M171" s="728"/>
      <c r="N171" s="728"/>
      <c r="O171" s="728"/>
      <c r="P171" s="734"/>
      <c r="Q171" s="734"/>
      <c r="W171" s="818"/>
      <c r="X171" s="921"/>
      <c r="Z171" s="817"/>
      <c r="AA171" s="734"/>
      <c r="AB171" s="826"/>
      <c r="AC171" s="734"/>
      <c r="AD171" s="734"/>
      <c r="AE171" s="734"/>
      <c r="AF171" s="734"/>
      <c r="AG171" s="734"/>
      <c r="AH171" s="734"/>
      <c r="AI171" s="734"/>
      <c r="AJ171" s="734"/>
      <c r="AK171" s="734"/>
      <c r="AL171" s="734"/>
      <c r="AM171" s="734"/>
      <c r="AN171" s="734"/>
    </row>
    <row r="172" spans="4:40">
      <c r="D172" s="728"/>
      <c r="E172" s="728"/>
      <c r="F172" s="728"/>
      <c r="G172" s="728"/>
      <c r="H172" s="728"/>
      <c r="I172" s="728"/>
      <c r="J172" s="728"/>
      <c r="K172" s="728"/>
      <c r="L172" s="728"/>
      <c r="M172" s="728"/>
      <c r="N172" s="728"/>
      <c r="O172" s="728"/>
      <c r="P172" s="734"/>
      <c r="Q172" s="734"/>
      <c r="W172" s="818"/>
      <c r="X172" s="921"/>
      <c r="Z172" s="817"/>
      <c r="AA172" s="734"/>
      <c r="AB172" s="826"/>
      <c r="AC172" s="734"/>
      <c r="AD172" s="734"/>
      <c r="AE172" s="734"/>
      <c r="AF172" s="734"/>
      <c r="AG172" s="734"/>
      <c r="AH172" s="734"/>
      <c r="AI172" s="734"/>
      <c r="AJ172" s="734"/>
      <c r="AK172" s="734"/>
      <c r="AL172" s="734"/>
      <c r="AM172" s="734"/>
      <c r="AN172" s="734"/>
    </row>
    <row r="173" spans="4:40">
      <c r="W173" s="818"/>
      <c r="X173" s="921"/>
      <c r="Z173" s="817"/>
      <c r="AA173" s="734"/>
      <c r="AB173" s="826"/>
      <c r="AC173" s="734"/>
      <c r="AD173" s="734"/>
      <c r="AE173" s="734"/>
      <c r="AF173" s="734"/>
      <c r="AG173" s="734"/>
      <c r="AH173" s="734"/>
      <c r="AI173" s="734"/>
      <c r="AJ173" s="734"/>
      <c r="AK173" s="734"/>
      <c r="AL173" s="734"/>
      <c r="AM173" s="734"/>
      <c r="AN173" s="734"/>
    </row>
    <row r="174" spans="4:40">
      <c r="W174" s="818"/>
      <c r="X174" s="921"/>
      <c r="Z174" s="817"/>
      <c r="AA174" s="734"/>
      <c r="AB174" s="826"/>
      <c r="AC174" s="734"/>
      <c r="AD174" s="734"/>
      <c r="AE174" s="734"/>
      <c r="AF174" s="734"/>
      <c r="AG174" s="734"/>
      <c r="AH174" s="734"/>
      <c r="AI174" s="734"/>
      <c r="AJ174" s="734"/>
      <c r="AK174" s="734"/>
      <c r="AL174" s="734"/>
      <c r="AM174" s="734"/>
      <c r="AN174" s="734"/>
    </row>
    <row r="175" spans="4:40">
      <c r="W175" s="818"/>
      <c r="X175" s="921"/>
      <c r="Z175" s="817"/>
      <c r="AA175" s="734"/>
      <c r="AB175" s="826"/>
      <c r="AC175" s="734"/>
      <c r="AD175" s="734"/>
      <c r="AE175" s="734"/>
      <c r="AF175" s="734"/>
      <c r="AG175" s="734"/>
      <c r="AH175" s="734"/>
      <c r="AI175" s="734"/>
      <c r="AJ175" s="734"/>
      <c r="AK175" s="734"/>
      <c r="AL175" s="734"/>
      <c r="AM175" s="734"/>
      <c r="AN175" s="734"/>
    </row>
    <row r="176" spans="4:40">
      <c r="W176" s="818"/>
      <c r="X176" s="921"/>
      <c r="Z176" s="817"/>
      <c r="AA176" s="734"/>
      <c r="AB176" s="826"/>
      <c r="AC176" s="734"/>
      <c r="AD176" s="734"/>
      <c r="AE176" s="734"/>
      <c r="AF176" s="734"/>
      <c r="AG176" s="734"/>
      <c r="AH176" s="734"/>
      <c r="AI176" s="734"/>
      <c r="AJ176" s="734"/>
      <c r="AK176" s="734"/>
      <c r="AL176" s="734"/>
      <c r="AM176" s="734"/>
      <c r="AN176" s="734"/>
    </row>
    <row r="177" spans="4:40">
      <c r="W177" s="818"/>
      <c r="X177" s="921"/>
      <c r="Z177" s="817"/>
      <c r="AA177" s="734"/>
      <c r="AB177" s="826"/>
      <c r="AC177" s="734"/>
      <c r="AD177" s="734"/>
      <c r="AE177" s="734"/>
      <c r="AF177" s="734"/>
      <c r="AG177" s="734"/>
      <c r="AH177" s="734"/>
      <c r="AI177" s="734"/>
      <c r="AJ177" s="734"/>
      <c r="AK177" s="734"/>
      <c r="AL177" s="734"/>
      <c r="AM177" s="734"/>
      <c r="AN177" s="734"/>
    </row>
    <row r="178" spans="4:40">
      <c r="D178" s="728"/>
      <c r="E178" s="728"/>
      <c r="F178" s="728"/>
      <c r="G178" s="728"/>
      <c r="H178" s="728"/>
      <c r="I178" s="728"/>
      <c r="J178" s="728"/>
      <c r="K178" s="728"/>
      <c r="L178" s="728"/>
      <c r="M178" s="728"/>
      <c r="N178" s="728"/>
      <c r="O178" s="728"/>
      <c r="P178" s="734"/>
      <c r="Q178" s="734"/>
      <c r="W178" s="818"/>
      <c r="X178" s="921"/>
      <c r="Z178" s="817"/>
      <c r="AA178" s="734"/>
      <c r="AB178" s="826"/>
      <c r="AC178" s="734"/>
      <c r="AD178" s="734"/>
      <c r="AE178" s="734"/>
      <c r="AF178" s="734"/>
      <c r="AG178" s="734"/>
      <c r="AH178" s="734"/>
      <c r="AI178" s="734"/>
      <c r="AJ178" s="734"/>
      <c r="AK178" s="734"/>
      <c r="AL178" s="734"/>
      <c r="AM178" s="734"/>
      <c r="AN178" s="734"/>
    </row>
    <row r="179" spans="4:40">
      <c r="D179" s="728"/>
      <c r="E179" s="728"/>
      <c r="F179" s="728"/>
      <c r="G179" s="728"/>
      <c r="H179" s="728"/>
      <c r="I179" s="728"/>
      <c r="J179" s="728"/>
      <c r="K179" s="728"/>
      <c r="L179" s="728"/>
      <c r="M179" s="728"/>
      <c r="N179" s="728"/>
      <c r="O179" s="728"/>
      <c r="P179" s="734"/>
      <c r="Q179" s="734"/>
      <c r="W179" s="818"/>
      <c r="X179" s="921"/>
      <c r="Z179" s="817"/>
      <c r="AA179" s="734"/>
      <c r="AB179" s="826"/>
      <c r="AC179" s="734"/>
      <c r="AD179" s="734"/>
      <c r="AE179" s="734"/>
      <c r="AF179" s="734"/>
      <c r="AG179" s="734"/>
      <c r="AH179" s="734"/>
      <c r="AI179" s="734"/>
      <c r="AJ179" s="734"/>
      <c r="AK179" s="734"/>
      <c r="AL179" s="734"/>
      <c r="AM179" s="734"/>
      <c r="AN179" s="734"/>
    </row>
    <row r="180" spans="4:40">
      <c r="D180" s="728"/>
      <c r="E180" s="728"/>
      <c r="F180" s="728"/>
      <c r="G180" s="728"/>
      <c r="H180" s="728"/>
      <c r="I180" s="728"/>
      <c r="J180" s="728"/>
      <c r="K180" s="728"/>
      <c r="L180" s="728"/>
      <c r="M180" s="728"/>
      <c r="N180" s="728"/>
      <c r="O180" s="728"/>
      <c r="P180" s="734"/>
      <c r="Q180" s="734"/>
      <c r="W180" s="818"/>
      <c r="X180" s="921"/>
      <c r="Z180" s="817"/>
      <c r="AA180" s="734"/>
      <c r="AB180" s="826"/>
      <c r="AC180" s="734"/>
      <c r="AD180" s="734"/>
      <c r="AE180" s="734"/>
      <c r="AF180" s="734"/>
      <c r="AG180" s="734"/>
      <c r="AH180" s="734"/>
      <c r="AI180" s="734"/>
      <c r="AJ180" s="734"/>
      <c r="AK180" s="734"/>
      <c r="AL180" s="734"/>
      <c r="AM180" s="734"/>
      <c r="AN180" s="734"/>
    </row>
    <row r="181" spans="4:40">
      <c r="D181" s="728"/>
      <c r="E181" s="728"/>
      <c r="F181" s="728"/>
      <c r="G181" s="728"/>
      <c r="H181" s="728"/>
      <c r="I181" s="728"/>
      <c r="J181" s="728"/>
      <c r="K181" s="728"/>
      <c r="L181" s="728"/>
      <c r="M181" s="728"/>
      <c r="N181" s="728"/>
      <c r="O181" s="728"/>
      <c r="P181" s="734"/>
      <c r="Q181" s="734"/>
      <c r="W181" s="818"/>
      <c r="X181" s="921"/>
      <c r="Z181" s="817"/>
      <c r="AA181" s="734"/>
      <c r="AB181" s="826"/>
      <c r="AC181" s="734"/>
      <c r="AD181" s="734"/>
      <c r="AE181" s="734"/>
      <c r="AF181" s="734"/>
      <c r="AG181" s="734"/>
      <c r="AH181" s="734"/>
      <c r="AI181" s="734"/>
      <c r="AJ181" s="734"/>
      <c r="AK181" s="734"/>
      <c r="AL181" s="734"/>
      <c r="AM181" s="734"/>
      <c r="AN181" s="734"/>
    </row>
    <row r="182" spans="4:40">
      <c r="D182" s="728"/>
      <c r="E182" s="728"/>
      <c r="F182" s="728"/>
      <c r="G182" s="728"/>
      <c r="H182" s="728"/>
      <c r="I182" s="728"/>
      <c r="J182" s="728"/>
      <c r="K182" s="728"/>
      <c r="L182" s="728"/>
      <c r="M182" s="728"/>
      <c r="N182" s="728"/>
      <c r="O182" s="728"/>
      <c r="P182" s="734"/>
      <c r="Q182" s="734"/>
      <c r="W182" s="818"/>
      <c r="X182" s="921"/>
      <c r="Z182" s="817"/>
      <c r="AA182" s="734"/>
      <c r="AB182" s="826"/>
      <c r="AC182" s="734"/>
      <c r="AD182" s="734"/>
      <c r="AE182" s="734"/>
      <c r="AF182" s="734"/>
      <c r="AG182" s="734"/>
      <c r="AH182" s="734"/>
      <c r="AI182" s="734"/>
      <c r="AJ182" s="734"/>
      <c r="AK182" s="734"/>
      <c r="AL182" s="734"/>
      <c r="AM182" s="734"/>
      <c r="AN182" s="734"/>
    </row>
    <row r="183" spans="4:40">
      <c r="D183" s="728"/>
      <c r="E183" s="728"/>
      <c r="F183" s="728"/>
      <c r="G183" s="728"/>
      <c r="H183" s="728"/>
      <c r="I183" s="728"/>
      <c r="J183" s="728"/>
      <c r="K183" s="728"/>
      <c r="L183" s="728"/>
      <c r="M183" s="728"/>
      <c r="N183" s="728"/>
      <c r="O183" s="728"/>
      <c r="P183" s="734"/>
      <c r="Q183" s="734"/>
      <c r="W183" s="818"/>
      <c r="X183" s="921"/>
      <c r="Z183" s="817"/>
      <c r="AA183" s="734"/>
      <c r="AB183" s="826"/>
      <c r="AC183" s="734"/>
      <c r="AD183" s="734"/>
      <c r="AE183" s="734"/>
      <c r="AF183" s="734"/>
      <c r="AG183" s="734"/>
      <c r="AH183" s="734"/>
      <c r="AI183" s="734"/>
      <c r="AJ183" s="734"/>
      <c r="AK183" s="734"/>
      <c r="AL183" s="734"/>
      <c r="AM183" s="734"/>
      <c r="AN183" s="734"/>
    </row>
    <row r="184" spans="4:40">
      <c r="D184" s="728"/>
      <c r="E184" s="728"/>
      <c r="F184" s="728"/>
      <c r="G184" s="728"/>
      <c r="H184" s="728"/>
      <c r="I184" s="728"/>
      <c r="J184" s="728"/>
      <c r="K184" s="728"/>
      <c r="L184" s="728"/>
      <c r="M184" s="728"/>
      <c r="N184" s="728"/>
      <c r="O184" s="728"/>
      <c r="P184" s="734"/>
      <c r="Q184" s="734"/>
      <c r="W184" s="818"/>
      <c r="X184" s="921"/>
      <c r="Z184" s="817"/>
      <c r="AA184" s="734"/>
      <c r="AB184" s="826"/>
      <c r="AC184" s="734"/>
      <c r="AD184" s="734"/>
      <c r="AE184" s="734"/>
      <c r="AF184" s="734"/>
      <c r="AG184" s="734"/>
      <c r="AH184" s="734"/>
      <c r="AI184" s="734"/>
      <c r="AJ184" s="734"/>
      <c r="AK184" s="734"/>
      <c r="AL184" s="734"/>
      <c r="AM184" s="734"/>
      <c r="AN184" s="734"/>
    </row>
    <row r="185" spans="4:40">
      <c r="D185" s="728"/>
      <c r="E185" s="728"/>
      <c r="F185" s="728"/>
      <c r="G185" s="728"/>
      <c r="H185" s="728"/>
      <c r="I185" s="728"/>
      <c r="J185" s="728"/>
      <c r="K185" s="728"/>
      <c r="L185" s="728"/>
      <c r="M185" s="728"/>
      <c r="N185" s="728"/>
      <c r="O185" s="728"/>
      <c r="P185" s="734"/>
      <c r="Q185" s="734"/>
      <c r="W185" s="818"/>
      <c r="X185" s="921"/>
      <c r="Z185" s="817"/>
      <c r="AA185" s="734"/>
      <c r="AB185" s="826"/>
      <c r="AC185" s="734"/>
      <c r="AD185" s="734"/>
      <c r="AE185" s="734"/>
      <c r="AF185" s="734"/>
      <c r="AG185" s="734"/>
      <c r="AH185" s="734"/>
      <c r="AI185" s="734"/>
      <c r="AJ185" s="734"/>
      <c r="AK185" s="734"/>
      <c r="AL185" s="734"/>
      <c r="AM185" s="734"/>
      <c r="AN185" s="734"/>
    </row>
    <row r="186" spans="4:40">
      <c r="D186" s="728"/>
      <c r="E186" s="728"/>
      <c r="F186" s="728"/>
      <c r="G186" s="728"/>
      <c r="H186" s="728"/>
      <c r="I186" s="728"/>
      <c r="J186" s="728"/>
      <c r="K186" s="728"/>
      <c r="L186" s="728"/>
      <c r="M186" s="728"/>
      <c r="N186" s="728"/>
      <c r="O186" s="728"/>
      <c r="P186" s="734"/>
      <c r="Q186" s="734"/>
      <c r="W186" s="818"/>
      <c r="X186" s="921"/>
      <c r="Z186" s="817"/>
      <c r="AA186" s="734"/>
      <c r="AB186" s="826"/>
      <c r="AC186" s="734"/>
      <c r="AD186" s="734"/>
      <c r="AE186" s="734"/>
      <c r="AF186" s="734"/>
      <c r="AG186" s="734"/>
      <c r="AH186" s="734"/>
      <c r="AI186" s="734"/>
      <c r="AJ186" s="734"/>
      <c r="AK186" s="734"/>
      <c r="AL186" s="734"/>
      <c r="AM186" s="734"/>
      <c r="AN186" s="734"/>
    </row>
    <row r="187" spans="4:40">
      <c r="D187" s="728"/>
      <c r="E187" s="728"/>
      <c r="F187" s="728"/>
      <c r="G187" s="728"/>
      <c r="H187" s="728"/>
      <c r="I187" s="728"/>
      <c r="J187" s="728"/>
      <c r="K187" s="728"/>
      <c r="L187" s="728"/>
      <c r="M187" s="728"/>
      <c r="N187" s="728"/>
      <c r="O187" s="728"/>
      <c r="P187" s="734"/>
      <c r="Q187" s="734"/>
    </row>
    <row r="188" spans="4:40">
      <c r="D188" s="728"/>
      <c r="E188" s="728"/>
      <c r="F188" s="728"/>
      <c r="G188" s="728"/>
      <c r="H188" s="728"/>
      <c r="I188" s="728"/>
      <c r="J188" s="728"/>
      <c r="K188" s="728"/>
      <c r="L188" s="728"/>
      <c r="M188" s="728"/>
      <c r="N188" s="728"/>
      <c r="O188" s="728"/>
      <c r="P188" s="734"/>
      <c r="Q188" s="734"/>
    </row>
    <row r="189" spans="4:40">
      <c r="D189" s="728"/>
      <c r="E189" s="728"/>
      <c r="F189" s="728"/>
      <c r="G189" s="728"/>
      <c r="H189" s="728"/>
      <c r="I189" s="728"/>
      <c r="J189" s="728"/>
      <c r="K189" s="728"/>
      <c r="L189" s="728"/>
      <c r="M189" s="728"/>
      <c r="N189" s="728"/>
      <c r="O189" s="728"/>
      <c r="P189" s="734"/>
      <c r="Q189" s="734"/>
    </row>
    <row r="190" spans="4:40">
      <c r="D190" s="728"/>
      <c r="E190" s="728"/>
      <c r="F190" s="728"/>
      <c r="G190" s="728"/>
      <c r="H190" s="728"/>
      <c r="I190" s="728"/>
      <c r="J190" s="728"/>
      <c r="K190" s="728"/>
      <c r="L190" s="728"/>
      <c r="M190" s="728"/>
      <c r="N190" s="728"/>
      <c r="O190" s="728"/>
      <c r="P190" s="734"/>
      <c r="Q190" s="734"/>
    </row>
  </sheetData>
  <mergeCells count="1">
    <mergeCell ref="A66:D66"/>
  </mergeCells>
  <pageMargins left="0.25" right="0.25" top="0.75" bottom="0.75" header="0.3" footer="0.3"/>
  <pageSetup scale="74" orientation="landscape" r:id="rId1"/>
  <headerFooter alignWithMargins="0"/>
  <rowBreaks count="2" manualBreakCount="2">
    <brk id="64" max="30" man="1"/>
    <brk id="141" max="3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6"/>
  <sheetViews>
    <sheetView showGridLines="0" view="pageBreakPreview" zoomScaleNormal="100" zoomScaleSheetLayoutView="100" workbookViewId="0">
      <selection activeCell="Q27" sqref="Q27"/>
    </sheetView>
  </sheetViews>
  <sheetFormatPr defaultRowHeight="15"/>
  <cols>
    <col min="1" max="1" width="29.42578125" style="518" customWidth="1"/>
    <col min="2" max="2" width="15.28515625" style="518" bestFit="1" customWidth="1"/>
    <col min="3" max="3" width="15.85546875" style="518" bestFit="1" customWidth="1"/>
    <col min="4" max="7" width="9.140625" style="518"/>
    <col min="8" max="8" width="2.5703125" style="518" customWidth="1"/>
    <col min="9" max="16384" width="9.140625" style="518"/>
  </cols>
  <sheetData>
    <row r="1" spans="1:9">
      <c r="A1" s="528" t="s">
        <v>406</v>
      </c>
    </row>
    <row r="2" spans="1:9">
      <c r="A2" s="528" t="s">
        <v>1392</v>
      </c>
    </row>
    <row r="4" spans="1:9" ht="75" customHeight="1">
      <c r="A4" s="1683" t="s">
        <v>2087</v>
      </c>
      <c r="B4" s="1683"/>
      <c r="C4" s="1683"/>
      <c r="D4" s="1683"/>
      <c r="E4" s="1683"/>
      <c r="F4" s="1683"/>
      <c r="G4" s="1683"/>
    </row>
    <row r="6" spans="1:9">
      <c r="A6" s="530"/>
      <c r="B6" s="531"/>
      <c r="C6" s="532"/>
      <c r="G6" s="529"/>
      <c r="H6" s="529"/>
      <c r="I6" s="529"/>
    </row>
    <row r="7" spans="1:9">
      <c r="A7" s="526" t="s">
        <v>396</v>
      </c>
      <c r="B7" s="525" t="s">
        <v>87</v>
      </c>
      <c r="C7" s="527" t="s">
        <v>1393</v>
      </c>
      <c r="G7" s="522"/>
      <c r="H7" s="529"/>
      <c r="I7" s="529"/>
    </row>
    <row r="8" spans="1:9">
      <c r="A8" s="533" t="s">
        <v>397</v>
      </c>
      <c r="B8" s="524">
        <v>68889157</v>
      </c>
      <c r="C8" s="534">
        <v>0.31917684170163879</v>
      </c>
      <c r="G8" s="522"/>
      <c r="H8" s="529"/>
      <c r="I8" s="529"/>
    </row>
    <row r="9" spans="1:9">
      <c r="A9" s="535" t="s">
        <v>398</v>
      </c>
      <c r="B9" s="524">
        <v>44947124</v>
      </c>
      <c r="C9" s="536">
        <v>0.20824875360126602</v>
      </c>
      <c r="G9" s="522"/>
      <c r="H9" s="529"/>
      <c r="I9" s="529"/>
    </row>
    <row r="10" spans="1:9">
      <c r="A10" s="535" t="s">
        <v>399</v>
      </c>
      <c r="B10" s="524">
        <v>970657</v>
      </c>
      <c r="C10" s="536">
        <v>4.4972423691523418E-3</v>
      </c>
      <c r="G10" s="522"/>
      <c r="H10" s="529"/>
      <c r="I10" s="529"/>
    </row>
    <row r="11" spans="1:9">
      <c r="A11" s="510" t="s">
        <v>400</v>
      </c>
      <c r="B11" s="399">
        <v>3233426</v>
      </c>
      <c r="C11" s="511">
        <v>1.4981090544568039E-2</v>
      </c>
      <c r="G11" s="522"/>
      <c r="H11" s="529"/>
      <c r="I11" s="529"/>
    </row>
    <row r="12" spans="1:9">
      <c r="A12" s="535" t="s">
        <v>1394</v>
      </c>
      <c r="B12" s="524">
        <v>5392718</v>
      </c>
      <c r="C12" s="536">
        <v>2.4985509685182795E-2</v>
      </c>
      <c r="G12" s="522"/>
      <c r="H12" s="529"/>
      <c r="I12" s="529"/>
    </row>
    <row r="13" spans="1:9">
      <c r="A13" s="535" t="s">
        <v>1395</v>
      </c>
      <c r="B13" s="524">
        <v>25075870</v>
      </c>
      <c r="C13" s="536">
        <v>0.11618137509682218</v>
      </c>
      <c r="G13" s="522"/>
      <c r="H13" s="529"/>
      <c r="I13" s="529"/>
    </row>
    <row r="14" spans="1:9">
      <c r="A14" s="535" t="s">
        <v>1396</v>
      </c>
      <c r="B14" s="524">
        <v>1237301</v>
      </c>
      <c r="C14" s="536">
        <v>5.7326557997259189E-3</v>
      </c>
      <c r="G14" s="522"/>
      <c r="H14" s="529"/>
      <c r="I14" s="529"/>
    </row>
    <row r="15" spans="1:9">
      <c r="A15" s="535" t="s">
        <v>1397</v>
      </c>
      <c r="B15" s="524">
        <v>6027459</v>
      </c>
      <c r="C15" s="536">
        <v>2.7926387996098111E-2</v>
      </c>
      <c r="G15" s="522"/>
      <c r="H15" s="529"/>
      <c r="I15" s="529"/>
    </row>
    <row r="16" spans="1:9">
      <c r="A16" s="535" t="s">
        <v>1398</v>
      </c>
      <c r="B16" s="524">
        <v>16482344</v>
      </c>
      <c r="C16" s="536">
        <v>7.6365900395035408E-2</v>
      </c>
      <c r="G16" s="522"/>
      <c r="H16" s="529"/>
      <c r="I16" s="529"/>
    </row>
    <row r="17" spans="1:9">
      <c r="A17" s="535" t="s">
        <v>1399</v>
      </c>
      <c r="B17" s="524">
        <v>17341604</v>
      </c>
      <c r="C17" s="536">
        <v>8.0347018831432443E-2</v>
      </c>
      <c r="G17" s="522"/>
      <c r="H17" s="529"/>
      <c r="I17" s="529"/>
    </row>
    <row r="18" spans="1:9">
      <c r="A18" s="535" t="s">
        <v>1400</v>
      </c>
      <c r="B18" s="524">
        <v>5534803</v>
      </c>
      <c r="C18" s="536">
        <v>2.5643817081122875E-2</v>
      </c>
      <c r="G18" s="522"/>
      <c r="H18" s="529"/>
      <c r="I18" s="529"/>
    </row>
    <row r="19" spans="1:9">
      <c r="A19" s="535" t="s">
        <v>1401</v>
      </c>
      <c r="B19" s="524">
        <v>4808709</v>
      </c>
      <c r="C19" s="536">
        <v>2.2279682581719584E-2</v>
      </c>
      <c r="G19" s="522"/>
      <c r="H19" s="529"/>
      <c r="I19" s="529"/>
    </row>
    <row r="20" spans="1:9" ht="15.75" thickBot="1">
      <c r="A20" s="537" t="s">
        <v>401</v>
      </c>
      <c r="B20" s="523">
        <v>15892648</v>
      </c>
      <c r="C20" s="538">
        <v>7.3633724316235522E-2</v>
      </c>
      <c r="G20" s="529"/>
      <c r="H20" s="529"/>
      <c r="I20" s="529"/>
    </row>
    <row r="21" spans="1:9" ht="15.75" thickBot="1">
      <c r="B21" s="539">
        <f>SUM(B8:B20)</f>
        <v>215833820</v>
      </c>
      <c r="C21" s="540">
        <v>1</v>
      </c>
      <c r="G21" s="529"/>
      <c r="H21" s="529"/>
      <c r="I21" s="529"/>
    </row>
    <row r="23" spans="1:9">
      <c r="B23" s="519" t="s">
        <v>1402</v>
      </c>
      <c r="C23" s="1249">
        <v>364064</v>
      </c>
    </row>
    <row r="24" spans="1:9">
      <c r="B24" s="519"/>
      <c r="C24" s="541"/>
    </row>
    <row r="25" spans="1:9">
      <c r="B25" s="519" t="s">
        <v>2086</v>
      </c>
      <c r="C25" s="726">
        <f>C23*C11</f>
        <v>5454.0757480176189</v>
      </c>
    </row>
    <row r="26" spans="1:9">
      <c r="B26" s="725" t="s">
        <v>168</v>
      </c>
      <c r="C26" s="541">
        <f>+C25*0.0765</f>
        <v>417.23679472334783</v>
      </c>
    </row>
  </sheetData>
  <mergeCells count="1">
    <mergeCell ref="A4:G4"/>
  </mergeCells>
  <pageMargins left="0.25" right="0.25"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513"/>
  <sheetViews>
    <sheetView view="pageBreakPreview" topLeftCell="A16" zoomScaleNormal="100" zoomScaleSheetLayoutView="100" workbookViewId="0">
      <selection activeCell="Q27" sqref="Q27"/>
    </sheetView>
  </sheetViews>
  <sheetFormatPr defaultRowHeight="15" outlineLevelRow="1"/>
  <cols>
    <col min="1" max="1" width="6.28515625" style="496" customWidth="1"/>
    <col min="2" max="2" width="22.85546875" style="496" customWidth="1"/>
    <col min="3" max="3" width="14.7109375" style="496" customWidth="1"/>
    <col min="4" max="4" width="15.28515625" style="292" customWidth="1"/>
    <col min="5" max="5" width="14.5703125" style="292" customWidth="1"/>
    <col min="6" max="6" width="7" style="1533" customWidth="1"/>
    <col min="7" max="8" width="13.85546875" style="245" customWidth="1"/>
    <col min="9" max="9" width="18" style="245" customWidth="1"/>
    <col min="10" max="10" width="5.85546875" style="245" customWidth="1"/>
    <col min="11" max="11" width="11" style="245" customWidth="1"/>
    <col min="12" max="16384" width="9.140625" style="245"/>
  </cols>
  <sheetData>
    <row r="1" spans="1:16" hidden="1" outlineLevel="1">
      <c r="A1" s="309" t="s">
        <v>651</v>
      </c>
      <c r="B1" s="309"/>
      <c r="C1" s="1507" t="s">
        <v>652</v>
      </c>
      <c r="F1" s="1532"/>
      <c r="G1" s="276"/>
      <c r="H1" s="276"/>
      <c r="I1" s="276"/>
      <c r="J1" s="276"/>
      <c r="K1" s="276"/>
      <c r="L1" s="276"/>
      <c r="M1" s="276"/>
      <c r="N1" s="276"/>
      <c r="O1" s="276"/>
      <c r="P1" s="276"/>
    </row>
    <row r="2" spans="1:16" hidden="1" outlineLevel="1">
      <c r="A2" s="309" t="s">
        <v>196</v>
      </c>
      <c r="B2" s="309"/>
      <c r="C2" s="1508" t="s">
        <v>358</v>
      </c>
      <c r="F2" s="1532"/>
      <c r="G2" s="276"/>
      <c r="H2" s="276"/>
      <c r="I2" s="276"/>
      <c r="J2" s="276"/>
      <c r="K2" s="276"/>
      <c r="L2" s="276"/>
      <c r="M2" s="276"/>
      <c r="N2" s="276"/>
      <c r="O2" s="276"/>
      <c r="P2" s="276"/>
    </row>
    <row r="3" spans="1:16" hidden="1" outlineLevel="1">
      <c r="A3" s="309" t="s">
        <v>653</v>
      </c>
      <c r="B3" s="309"/>
      <c r="C3" s="1508" t="s">
        <v>358</v>
      </c>
      <c r="F3" s="1532"/>
      <c r="G3" s="276"/>
      <c r="H3" s="276"/>
      <c r="I3" s="276"/>
      <c r="J3" s="276"/>
      <c r="K3" s="276"/>
      <c r="L3" s="276"/>
      <c r="M3" s="276"/>
      <c r="N3" s="276"/>
      <c r="O3" s="276"/>
      <c r="P3" s="276"/>
    </row>
    <row r="4" spans="1:16" hidden="1" outlineLevel="1">
      <c r="A4" s="309" t="s">
        <v>654</v>
      </c>
      <c r="B4" s="309"/>
      <c r="C4" s="1508" t="s">
        <v>655</v>
      </c>
      <c r="F4" s="1532"/>
      <c r="G4" s="276"/>
      <c r="H4" s="276"/>
      <c r="I4" s="276"/>
      <c r="J4" s="276"/>
      <c r="K4" s="276"/>
      <c r="L4" s="276"/>
      <c r="M4" s="276"/>
      <c r="N4" s="276"/>
      <c r="O4" s="276"/>
      <c r="P4" s="276"/>
    </row>
    <row r="5" spans="1:16" hidden="1" outlineLevel="1">
      <c r="A5" s="309" t="s">
        <v>656</v>
      </c>
      <c r="B5" s="309"/>
      <c r="C5" s="1508" t="s">
        <v>657</v>
      </c>
      <c r="F5" s="1532"/>
      <c r="G5" s="276"/>
      <c r="H5" s="276"/>
      <c r="I5" s="276"/>
      <c r="J5" s="276"/>
      <c r="K5" s="276"/>
      <c r="L5" s="276"/>
      <c r="M5" s="276"/>
      <c r="N5" s="276"/>
      <c r="O5" s="276"/>
      <c r="P5" s="276"/>
    </row>
    <row r="6" spans="1:16" hidden="1" outlineLevel="1">
      <c r="A6" s="309"/>
      <c r="B6" s="309"/>
    </row>
    <row r="7" spans="1:16" collapsed="1">
      <c r="A7" s="1495" t="s">
        <v>191</v>
      </c>
      <c r="B7" s="309"/>
      <c r="C7" s="1509"/>
    </row>
    <row r="8" spans="1:16">
      <c r="A8" s="1495" t="s">
        <v>658</v>
      </c>
    </row>
    <row r="9" spans="1:16">
      <c r="A9" s="1495"/>
      <c r="D9" s="1510" t="s">
        <v>1033</v>
      </c>
      <c r="E9" s="1511" t="s">
        <v>1034</v>
      </c>
    </row>
    <row r="10" spans="1:16">
      <c r="A10" s="1495"/>
      <c r="C10" s="1512" t="s">
        <v>659</v>
      </c>
      <c r="D10" s="1510" t="s">
        <v>1911</v>
      </c>
      <c r="E10" s="1511" t="s">
        <v>1035</v>
      </c>
    </row>
    <row r="11" spans="1:16">
      <c r="A11" s="1495"/>
      <c r="C11" s="1513" t="s">
        <v>660</v>
      </c>
      <c r="D11" s="1514" t="s">
        <v>1036</v>
      </c>
      <c r="E11" s="1515" t="s">
        <v>1037</v>
      </c>
    </row>
    <row r="12" spans="1:16">
      <c r="C12" s="1516" t="s">
        <v>19</v>
      </c>
      <c r="D12" s="1516" t="s">
        <v>1038</v>
      </c>
      <c r="E12" s="1517">
        <v>43100</v>
      </c>
    </row>
    <row r="13" spans="1:16">
      <c r="A13" s="1496">
        <v>50086</v>
      </c>
      <c r="B13" s="1497" t="s">
        <v>245</v>
      </c>
      <c r="C13" s="1518">
        <v>5857.67</v>
      </c>
      <c r="E13" s="1519">
        <f>C13+D13</f>
        <v>5857.67</v>
      </c>
    </row>
    <row r="14" spans="1:16">
      <c r="A14" s="1496">
        <v>51260</v>
      </c>
      <c r="B14" s="1497" t="s">
        <v>295</v>
      </c>
      <c r="C14" s="1518">
        <v>889129.52</v>
      </c>
      <c r="D14" s="1520">
        <v>-437090</v>
      </c>
      <c r="E14" s="1519">
        <f t="shared" ref="E14:E77" si="0">C14+D14</f>
        <v>452039.52</v>
      </c>
      <c r="F14" s="1534" t="s">
        <v>1039</v>
      </c>
      <c r="G14" s="1493"/>
    </row>
    <row r="15" spans="1:16">
      <c r="A15" s="1496">
        <v>52090</v>
      </c>
      <c r="B15" s="1497" t="s">
        <v>55</v>
      </c>
      <c r="C15" s="1518">
        <v>0</v>
      </c>
      <c r="E15" s="1519">
        <f t="shared" si="0"/>
        <v>0</v>
      </c>
      <c r="G15" s="1493"/>
    </row>
    <row r="16" spans="1:16">
      <c r="A16" s="1496">
        <v>52120</v>
      </c>
      <c r="B16" s="1497" t="s">
        <v>251</v>
      </c>
      <c r="C16" s="1518">
        <v>-37374</v>
      </c>
      <c r="E16" s="1519">
        <f t="shared" si="0"/>
        <v>-37374</v>
      </c>
      <c r="G16" s="1493"/>
    </row>
    <row r="17" spans="1:7">
      <c r="A17" s="1496">
        <v>56037</v>
      </c>
      <c r="B17" s="1497" t="s">
        <v>661</v>
      </c>
      <c r="C17" s="1518">
        <v>0</v>
      </c>
      <c r="E17" s="1519">
        <f t="shared" si="0"/>
        <v>0</v>
      </c>
      <c r="G17" s="1493"/>
    </row>
    <row r="18" spans="1:7">
      <c r="A18" s="1496">
        <v>57255</v>
      </c>
      <c r="B18" s="1497" t="s">
        <v>77</v>
      </c>
      <c r="C18" s="1518">
        <v>0</v>
      </c>
      <c r="E18" s="1519">
        <f t="shared" si="0"/>
        <v>0</v>
      </c>
      <c r="G18" s="1493"/>
    </row>
    <row r="19" spans="1:7">
      <c r="A19" s="1496">
        <v>57260</v>
      </c>
      <c r="B19" s="1497" t="s">
        <v>295</v>
      </c>
      <c r="C19" s="1518">
        <v>533009.91</v>
      </c>
      <c r="D19" s="1520">
        <v>-4570.95</v>
      </c>
      <c r="E19" s="1519">
        <f t="shared" si="0"/>
        <v>528438.96000000008</v>
      </c>
      <c r="F19" s="1534" t="s">
        <v>1040</v>
      </c>
      <c r="G19" s="1493"/>
    </row>
    <row r="20" spans="1:7">
      <c r="A20" s="1496">
        <v>59271</v>
      </c>
      <c r="B20" s="1497" t="s">
        <v>662</v>
      </c>
      <c r="C20" s="1518">
        <v>0</v>
      </c>
      <c r="E20" s="1519">
        <f t="shared" si="0"/>
        <v>0</v>
      </c>
      <c r="G20" s="1493"/>
    </row>
    <row r="21" spans="1:7">
      <c r="A21" s="1496">
        <v>59331</v>
      </c>
      <c r="B21" s="1497" t="s">
        <v>663</v>
      </c>
      <c r="C21" s="1518">
        <v>2064010.94</v>
      </c>
      <c r="E21" s="1519">
        <f t="shared" si="0"/>
        <v>2064010.94</v>
      </c>
      <c r="G21" s="1493"/>
    </row>
    <row r="22" spans="1:7">
      <c r="A22" s="1496">
        <v>59340</v>
      </c>
      <c r="B22" s="1497" t="s">
        <v>92</v>
      </c>
      <c r="C22" s="1518">
        <v>-1052851.6599999999</v>
      </c>
      <c r="E22" s="1519">
        <f t="shared" si="0"/>
        <v>-1052851.6599999999</v>
      </c>
      <c r="G22" s="1493"/>
    </row>
    <row r="23" spans="1:7">
      <c r="A23" s="1496">
        <v>70010</v>
      </c>
      <c r="B23" s="1497" t="s">
        <v>31</v>
      </c>
      <c r="C23" s="1518">
        <v>40997684.009999998</v>
      </c>
      <c r="E23" s="1519">
        <f t="shared" si="0"/>
        <v>40997684.009999998</v>
      </c>
      <c r="G23" s="1493"/>
    </row>
    <row r="24" spans="1:7">
      <c r="A24" s="1496">
        <v>70015</v>
      </c>
      <c r="B24" s="1497" t="s">
        <v>664</v>
      </c>
      <c r="C24" s="1518">
        <v>3342334.9</v>
      </c>
      <c r="E24" s="1519">
        <f t="shared" si="0"/>
        <v>3342334.9</v>
      </c>
      <c r="G24" s="1493"/>
    </row>
    <row r="25" spans="1:7">
      <c r="A25" s="1496">
        <v>70020</v>
      </c>
      <c r="B25" s="1497" t="s">
        <v>40</v>
      </c>
      <c r="C25" s="1518">
        <v>1183440.1399999999</v>
      </c>
      <c r="E25" s="1519">
        <f t="shared" si="0"/>
        <v>1183440.1399999999</v>
      </c>
      <c r="G25" s="1493"/>
    </row>
    <row r="26" spans="1:7">
      <c r="A26" s="1496">
        <v>70025</v>
      </c>
      <c r="B26" s="1497" t="s">
        <v>41</v>
      </c>
      <c r="C26" s="1518">
        <v>196794.48</v>
      </c>
      <c r="E26" s="1519">
        <f t="shared" si="0"/>
        <v>196794.48</v>
      </c>
      <c r="G26" s="1493"/>
    </row>
    <row r="27" spans="1:7">
      <c r="A27" s="1496">
        <v>70030</v>
      </c>
      <c r="B27" s="1497" t="s">
        <v>665</v>
      </c>
      <c r="C27" s="1518">
        <v>32120594</v>
      </c>
      <c r="D27" s="1519">
        <f>-C27</f>
        <v>-32120594</v>
      </c>
      <c r="E27" s="1519">
        <f t="shared" si="0"/>
        <v>0</v>
      </c>
      <c r="G27" s="1493"/>
    </row>
    <row r="28" spans="1:7">
      <c r="A28" s="1496">
        <v>70036</v>
      </c>
      <c r="B28" s="1497" t="s">
        <v>43</v>
      </c>
      <c r="C28" s="1518">
        <v>169443.67</v>
      </c>
      <c r="D28" s="1519">
        <f t="shared" ref="D28:D29" si="1">-C28</f>
        <v>-169443.67</v>
      </c>
      <c r="E28" s="1519">
        <f t="shared" si="0"/>
        <v>0</v>
      </c>
      <c r="G28" s="1493"/>
    </row>
    <row r="29" spans="1:7">
      <c r="A29" s="1496">
        <v>70037</v>
      </c>
      <c r="B29" s="1497" t="s">
        <v>661</v>
      </c>
      <c r="C29" s="1518">
        <v>630270.64</v>
      </c>
      <c r="D29" s="1519">
        <f t="shared" si="1"/>
        <v>-630270.64</v>
      </c>
      <c r="E29" s="1519">
        <f t="shared" si="0"/>
        <v>0</v>
      </c>
      <c r="G29" s="1493"/>
    </row>
    <row r="30" spans="1:7">
      <c r="A30" s="1496">
        <v>70045</v>
      </c>
      <c r="B30" s="1497" t="s">
        <v>54</v>
      </c>
      <c r="C30" s="1518">
        <v>787326.64</v>
      </c>
      <c r="E30" s="1519">
        <f t="shared" si="0"/>
        <v>787326.64</v>
      </c>
      <c r="G30" s="1493"/>
    </row>
    <row r="31" spans="1:7">
      <c r="A31" s="1496">
        <v>70050</v>
      </c>
      <c r="B31" s="1497" t="s">
        <v>168</v>
      </c>
      <c r="C31" s="1518">
        <v>2799569.17</v>
      </c>
      <c r="D31" s="294">
        <f>SUM(D27:D29)*F31</f>
        <v>-1169075.2597167401</v>
      </c>
      <c r="E31" s="1519">
        <f>C31+D31</f>
        <v>1630493.9102832598</v>
      </c>
      <c r="F31" s="1535">
        <f>+C31/SUM(C23:C29,C33:C34)</f>
        <v>3.5512281619841851E-2</v>
      </c>
      <c r="G31" s="1206" t="s">
        <v>1041</v>
      </c>
    </row>
    <row r="32" spans="1:7">
      <c r="A32" s="1496">
        <v>70060</v>
      </c>
      <c r="B32" s="1497" t="s">
        <v>125</v>
      </c>
      <c r="C32" s="1518">
        <v>1482537.01</v>
      </c>
      <c r="E32" s="1519">
        <f t="shared" si="0"/>
        <v>1482537.01</v>
      </c>
    </row>
    <row r="33" spans="1:5">
      <c r="A33" s="1496">
        <v>70065</v>
      </c>
      <c r="B33" s="1497" t="s">
        <v>37</v>
      </c>
      <c r="C33" s="1518">
        <v>167090.16</v>
      </c>
      <c r="E33" s="1519">
        <f t="shared" si="0"/>
        <v>167090.16</v>
      </c>
    </row>
    <row r="34" spans="1:5">
      <c r="A34" s="1496">
        <v>70070</v>
      </c>
      <c r="B34" s="1497" t="s">
        <v>38</v>
      </c>
      <c r="C34" s="1518">
        <v>26177.94</v>
      </c>
      <c r="E34" s="1519">
        <f t="shared" si="0"/>
        <v>26177.94</v>
      </c>
    </row>
    <row r="35" spans="1:5">
      <c r="A35" s="1496">
        <v>70086</v>
      </c>
      <c r="B35" s="1497" t="s">
        <v>245</v>
      </c>
      <c r="C35" s="1518">
        <v>362621.67</v>
      </c>
      <c r="E35" s="1519">
        <f t="shared" si="0"/>
        <v>362621.67</v>
      </c>
    </row>
    <row r="36" spans="1:5">
      <c r="A36" s="1496">
        <v>70090</v>
      </c>
      <c r="B36" s="1497" t="s">
        <v>666</v>
      </c>
      <c r="C36" s="1518">
        <v>1282215.6499999999</v>
      </c>
      <c r="E36" s="1519">
        <f t="shared" si="0"/>
        <v>1282215.6499999999</v>
      </c>
    </row>
    <row r="37" spans="1:5">
      <c r="A37" s="1496">
        <v>70095</v>
      </c>
      <c r="B37" s="1497" t="s">
        <v>132</v>
      </c>
      <c r="C37" s="1518">
        <v>958105.95</v>
      </c>
      <c r="D37" s="1519">
        <f>-C37</f>
        <v>-958105.95</v>
      </c>
      <c r="E37" s="1519">
        <f t="shared" si="0"/>
        <v>0</v>
      </c>
    </row>
    <row r="38" spans="1:5">
      <c r="A38" s="1496">
        <v>70105</v>
      </c>
      <c r="B38" s="1497" t="s">
        <v>134</v>
      </c>
      <c r="C38" s="1518">
        <v>3310095.25</v>
      </c>
      <c r="D38" s="1519">
        <f t="shared" ref="D38:D41" si="2">-C38</f>
        <v>-3310095.25</v>
      </c>
      <c r="E38" s="1519">
        <f t="shared" si="0"/>
        <v>0</v>
      </c>
    </row>
    <row r="39" spans="1:5">
      <c r="A39" s="1496">
        <v>70106</v>
      </c>
      <c r="B39" s="1497" t="s">
        <v>667</v>
      </c>
      <c r="C39" s="1518">
        <v>3223900.14</v>
      </c>
      <c r="D39" s="1519">
        <f t="shared" si="2"/>
        <v>-3223900.14</v>
      </c>
      <c r="E39" s="1519">
        <f t="shared" si="0"/>
        <v>0</v>
      </c>
    </row>
    <row r="40" spans="1:5">
      <c r="A40" s="1496">
        <v>70110</v>
      </c>
      <c r="B40" s="1497" t="s">
        <v>135</v>
      </c>
      <c r="C40" s="1518">
        <v>799440.75</v>
      </c>
      <c r="D40" s="1519">
        <f t="shared" si="2"/>
        <v>-799440.75</v>
      </c>
      <c r="E40" s="1519">
        <f t="shared" si="0"/>
        <v>0</v>
      </c>
    </row>
    <row r="41" spans="1:5">
      <c r="A41" s="1496">
        <v>70112</v>
      </c>
      <c r="B41" s="1497" t="s">
        <v>668</v>
      </c>
      <c r="C41" s="1518">
        <v>20000</v>
      </c>
      <c r="D41" s="1519">
        <f t="shared" si="2"/>
        <v>-20000</v>
      </c>
      <c r="E41" s="1519">
        <f t="shared" si="0"/>
        <v>0</v>
      </c>
    </row>
    <row r="42" spans="1:5">
      <c r="A42" s="1496">
        <v>70116</v>
      </c>
      <c r="B42" s="1497" t="s">
        <v>246</v>
      </c>
      <c r="C42" s="1518">
        <v>566968.35</v>
      </c>
      <c r="E42" s="1519">
        <f t="shared" si="0"/>
        <v>566968.35</v>
      </c>
    </row>
    <row r="43" spans="1:5">
      <c r="A43" s="1496">
        <v>70120</v>
      </c>
      <c r="B43" s="1497" t="s">
        <v>669</v>
      </c>
      <c r="C43" s="1518">
        <v>183004.98</v>
      </c>
      <c r="D43" s="1519">
        <f>-C43</f>
        <v>-183004.98</v>
      </c>
      <c r="E43" s="1519">
        <f t="shared" si="0"/>
        <v>0</v>
      </c>
    </row>
    <row r="44" spans="1:5">
      <c r="A44" s="1496">
        <v>70142</v>
      </c>
      <c r="B44" s="1497" t="s">
        <v>72</v>
      </c>
      <c r="C44" s="1518">
        <v>384130.88</v>
      </c>
      <c r="E44" s="1519">
        <f t="shared" si="0"/>
        <v>384130.88</v>
      </c>
    </row>
    <row r="45" spans="1:5">
      <c r="A45" s="1496">
        <v>70145</v>
      </c>
      <c r="B45" s="1497" t="s">
        <v>62</v>
      </c>
      <c r="C45" s="1518">
        <v>189710.07999999999</v>
      </c>
      <c r="E45" s="1519">
        <f t="shared" si="0"/>
        <v>189710.07999999999</v>
      </c>
    </row>
    <row r="46" spans="1:5">
      <c r="A46" s="1496">
        <v>70146</v>
      </c>
      <c r="B46" s="1497" t="s">
        <v>670</v>
      </c>
      <c r="C46" s="1518">
        <v>2868.4</v>
      </c>
      <c r="D46" s="1519">
        <f>-C46</f>
        <v>-2868.4</v>
      </c>
      <c r="E46" s="1519">
        <f t="shared" si="0"/>
        <v>0</v>
      </c>
    </row>
    <row r="47" spans="1:5">
      <c r="A47" s="1496">
        <v>70147</v>
      </c>
      <c r="B47" s="1497" t="s">
        <v>113</v>
      </c>
      <c r="C47" s="1518">
        <v>33148.410000000003</v>
      </c>
      <c r="E47" s="1519">
        <f t="shared" si="0"/>
        <v>33148.410000000003</v>
      </c>
    </row>
    <row r="48" spans="1:5">
      <c r="A48" s="1496">
        <v>70165</v>
      </c>
      <c r="B48" s="1497" t="s">
        <v>56</v>
      </c>
      <c r="C48" s="1518">
        <v>830847.3</v>
      </c>
      <c r="E48" s="1519">
        <f t="shared" si="0"/>
        <v>830847.3</v>
      </c>
    </row>
    <row r="49" spans="1:5">
      <c r="A49" s="1496">
        <v>70167</v>
      </c>
      <c r="B49" s="1497" t="s">
        <v>282</v>
      </c>
      <c r="C49" s="1518">
        <v>37712.230000000003</v>
      </c>
      <c r="E49" s="1519">
        <f t="shared" si="0"/>
        <v>37712.230000000003</v>
      </c>
    </row>
    <row r="50" spans="1:5">
      <c r="A50" s="1496">
        <v>70170</v>
      </c>
      <c r="B50" s="1497" t="s">
        <v>261</v>
      </c>
      <c r="C50" s="1518">
        <v>1305417.3600000001</v>
      </c>
      <c r="E50" s="1519">
        <f t="shared" si="0"/>
        <v>1305417.3600000001</v>
      </c>
    </row>
    <row r="51" spans="1:5">
      <c r="A51" s="1496">
        <v>70175</v>
      </c>
      <c r="B51" s="1497" t="s">
        <v>57</v>
      </c>
      <c r="C51" s="1518">
        <v>25952.400000000001</v>
      </c>
      <c r="E51" s="1519">
        <f t="shared" si="0"/>
        <v>25952.400000000001</v>
      </c>
    </row>
    <row r="52" spans="1:5">
      <c r="A52" s="1496">
        <v>70185</v>
      </c>
      <c r="B52" s="1497" t="s">
        <v>112</v>
      </c>
      <c r="C52" s="1518">
        <v>579163.41</v>
      </c>
      <c r="E52" s="1519">
        <f t="shared" si="0"/>
        <v>579163.41</v>
      </c>
    </row>
    <row r="53" spans="1:5">
      <c r="A53" s="1496">
        <v>70190</v>
      </c>
      <c r="B53" s="1497" t="s">
        <v>671</v>
      </c>
      <c r="C53" s="1518">
        <v>462140.94</v>
      </c>
      <c r="D53" s="1519">
        <f>-C53</f>
        <v>-462140.94</v>
      </c>
      <c r="E53" s="1519">
        <f t="shared" si="0"/>
        <v>0</v>
      </c>
    </row>
    <row r="54" spans="1:5">
      <c r="A54" s="1496">
        <v>70195</v>
      </c>
      <c r="B54" s="1497" t="s">
        <v>283</v>
      </c>
      <c r="C54" s="1518">
        <v>1573996.69</v>
      </c>
      <c r="D54" s="1519">
        <f>-(C54*0.16)</f>
        <v>-251839.47039999999</v>
      </c>
      <c r="E54" s="1519">
        <f t="shared" si="0"/>
        <v>1322157.2196</v>
      </c>
    </row>
    <row r="55" spans="1:5">
      <c r="A55" s="1496">
        <v>70196</v>
      </c>
      <c r="B55" s="1497" t="s">
        <v>672</v>
      </c>
      <c r="C55" s="1518">
        <v>47567.51</v>
      </c>
      <c r="D55" s="1519">
        <f t="shared" ref="D55" si="3">-C55</f>
        <v>-47567.51</v>
      </c>
      <c r="E55" s="1519">
        <f t="shared" si="0"/>
        <v>0</v>
      </c>
    </row>
    <row r="56" spans="1:5">
      <c r="A56" s="1496">
        <v>70200</v>
      </c>
      <c r="B56" s="1497" t="s">
        <v>59</v>
      </c>
      <c r="C56" s="1518">
        <v>1141458.3700000001</v>
      </c>
      <c r="E56" s="1519">
        <f t="shared" si="0"/>
        <v>1141458.3700000001</v>
      </c>
    </row>
    <row r="57" spans="1:5">
      <c r="A57" s="1496">
        <v>70201</v>
      </c>
      <c r="B57" s="1497" t="s">
        <v>139</v>
      </c>
      <c r="C57" s="1518">
        <v>586284.15</v>
      </c>
      <c r="D57" s="1519">
        <f>-C57</f>
        <v>-586284.15</v>
      </c>
      <c r="E57" s="1519">
        <f t="shared" si="0"/>
        <v>0</v>
      </c>
    </row>
    <row r="58" spans="1:5">
      <c r="A58" s="1496">
        <v>70202</v>
      </c>
      <c r="B58" s="1497" t="s">
        <v>284</v>
      </c>
      <c r="C58" s="1518">
        <v>4584077.6500000004</v>
      </c>
      <c r="D58" s="1520">
        <v>-667062</v>
      </c>
      <c r="E58" s="1519">
        <f t="shared" si="0"/>
        <v>3917015.6500000004</v>
      </c>
    </row>
    <row r="59" spans="1:5">
      <c r="A59" s="1496">
        <v>70203</v>
      </c>
      <c r="B59" s="1497" t="s">
        <v>141</v>
      </c>
      <c r="C59" s="1518">
        <v>637080.1</v>
      </c>
      <c r="E59" s="1519">
        <f t="shared" si="0"/>
        <v>637080.1</v>
      </c>
    </row>
    <row r="60" spans="1:5">
      <c r="A60" s="1496">
        <v>70205</v>
      </c>
      <c r="B60" s="1497" t="s">
        <v>285</v>
      </c>
      <c r="C60" s="1518">
        <v>374785.52</v>
      </c>
      <c r="E60" s="1519">
        <f t="shared" si="0"/>
        <v>374785.52</v>
      </c>
    </row>
    <row r="61" spans="1:5">
      <c r="A61" s="1496">
        <v>70206</v>
      </c>
      <c r="B61" s="1497" t="s">
        <v>143</v>
      </c>
      <c r="C61" s="1518">
        <v>375948.5</v>
      </c>
      <c r="E61" s="1519">
        <f t="shared" si="0"/>
        <v>375948.5</v>
      </c>
    </row>
    <row r="62" spans="1:5">
      <c r="A62" s="1496">
        <v>70210</v>
      </c>
      <c r="B62" s="1497" t="s">
        <v>111</v>
      </c>
      <c r="C62" s="1518">
        <v>174518.36</v>
      </c>
      <c r="E62" s="1519">
        <f t="shared" si="0"/>
        <v>174518.36</v>
      </c>
    </row>
    <row r="63" spans="1:5">
      <c r="A63" s="1496">
        <v>70214</v>
      </c>
      <c r="B63" s="1497" t="s">
        <v>145</v>
      </c>
      <c r="C63" s="1518">
        <v>-14047.7</v>
      </c>
      <c r="E63" s="1519">
        <f t="shared" si="0"/>
        <v>-14047.7</v>
      </c>
    </row>
    <row r="64" spans="1:5">
      <c r="A64" s="1496">
        <v>70215</v>
      </c>
      <c r="B64" s="1497" t="s">
        <v>673</v>
      </c>
      <c r="C64" s="1518">
        <v>3472729.14</v>
      </c>
      <c r="E64" s="1519">
        <f t="shared" si="0"/>
        <v>3472729.14</v>
      </c>
    </row>
    <row r="65" spans="1:5">
      <c r="A65" s="1496">
        <v>70216</v>
      </c>
      <c r="B65" s="1497" t="s">
        <v>674</v>
      </c>
      <c r="C65" s="1518">
        <v>107865.72</v>
      </c>
      <c r="E65" s="1519">
        <f t="shared" si="0"/>
        <v>107865.72</v>
      </c>
    </row>
    <row r="66" spans="1:5">
      <c r="A66" s="1496">
        <v>70230</v>
      </c>
      <c r="B66" s="1497" t="s">
        <v>675</v>
      </c>
      <c r="C66" s="1518">
        <v>214493</v>
      </c>
      <c r="E66" s="1519">
        <f t="shared" si="0"/>
        <v>214493</v>
      </c>
    </row>
    <row r="67" spans="1:5">
      <c r="A67" s="1496">
        <v>70231</v>
      </c>
      <c r="B67" s="1497" t="s">
        <v>146</v>
      </c>
      <c r="C67" s="1518">
        <v>925625.19</v>
      </c>
      <c r="E67" s="1519">
        <f t="shared" si="0"/>
        <v>925625.19</v>
      </c>
    </row>
    <row r="68" spans="1:5">
      <c r="A68" s="1496">
        <v>70232</v>
      </c>
      <c r="B68" s="1497" t="s">
        <v>676</v>
      </c>
      <c r="C68" s="1518">
        <v>516.55999999999995</v>
      </c>
      <c r="E68" s="1519">
        <f t="shared" si="0"/>
        <v>516.55999999999995</v>
      </c>
    </row>
    <row r="69" spans="1:5">
      <c r="A69" s="1496">
        <v>70235</v>
      </c>
      <c r="B69" s="1497" t="s">
        <v>121</v>
      </c>
      <c r="C69" s="1518">
        <v>3746504.09</v>
      </c>
      <c r="D69" s="1519">
        <f>-C69</f>
        <v>-3746504.09</v>
      </c>
      <c r="E69" s="1519">
        <f t="shared" si="0"/>
        <v>0</v>
      </c>
    </row>
    <row r="70" spans="1:5">
      <c r="A70" s="1496">
        <v>70240</v>
      </c>
      <c r="B70" s="1497" t="s">
        <v>677</v>
      </c>
      <c r="C70" s="1518">
        <v>4422815.05</v>
      </c>
      <c r="E70" s="1519">
        <f t="shared" si="0"/>
        <v>4422815.05</v>
      </c>
    </row>
    <row r="71" spans="1:5">
      <c r="A71" s="1496">
        <v>70245</v>
      </c>
      <c r="B71" s="1497" t="s">
        <v>286</v>
      </c>
      <c r="C71" s="1518">
        <v>594448.36</v>
      </c>
      <c r="E71" s="1519">
        <f t="shared" si="0"/>
        <v>594448.36</v>
      </c>
    </row>
    <row r="72" spans="1:5">
      <c r="A72" s="1496">
        <v>70250</v>
      </c>
      <c r="B72" s="1497" t="s">
        <v>678</v>
      </c>
      <c r="C72" s="1518">
        <v>4725116.3600000003</v>
      </c>
      <c r="D72" s="1519">
        <f>-C72</f>
        <v>-4725116.3600000003</v>
      </c>
      <c r="E72" s="1519">
        <f t="shared" si="0"/>
        <v>0</v>
      </c>
    </row>
    <row r="73" spans="1:5">
      <c r="A73" s="1496">
        <v>70255</v>
      </c>
      <c r="B73" s="1497" t="s">
        <v>77</v>
      </c>
      <c r="C73" s="1518">
        <v>2722690.58</v>
      </c>
      <c r="E73" s="1519">
        <f t="shared" si="0"/>
        <v>2722690.58</v>
      </c>
    </row>
    <row r="74" spans="1:5">
      <c r="A74" s="1496">
        <v>70260</v>
      </c>
      <c r="B74" s="1497" t="s">
        <v>295</v>
      </c>
      <c r="C74" s="1518">
        <v>4745822.57</v>
      </c>
      <c r="D74" s="1520">
        <v>-63927</v>
      </c>
      <c r="E74" s="1519">
        <f t="shared" si="0"/>
        <v>4681895.57</v>
      </c>
    </row>
    <row r="75" spans="1:5">
      <c r="A75" s="1496">
        <v>70271</v>
      </c>
      <c r="B75" s="1497" t="s">
        <v>662</v>
      </c>
      <c r="C75" s="1518">
        <v>783444.73</v>
      </c>
      <c r="E75" s="1519">
        <f t="shared" si="0"/>
        <v>783444.73</v>
      </c>
    </row>
    <row r="76" spans="1:5">
      <c r="A76" s="1496">
        <v>70273</v>
      </c>
      <c r="B76" s="1497" t="s">
        <v>679</v>
      </c>
      <c r="C76" s="1518">
        <v>94944</v>
      </c>
      <c r="D76" s="1519">
        <f>-C76</f>
        <v>-94944</v>
      </c>
      <c r="E76" s="1519">
        <f t="shared" si="0"/>
        <v>0</v>
      </c>
    </row>
    <row r="77" spans="1:5">
      <c r="A77" s="1496">
        <v>70275</v>
      </c>
      <c r="B77" s="1497" t="s">
        <v>263</v>
      </c>
      <c r="C77" s="1518">
        <v>223603.54</v>
      </c>
      <c r="E77" s="1519">
        <f t="shared" si="0"/>
        <v>223603.54</v>
      </c>
    </row>
    <row r="78" spans="1:5">
      <c r="A78" s="1496">
        <v>70300</v>
      </c>
      <c r="B78" s="1497" t="s">
        <v>116</v>
      </c>
      <c r="C78" s="1518">
        <v>650947.42000000004</v>
      </c>
      <c r="E78" s="1519">
        <f t="shared" ref="E78:E86" si="4">C78+D78</f>
        <v>650947.42000000004</v>
      </c>
    </row>
    <row r="79" spans="1:5">
      <c r="A79" s="1496">
        <v>70301</v>
      </c>
      <c r="B79" s="1497" t="s">
        <v>680</v>
      </c>
      <c r="C79" s="1518">
        <v>10364.86</v>
      </c>
      <c r="E79" s="1519">
        <f t="shared" si="4"/>
        <v>10364.86</v>
      </c>
    </row>
    <row r="80" spans="1:5">
      <c r="A80" s="1496">
        <v>70302</v>
      </c>
      <c r="B80" s="1497" t="s">
        <v>681</v>
      </c>
      <c r="C80" s="1518">
        <v>78569.509999999995</v>
      </c>
      <c r="E80" s="1519">
        <f t="shared" si="4"/>
        <v>78569.509999999995</v>
      </c>
    </row>
    <row r="81" spans="1:5">
      <c r="A81" s="1496">
        <v>70324</v>
      </c>
      <c r="B81" s="1497" t="s">
        <v>264</v>
      </c>
      <c r="C81" s="1518">
        <v>22968.21</v>
      </c>
      <c r="D81" s="1519">
        <f>-C81</f>
        <v>-22968.21</v>
      </c>
      <c r="E81" s="1519">
        <f t="shared" si="4"/>
        <v>0</v>
      </c>
    </row>
    <row r="82" spans="1:5">
      <c r="A82" s="1496">
        <v>70345</v>
      </c>
      <c r="B82" s="1497" t="s">
        <v>682</v>
      </c>
      <c r="C82" s="1518">
        <v>0</v>
      </c>
      <c r="E82" s="1519">
        <f t="shared" si="4"/>
        <v>0</v>
      </c>
    </row>
    <row r="83" spans="1:5">
      <c r="A83" s="1496">
        <v>70357</v>
      </c>
      <c r="B83" s="1497" t="s">
        <v>149</v>
      </c>
      <c r="C83" s="1518">
        <v>0</v>
      </c>
      <c r="E83" s="1519">
        <f t="shared" si="4"/>
        <v>0</v>
      </c>
    </row>
    <row r="84" spans="1:5">
      <c r="A84" s="1496">
        <v>70371</v>
      </c>
      <c r="B84" s="1497" t="s">
        <v>683</v>
      </c>
      <c r="C84" s="1518">
        <v>0</v>
      </c>
      <c r="E84" s="1519">
        <f t="shared" si="4"/>
        <v>0</v>
      </c>
    </row>
    <row r="85" spans="1:5">
      <c r="A85" s="1496">
        <v>70372</v>
      </c>
      <c r="B85" s="1497" t="s">
        <v>684</v>
      </c>
      <c r="C85" s="1518">
        <v>0</v>
      </c>
      <c r="E85" s="1519">
        <f t="shared" si="4"/>
        <v>0</v>
      </c>
    </row>
    <row r="86" spans="1:5">
      <c r="A86" s="1496">
        <v>70475</v>
      </c>
      <c r="B86" s="1497" t="s">
        <v>685</v>
      </c>
      <c r="C86" s="1518">
        <v>829051.18</v>
      </c>
      <c r="D86" s="1519">
        <f>-C86</f>
        <v>-829051.18</v>
      </c>
      <c r="E86" s="1519">
        <f t="shared" si="4"/>
        <v>0</v>
      </c>
    </row>
    <row r="87" spans="1:5">
      <c r="A87" s="1497"/>
      <c r="B87" s="1497" t="s">
        <v>686</v>
      </c>
      <c r="C87" s="1521">
        <f>SUM(C13:C86)</f>
        <v>138716678.50999999</v>
      </c>
      <c r="D87" s="1522">
        <f>SUM(D13:D86)</f>
        <v>-54525864.900116727</v>
      </c>
      <c r="E87" s="1521">
        <f>SUM(E13:E86)</f>
        <v>84190813.609883234</v>
      </c>
    </row>
    <row r="88" spans="1:5">
      <c r="A88" s="1497"/>
      <c r="B88" s="1497"/>
      <c r="C88" s="1523"/>
    </row>
    <row r="89" spans="1:5">
      <c r="A89" s="1497"/>
      <c r="B89" s="1498" t="s">
        <v>687</v>
      </c>
      <c r="C89" s="1523">
        <v>4630487873.8900003</v>
      </c>
      <c r="E89" s="1524">
        <f>C89</f>
        <v>4630487873.8900003</v>
      </c>
    </row>
    <row r="90" spans="1:5" ht="15.75" thickBot="1">
      <c r="A90" s="1497"/>
      <c r="B90" s="1497"/>
      <c r="C90" s="1525">
        <f>+C87/C89</f>
        <v>2.9957249060554452E-2</v>
      </c>
      <c r="E90" s="1525">
        <f>+E87/E89</f>
        <v>1.8181845175453584E-2</v>
      </c>
    </row>
    <row r="91" spans="1:5">
      <c r="A91" s="1496"/>
      <c r="B91" s="1497"/>
      <c r="C91" s="1520"/>
    </row>
    <row r="92" spans="1:5">
      <c r="A92" s="1496"/>
      <c r="B92" s="1497"/>
      <c r="C92" s="1520"/>
    </row>
    <row r="93" spans="1:5">
      <c r="A93" s="1496"/>
      <c r="B93" s="1499" t="s">
        <v>1403</v>
      </c>
      <c r="C93" s="1408">
        <f>+C94-C89</f>
        <v>-2239297838.7900004</v>
      </c>
    </row>
    <row r="94" spans="1:5">
      <c r="A94" s="1496"/>
      <c r="B94" s="1499" t="s">
        <v>1404</v>
      </c>
      <c r="C94" s="1526">
        <v>2391190035.0999999</v>
      </c>
    </row>
    <row r="95" spans="1:5" ht="15.75" thickBot="1">
      <c r="A95" s="1496"/>
      <c r="B95" s="1499" t="s">
        <v>1405</v>
      </c>
      <c r="C95" s="1527">
        <f>+C87/C94</f>
        <v>5.8011565987560181E-2</v>
      </c>
    </row>
    <row r="96" spans="1:5">
      <c r="A96" s="1496"/>
      <c r="B96" s="1497"/>
      <c r="C96" s="1520"/>
    </row>
    <row r="97" spans="1:6">
      <c r="A97" s="1496"/>
      <c r="B97" s="1497"/>
      <c r="C97" s="1520"/>
    </row>
    <row r="98" spans="1:6">
      <c r="A98" s="1496"/>
      <c r="B98" s="1497"/>
      <c r="C98" s="1520"/>
    </row>
    <row r="99" spans="1:6">
      <c r="A99" s="1496"/>
      <c r="B99" s="1497"/>
      <c r="C99" s="1520"/>
    </row>
    <row r="100" spans="1:6">
      <c r="A100" s="1496"/>
      <c r="B100" s="1497"/>
      <c r="C100" s="1520"/>
    </row>
    <row r="101" spans="1:6" s="1494" customFormat="1">
      <c r="A101" s="1496"/>
      <c r="B101" s="1500"/>
      <c r="C101" s="1528"/>
      <c r="D101" s="233"/>
      <c r="E101" s="233"/>
      <c r="F101" s="1536"/>
    </row>
    <row r="102" spans="1:6" s="1494" customFormat="1">
      <c r="A102" s="1496"/>
      <c r="B102" s="1500"/>
      <c r="C102" s="1528"/>
      <c r="D102" s="233"/>
      <c r="E102" s="233"/>
      <c r="F102" s="1536"/>
    </row>
    <row r="103" spans="1:6" s="1494" customFormat="1">
      <c r="A103" s="1496"/>
      <c r="B103" s="1500"/>
      <c r="C103" s="1528"/>
      <c r="D103" s="233"/>
      <c r="E103" s="233"/>
      <c r="F103" s="1536"/>
    </row>
    <row r="104" spans="1:6" s="1494" customFormat="1">
      <c r="A104" s="1496"/>
      <c r="B104" s="1500"/>
      <c r="C104" s="1528"/>
      <c r="D104" s="233"/>
      <c r="E104" s="233"/>
      <c r="F104" s="1536"/>
    </row>
    <row r="105" spans="1:6" s="1494" customFormat="1">
      <c r="A105" s="1496"/>
      <c r="B105" s="1500"/>
      <c r="C105" s="1528"/>
      <c r="D105" s="233"/>
      <c r="E105" s="233"/>
      <c r="F105" s="1536"/>
    </row>
    <row r="106" spans="1:6" s="1494" customFormat="1">
      <c r="A106" s="1496"/>
      <c r="B106" s="1500"/>
      <c r="C106" s="1528"/>
      <c r="D106" s="233"/>
      <c r="E106" s="233"/>
      <c r="F106" s="1536"/>
    </row>
    <row r="107" spans="1:6" s="1494" customFormat="1">
      <c r="A107" s="1496"/>
      <c r="B107" s="1500"/>
      <c r="C107" s="1528"/>
      <c r="D107" s="233"/>
      <c r="E107" s="233"/>
      <c r="F107" s="1536"/>
    </row>
    <row r="108" spans="1:6" s="1494" customFormat="1">
      <c r="A108" s="1496"/>
      <c r="B108" s="1500"/>
      <c r="C108" s="1528"/>
      <c r="D108" s="233"/>
      <c r="E108" s="233"/>
      <c r="F108" s="1536"/>
    </row>
    <row r="109" spans="1:6" s="1494" customFormat="1">
      <c r="A109" s="1496"/>
      <c r="B109" s="1500"/>
      <c r="C109" s="1528"/>
      <c r="D109" s="233"/>
      <c r="E109" s="233"/>
      <c r="F109" s="1536"/>
    </row>
    <row r="110" spans="1:6" s="1494" customFormat="1">
      <c r="A110" s="1496"/>
      <c r="B110" s="1500"/>
      <c r="C110" s="1528"/>
      <c r="D110" s="233"/>
      <c r="E110" s="233"/>
      <c r="F110" s="1536"/>
    </row>
    <row r="111" spans="1:6" s="1494" customFormat="1">
      <c r="A111" s="1496"/>
      <c r="B111" s="1500"/>
      <c r="C111" s="1528"/>
      <c r="D111" s="233"/>
      <c r="E111" s="233"/>
      <c r="F111" s="1536"/>
    </row>
    <row r="112" spans="1:6" s="1494" customFormat="1">
      <c r="A112" s="1496"/>
      <c r="B112" s="1500"/>
      <c r="C112" s="1528"/>
      <c r="D112" s="233"/>
      <c r="E112" s="233"/>
      <c r="F112" s="1536"/>
    </row>
    <row r="113" spans="1:6" s="1494" customFormat="1">
      <c r="A113" s="1496"/>
      <c r="B113" s="1500"/>
      <c r="C113" s="1528"/>
      <c r="D113" s="233"/>
      <c r="E113" s="233"/>
      <c r="F113" s="1536"/>
    </row>
    <row r="114" spans="1:6" s="1494" customFormat="1">
      <c r="A114" s="1496"/>
      <c r="B114" s="1500"/>
      <c r="C114" s="1528"/>
      <c r="D114" s="233"/>
      <c r="E114" s="233"/>
      <c r="F114" s="1536"/>
    </row>
    <row r="115" spans="1:6" s="1494" customFormat="1">
      <c r="A115" s="1496"/>
      <c r="B115" s="1500"/>
      <c r="C115" s="1528"/>
      <c r="D115" s="233"/>
      <c r="E115" s="233"/>
      <c r="F115" s="1536"/>
    </row>
    <row r="116" spans="1:6" s="1494" customFormat="1">
      <c r="A116" s="1496"/>
      <c r="B116" s="1500"/>
      <c r="C116" s="1528"/>
      <c r="D116" s="233"/>
      <c r="E116" s="233"/>
      <c r="F116" s="1536"/>
    </row>
    <row r="117" spans="1:6" s="1494" customFormat="1">
      <c r="A117" s="1496"/>
      <c r="B117" s="1500"/>
      <c r="C117" s="1528"/>
      <c r="D117" s="233"/>
      <c r="E117" s="233"/>
      <c r="F117" s="1536"/>
    </row>
    <row r="118" spans="1:6" s="1494" customFormat="1">
      <c r="A118" s="1496"/>
      <c r="B118" s="1500"/>
      <c r="C118" s="1528"/>
      <c r="D118" s="233"/>
      <c r="E118" s="233"/>
      <c r="F118" s="1536"/>
    </row>
    <row r="119" spans="1:6" s="1494" customFormat="1">
      <c r="A119" s="1496"/>
      <c r="B119" s="1500"/>
      <c r="C119" s="1528"/>
      <c r="D119" s="233"/>
      <c r="E119" s="233"/>
      <c r="F119" s="1536"/>
    </row>
    <row r="120" spans="1:6" s="1494" customFormat="1">
      <c r="A120" s="1496"/>
      <c r="B120" s="1500"/>
      <c r="C120" s="1528"/>
      <c r="D120" s="233"/>
      <c r="E120" s="233"/>
      <c r="F120" s="1536"/>
    </row>
    <row r="121" spans="1:6" s="1494" customFormat="1">
      <c r="A121" s="1496"/>
      <c r="B121" s="1500"/>
      <c r="C121" s="1528"/>
      <c r="D121" s="233"/>
      <c r="E121" s="233"/>
      <c r="F121" s="1536"/>
    </row>
    <row r="122" spans="1:6" s="1494" customFormat="1">
      <c r="A122" s="1496"/>
      <c r="B122" s="1500"/>
      <c r="C122" s="1528"/>
      <c r="D122" s="233"/>
      <c r="E122" s="233"/>
      <c r="F122" s="1536"/>
    </row>
    <row r="123" spans="1:6" s="1494" customFormat="1">
      <c r="A123" s="1496"/>
      <c r="B123" s="1500"/>
      <c r="C123" s="1528"/>
      <c r="D123" s="233"/>
      <c r="E123" s="233"/>
      <c r="F123" s="1536"/>
    </row>
    <row r="124" spans="1:6" s="1494" customFormat="1">
      <c r="A124" s="1496"/>
      <c r="B124" s="1500"/>
      <c r="C124" s="1528"/>
      <c r="D124" s="233"/>
      <c r="E124" s="233"/>
      <c r="F124" s="1536"/>
    </row>
    <row r="125" spans="1:6" s="1494" customFormat="1">
      <c r="A125" s="1496"/>
      <c r="B125" s="1500"/>
      <c r="C125" s="1528"/>
      <c r="D125" s="233"/>
      <c r="E125" s="233"/>
      <c r="F125" s="1536"/>
    </row>
    <row r="126" spans="1:6" s="1494" customFormat="1">
      <c r="A126" s="1496"/>
      <c r="B126" s="1500"/>
      <c r="C126" s="1528"/>
      <c r="D126" s="233"/>
      <c r="E126" s="233"/>
      <c r="F126" s="1536"/>
    </row>
    <row r="127" spans="1:6" s="1494" customFormat="1">
      <c r="A127" s="1496"/>
      <c r="B127" s="1500"/>
      <c r="C127" s="1528"/>
      <c r="D127" s="233"/>
      <c r="E127" s="233"/>
      <c r="F127" s="1536"/>
    </row>
    <row r="128" spans="1:6" s="1494" customFormat="1">
      <c r="A128" s="1496"/>
      <c r="B128" s="1500"/>
      <c r="C128" s="1528"/>
      <c r="D128" s="233"/>
      <c r="E128" s="233"/>
      <c r="F128" s="1536"/>
    </row>
    <row r="129" spans="1:6" s="1494" customFormat="1">
      <c r="A129" s="1496"/>
      <c r="B129" s="1500"/>
      <c r="C129" s="1528"/>
      <c r="D129" s="233"/>
      <c r="E129" s="233"/>
      <c r="F129" s="1536"/>
    </row>
    <row r="130" spans="1:6" s="1494" customFormat="1">
      <c r="A130" s="1496"/>
      <c r="B130" s="1500"/>
      <c r="C130" s="1528"/>
      <c r="D130" s="233"/>
      <c r="E130" s="233"/>
      <c r="F130" s="1536"/>
    </row>
    <row r="131" spans="1:6" s="1494" customFormat="1">
      <c r="A131" s="1496"/>
      <c r="B131" s="1500"/>
      <c r="C131" s="1528"/>
      <c r="D131" s="233"/>
      <c r="E131" s="233"/>
      <c r="F131" s="1536"/>
    </row>
    <row r="132" spans="1:6" s="1494" customFormat="1">
      <c r="A132" s="1496"/>
      <c r="B132" s="1500"/>
      <c r="C132" s="1528"/>
      <c r="D132" s="233"/>
      <c r="E132" s="233"/>
      <c r="F132" s="1536"/>
    </row>
    <row r="133" spans="1:6" s="1494" customFormat="1">
      <c r="A133" s="1501"/>
      <c r="B133" s="1500"/>
      <c r="C133" s="1500"/>
      <c r="D133" s="233"/>
      <c r="E133" s="233"/>
      <c r="F133" s="1536"/>
    </row>
    <row r="134" spans="1:6" s="1494" customFormat="1">
      <c r="A134" s="1500"/>
      <c r="B134" s="1500"/>
      <c r="C134" s="1500"/>
      <c r="D134" s="233"/>
      <c r="E134" s="233"/>
      <c r="F134" s="1536"/>
    </row>
    <row r="135" spans="1:6" s="1494" customFormat="1">
      <c r="A135" s="1501"/>
      <c r="B135" s="1500"/>
      <c r="C135" s="1500"/>
      <c r="D135" s="233"/>
      <c r="E135" s="233"/>
      <c r="F135" s="1536"/>
    </row>
    <row r="136" spans="1:6" s="1494" customFormat="1">
      <c r="A136" s="1496"/>
      <c r="B136" s="1500"/>
      <c r="C136" s="1528"/>
      <c r="D136" s="233"/>
      <c r="E136" s="233"/>
      <c r="F136" s="1536"/>
    </row>
    <row r="137" spans="1:6" s="1494" customFormat="1">
      <c r="A137" s="1496"/>
      <c r="B137" s="1500"/>
      <c r="C137" s="1528"/>
      <c r="D137" s="233"/>
      <c r="E137" s="233"/>
      <c r="F137" s="1536"/>
    </row>
    <row r="138" spans="1:6" s="1494" customFormat="1">
      <c r="A138" s="1496"/>
      <c r="B138" s="1500"/>
      <c r="C138" s="1528"/>
      <c r="D138" s="233"/>
      <c r="E138" s="233"/>
      <c r="F138" s="1536"/>
    </row>
    <row r="139" spans="1:6" s="1494" customFormat="1">
      <c r="A139" s="1496"/>
      <c r="B139" s="1500"/>
      <c r="C139" s="1528"/>
      <c r="D139" s="233"/>
      <c r="E139" s="233"/>
      <c r="F139" s="1536"/>
    </row>
    <row r="140" spans="1:6" s="1494" customFormat="1">
      <c r="A140" s="1496"/>
      <c r="B140" s="1500"/>
      <c r="C140" s="1528"/>
      <c r="D140" s="233"/>
      <c r="E140" s="233"/>
      <c r="F140" s="1536"/>
    </row>
    <row r="141" spans="1:6" s="1494" customFormat="1">
      <c r="A141" s="1496"/>
      <c r="B141" s="1500"/>
      <c r="C141" s="1528"/>
      <c r="D141" s="233"/>
      <c r="E141" s="233"/>
      <c r="F141" s="1536"/>
    </row>
    <row r="142" spans="1:6" s="1494" customFormat="1">
      <c r="A142" s="1496"/>
      <c r="B142" s="1500"/>
      <c r="C142" s="1528"/>
      <c r="D142" s="233"/>
      <c r="E142" s="233"/>
      <c r="F142" s="1536"/>
    </row>
    <row r="143" spans="1:6" s="1494" customFormat="1">
      <c r="A143" s="1496"/>
      <c r="B143" s="1500"/>
      <c r="C143" s="1528"/>
      <c r="D143" s="233"/>
      <c r="E143" s="233"/>
      <c r="F143" s="1536"/>
    </row>
    <row r="144" spans="1:6" s="1494" customFormat="1">
      <c r="A144" s="1496"/>
      <c r="B144" s="1500"/>
      <c r="C144" s="1528"/>
      <c r="D144" s="233"/>
      <c r="E144" s="233"/>
      <c r="F144" s="1536"/>
    </row>
    <row r="145" spans="1:6" s="1494" customFormat="1">
      <c r="A145" s="1496"/>
      <c r="B145" s="1500"/>
      <c r="C145" s="1528"/>
      <c r="D145" s="233"/>
      <c r="E145" s="233"/>
      <c r="F145" s="1536"/>
    </row>
    <row r="146" spans="1:6" s="1494" customFormat="1">
      <c r="A146" s="1496"/>
      <c r="B146" s="1500"/>
      <c r="C146" s="1528"/>
      <c r="D146" s="233"/>
      <c r="E146" s="233"/>
      <c r="F146" s="1536"/>
    </row>
    <row r="147" spans="1:6" s="1494" customFormat="1">
      <c r="A147" s="1496"/>
      <c r="B147" s="1500"/>
      <c r="C147" s="1528"/>
      <c r="D147" s="233"/>
      <c r="E147" s="233"/>
      <c r="F147" s="1536"/>
    </row>
    <row r="148" spans="1:6" s="1494" customFormat="1">
      <c r="A148" s="1496"/>
      <c r="B148" s="1500"/>
      <c r="C148" s="1528"/>
      <c r="D148" s="233"/>
      <c r="E148" s="233"/>
      <c r="F148" s="1536"/>
    </row>
    <row r="149" spans="1:6" s="1494" customFormat="1">
      <c r="A149" s="1496"/>
      <c r="B149" s="1500"/>
      <c r="C149" s="1528"/>
      <c r="D149" s="233"/>
      <c r="E149" s="233"/>
      <c r="F149" s="1536"/>
    </row>
    <row r="150" spans="1:6" s="1494" customFormat="1">
      <c r="A150" s="1496"/>
      <c r="B150" s="1500"/>
      <c r="C150" s="1528"/>
      <c r="D150" s="233"/>
      <c r="E150" s="233"/>
      <c r="F150" s="1536"/>
    </row>
    <row r="151" spans="1:6" s="1494" customFormat="1">
      <c r="A151" s="1496"/>
      <c r="B151" s="1500"/>
      <c r="C151" s="1528"/>
      <c r="D151" s="233"/>
      <c r="E151" s="233"/>
      <c r="F151" s="1536"/>
    </row>
    <row r="152" spans="1:6" s="1494" customFormat="1">
      <c r="A152" s="1496"/>
      <c r="B152" s="1500"/>
      <c r="C152" s="1528"/>
      <c r="D152" s="233"/>
      <c r="E152" s="233"/>
      <c r="F152" s="1536"/>
    </row>
    <row r="153" spans="1:6" s="1494" customFormat="1">
      <c r="A153" s="1496"/>
      <c r="B153" s="1500"/>
      <c r="C153" s="1528"/>
      <c r="D153" s="233"/>
      <c r="E153" s="233"/>
      <c r="F153" s="1536"/>
    </row>
    <row r="154" spans="1:6" s="1494" customFormat="1">
      <c r="A154" s="1496"/>
      <c r="B154" s="1500"/>
      <c r="C154" s="1528"/>
      <c r="D154" s="233"/>
      <c r="E154" s="233"/>
      <c r="F154" s="1536"/>
    </row>
    <row r="155" spans="1:6" s="1494" customFormat="1">
      <c r="A155" s="1496"/>
      <c r="B155" s="1500"/>
      <c r="C155" s="1528"/>
      <c r="D155" s="233"/>
      <c r="E155" s="233"/>
      <c r="F155" s="1536"/>
    </row>
    <row r="156" spans="1:6" s="1494" customFormat="1">
      <c r="A156" s="1496"/>
      <c r="B156" s="1500"/>
      <c r="C156" s="1528"/>
      <c r="D156" s="233"/>
      <c r="E156" s="233"/>
      <c r="F156" s="1536"/>
    </row>
    <row r="157" spans="1:6" s="1494" customFormat="1">
      <c r="A157" s="1496"/>
      <c r="B157" s="1500"/>
      <c r="C157" s="1528"/>
      <c r="D157" s="233"/>
      <c r="E157" s="233"/>
      <c r="F157" s="1536"/>
    </row>
    <row r="158" spans="1:6" s="1494" customFormat="1">
      <c r="A158" s="1496"/>
      <c r="B158" s="1500"/>
      <c r="C158" s="1528"/>
      <c r="D158" s="233"/>
      <c r="E158" s="233"/>
      <c r="F158" s="1536"/>
    </row>
    <row r="159" spans="1:6" s="1494" customFormat="1">
      <c r="A159" s="1496"/>
      <c r="B159" s="1500"/>
      <c r="C159" s="1528"/>
      <c r="D159" s="233"/>
      <c r="E159" s="233"/>
      <c r="F159" s="1536"/>
    </row>
    <row r="160" spans="1:6" s="1494" customFormat="1">
      <c r="A160" s="1496"/>
      <c r="B160" s="1500"/>
      <c r="C160" s="1528"/>
      <c r="D160" s="233"/>
      <c r="E160" s="233"/>
      <c r="F160" s="1536"/>
    </row>
    <row r="161" spans="1:6" s="1494" customFormat="1">
      <c r="A161" s="1496"/>
      <c r="B161" s="1500"/>
      <c r="C161" s="1528"/>
      <c r="D161" s="233"/>
      <c r="E161" s="233"/>
      <c r="F161" s="1536"/>
    </row>
    <row r="162" spans="1:6" s="1494" customFormat="1">
      <c r="A162" s="1496"/>
      <c r="B162" s="1500"/>
      <c r="C162" s="1528"/>
      <c r="D162" s="233"/>
      <c r="E162" s="233"/>
      <c r="F162" s="1536"/>
    </row>
    <row r="163" spans="1:6" s="1494" customFormat="1">
      <c r="A163" s="1496"/>
      <c r="B163" s="1500"/>
      <c r="C163" s="1528"/>
      <c r="D163" s="233"/>
      <c r="E163" s="233"/>
      <c r="F163" s="1536"/>
    </row>
    <row r="164" spans="1:6" s="1494" customFormat="1">
      <c r="A164" s="1496"/>
      <c r="B164" s="1500"/>
      <c r="C164" s="1528"/>
      <c r="D164" s="233"/>
      <c r="E164" s="233"/>
      <c r="F164" s="1536"/>
    </row>
    <row r="165" spans="1:6" s="1494" customFormat="1">
      <c r="A165" s="1496"/>
      <c r="B165" s="1500"/>
      <c r="C165" s="1528"/>
      <c r="D165" s="233"/>
      <c r="E165" s="233"/>
      <c r="F165" s="1536"/>
    </row>
    <row r="166" spans="1:6" s="1494" customFormat="1">
      <c r="A166" s="1496"/>
      <c r="B166" s="1500"/>
      <c r="C166" s="1528"/>
      <c r="D166" s="233"/>
      <c r="E166" s="233"/>
      <c r="F166" s="1536"/>
    </row>
    <row r="167" spans="1:6" s="1494" customFormat="1">
      <c r="A167" s="1501"/>
      <c r="B167" s="1500"/>
      <c r="C167" s="1500"/>
      <c r="D167" s="233"/>
      <c r="E167" s="233"/>
      <c r="F167" s="1536"/>
    </row>
    <row r="168" spans="1:6" s="1494" customFormat="1">
      <c r="A168" s="1501"/>
      <c r="B168" s="1500"/>
      <c r="C168" s="1500"/>
      <c r="D168" s="233"/>
      <c r="E168" s="233"/>
      <c r="F168" s="1536"/>
    </row>
    <row r="169" spans="1:6" s="1494" customFormat="1">
      <c r="A169" s="1501"/>
      <c r="B169" s="1500"/>
      <c r="C169" s="1500"/>
      <c r="D169" s="233"/>
      <c r="E169" s="233"/>
      <c r="F169" s="1536"/>
    </row>
    <row r="170" spans="1:6" s="1494" customFormat="1">
      <c r="A170" s="1496"/>
      <c r="B170" s="1500"/>
      <c r="C170" s="1528"/>
      <c r="D170" s="233"/>
      <c r="E170" s="233"/>
      <c r="F170" s="1536"/>
    </row>
    <row r="171" spans="1:6" s="1494" customFormat="1">
      <c r="A171" s="1496"/>
      <c r="B171" s="1500"/>
      <c r="C171" s="1528"/>
      <c r="D171" s="233"/>
      <c r="E171" s="233"/>
      <c r="F171" s="1536"/>
    </row>
    <row r="172" spans="1:6" s="1494" customFormat="1">
      <c r="A172" s="1496"/>
      <c r="B172" s="1500"/>
      <c r="C172" s="1528"/>
      <c r="D172" s="233"/>
      <c r="E172" s="233"/>
      <c r="F172" s="1536"/>
    </row>
    <row r="173" spans="1:6" s="1494" customFormat="1">
      <c r="A173" s="1496"/>
      <c r="B173" s="1500"/>
      <c r="C173" s="1528"/>
      <c r="D173" s="233"/>
      <c r="E173" s="233"/>
      <c r="F173" s="1536"/>
    </row>
    <row r="174" spans="1:6" s="1494" customFormat="1">
      <c r="A174" s="1496"/>
      <c r="B174" s="1500"/>
      <c r="C174" s="1528"/>
      <c r="D174" s="233"/>
      <c r="E174" s="233"/>
      <c r="F174" s="1536"/>
    </row>
    <row r="175" spans="1:6" s="1494" customFormat="1">
      <c r="A175" s="1496"/>
      <c r="B175" s="1500"/>
      <c r="C175" s="1528"/>
      <c r="D175" s="233"/>
      <c r="E175" s="233"/>
      <c r="F175" s="1536"/>
    </row>
    <row r="176" spans="1:6" s="1494" customFormat="1">
      <c r="A176" s="1496"/>
      <c r="B176" s="1500"/>
      <c r="C176" s="1528"/>
      <c r="D176" s="233"/>
      <c r="E176" s="233"/>
      <c r="F176" s="1536"/>
    </row>
    <row r="177" spans="1:6" s="1494" customFormat="1">
      <c r="A177" s="1496"/>
      <c r="B177" s="1500"/>
      <c r="C177" s="1528"/>
      <c r="D177" s="233"/>
      <c r="E177" s="233"/>
      <c r="F177" s="1536"/>
    </row>
    <row r="178" spans="1:6" s="1494" customFormat="1">
      <c r="A178" s="1496"/>
      <c r="B178" s="1500"/>
      <c r="C178" s="1528"/>
      <c r="D178" s="233"/>
      <c r="E178" s="233"/>
      <c r="F178" s="1536"/>
    </row>
    <row r="179" spans="1:6" s="1494" customFormat="1">
      <c r="A179" s="1496"/>
      <c r="B179" s="1500"/>
      <c r="C179" s="1528"/>
      <c r="D179" s="233"/>
      <c r="E179" s="233"/>
      <c r="F179" s="1536"/>
    </row>
    <row r="180" spans="1:6" s="1494" customFormat="1">
      <c r="A180" s="1496"/>
      <c r="B180" s="1500"/>
      <c r="C180" s="1528"/>
      <c r="D180" s="233"/>
      <c r="E180" s="233"/>
      <c r="F180" s="1536"/>
    </row>
    <row r="181" spans="1:6" s="1494" customFormat="1">
      <c r="A181" s="1496"/>
      <c r="B181" s="1500"/>
      <c r="C181" s="1528"/>
      <c r="D181" s="233"/>
      <c r="E181" s="233"/>
      <c r="F181" s="1536"/>
    </row>
    <row r="182" spans="1:6" s="1494" customFormat="1">
      <c r="A182" s="1496"/>
      <c r="B182" s="1500"/>
      <c r="C182" s="1528"/>
      <c r="D182" s="233"/>
      <c r="E182" s="233"/>
      <c r="F182" s="1536"/>
    </row>
    <row r="183" spans="1:6" s="1494" customFormat="1">
      <c r="A183" s="1496"/>
      <c r="B183" s="1500"/>
      <c r="C183" s="1528"/>
      <c r="D183" s="233"/>
      <c r="E183" s="233"/>
      <c r="F183" s="1536"/>
    </row>
    <row r="184" spans="1:6" s="1494" customFormat="1">
      <c r="A184" s="1496"/>
      <c r="B184" s="1500"/>
      <c r="C184" s="1528"/>
      <c r="D184" s="233"/>
      <c r="E184" s="233"/>
      <c r="F184" s="1536"/>
    </row>
    <row r="185" spans="1:6" s="1494" customFormat="1">
      <c r="A185" s="1496"/>
      <c r="B185" s="1500"/>
      <c r="C185" s="1528"/>
      <c r="D185" s="233"/>
      <c r="E185" s="233"/>
      <c r="F185" s="1536"/>
    </row>
    <row r="186" spans="1:6" s="1494" customFormat="1">
      <c r="A186" s="1496"/>
      <c r="B186" s="1500"/>
      <c r="C186" s="1528"/>
      <c r="D186" s="233"/>
      <c r="E186" s="233"/>
      <c r="F186" s="1536"/>
    </row>
    <row r="187" spans="1:6" s="1494" customFormat="1">
      <c r="A187" s="1496"/>
      <c r="B187" s="1500"/>
      <c r="C187" s="1528"/>
      <c r="D187" s="233"/>
      <c r="E187" s="233"/>
      <c r="F187" s="1536"/>
    </row>
    <row r="188" spans="1:6" s="1494" customFormat="1">
      <c r="A188" s="1496"/>
      <c r="B188" s="1500"/>
      <c r="C188" s="1528"/>
      <c r="D188" s="233"/>
      <c r="E188" s="233"/>
      <c r="F188" s="1536"/>
    </row>
    <row r="189" spans="1:6" s="1494" customFormat="1">
      <c r="A189" s="1496"/>
      <c r="B189" s="1500"/>
      <c r="C189" s="1528"/>
      <c r="D189" s="233"/>
      <c r="E189" s="233"/>
      <c r="F189" s="1536"/>
    </row>
    <row r="190" spans="1:6" s="1494" customFormat="1">
      <c r="A190" s="1496"/>
      <c r="B190" s="1500"/>
      <c r="C190" s="1528"/>
      <c r="D190" s="233"/>
      <c r="E190" s="233"/>
      <c r="F190" s="1536"/>
    </row>
    <row r="191" spans="1:6" s="1494" customFormat="1">
      <c r="A191" s="1496"/>
      <c r="B191" s="1500"/>
      <c r="C191" s="1528"/>
      <c r="D191" s="233"/>
      <c r="E191" s="233"/>
      <c r="F191" s="1536"/>
    </row>
    <row r="192" spans="1:6" s="1494" customFormat="1">
      <c r="A192" s="1496"/>
      <c r="B192" s="1500"/>
      <c r="C192" s="1528"/>
      <c r="D192" s="233"/>
      <c r="E192" s="233"/>
      <c r="F192" s="1536"/>
    </row>
    <row r="193" spans="1:6" s="1494" customFormat="1">
      <c r="A193" s="1496"/>
      <c r="B193" s="1500"/>
      <c r="C193" s="1528"/>
      <c r="D193" s="233"/>
      <c r="E193" s="233"/>
      <c r="F193" s="1536"/>
    </row>
    <row r="194" spans="1:6" s="1494" customFormat="1">
      <c r="A194" s="1496"/>
      <c r="B194" s="1500"/>
      <c r="C194" s="1528"/>
      <c r="D194" s="233"/>
      <c r="E194" s="233"/>
      <c r="F194" s="1536"/>
    </row>
    <row r="195" spans="1:6" s="1494" customFormat="1">
      <c r="A195" s="1496"/>
      <c r="B195" s="1500"/>
      <c r="C195" s="1528"/>
      <c r="D195" s="233"/>
      <c r="E195" s="233"/>
      <c r="F195" s="1536"/>
    </row>
    <row r="196" spans="1:6" s="1494" customFormat="1">
      <c r="A196" s="1496"/>
      <c r="B196" s="1500"/>
      <c r="C196" s="1528"/>
      <c r="D196" s="233"/>
      <c r="E196" s="233"/>
      <c r="F196" s="1536"/>
    </row>
    <row r="197" spans="1:6" s="1494" customFormat="1">
      <c r="A197" s="1496"/>
      <c r="B197" s="1500"/>
      <c r="C197" s="1528"/>
      <c r="D197" s="233"/>
      <c r="E197" s="233"/>
      <c r="F197" s="1536"/>
    </row>
    <row r="198" spans="1:6" s="1494" customFormat="1">
      <c r="A198" s="1496"/>
      <c r="B198" s="1500"/>
      <c r="C198" s="1528"/>
      <c r="D198" s="233"/>
      <c r="E198" s="233"/>
      <c r="F198" s="1536"/>
    </row>
    <row r="199" spans="1:6" s="1494" customFormat="1">
      <c r="A199" s="1496"/>
      <c r="B199" s="1500"/>
      <c r="C199" s="1528"/>
      <c r="D199" s="233"/>
      <c r="E199" s="233"/>
      <c r="F199" s="1536"/>
    </row>
    <row r="200" spans="1:6" s="1494" customFormat="1">
      <c r="A200" s="1496"/>
      <c r="B200" s="1500"/>
      <c r="C200" s="1528"/>
      <c r="D200" s="233"/>
      <c r="E200" s="233"/>
      <c r="F200" s="1536"/>
    </row>
    <row r="201" spans="1:6" s="1494" customFormat="1">
      <c r="A201" s="1496"/>
      <c r="B201" s="1500"/>
      <c r="C201" s="1528"/>
      <c r="D201" s="233"/>
      <c r="E201" s="233"/>
      <c r="F201" s="1536"/>
    </row>
    <row r="202" spans="1:6" s="1494" customFormat="1">
      <c r="A202" s="1496"/>
      <c r="B202" s="1500"/>
      <c r="C202" s="1528"/>
      <c r="D202" s="233"/>
      <c r="E202" s="233"/>
      <c r="F202" s="1536"/>
    </row>
    <row r="203" spans="1:6" s="1494" customFormat="1">
      <c r="A203" s="1496"/>
      <c r="B203" s="1500"/>
      <c r="C203" s="1528"/>
      <c r="D203" s="233"/>
      <c r="E203" s="233"/>
      <c r="F203" s="1536"/>
    </row>
    <row r="204" spans="1:6" s="1494" customFormat="1">
      <c r="A204" s="1496"/>
      <c r="B204" s="1500"/>
      <c r="C204" s="1528"/>
      <c r="D204" s="233"/>
      <c r="E204" s="233"/>
      <c r="F204" s="1536"/>
    </row>
    <row r="205" spans="1:6" s="1494" customFormat="1">
      <c r="A205" s="1496"/>
      <c r="B205" s="1500"/>
      <c r="C205" s="1528"/>
      <c r="D205" s="233"/>
      <c r="E205" s="233"/>
      <c r="F205" s="1536"/>
    </row>
    <row r="206" spans="1:6" s="1494" customFormat="1">
      <c r="A206" s="1496"/>
      <c r="B206" s="1500"/>
      <c r="C206" s="1528"/>
      <c r="D206" s="233"/>
      <c r="E206" s="233"/>
      <c r="F206" s="1536"/>
    </row>
    <row r="207" spans="1:6" s="1494" customFormat="1">
      <c r="A207" s="1496"/>
      <c r="B207" s="1500"/>
      <c r="C207" s="1528"/>
      <c r="D207" s="233"/>
      <c r="E207" s="233"/>
      <c r="F207" s="1536"/>
    </row>
    <row r="208" spans="1:6" s="1494" customFormat="1">
      <c r="A208" s="1496"/>
      <c r="B208" s="1500"/>
      <c r="C208" s="1528"/>
      <c r="D208" s="233"/>
      <c r="E208" s="233"/>
      <c r="F208" s="1536"/>
    </row>
    <row r="209" spans="1:6" s="1494" customFormat="1">
      <c r="A209" s="1496"/>
      <c r="B209" s="1500"/>
      <c r="C209" s="1528"/>
      <c r="D209" s="233"/>
      <c r="E209" s="233"/>
      <c r="F209" s="1536"/>
    </row>
    <row r="210" spans="1:6" s="1494" customFormat="1">
      <c r="A210" s="1496"/>
      <c r="B210" s="233"/>
      <c r="C210" s="1528"/>
      <c r="D210" s="233"/>
      <c r="E210" s="233"/>
      <c r="F210" s="1536"/>
    </row>
    <row r="211" spans="1:6" s="1494" customFormat="1">
      <c r="A211" s="1501"/>
      <c r="B211" s="1500"/>
      <c r="C211" s="1500"/>
      <c r="D211" s="233"/>
      <c r="E211" s="233"/>
      <c r="F211" s="1536"/>
    </row>
    <row r="212" spans="1:6" s="1494" customFormat="1">
      <c r="A212" s="1501"/>
      <c r="B212" s="1500"/>
      <c r="C212" s="1500"/>
      <c r="D212" s="233"/>
      <c r="E212" s="233"/>
      <c r="F212" s="1536"/>
    </row>
    <row r="213" spans="1:6" s="1494" customFormat="1">
      <c r="A213" s="1501"/>
      <c r="B213" s="1500"/>
      <c r="C213" s="1500"/>
      <c r="D213" s="233"/>
      <c r="E213" s="233"/>
      <c r="F213" s="1536"/>
    </row>
    <row r="214" spans="1:6" s="1494" customFormat="1">
      <c r="A214" s="1496"/>
      <c r="B214" s="1500"/>
      <c r="C214" s="1528"/>
      <c r="D214" s="233"/>
      <c r="E214" s="233"/>
      <c r="F214" s="1536"/>
    </row>
    <row r="215" spans="1:6" s="1494" customFormat="1">
      <c r="A215" s="1496"/>
      <c r="B215" s="1500"/>
      <c r="C215" s="1528"/>
      <c r="D215" s="233"/>
      <c r="E215" s="233"/>
      <c r="F215" s="1536"/>
    </row>
    <row r="216" spans="1:6" s="1494" customFormat="1">
      <c r="A216" s="1496"/>
      <c r="B216" s="1500"/>
      <c r="C216" s="1528"/>
      <c r="D216" s="233"/>
      <c r="E216" s="233"/>
      <c r="F216" s="1536"/>
    </row>
    <row r="217" spans="1:6" s="1494" customFormat="1">
      <c r="A217" s="1496"/>
      <c r="B217" s="1500"/>
      <c r="C217" s="1528"/>
      <c r="D217" s="233"/>
      <c r="E217" s="233"/>
      <c r="F217" s="1536"/>
    </row>
    <row r="218" spans="1:6" s="1494" customFormat="1">
      <c r="A218" s="1496"/>
      <c r="B218" s="1500"/>
      <c r="C218" s="1528"/>
      <c r="D218" s="233"/>
      <c r="E218" s="233"/>
      <c r="F218" s="1536"/>
    </row>
    <row r="219" spans="1:6" s="1494" customFormat="1">
      <c r="A219" s="1496"/>
      <c r="B219" s="1500"/>
      <c r="C219" s="1528"/>
      <c r="D219" s="233"/>
      <c r="E219" s="233"/>
      <c r="F219" s="1536"/>
    </row>
    <row r="220" spans="1:6" s="1494" customFormat="1">
      <c r="A220" s="1496"/>
      <c r="B220" s="1500"/>
      <c r="C220" s="1528"/>
      <c r="D220" s="233"/>
      <c r="E220" s="233"/>
      <c r="F220" s="1536"/>
    </row>
    <row r="221" spans="1:6" s="1494" customFormat="1">
      <c r="A221" s="1496"/>
      <c r="B221" s="1500"/>
      <c r="C221" s="1528"/>
      <c r="D221" s="233"/>
      <c r="E221" s="233"/>
      <c r="F221" s="1536"/>
    </row>
    <row r="222" spans="1:6" s="1494" customFormat="1">
      <c r="A222" s="1496"/>
      <c r="B222" s="1500"/>
      <c r="C222" s="1528"/>
      <c r="D222" s="233"/>
      <c r="E222" s="233"/>
      <c r="F222" s="1536"/>
    </row>
    <row r="223" spans="1:6" s="1494" customFormat="1">
      <c r="A223" s="1496"/>
      <c r="B223" s="1500"/>
      <c r="C223" s="1528"/>
      <c r="D223" s="233"/>
      <c r="E223" s="233"/>
      <c r="F223" s="1536"/>
    </row>
    <row r="224" spans="1:6" s="1494" customFormat="1">
      <c r="A224" s="1496"/>
      <c r="B224" s="1500"/>
      <c r="C224" s="1528"/>
      <c r="D224" s="233"/>
      <c r="E224" s="233"/>
      <c r="F224" s="1536"/>
    </row>
    <row r="225" spans="1:6" s="1494" customFormat="1">
      <c r="A225" s="1496"/>
      <c r="B225" s="1500"/>
      <c r="C225" s="1528"/>
      <c r="D225" s="233"/>
      <c r="E225" s="233"/>
      <c r="F225" s="1536"/>
    </row>
    <row r="226" spans="1:6" s="1494" customFormat="1">
      <c r="A226" s="1496"/>
      <c r="B226" s="1500"/>
      <c r="C226" s="1528"/>
      <c r="D226" s="233"/>
      <c r="E226" s="233"/>
      <c r="F226" s="1536"/>
    </row>
    <row r="227" spans="1:6" s="1494" customFormat="1">
      <c r="A227" s="1496"/>
      <c r="B227" s="1500"/>
      <c r="C227" s="1528"/>
      <c r="D227" s="233"/>
      <c r="E227" s="233"/>
      <c r="F227" s="1536"/>
    </row>
    <row r="228" spans="1:6" s="1494" customFormat="1">
      <c r="A228" s="1496"/>
      <c r="B228" s="1500"/>
      <c r="C228" s="1528"/>
      <c r="D228" s="233"/>
      <c r="E228" s="233"/>
      <c r="F228" s="1536"/>
    </row>
    <row r="229" spans="1:6" s="1494" customFormat="1" ht="87" customHeight="1">
      <c r="A229" s="1496"/>
      <c r="B229" s="1500"/>
      <c r="C229" s="1528"/>
      <c r="D229" s="233"/>
      <c r="E229" s="233"/>
      <c r="F229" s="1536"/>
    </row>
    <row r="230" spans="1:6" s="1494" customFormat="1">
      <c r="A230" s="1496"/>
      <c r="B230" s="1500"/>
      <c r="C230" s="1528"/>
      <c r="D230" s="233"/>
      <c r="E230" s="233"/>
      <c r="F230" s="1536"/>
    </row>
    <row r="231" spans="1:6" s="1494" customFormat="1">
      <c r="A231" s="1496"/>
      <c r="B231" s="1500"/>
      <c r="C231" s="1528"/>
      <c r="D231" s="233"/>
      <c r="E231" s="233"/>
      <c r="F231" s="1536"/>
    </row>
    <row r="232" spans="1:6" s="1494" customFormat="1">
      <c r="A232" s="1496"/>
      <c r="B232" s="1500"/>
      <c r="C232" s="1528"/>
      <c r="D232" s="233"/>
      <c r="E232" s="233"/>
      <c r="F232" s="1536"/>
    </row>
    <row r="233" spans="1:6" s="1494" customFormat="1">
      <c r="A233" s="1496"/>
      <c r="B233" s="1500"/>
      <c r="C233" s="1528"/>
      <c r="D233" s="233"/>
      <c r="E233" s="233"/>
      <c r="F233" s="1536"/>
    </row>
    <row r="234" spans="1:6" s="1494" customFormat="1">
      <c r="A234" s="1496"/>
      <c r="B234" s="1500"/>
      <c r="C234" s="1528"/>
      <c r="D234" s="233"/>
      <c r="E234" s="233"/>
      <c r="F234" s="1536"/>
    </row>
    <row r="235" spans="1:6" s="1494" customFormat="1">
      <c r="A235" s="1496"/>
      <c r="B235" s="1500"/>
      <c r="C235" s="1528"/>
      <c r="D235" s="233"/>
      <c r="E235" s="233"/>
      <c r="F235" s="1536"/>
    </row>
    <row r="236" spans="1:6" s="1494" customFormat="1">
      <c r="A236" s="1496"/>
      <c r="B236" s="1500"/>
      <c r="C236" s="1528"/>
      <c r="D236" s="233"/>
      <c r="E236" s="233"/>
      <c r="F236" s="1536"/>
    </row>
    <row r="237" spans="1:6" s="1494" customFormat="1">
      <c r="A237" s="1496"/>
      <c r="B237" s="1500"/>
      <c r="C237" s="1528"/>
      <c r="D237" s="233"/>
      <c r="E237" s="233"/>
      <c r="F237" s="1536"/>
    </row>
    <row r="238" spans="1:6" s="1494" customFormat="1">
      <c r="A238" s="1496"/>
      <c r="B238" s="1500"/>
      <c r="C238" s="1528"/>
      <c r="D238" s="233"/>
      <c r="E238" s="233"/>
      <c r="F238" s="1536"/>
    </row>
    <row r="239" spans="1:6" s="1494" customFormat="1">
      <c r="A239" s="1496"/>
      <c r="B239" s="1500"/>
      <c r="C239" s="1528"/>
      <c r="D239" s="233"/>
      <c r="E239" s="233"/>
      <c r="F239" s="1536"/>
    </row>
    <row r="240" spans="1:6" s="1494" customFormat="1">
      <c r="A240" s="1496"/>
      <c r="B240" s="1500"/>
      <c r="C240" s="1528"/>
      <c r="D240" s="233"/>
      <c r="E240" s="233"/>
      <c r="F240" s="1536"/>
    </row>
    <row r="241" spans="1:6" s="1494" customFormat="1">
      <c r="A241" s="1496"/>
      <c r="B241" s="1500"/>
      <c r="C241" s="1528"/>
      <c r="D241" s="233"/>
      <c r="E241" s="233"/>
      <c r="F241" s="1536"/>
    </row>
    <row r="242" spans="1:6" s="1494" customFormat="1">
      <c r="A242" s="1502"/>
      <c r="B242" s="1502"/>
      <c r="C242" s="1528"/>
      <c r="D242" s="233"/>
      <c r="E242" s="233"/>
      <c r="F242" s="1536"/>
    </row>
    <row r="243" spans="1:6" s="1494" customFormat="1">
      <c r="A243" s="1496"/>
      <c r="B243" s="1500"/>
      <c r="C243" s="1528"/>
      <c r="D243" s="233"/>
      <c r="E243" s="233"/>
      <c r="F243" s="1536"/>
    </row>
    <row r="244" spans="1:6" s="1494" customFormat="1">
      <c r="A244" s="1496"/>
      <c r="B244" s="1500"/>
      <c r="C244" s="1528"/>
      <c r="D244" s="233"/>
      <c r="E244" s="233"/>
      <c r="F244" s="1536"/>
    </row>
    <row r="245" spans="1:6" s="1494" customFormat="1">
      <c r="A245" s="1496"/>
      <c r="B245" s="1500"/>
      <c r="C245" s="1528"/>
      <c r="D245" s="233"/>
      <c r="E245" s="233"/>
      <c r="F245" s="1536"/>
    </row>
    <row r="246" spans="1:6" s="1494" customFormat="1">
      <c r="A246" s="1496"/>
      <c r="B246" s="1500"/>
      <c r="C246" s="1528"/>
      <c r="D246" s="233"/>
      <c r="E246" s="233"/>
      <c r="F246" s="1536"/>
    </row>
    <row r="247" spans="1:6" s="1494" customFormat="1">
      <c r="A247" s="1496"/>
      <c r="B247" s="1500"/>
      <c r="C247" s="1528"/>
      <c r="D247" s="233"/>
      <c r="E247" s="233"/>
      <c r="F247" s="1536"/>
    </row>
    <row r="248" spans="1:6" s="1494" customFormat="1">
      <c r="A248" s="1496"/>
      <c r="B248" s="1500"/>
      <c r="C248" s="1528"/>
      <c r="D248" s="233"/>
      <c r="E248" s="233"/>
      <c r="F248" s="1536"/>
    </row>
    <row r="249" spans="1:6" s="1494" customFormat="1">
      <c r="A249" s="1496"/>
      <c r="B249" s="1500"/>
      <c r="C249" s="1528"/>
      <c r="D249" s="233"/>
      <c r="E249" s="233"/>
      <c r="F249" s="1536"/>
    </row>
    <row r="250" spans="1:6" s="1494" customFormat="1">
      <c r="A250" s="1496"/>
      <c r="B250" s="1500"/>
      <c r="C250" s="1528"/>
      <c r="D250" s="233"/>
      <c r="E250" s="233"/>
      <c r="F250" s="1536"/>
    </row>
    <row r="251" spans="1:6" s="1494" customFormat="1">
      <c r="A251" s="1496"/>
      <c r="B251" s="1500"/>
      <c r="C251" s="1528"/>
      <c r="D251" s="233"/>
      <c r="E251" s="233"/>
      <c r="F251" s="1536"/>
    </row>
    <row r="252" spans="1:6" s="1494" customFormat="1">
      <c r="A252" s="1496"/>
      <c r="B252" s="1500"/>
      <c r="C252" s="1528"/>
      <c r="D252" s="233"/>
      <c r="E252" s="233"/>
      <c r="F252" s="1536"/>
    </row>
    <row r="253" spans="1:6" s="1494" customFormat="1">
      <c r="A253" s="1496"/>
      <c r="B253" s="1500"/>
      <c r="C253" s="1528"/>
      <c r="D253" s="233"/>
      <c r="E253" s="233"/>
      <c r="F253" s="1536"/>
    </row>
    <row r="254" spans="1:6" s="1494" customFormat="1">
      <c r="A254" s="1496"/>
      <c r="B254" s="1500"/>
      <c r="C254" s="1528"/>
      <c r="D254" s="233"/>
      <c r="E254" s="233"/>
      <c r="F254" s="1536"/>
    </row>
    <row r="255" spans="1:6" s="1494" customFormat="1">
      <c r="A255" s="1496"/>
      <c r="B255" s="1500"/>
      <c r="C255" s="1528"/>
      <c r="D255" s="233"/>
      <c r="E255" s="233"/>
      <c r="F255" s="1536"/>
    </row>
    <row r="256" spans="1:6" s="1494" customFormat="1">
      <c r="A256" s="1496"/>
      <c r="B256" s="1500"/>
      <c r="C256" s="1528"/>
      <c r="D256" s="233"/>
      <c r="E256" s="233"/>
      <c r="F256" s="1536"/>
    </row>
    <row r="257" spans="1:6" s="1494" customFormat="1">
      <c r="A257" s="1496"/>
      <c r="B257" s="1500"/>
      <c r="C257" s="1528"/>
      <c r="D257" s="233"/>
      <c r="E257" s="233"/>
      <c r="F257" s="1536"/>
    </row>
    <row r="258" spans="1:6" s="1494" customFormat="1">
      <c r="A258" s="1496"/>
      <c r="B258" s="1500"/>
      <c r="C258" s="1528"/>
      <c r="D258" s="233"/>
      <c r="E258" s="233"/>
      <c r="F258" s="1536"/>
    </row>
    <row r="259" spans="1:6" s="1494" customFormat="1">
      <c r="A259" s="1496"/>
      <c r="B259" s="1500"/>
      <c r="C259" s="1528"/>
      <c r="D259" s="233"/>
      <c r="E259" s="233"/>
      <c r="F259" s="1536"/>
    </row>
    <row r="260" spans="1:6" s="1494" customFormat="1">
      <c r="A260" s="1496"/>
      <c r="B260" s="1500"/>
      <c r="C260" s="1528"/>
      <c r="D260" s="233"/>
      <c r="E260" s="233"/>
      <c r="F260" s="1536"/>
    </row>
    <row r="261" spans="1:6" s="1494" customFormat="1">
      <c r="A261" s="1496"/>
      <c r="B261" s="1500"/>
      <c r="C261" s="1528"/>
      <c r="D261" s="233"/>
      <c r="E261" s="233"/>
      <c r="F261" s="1536"/>
    </row>
    <row r="262" spans="1:6" s="1494" customFormat="1">
      <c r="A262" s="1496"/>
      <c r="B262" s="1500"/>
      <c r="C262" s="1528"/>
      <c r="D262" s="233"/>
      <c r="E262" s="233"/>
      <c r="F262" s="1536"/>
    </row>
    <row r="263" spans="1:6" s="1494" customFormat="1">
      <c r="A263" s="1496"/>
      <c r="B263" s="1500"/>
      <c r="C263" s="1528"/>
      <c r="D263" s="233"/>
      <c r="E263" s="233"/>
      <c r="F263" s="1536"/>
    </row>
    <row r="264" spans="1:6" s="1494" customFormat="1">
      <c r="A264" s="1496"/>
      <c r="B264" s="1500"/>
      <c r="C264" s="1528"/>
      <c r="D264" s="233"/>
      <c r="E264" s="233"/>
      <c r="F264" s="1536"/>
    </row>
    <row r="265" spans="1:6" s="1494" customFormat="1">
      <c r="A265" s="1502"/>
      <c r="B265" s="1502"/>
      <c r="C265" s="1528"/>
      <c r="D265" s="233"/>
      <c r="E265" s="233"/>
      <c r="F265" s="1536"/>
    </row>
    <row r="266" spans="1:6" s="1494" customFormat="1">
      <c r="A266" s="1502"/>
      <c r="B266" s="1502"/>
      <c r="C266" s="1528"/>
      <c r="D266" s="233"/>
      <c r="E266" s="233"/>
      <c r="F266" s="1536"/>
    </row>
    <row r="267" spans="1:6" s="1494" customFormat="1">
      <c r="A267" s="1496"/>
      <c r="B267" s="1500"/>
      <c r="C267" s="1528"/>
      <c r="D267" s="233"/>
      <c r="E267" s="233"/>
      <c r="F267" s="1536"/>
    </row>
    <row r="268" spans="1:6" s="1494" customFormat="1">
      <c r="A268" s="1496"/>
      <c r="B268" s="1500"/>
      <c r="C268" s="1528"/>
      <c r="D268" s="233"/>
      <c r="E268" s="233"/>
      <c r="F268" s="1536"/>
    </row>
    <row r="269" spans="1:6" s="1494" customFormat="1">
      <c r="A269" s="1496"/>
      <c r="B269" s="1500"/>
      <c r="C269" s="1528"/>
      <c r="D269" s="233"/>
      <c r="E269" s="233"/>
      <c r="F269" s="1536"/>
    </row>
    <row r="270" spans="1:6" s="1494" customFormat="1">
      <c r="A270" s="1496"/>
      <c r="B270" s="1500"/>
      <c r="C270" s="1528"/>
      <c r="D270" s="233"/>
      <c r="E270" s="233"/>
      <c r="F270" s="1536"/>
    </row>
    <row r="271" spans="1:6" s="1494" customFormat="1">
      <c r="A271" s="1496"/>
      <c r="B271" s="1500"/>
      <c r="C271" s="1528"/>
      <c r="D271" s="233"/>
      <c r="E271" s="233"/>
      <c r="F271" s="1536"/>
    </row>
    <row r="272" spans="1:6" s="1494" customFormat="1">
      <c r="A272" s="1501"/>
      <c r="B272" s="1500"/>
      <c r="C272" s="1500"/>
      <c r="D272" s="233"/>
      <c r="E272" s="233"/>
      <c r="F272" s="1536"/>
    </row>
    <row r="273" spans="1:6" s="1494" customFormat="1">
      <c r="A273" s="1503"/>
      <c r="B273" s="1503"/>
      <c r="C273" s="1503"/>
      <c r="D273" s="233"/>
      <c r="E273" s="233"/>
      <c r="F273" s="1536"/>
    </row>
    <row r="274" spans="1:6" s="1494" customFormat="1">
      <c r="A274" s="1501"/>
      <c r="B274" s="1500"/>
      <c r="C274" s="1500"/>
      <c r="D274" s="233"/>
      <c r="E274" s="233"/>
      <c r="F274" s="1536"/>
    </row>
    <row r="275" spans="1:6" s="1494" customFormat="1">
      <c r="A275" s="1496"/>
      <c r="B275" s="1500"/>
      <c r="C275" s="1528"/>
      <c r="D275" s="233"/>
      <c r="E275" s="233"/>
      <c r="F275" s="1536"/>
    </row>
    <row r="276" spans="1:6" s="1494" customFormat="1">
      <c r="A276" s="1496"/>
      <c r="B276" s="1500"/>
      <c r="C276" s="1528"/>
      <c r="D276" s="233"/>
      <c r="E276" s="233"/>
      <c r="F276" s="1536"/>
    </row>
    <row r="277" spans="1:6" s="1494" customFormat="1">
      <c r="A277" s="1496"/>
      <c r="B277" s="1500"/>
      <c r="C277" s="1528"/>
      <c r="D277" s="233"/>
      <c r="E277" s="233"/>
      <c r="F277" s="1536"/>
    </row>
    <row r="278" spans="1:6" s="1494" customFormat="1">
      <c r="A278" s="1496"/>
      <c r="B278" s="1500"/>
      <c r="C278" s="1528"/>
      <c r="D278" s="233"/>
      <c r="E278" s="233"/>
      <c r="F278" s="1536"/>
    </row>
    <row r="279" spans="1:6" s="1494" customFormat="1">
      <c r="A279" s="1496"/>
      <c r="B279" s="1500"/>
      <c r="C279" s="1528"/>
      <c r="D279" s="233"/>
      <c r="E279" s="233"/>
      <c r="F279" s="1536"/>
    </row>
    <row r="280" spans="1:6" s="1494" customFormat="1">
      <c r="A280" s="1496"/>
      <c r="B280" s="1500"/>
      <c r="C280" s="1528"/>
      <c r="D280" s="233"/>
      <c r="E280" s="233"/>
      <c r="F280" s="1536"/>
    </row>
    <row r="281" spans="1:6" s="1494" customFormat="1">
      <c r="A281" s="1496"/>
      <c r="B281" s="1500"/>
      <c r="C281" s="1528"/>
      <c r="D281" s="233"/>
      <c r="E281" s="233"/>
      <c r="F281" s="1536"/>
    </row>
    <row r="282" spans="1:6" s="1494" customFormat="1">
      <c r="A282" s="1496"/>
      <c r="B282" s="1500"/>
      <c r="C282" s="1528"/>
      <c r="D282" s="233"/>
      <c r="E282" s="233"/>
      <c r="F282" s="1536"/>
    </row>
    <row r="283" spans="1:6" s="1494" customFormat="1">
      <c r="A283" s="1496"/>
      <c r="B283" s="1500"/>
      <c r="C283" s="1528"/>
      <c r="D283" s="233"/>
      <c r="E283" s="233"/>
      <c r="F283" s="1536"/>
    </row>
    <row r="284" spans="1:6" s="1494" customFormat="1">
      <c r="A284" s="1496"/>
      <c r="B284" s="1500"/>
      <c r="C284" s="1528"/>
      <c r="D284" s="233"/>
      <c r="E284" s="233"/>
      <c r="F284" s="1536"/>
    </row>
    <row r="285" spans="1:6" s="1494" customFormat="1">
      <c r="A285" s="1496"/>
      <c r="B285" s="1500"/>
      <c r="C285" s="1528"/>
      <c r="D285" s="233"/>
      <c r="E285" s="233"/>
      <c r="F285" s="1536"/>
    </row>
    <row r="286" spans="1:6" s="1494" customFormat="1">
      <c r="A286" s="1496"/>
      <c r="B286" s="1500"/>
      <c r="C286" s="1528"/>
      <c r="D286" s="233"/>
      <c r="E286" s="233"/>
      <c r="F286" s="1536"/>
    </row>
    <row r="287" spans="1:6" s="1494" customFormat="1">
      <c r="A287" s="1496"/>
      <c r="B287" s="1500"/>
      <c r="C287" s="1528"/>
      <c r="D287" s="233"/>
      <c r="E287" s="233"/>
      <c r="F287" s="1536"/>
    </row>
    <row r="288" spans="1:6" s="1494" customFormat="1">
      <c r="A288" s="1496"/>
      <c r="B288" s="1500"/>
      <c r="C288" s="1528"/>
      <c r="D288" s="233"/>
      <c r="E288" s="233"/>
      <c r="F288" s="1536"/>
    </row>
    <row r="289" spans="1:6" s="1494" customFormat="1">
      <c r="A289" s="1496"/>
      <c r="B289" s="1500"/>
      <c r="C289" s="1528"/>
      <c r="D289" s="233"/>
      <c r="E289" s="233"/>
      <c r="F289" s="1536"/>
    </row>
    <row r="290" spans="1:6" s="1494" customFormat="1">
      <c r="A290" s="1496"/>
      <c r="B290" s="1500"/>
      <c r="C290" s="1528"/>
      <c r="D290" s="233"/>
      <c r="E290" s="233"/>
      <c r="F290" s="1536"/>
    </row>
    <row r="291" spans="1:6" s="1494" customFormat="1">
      <c r="A291" s="1496"/>
      <c r="B291" s="1500"/>
      <c r="C291" s="1528"/>
      <c r="D291" s="233"/>
      <c r="E291" s="233"/>
      <c r="F291" s="1536"/>
    </row>
    <row r="292" spans="1:6" s="1494" customFormat="1">
      <c r="A292" s="1496"/>
      <c r="B292" s="1500"/>
      <c r="C292" s="1528"/>
      <c r="D292" s="233"/>
      <c r="E292" s="233"/>
      <c r="F292" s="1536"/>
    </row>
    <row r="293" spans="1:6" s="1494" customFormat="1">
      <c r="A293" s="1496"/>
      <c r="B293" s="1500"/>
      <c r="C293" s="1528"/>
      <c r="D293" s="233"/>
      <c r="E293" s="233"/>
      <c r="F293" s="1536"/>
    </row>
    <row r="294" spans="1:6" s="1494" customFormat="1">
      <c r="A294" s="1496"/>
      <c r="B294" s="1500"/>
      <c r="C294" s="1528"/>
      <c r="D294" s="233"/>
      <c r="E294" s="233"/>
      <c r="F294" s="1536"/>
    </row>
    <row r="295" spans="1:6" s="1494" customFormat="1">
      <c r="A295" s="1496"/>
      <c r="B295" s="1500"/>
      <c r="C295" s="1528"/>
      <c r="D295" s="233"/>
      <c r="E295" s="233"/>
      <c r="F295" s="1536"/>
    </row>
    <row r="296" spans="1:6" s="1494" customFormat="1">
      <c r="A296" s="1496"/>
      <c r="B296" s="1500"/>
      <c r="C296" s="1528"/>
      <c r="D296" s="233"/>
      <c r="E296" s="233"/>
      <c r="F296" s="1536"/>
    </row>
    <row r="297" spans="1:6" s="1494" customFormat="1">
      <c r="A297" s="1496"/>
      <c r="B297" s="1500"/>
      <c r="C297" s="1528"/>
      <c r="D297" s="233"/>
      <c r="E297" s="233"/>
      <c r="F297" s="1536"/>
    </row>
    <row r="298" spans="1:6" s="1494" customFormat="1">
      <c r="A298" s="1496"/>
      <c r="B298" s="1500"/>
      <c r="C298" s="1528"/>
      <c r="D298" s="233"/>
      <c r="E298" s="233"/>
      <c r="F298" s="1536"/>
    </row>
    <row r="299" spans="1:6" s="1494" customFormat="1">
      <c r="A299" s="1496"/>
      <c r="B299" s="1500"/>
      <c r="C299" s="1528"/>
      <c r="D299" s="233"/>
      <c r="E299" s="233"/>
      <c r="F299" s="1536"/>
    </row>
    <row r="300" spans="1:6" s="1494" customFormat="1">
      <c r="A300" s="1496"/>
      <c r="B300" s="1500"/>
      <c r="C300" s="1528"/>
      <c r="D300" s="233"/>
      <c r="E300" s="233"/>
      <c r="F300" s="1536"/>
    </row>
    <row r="301" spans="1:6" s="1494" customFormat="1">
      <c r="A301" s="1496"/>
      <c r="B301" s="1500"/>
      <c r="C301" s="1528"/>
      <c r="D301" s="233"/>
      <c r="E301" s="233"/>
      <c r="F301" s="1536"/>
    </row>
    <row r="302" spans="1:6" s="1494" customFormat="1">
      <c r="A302" s="1496"/>
      <c r="B302" s="1500"/>
      <c r="C302" s="1528"/>
      <c r="D302" s="233"/>
      <c r="E302" s="233"/>
      <c r="F302" s="1536"/>
    </row>
    <row r="303" spans="1:6" s="1494" customFormat="1">
      <c r="A303" s="1496"/>
      <c r="B303" s="1500"/>
      <c r="C303" s="1528"/>
      <c r="D303" s="233"/>
      <c r="E303" s="233"/>
      <c r="F303" s="1536"/>
    </row>
    <row r="304" spans="1:6" s="1494" customFormat="1">
      <c r="A304" s="1496"/>
      <c r="B304" s="1500"/>
      <c r="C304" s="1528"/>
      <c r="D304" s="233"/>
      <c r="E304" s="233"/>
      <c r="F304" s="1536"/>
    </row>
    <row r="305" spans="1:6" s="1494" customFormat="1">
      <c r="A305" s="1496"/>
      <c r="B305" s="1500"/>
      <c r="C305" s="1528"/>
      <c r="D305" s="233"/>
      <c r="E305" s="233"/>
      <c r="F305" s="1536"/>
    </row>
    <row r="306" spans="1:6" s="1494" customFormat="1">
      <c r="A306" s="1496"/>
      <c r="B306" s="1500"/>
      <c r="C306" s="1528"/>
      <c r="D306" s="233"/>
      <c r="E306" s="233"/>
      <c r="F306" s="1536"/>
    </row>
    <row r="307" spans="1:6" s="1494" customFormat="1">
      <c r="A307" s="1496"/>
      <c r="B307" s="1500"/>
      <c r="C307" s="1528"/>
      <c r="D307" s="233"/>
      <c r="E307" s="233"/>
      <c r="F307" s="1536"/>
    </row>
    <row r="308" spans="1:6" s="1494" customFormat="1">
      <c r="A308" s="1496"/>
      <c r="B308" s="1500"/>
      <c r="C308" s="1528"/>
      <c r="D308" s="233"/>
      <c r="E308" s="233"/>
      <c r="F308" s="1536"/>
    </row>
    <row r="309" spans="1:6" s="1494" customFormat="1">
      <c r="A309" s="1496"/>
      <c r="B309" s="1500"/>
      <c r="C309" s="1528"/>
      <c r="D309" s="233"/>
      <c r="E309" s="233"/>
      <c r="F309" s="1536"/>
    </row>
    <row r="310" spans="1:6" s="1494" customFormat="1">
      <c r="A310" s="1496"/>
      <c r="B310" s="1500"/>
      <c r="C310" s="1528"/>
      <c r="D310" s="233"/>
      <c r="E310" s="233"/>
      <c r="F310" s="1536"/>
    </row>
    <row r="311" spans="1:6" s="1494" customFormat="1">
      <c r="A311" s="1496"/>
      <c r="B311" s="1500"/>
      <c r="C311" s="1528"/>
      <c r="D311" s="233"/>
      <c r="E311" s="233"/>
      <c r="F311" s="1536"/>
    </row>
    <row r="312" spans="1:6" s="1494" customFormat="1">
      <c r="A312" s="1496"/>
      <c r="B312" s="1500"/>
      <c r="C312" s="1528"/>
      <c r="D312" s="233"/>
      <c r="E312" s="233"/>
      <c r="F312" s="1536"/>
    </row>
    <row r="313" spans="1:6" s="1494" customFormat="1">
      <c r="A313" s="1496"/>
      <c r="B313" s="1500"/>
      <c r="C313" s="1528"/>
      <c r="D313" s="233"/>
      <c r="E313" s="233"/>
      <c r="F313" s="1536"/>
    </row>
    <row r="314" spans="1:6" s="1494" customFormat="1">
      <c r="A314" s="1496"/>
      <c r="B314" s="1500"/>
      <c r="C314" s="1528"/>
      <c r="D314" s="233"/>
      <c r="E314" s="233"/>
      <c r="F314" s="1536"/>
    </row>
    <row r="315" spans="1:6" s="1494" customFormat="1">
      <c r="A315" s="1496"/>
      <c r="B315" s="1500"/>
      <c r="C315" s="1528"/>
      <c r="D315" s="233"/>
      <c r="E315" s="233"/>
      <c r="F315" s="1536"/>
    </row>
    <row r="316" spans="1:6" s="1494" customFormat="1">
      <c r="A316" s="1496"/>
      <c r="B316" s="1500"/>
      <c r="C316" s="1528"/>
      <c r="D316" s="233"/>
      <c r="E316" s="233"/>
      <c r="F316" s="1536"/>
    </row>
    <row r="317" spans="1:6" s="1494" customFormat="1">
      <c r="A317" s="1496"/>
      <c r="B317" s="1500"/>
      <c r="C317" s="1528"/>
      <c r="D317" s="233"/>
      <c r="E317" s="233"/>
      <c r="F317" s="1536"/>
    </row>
    <row r="318" spans="1:6" s="1494" customFormat="1">
      <c r="A318" s="1496"/>
      <c r="B318" s="1500"/>
      <c r="C318" s="1528"/>
      <c r="D318" s="233"/>
      <c r="E318" s="233"/>
      <c r="F318" s="1536"/>
    </row>
    <row r="319" spans="1:6" s="1494" customFormat="1">
      <c r="A319" s="1496"/>
      <c r="B319" s="1500"/>
      <c r="C319" s="1528"/>
      <c r="D319" s="233"/>
      <c r="E319" s="233"/>
      <c r="F319" s="1536"/>
    </row>
    <row r="320" spans="1:6" s="1494" customFormat="1">
      <c r="A320" s="1496"/>
      <c r="B320" s="1500"/>
      <c r="C320" s="1528"/>
      <c r="D320" s="233"/>
      <c r="E320" s="233"/>
      <c r="F320" s="1536"/>
    </row>
    <row r="321" spans="1:6" s="1494" customFormat="1">
      <c r="A321" s="1496"/>
      <c r="B321" s="1500"/>
      <c r="C321" s="1528"/>
      <c r="D321" s="233"/>
      <c r="E321" s="233"/>
      <c r="F321" s="1536"/>
    </row>
    <row r="322" spans="1:6" s="1494" customFormat="1">
      <c r="A322" s="1496"/>
      <c r="B322" s="1500"/>
      <c r="C322" s="1528"/>
      <c r="D322" s="233"/>
      <c r="E322" s="233"/>
      <c r="F322" s="1536"/>
    </row>
    <row r="323" spans="1:6" s="1494" customFormat="1">
      <c r="A323" s="1496"/>
      <c r="B323" s="1500"/>
      <c r="C323" s="1528"/>
      <c r="D323" s="233"/>
      <c r="E323" s="233"/>
      <c r="F323" s="1536"/>
    </row>
    <row r="324" spans="1:6" s="1494" customFormat="1">
      <c r="A324" s="1496"/>
      <c r="B324" s="1500"/>
      <c r="C324" s="1528"/>
      <c r="D324" s="233"/>
      <c r="E324" s="233"/>
      <c r="F324" s="1536"/>
    </row>
    <row r="325" spans="1:6" s="1494" customFormat="1">
      <c r="A325" s="1496"/>
      <c r="B325" s="1500"/>
      <c r="C325" s="1528"/>
      <c r="D325" s="233"/>
      <c r="E325" s="233"/>
      <c r="F325" s="1536"/>
    </row>
    <row r="326" spans="1:6" s="1494" customFormat="1">
      <c r="A326" s="1496"/>
      <c r="B326" s="1500"/>
      <c r="C326" s="1528"/>
      <c r="D326" s="233"/>
      <c r="E326" s="233"/>
      <c r="F326" s="1536"/>
    </row>
    <row r="327" spans="1:6" s="1494" customFormat="1">
      <c r="A327" s="1496"/>
      <c r="B327" s="1500"/>
      <c r="C327" s="1528"/>
      <c r="D327" s="233"/>
      <c r="E327" s="233"/>
      <c r="F327" s="1536"/>
    </row>
    <row r="328" spans="1:6" s="1494" customFormat="1">
      <c r="A328" s="1496"/>
      <c r="B328" s="1500"/>
      <c r="C328" s="1528"/>
      <c r="D328" s="233"/>
      <c r="E328" s="233"/>
      <c r="F328" s="1536"/>
    </row>
    <row r="329" spans="1:6" s="1494" customFormat="1">
      <c r="A329" s="1496"/>
      <c r="B329" s="1500"/>
      <c r="C329" s="1528"/>
      <c r="D329" s="233"/>
      <c r="E329" s="233"/>
      <c r="F329" s="1536"/>
    </row>
    <row r="330" spans="1:6" s="1494" customFormat="1">
      <c r="A330" s="1496"/>
      <c r="B330" s="1500"/>
      <c r="C330" s="1528"/>
      <c r="D330" s="233"/>
      <c r="E330" s="233"/>
      <c r="F330" s="1536"/>
    </row>
    <row r="331" spans="1:6" s="1494" customFormat="1">
      <c r="A331" s="1496"/>
      <c r="B331" s="1500"/>
      <c r="C331" s="1528"/>
      <c r="D331" s="233"/>
      <c r="E331" s="233"/>
      <c r="F331" s="1536"/>
    </row>
    <row r="332" spans="1:6" s="1494" customFormat="1">
      <c r="A332" s="1496"/>
      <c r="B332" s="1500"/>
      <c r="C332" s="1528"/>
      <c r="D332" s="233"/>
      <c r="E332" s="233"/>
      <c r="F332" s="1536"/>
    </row>
    <row r="333" spans="1:6" s="1494" customFormat="1">
      <c r="A333" s="1496"/>
      <c r="B333" s="1500"/>
      <c r="C333" s="1528"/>
      <c r="D333" s="233"/>
      <c r="E333" s="233"/>
      <c r="F333" s="1536"/>
    </row>
    <row r="334" spans="1:6" s="1494" customFormat="1">
      <c r="A334" s="1496"/>
      <c r="B334" s="1500"/>
      <c r="C334" s="1528"/>
      <c r="D334" s="233"/>
      <c r="E334" s="233"/>
      <c r="F334" s="1536"/>
    </row>
    <row r="335" spans="1:6" s="1494" customFormat="1">
      <c r="A335" s="1496"/>
      <c r="B335" s="1500"/>
      <c r="C335" s="1528"/>
      <c r="D335" s="233"/>
      <c r="E335" s="233"/>
      <c r="F335" s="1536"/>
    </row>
    <row r="336" spans="1:6" s="1494" customFormat="1">
      <c r="A336" s="1496"/>
      <c r="B336" s="1500"/>
      <c r="C336" s="1528"/>
      <c r="D336" s="233"/>
      <c r="E336" s="233"/>
      <c r="F336" s="1536"/>
    </row>
    <row r="337" spans="1:6" s="1494" customFormat="1">
      <c r="A337" s="1496"/>
      <c r="B337" s="1500"/>
      <c r="C337" s="1528"/>
      <c r="D337" s="233"/>
      <c r="E337" s="233"/>
      <c r="F337" s="1536"/>
    </row>
    <row r="338" spans="1:6" s="1494" customFormat="1">
      <c r="A338" s="1496"/>
      <c r="B338" s="1500"/>
      <c r="C338" s="1528"/>
      <c r="D338" s="233"/>
      <c r="E338" s="233"/>
      <c r="F338" s="1536"/>
    </row>
    <row r="339" spans="1:6" s="1494" customFormat="1">
      <c r="A339" s="1496"/>
      <c r="B339" s="1500"/>
      <c r="C339" s="1528"/>
      <c r="D339" s="233"/>
      <c r="E339" s="233"/>
      <c r="F339" s="1536"/>
    </row>
    <row r="340" spans="1:6" s="1494" customFormat="1">
      <c r="A340" s="1496"/>
      <c r="B340" s="1500"/>
      <c r="C340" s="1528"/>
      <c r="D340" s="233"/>
      <c r="E340" s="233"/>
      <c r="F340" s="1536"/>
    </row>
    <row r="341" spans="1:6" s="1494" customFormat="1">
      <c r="A341" s="1496"/>
      <c r="B341" s="1500"/>
      <c r="C341" s="1528"/>
      <c r="D341" s="233"/>
      <c r="E341" s="233"/>
      <c r="F341" s="1536"/>
    </row>
    <row r="342" spans="1:6" s="1494" customFormat="1">
      <c r="A342" s="1496"/>
      <c r="B342" s="1500"/>
      <c r="C342" s="1528"/>
      <c r="D342" s="233"/>
      <c r="E342" s="233"/>
      <c r="F342" s="1536"/>
    </row>
    <row r="343" spans="1:6" s="1494" customFormat="1">
      <c r="A343" s="1496"/>
      <c r="B343" s="1500"/>
      <c r="C343" s="1528"/>
      <c r="D343" s="233"/>
      <c r="E343" s="233"/>
      <c r="F343" s="1536"/>
    </row>
    <row r="344" spans="1:6" s="1494" customFormat="1">
      <c r="A344" s="1496"/>
      <c r="B344" s="1500"/>
      <c r="C344" s="1528"/>
      <c r="D344" s="233"/>
      <c r="E344" s="233"/>
      <c r="F344" s="1536"/>
    </row>
    <row r="345" spans="1:6" s="1494" customFormat="1">
      <c r="A345" s="1496"/>
      <c r="B345" s="1500"/>
      <c r="C345" s="1528"/>
      <c r="D345" s="233"/>
      <c r="E345" s="233"/>
      <c r="F345" s="1536"/>
    </row>
    <row r="346" spans="1:6" s="1494" customFormat="1">
      <c r="A346" s="1496"/>
      <c r="B346" s="1500"/>
      <c r="C346" s="1528"/>
      <c r="D346" s="233"/>
      <c r="E346" s="233"/>
      <c r="F346" s="1536"/>
    </row>
    <row r="347" spans="1:6" s="1494" customFormat="1">
      <c r="A347" s="1496"/>
      <c r="B347" s="1500"/>
      <c r="C347" s="1528"/>
      <c r="D347" s="233"/>
      <c r="E347" s="233"/>
      <c r="F347" s="1536"/>
    </row>
    <row r="348" spans="1:6" s="1494" customFormat="1">
      <c r="A348" s="1496"/>
      <c r="B348" s="1500"/>
      <c r="C348" s="1528"/>
      <c r="D348" s="233"/>
      <c r="E348" s="233"/>
      <c r="F348" s="1536"/>
    </row>
    <row r="349" spans="1:6" s="1494" customFormat="1">
      <c r="A349" s="1496"/>
      <c r="B349" s="1500"/>
      <c r="C349" s="1528"/>
      <c r="D349" s="233"/>
      <c r="E349" s="233"/>
      <c r="F349" s="1536"/>
    </row>
    <row r="350" spans="1:6" s="1494" customFormat="1">
      <c r="A350" s="1496"/>
      <c r="B350" s="1500"/>
      <c r="C350" s="1528"/>
      <c r="D350" s="233"/>
      <c r="E350" s="233"/>
      <c r="F350" s="1536"/>
    </row>
    <row r="351" spans="1:6" s="1494" customFormat="1">
      <c r="A351" s="1496"/>
      <c r="B351" s="1500"/>
      <c r="C351" s="1528"/>
      <c r="D351" s="233"/>
      <c r="E351" s="233"/>
      <c r="F351" s="1536"/>
    </row>
    <row r="352" spans="1:6" s="1494" customFormat="1">
      <c r="A352" s="1496"/>
      <c r="B352" s="1500"/>
      <c r="C352" s="1528"/>
      <c r="D352" s="233"/>
      <c r="E352" s="233"/>
      <c r="F352" s="1536"/>
    </row>
    <row r="353" spans="1:6" s="1494" customFormat="1">
      <c r="A353" s="1496"/>
      <c r="B353" s="1500"/>
      <c r="C353" s="1528"/>
      <c r="D353" s="233"/>
      <c r="E353" s="233"/>
      <c r="F353" s="1536"/>
    </row>
    <row r="354" spans="1:6" s="1494" customFormat="1">
      <c r="A354" s="1496"/>
      <c r="B354" s="1500"/>
      <c r="C354" s="1528"/>
      <c r="D354" s="233"/>
      <c r="E354" s="233"/>
      <c r="F354" s="1536"/>
    </row>
    <row r="355" spans="1:6" s="1494" customFormat="1">
      <c r="A355" s="1496"/>
      <c r="B355" s="1500"/>
      <c r="C355" s="1528"/>
      <c r="D355" s="233"/>
      <c r="E355" s="233"/>
      <c r="F355" s="1536"/>
    </row>
    <row r="356" spans="1:6" s="1494" customFormat="1">
      <c r="A356" s="1496"/>
      <c r="B356" s="1500"/>
      <c r="C356" s="1528"/>
      <c r="D356" s="233"/>
      <c r="E356" s="233"/>
      <c r="F356" s="1536"/>
    </row>
    <row r="357" spans="1:6" s="1494" customFormat="1">
      <c r="A357" s="1496"/>
      <c r="B357" s="1500"/>
      <c r="C357" s="1528"/>
      <c r="D357" s="233"/>
      <c r="E357" s="233"/>
      <c r="F357" s="1536"/>
    </row>
    <row r="358" spans="1:6" s="1494" customFormat="1">
      <c r="A358" s="1496"/>
      <c r="B358" s="1500"/>
      <c r="C358" s="1528"/>
      <c r="D358" s="233"/>
      <c r="E358" s="233"/>
      <c r="F358" s="1536"/>
    </row>
    <row r="359" spans="1:6" s="1494" customFormat="1">
      <c r="A359" s="1496"/>
      <c r="B359" s="1500"/>
      <c r="C359" s="1528"/>
      <c r="D359" s="233"/>
      <c r="E359" s="233"/>
      <c r="F359" s="1536"/>
    </row>
    <row r="360" spans="1:6" s="1494" customFormat="1">
      <c r="A360" s="1496"/>
      <c r="B360" s="1500"/>
      <c r="C360" s="1528"/>
      <c r="D360" s="233"/>
      <c r="E360" s="233"/>
      <c r="F360" s="1536"/>
    </row>
    <row r="361" spans="1:6" s="1494" customFormat="1">
      <c r="A361" s="1496"/>
      <c r="B361" s="1500"/>
      <c r="C361" s="1528"/>
      <c r="D361" s="233"/>
      <c r="E361" s="233"/>
      <c r="F361" s="1536"/>
    </row>
    <row r="362" spans="1:6" s="1494" customFormat="1">
      <c r="A362" s="1496"/>
      <c r="B362" s="1500"/>
      <c r="C362" s="1528"/>
      <c r="D362" s="233"/>
      <c r="E362" s="233"/>
      <c r="F362" s="1536"/>
    </row>
    <row r="363" spans="1:6" s="1494" customFormat="1">
      <c r="A363" s="1496"/>
      <c r="B363" s="1500"/>
      <c r="C363" s="1528"/>
      <c r="D363" s="233"/>
      <c r="E363" s="233"/>
      <c r="F363" s="1536"/>
    </row>
    <row r="364" spans="1:6" s="1494" customFormat="1">
      <c r="A364" s="1496"/>
      <c r="B364" s="1500"/>
      <c r="C364" s="1528"/>
      <c r="D364" s="233"/>
      <c r="E364" s="233"/>
      <c r="F364" s="1536"/>
    </row>
    <row r="365" spans="1:6" s="1494" customFormat="1">
      <c r="A365" s="1496"/>
      <c r="B365" s="1500"/>
      <c r="C365" s="1528"/>
      <c r="D365" s="233"/>
      <c r="E365" s="233"/>
      <c r="F365" s="1536"/>
    </row>
    <row r="366" spans="1:6" s="1494" customFormat="1">
      <c r="A366" s="1496"/>
      <c r="B366" s="1500"/>
      <c r="C366" s="1528"/>
      <c r="D366" s="233"/>
      <c r="E366" s="233"/>
      <c r="F366" s="1536"/>
    </row>
    <row r="367" spans="1:6" s="1494" customFormat="1">
      <c r="A367" s="1496"/>
      <c r="B367" s="1500"/>
      <c r="C367" s="1528"/>
      <c r="D367" s="233"/>
      <c r="E367" s="233"/>
      <c r="F367" s="1536"/>
    </row>
    <row r="368" spans="1:6" s="1494" customFormat="1">
      <c r="A368" s="1496"/>
      <c r="B368" s="1500"/>
      <c r="C368" s="1528"/>
      <c r="D368" s="233"/>
      <c r="E368" s="233"/>
      <c r="F368" s="1536"/>
    </row>
    <row r="369" spans="1:6" s="1494" customFormat="1">
      <c r="A369" s="1496"/>
      <c r="B369" s="1500"/>
      <c r="C369" s="1528"/>
      <c r="D369" s="233"/>
      <c r="E369" s="233"/>
      <c r="F369" s="1536"/>
    </row>
    <row r="370" spans="1:6" s="1494" customFormat="1">
      <c r="A370" s="1496"/>
      <c r="B370" s="1500"/>
      <c r="C370" s="1528"/>
      <c r="D370" s="233"/>
      <c r="E370" s="233"/>
      <c r="F370" s="1536"/>
    </row>
    <row r="371" spans="1:6" s="1494" customFormat="1">
      <c r="A371" s="1496"/>
      <c r="B371" s="1500"/>
      <c r="C371" s="1528"/>
      <c r="D371" s="233"/>
      <c r="E371" s="233"/>
      <c r="F371" s="1536"/>
    </row>
    <row r="372" spans="1:6" s="1494" customFormat="1">
      <c r="A372" s="1496"/>
      <c r="B372" s="1500"/>
      <c r="C372" s="1528"/>
      <c r="D372" s="233"/>
      <c r="E372" s="233"/>
      <c r="F372" s="1536"/>
    </row>
    <row r="373" spans="1:6" s="1494" customFormat="1">
      <c r="A373" s="1496"/>
      <c r="B373" s="1500"/>
      <c r="C373" s="1528"/>
      <c r="D373" s="233"/>
      <c r="E373" s="233"/>
      <c r="F373" s="1536"/>
    </row>
    <row r="374" spans="1:6" s="1494" customFormat="1">
      <c r="A374" s="1496"/>
      <c r="B374" s="1500"/>
      <c r="C374" s="1528"/>
      <c r="D374" s="233"/>
      <c r="E374" s="233"/>
      <c r="F374" s="1536"/>
    </row>
    <row r="375" spans="1:6" s="1494" customFormat="1">
      <c r="A375" s="1496"/>
      <c r="B375" s="1500"/>
      <c r="C375" s="1528"/>
      <c r="D375" s="233"/>
      <c r="E375" s="233"/>
      <c r="F375" s="1536"/>
    </row>
    <row r="376" spans="1:6" s="1494" customFormat="1">
      <c r="A376" s="1501"/>
      <c r="B376" s="1500"/>
      <c r="C376" s="1500"/>
      <c r="D376" s="233"/>
      <c r="E376" s="233"/>
      <c r="F376" s="1536"/>
    </row>
    <row r="377" spans="1:6" s="1494" customFormat="1">
      <c r="A377" s="1503"/>
      <c r="B377" s="1503"/>
      <c r="C377" s="1503"/>
      <c r="D377" s="233"/>
      <c r="E377" s="233"/>
      <c r="F377" s="1536"/>
    </row>
    <row r="378" spans="1:6" s="1494" customFormat="1">
      <c r="A378" s="1501"/>
      <c r="B378" s="1500"/>
      <c r="C378" s="1500"/>
      <c r="D378" s="233"/>
      <c r="E378" s="233"/>
      <c r="F378" s="1536"/>
    </row>
    <row r="379" spans="1:6" s="1494" customFormat="1">
      <c r="A379" s="1496"/>
      <c r="B379" s="1500"/>
      <c r="C379" s="1528"/>
      <c r="D379" s="233"/>
      <c r="E379" s="233"/>
      <c r="F379" s="1536"/>
    </row>
    <row r="380" spans="1:6" s="1494" customFormat="1">
      <c r="A380" s="1496"/>
      <c r="B380" s="1500"/>
      <c r="C380" s="1528"/>
      <c r="D380" s="233"/>
      <c r="E380" s="233"/>
      <c r="F380" s="1536"/>
    </row>
    <row r="381" spans="1:6" s="1494" customFormat="1">
      <c r="A381" s="1501"/>
      <c r="B381" s="1500"/>
      <c r="C381" s="1500"/>
      <c r="D381" s="233"/>
      <c r="E381" s="233"/>
      <c r="F381" s="1536"/>
    </row>
    <row r="382" spans="1:6" s="1494" customFormat="1">
      <c r="A382" s="1501"/>
      <c r="B382" s="1500"/>
      <c r="C382" s="1500"/>
      <c r="D382" s="233"/>
      <c r="E382" s="233"/>
      <c r="F382" s="1536"/>
    </row>
    <row r="383" spans="1:6" s="1494" customFormat="1">
      <c r="A383" s="1504"/>
      <c r="B383" s="1505"/>
      <c r="C383" s="1504"/>
      <c r="D383" s="233"/>
      <c r="E383" s="233"/>
      <c r="F383" s="1536"/>
    </row>
    <row r="384" spans="1:6" s="1494" customFormat="1">
      <c r="A384" s="1501"/>
      <c r="B384" s="1500"/>
      <c r="C384" s="1500"/>
      <c r="D384" s="233"/>
      <c r="E384" s="233"/>
      <c r="F384" s="1536"/>
    </row>
    <row r="385" spans="1:6" s="1494" customFormat="1">
      <c r="A385" s="1504"/>
      <c r="B385" s="1505"/>
      <c r="C385" s="1504"/>
      <c r="D385" s="233"/>
      <c r="E385" s="233"/>
      <c r="F385" s="1536"/>
    </row>
    <row r="386" spans="1:6" s="1494" customFormat="1">
      <c r="A386" s="1501"/>
      <c r="B386" s="1500"/>
      <c r="C386" s="1500"/>
      <c r="D386" s="233"/>
      <c r="E386" s="233"/>
      <c r="F386" s="1536"/>
    </row>
    <row r="387" spans="1:6" s="1494" customFormat="1">
      <c r="A387" s="1506"/>
      <c r="B387" s="1500"/>
      <c r="C387" s="1529"/>
      <c r="D387" s="233"/>
      <c r="E387" s="233"/>
      <c r="F387" s="1536"/>
    </row>
    <row r="388" spans="1:6" s="1494" customFormat="1">
      <c r="A388" s="1501"/>
      <c r="B388" s="1500"/>
      <c r="C388" s="1500"/>
      <c r="D388" s="233"/>
      <c r="E388" s="233"/>
      <c r="F388" s="1536"/>
    </row>
    <row r="389" spans="1:6" s="1494" customFormat="1">
      <c r="A389" s="1496"/>
      <c r="B389" s="1500"/>
      <c r="C389" s="1528"/>
      <c r="D389" s="233"/>
      <c r="E389" s="233"/>
      <c r="F389" s="1536"/>
    </row>
    <row r="390" spans="1:6" s="1494" customFormat="1">
      <c r="A390" s="1496"/>
      <c r="B390" s="1500"/>
      <c r="C390" s="1528"/>
      <c r="D390" s="233"/>
      <c r="E390" s="233"/>
      <c r="F390" s="1536"/>
    </row>
    <row r="391" spans="1:6" s="1494" customFormat="1">
      <c r="A391" s="1496"/>
      <c r="B391" s="1500"/>
      <c r="C391" s="1528"/>
      <c r="D391" s="233"/>
      <c r="E391" s="233"/>
      <c r="F391" s="1536"/>
    </row>
    <row r="392" spans="1:6" s="1494" customFormat="1">
      <c r="A392" s="1496"/>
      <c r="B392" s="1500"/>
      <c r="C392" s="1528"/>
      <c r="D392" s="233"/>
      <c r="E392" s="233"/>
      <c r="F392" s="1536"/>
    </row>
    <row r="393" spans="1:6" s="1494" customFormat="1">
      <c r="A393" s="1496"/>
      <c r="B393" s="1500"/>
      <c r="C393" s="1528"/>
      <c r="D393" s="233"/>
      <c r="E393" s="233"/>
      <c r="F393" s="1536"/>
    </row>
    <row r="394" spans="1:6" s="1494" customFormat="1">
      <c r="A394" s="1496"/>
      <c r="B394" s="1500"/>
      <c r="C394" s="1528"/>
      <c r="D394" s="233"/>
      <c r="E394" s="233"/>
      <c r="F394" s="1536"/>
    </row>
    <row r="395" spans="1:6" s="1494" customFormat="1">
      <c r="A395" s="1496"/>
      <c r="B395" s="1500"/>
      <c r="C395" s="1528"/>
      <c r="D395" s="233"/>
      <c r="E395" s="233"/>
      <c r="F395" s="1536"/>
    </row>
    <row r="396" spans="1:6" s="1494" customFormat="1">
      <c r="A396" s="1501"/>
      <c r="B396" s="1500"/>
      <c r="C396" s="1500"/>
      <c r="D396" s="233"/>
      <c r="E396" s="233"/>
      <c r="F396" s="1536"/>
    </row>
    <row r="397" spans="1:6" s="1494" customFormat="1">
      <c r="A397" s="1503"/>
      <c r="B397" s="1503"/>
      <c r="C397" s="1503"/>
      <c r="D397" s="233"/>
      <c r="E397" s="233"/>
      <c r="F397" s="1536"/>
    </row>
    <row r="398" spans="1:6" s="1494" customFormat="1">
      <c r="A398" s="1501"/>
      <c r="B398" s="1500"/>
      <c r="C398" s="1500"/>
      <c r="D398" s="233"/>
      <c r="E398" s="233"/>
      <c r="F398" s="1536"/>
    </row>
    <row r="399" spans="1:6" s="1494" customFormat="1">
      <c r="A399" s="1496"/>
      <c r="B399" s="1500"/>
      <c r="C399" s="1528"/>
      <c r="D399" s="233"/>
      <c r="E399" s="233"/>
      <c r="F399" s="1536"/>
    </row>
    <row r="400" spans="1:6" s="1494" customFormat="1">
      <c r="A400" s="1496"/>
      <c r="B400" s="1500"/>
      <c r="C400" s="1528"/>
      <c r="D400" s="233"/>
      <c r="E400" s="233"/>
      <c r="F400" s="1536"/>
    </row>
    <row r="401" spans="1:6" s="1494" customFormat="1">
      <c r="A401" s="1496"/>
      <c r="B401" s="1500"/>
      <c r="C401" s="1528"/>
      <c r="D401" s="233"/>
      <c r="E401" s="233"/>
      <c r="F401" s="1536"/>
    </row>
    <row r="402" spans="1:6" s="1494" customFormat="1">
      <c r="A402" s="1501"/>
      <c r="B402" s="1500"/>
      <c r="C402" s="1500"/>
      <c r="D402" s="233"/>
      <c r="E402" s="233"/>
      <c r="F402" s="1536"/>
    </row>
    <row r="403" spans="1:6" s="1494" customFormat="1">
      <c r="A403" s="1500"/>
      <c r="B403" s="1500"/>
      <c r="C403" s="1500"/>
      <c r="D403" s="233"/>
      <c r="E403" s="233"/>
      <c r="F403" s="1536"/>
    </row>
    <row r="404" spans="1:6" s="1494" customFormat="1">
      <c r="A404" s="1501"/>
      <c r="B404" s="1500"/>
      <c r="C404" s="1500"/>
      <c r="D404" s="233"/>
      <c r="E404" s="233"/>
      <c r="F404" s="1536"/>
    </row>
    <row r="405" spans="1:6" s="1494" customFormat="1">
      <c r="A405" s="1496"/>
      <c r="B405" s="1500"/>
      <c r="C405" s="1528"/>
      <c r="D405" s="233"/>
      <c r="E405" s="233"/>
      <c r="F405" s="1536"/>
    </row>
    <row r="406" spans="1:6" s="1494" customFormat="1">
      <c r="A406" s="1496"/>
      <c r="B406" s="1500"/>
      <c r="C406" s="1528"/>
      <c r="D406" s="233"/>
      <c r="E406" s="233"/>
      <c r="F406" s="1536"/>
    </row>
    <row r="407" spans="1:6" s="1494" customFormat="1">
      <c r="A407" s="1496"/>
      <c r="B407" s="1500"/>
      <c r="C407" s="1528"/>
      <c r="D407" s="233"/>
      <c r="E407" s="233"/>
      <c r="F407" s="1536"/>
    </row>
    <row r="408" spans="1:6" s="1494" customFormat="1">
      <c r="A408" s="1496"/>
      <c r="B408" s="1500"/>
      <c r="C408" s="1528"/>
      <c r="D408" s="233"/>
      <c r="E408" s="233"/>
      <c r="F408" s="1536"/>
    </row>
    <row r="409" spans="1:6" s="1494" customFormat="1">
      <c r="A409" s="1496"/>
      <c r="B409" s="1500"/>
      <c r="C409" s="1528"/>
      <c r="D409" s="233"/>
      <c r="E409" s="233"/>
      <c r="F409" s="1536"/>
    </row>
    <row r="410" spans="1:6" s="1494" customFormat="1">
      <c r="A410" s="1501"/>
      <c r="B410" s="1500"/>
      <c r="C410" s="1500"/>
      <c r="D410" s="233"/>
      <c r="E410" s="233"/>
      <c r="F410" s="1536"/>
    </row>
    <row r="411" spans="1:6" s="1494" customFormat="1">
      <c r="A411" s="1501"/>
      <c r="B411" s="1500"/>
      <c r="C411" s="1500"/>
      <c r="D411" s="233"/>
      <c r="E411" s="233"/>
      <c r="F411" s="1536"/>
    </row>
    <row r="412" spans="1:6" s="1494" customFormat="1">
      <c r="A412" s="1504"/>
      <c r="B412" s="1505"/>
      <c r="C412" s="1504"/>
      <c r="D412" s="233"/>
      <c r="E412" s="233"/>
      <c r="F412" s="1536"/>
    </row>
    <row r="413" spans="1:6" s="1494" customFormat="1">
      <c r="A413" s="1501"/>
      <c r="B413" s="1500"/>
      <c r="C413" s="1500"/>
      <c r="D413" s="233"/>
      <c r="E413" s="233"/>
      <c r="F413" s="1536"/>
    </row>
    <row r="414" spans="1:6" s="1494" customFormat="1">
      <c r="A414" s="1504"/>
      <c r="B414" s="1505"/>
      <c r="C414" s="1504"/>
      <c r="D414" s="233"/>
      <c r="E414" s="233"/>
      <c r="F414" s="1536"/>
    </row>
    <row r="415" spans="1:6" s="1494" customFormat="1">
      <c r="A415" s="1500"/>
      <c r="B415" s="1500"/>
      <c r="C415" s="1500"/>
      <c r="D415" s="233"/>
      <c r="E415" s="233"/>
      <c r="F415" s="1536"/>
    </row>
    <row r="416" spans="1:6" s="1494" customFormat="1">
      <c r="A416" s="1501"/>
      <c r="B416" s="1500"/>
      <c r="C416" s="1500"/>
      <c r="D416" s="233"/>
      <c r="E416" s="233"/>
      <c r="F416" s="1536"/>
    </row>
    <row r="417" spans="1:6" s="1494" customFormat="1">
      <c r="A417" s="1496"/>
      <c r="B417" s="1500"/>
      <c r="C417" s="1528"/>
      <c r="D417" s="233"/>
      <c r="E417" s="233"/>
      <c r="F417" s="1536"/>
    </row>
    <row r="418" spans="1:6" s="1494" customFormat="1">
      <c r="A418" s="1496"/>
      <c r="B418" s="1500"/>
      <c r="C418" s="1528"/>
      <c r="D418" s="233"/>
      <c r="E418" s="233"/>
      <c r="F418" s="1536"/>
    </row>
    <row r="419" spans="1:6" s="1494" customFormat="1">
      <c r="A419" s="1496"/>
      <c r="B419" s="1500"/>
      <c r="C419" s="1528"/>
      <c r="D419" s="233"/>
      <c r="E419" s="233"/>
      <c r="F419" s="1536"/>
    </row>
    <row r="420" spans="1:6" s="1494" customFormat="1">
      <c r="A420" s="1496"/>
      <c r="B420" s="1500"/>
      <c r="C420" s="1528"/>
      <c r="D420" s="233"/>
      <c r="E420" s="233"/>
      <c r="F420" s="1536"/>
    </row>
    <row r="421" spans="1:6" s="1494" customFormat="1">
      <c r="A421" s="1496"/>
      <c r="B421" s="1500"/>
      <c r="C421" s="1528"/>
      <c r="D421" s="233"/>
      <c r="E421" s="233"/>
      <c r="F421" s="1536"/>
    </row>
    <row r="422" spans="1:6" s="1494" customFormat="1">
      <c r="A422" s="1496"/>
      <c r="B422" s="1500"/>
      <c r="C422" s="1528"/>
      <c r="D422" s="233"/>
      <c r="E422" s="233"/>
      <c r="F422" s="1536"/>
    </row>
    <row r="423" spans="1:6" s="1494" customFormat="1">
      <c r="A423" s="1501"/>
      <c r="B423" s="1500"/>
      <c r="C423" s="1500"/>
      <c r="D423" s="233"/>
      <c r="E423" s="233"/>
      <c r="F423" s="1536"/>
    </row>
    <row r="424" spans="1:6" s="1494" customFormat="1">
      <c r="A424" s="1501"/>
      <c r="B424" s="1500"/>
      <c r="C424" s="1500"/>
      <c r="D424" s="233"/>
      <c r="E424" s="233"/>
      <c r="F424" s="1536"/>
    </row>
    <row r="425" spans="1:6" s="1494" customFormat="1">
      <c r="A425" s="1501"/>
      <c r="B425" s="1500"/>
      <c r="C425" s="1500"/>
      <c r="D425" s="233"/>
      <c r="E425" s="233"/>
      <c r="F425" s="1536"/>
    </row>
    <row r="426" spans="1:6" s="1494" customFormat="1">
      <c r="A426" s="1496"/>
      <c r="B426" s="1500"/>
      <c r="C426" s="1528"/>
      <c r="D426" s="233"/>
      <c r="E426" s="233"/>
      <c r="F426" s="1536"/>
    </row>
    <row r="427" spans="1:6" s="1494" customFormat="1">
      <c r="A427" s="1496"/>
      <c r="B427" s="1500"/>
      <c r="C427" s="1528"/>
      <c r="D427" s="233"/>
      <c r="E427" s="233"/>
      <c r="F427" s="1536"/>
    </row>
    <row r="428" spans="1:6" s="1494" customFormat="1">
      <c r="A428" s="1496"/>
      <c r="B428" s="1500"/>
      <c r="C428" s="1528"/>
      <c r="D428" s="233"/>
      <c r="E428" s="233"/>
      <c r="F428" s="1536"/>
    </row>
    <row r="429" spans="1:6" s="1494" customFormat="1">
      <c r="A429" s="1496"/>
      <c r="B429" s="1500"/>
      <c r="C429" s="1528"/>
      <c r="D429" s="233"/>
      <c r="E429" s="233"/>
      <c r="F429" s="1536"/>
    </row>
    <row r="430" spans="1:6" s="1494" customFormat="1">
      <c r="A430" s="1501"/>
      <c r="B430" s="1500"/>
      <c r="C430" s="1500"/>
      <c r="D430" s="233"/>
      <c r="E430" s="233"/>
      <c r="F430" s="1536"/>
    </row>
    <row r="431" spans="1:6" s="1494" customFormat="1">
      <c r="A431" s="1500"/>
      <c r="B431" s="1500"/>
      <c r="C431" s="1500"/>
      <c r="D431" s="233"/>
      <c r="E431" s="233"/>
      <c r="F431" s="1536"/>
    </row>
    <row r="432" spans="1:6" s="1494" customFormat="1">
      <c r="A432" s="1501"/>
      <c r="B432" s="1500"/>
      <c r="C432" s="1500"/>
      <c r="D432" s="233"/>
      <c r="E432" s="233"/>
      <c r="F432" s="1536"/>
    </row>
    <row r="433" spans="1:6" s="1494" customFormat="1">
      <c r="A433" s="1496"/>
      <c r="B433" s="1500"/>
      <c r="C433" s="1528"/>
      <c r="D433" s="233"/>
      <c r="E433" s="233"/>
      <c r="F433" s="1536"/>
    </row>
    <row r="434" spans="1:6" s="1494" customFormat="1">
      <c r="A434" s="1496"/>
      <c r="B434" s="1500"/>
      <c r="C434" s="1528"/>
      <c r="D434" s="233"/>
      <c r="E434" s="233"/>
      <c r="F434" s="1536"/>
    </row>
    <row r="435" spans="1:6" s="1494" customFormat="1">
      <c r="A435" s="1496"/>
      <c r="B435" s="1500"/>
      <c r="C435" s="1528"/>
      <c r="D435" s="233"/>
      <c r="E435" s="233"/>
      <c r="F435" s="1536"/>
    </row>
    <row r="436" spans="1:6" s="1494" customFormat="1">
      <c r="A436" s="1501"/>
      <c r="B436" s="1500"/>
      <c r="C436" s="1500"/>
      <c r="D436" s="233"/>
      <c r="E436" s="233"/>
      <c r="F436" s="1536"/>
    </row>
    <row r="437" spans="1:6" s="1494" customFormat="1">
      <c r="A437" s="1501"/>
      <c r="B437" s="1500"/>
      <c r="C437" s="1500"/>
      <c r="D437" s="233"/>
      <c r="E437" s="233"/>
      <c r="F437" s="1536"/>
    </row>
    <row r="438" spans="1:6" s="1494" customFormat="1">
      <c r="A438" s="1501"/>
      <c r="B438" s="1500"/>
      <c r="C438" s="1500"/>
      <c r="D438" s="233"/>
      <c r="E438" s="233"/>
      <c r="F438" s="1536"/>
    </row>
    <row r="439" spans="1:6" s="1494" customFormat="1">
      <c r="A439" s="1496"/>
      <c r="B439" s="1500"/>
      <c r="C439" s="1528"/>
      <c r="D439" s="233"/>
      <c r="E439" s="233"/>
      <c r="F439" s="1536"/>
    </row>
    <row r="440" spans="1:6" s="1494" customFormat="1">
      <c r="A440" s="1496"/>
      <c r="B440" s="1500"/>
      <c r="C440" s="1528"/>
      <c r="D440" s="233"/>
      <c r="E440" s="233"/>
      <c r="F440" s="1536"/>
    </row>
    <row r="441" spans="1:6" s="1494" customFormat="1">
      <c r="A441" s="1496"/>
      <c r="B441" s="1500"/>
      <c r="C441" s="1528"/>
      <c r="D441" s="233"/>
      <c r="E441" s="233"/>
      <c r="F441" s="1536"/>
    </row>
    <row r="442" spans="1:6" s="1494" customFormat="1">
      <c r="A442" s="1496"/>
      <c r="B442" s="1500"/>
      <c r="C442" s="1528"/>
      <c r="D442" s="233"/>
      <c r="E442" s="233"/>
      <c r="F442" s="1536"/>
    </row>
    <row r="443" spans="1:6" s="1494" customFormat="1">
      <c r="A443" s="1496"/>
      <c r="B443" s="1500"/>
      <c r="C443" s="1528"/>
      <c r="D443" s="233"/>
      <c r="E443" s="233"/>
      <c r="F443" s="1536"/>
    </row>
    <row r="444" spans="1:6" s="1494" customFormat="1">
      <c r="A444" s="1496"/>
      <c r="B444" s="1500"/>
      <c r="C444" s="1528"/>
      <c r="D444" s="233"/>
      <c r="E444" s="233"/>
      <c r="F444" s="1536"/>
    </row>
    <row r="445" spans="1:6" s="1494" customFormat="1">
      <c r="A445" s="1496"/>
      <c r="B445" s="1500"/>
      <c r="C445" s="1528"/>
      <c r="D445" s="233"/>
      <c r="E445" s="233"/>
      <c r="F445" s="1536"/>
    </row>
    <row r="446" spans="1:6" s="1494" customFormat="1">
      <c r="A446" s="1501"/>
      <c r="B446" s="1500"/>
      <c r="C446" s="1500"/>
      <c r="D446" s="233"/>
      <c r="E446" s="233"/>
      <c r="F446" s="1536"/>
    </row>
    <row r="447" spans="1:6" s="1494" customFormat="1">
      <c r="A447" s="1500"/>
      <c r="B447" s="1500"/>
      <c r="C447" s="1500"/>
      <c r="D447" s="233"/>
      <c r="E447" s="233"/>
      <c r="F447" s="1536"/>
    </row>
    <row r="448" spans="1:6" s="1494" customFormat="1">
      <c r="A448" s="1504"/>
      <c r="B448" s="1505"/>
      <c r="C448" s="1504"/>
      <c r="D448" s="233"/>
      <c r="E448" s="233"/>
      <c r="F448" s="1536"/>
    </row>
    <row r="449" spans="1:6" s="1494" customFormat="1">
      <c r="A449" s="1504"/>
      <c r="B449" s="1505"/>
      <c r="C449" s="1504"/>
      <c r="D449" s="233"/>
      <c r="E449" s="233"/>
      <c r="F449" s="1536"/>
    </row>
    <row r="450" spans="1:6" s="1494" customFormat="1">
      <c r="A450" s="1501"/>
      <c r="B450" s="1500"/>
      <c r="C450" s="1500"/>
      <c r="D450" s="233"/>
      <c r="E450" s="233"/>
      <c r="F450" s="1536"/>
    </row>
    <row r="451" spans="1:6" s="1494" customFormat="1">
      <c r="A451" s="1496"/>
      <c r="B451" s="1500"/>
      <c r="C451" s="1528"/>
      <c r="D451" s="233"/>
      <c r="E451" s="233"/>
      <c r="F451" s="1536"/>
    </row>
    <row r="452" spans="1:6" s="1494" customFormat="1">
      <c r="A452" s="1501"/>
      <c r="B452" s="1500"/>
      <c r="C452" s="1500"/>
      <c r="D452" s="233"/>
      <c r="E452" s="233"/>
      <c r="F452" s="1536"/>
    </row>
    <row r="453" spans="1:6" s="1494" customFormat="1">
      <c r="A453" s="1501"/>
      <c r="B453" s="1500"/>
      <c r="C453" s="1500"/>
      <c r="D453" s="233"/>
      <c r="E453" s="233"/>
      <c r="F453" s="1536"/>
    </row>
    <row r="454" spans="1:6" s="1494" customFormat="1">
      <c r="A454" s="1504"/>
      <c r="B454" s="1505"/>
      <c r="C454" s="1504"/>
      <c r="D454" s="233"/>
      <c r="E454" s="233"/>
      <c r="F454" s="1536"/>
    </row>
    <row r="455" spans="1:6" s="1494" customFormat="1">
      <c r="A455" s="1501"/>
      <c r="B455" s="1500"/>
      <c r="C455" s="1500"/>
      <c r="D455" s="233"/>
      <c r="E455" s="233"/>
      <c r="F455" s="1536"/>
    </row>
    <row r="456" spans="1:6" s="1494" customFormat="1">
      <c r="A456" s="1501"/>
      <c r="B456" s="1500"/>
      <c r="C456" s="1500"/>
      <c r="D456" s="233"/>
      <c r="E456" s="233"/>
      <c r="F456" s="1536"/>
    </row>
    <row r="457" spans="1:6" s="1494" customFormat="1">
      <c r="A457" s="1496"/>
      <c r="B457" s="1500"/>
      <c r="C457" s="1528"/>
      <c r="D457" s="233"/>
      <c r="E457" s="233"/>
      <c r="F457" s="1536"/>
    </row>
    <row r="458" spans="1:6" s="1494" customFormat="1">
      <c r="A458" s="1496"/>
      <c r="B458" s="1500"/>
      <c r="C458" s="1528"/>
      <c r="D458" s="233"/>
      <c r="E458" s="233"/>
      <c r="F458" s="1536"/>
    </row>
    <row r="459" spans="1:6" s="1494" customFormat="1">
      <c r="A459" s="1496"/>
      <c r="B459" s="1500"/>
      <c r="C459" s="1528"/>
      <c r="D459" s="233"/>
      <c r="E459" s="233"/>
      <c r="F459" s="1536"/>
    </row>
    <row r="460" spans="1:6" s="1494" customFormat="1">
      <c r="A460" s="1496"/>
      <c r="B460" s="1500"/>
      <c r="C460" s="1528"/>
      <c r="D460" s="233"/>
      <c r="E460" s="233"/>
      <c r="F460" s="1536"/>
    </row>
    <row r="461" spans="1:6" s="1494" customFormat="1">
      <c r="A461" s="1501"/>
      <c r="B461" s="1500"/>
      <c r="C461" s="1500"/>
      <c r="D461" s="233"/>
      <c r="E461" s="233"/>
      <c r="F461" s="1536"/>
    </row>
    <row r="462" spans="1:6" s="1494" customFormat="1">
      <c r="A462" s="1501"/>
      <c r="B462" s="1500"/>
      <c r="C462" s="1500"/>
      <c r="D462" s="233"/>
      <c r="E462" s="233"/>
      <c r="F462" s="1536"/>
    </row>
    <row r="463" spans="1:6" s="1494" customFormat="1">
      <c r="A463" s="1504"/>
      <c r="B463" s="1505"/>
      <c r="C463" s="1504"/>
      <c r="D463" s="233"/>
      <c r="E463" s="233"/>
      <c r="F463" s="1536"/>
    </row>
    <row r="464" spans="1:6" s="1494" customFormat="1">
      <c r="A464" s="233"/>
      <c r="B464" s="233"/>
      <c r="C464" s="233"/>
      <c r="D464" s="233"/>
      <c r="E464" s="233"/>
      <c r="F464" s="1536"/>
    </row>
    <row r="465" spans="1:6" s="1494" customFormat="1">
      <c r="A465" s="1501"/>
      <c r="B465" s="1500"/>
      <c r="C465" s="1500"/>
      <c r="D465" s="233"/>
      <c r="E465" s="233"/>
      <c r="F465" s="1536"/>
    </row>
    <row r="466" spans="1:6" s="1494" customFormat="1">
      <c r="A466" s="1496"/>
      <c r="B466" s="1500"/>
      <c r="C466" s="1528"/>
      <c r="D466" s="233"/>
      <c r="E466" s="233"/>
      <c r="F466" s="1536"/>
    </row>
    <row r="467" spans="1:6" s="1494" customFormat="1">
      <c r="A467" s="1501"/>
      <c r="B467" s="1500"/>
      <c r="C467" s="1500"/>
      <c r="D467" s="233"/>
      <c r="E467" s="233"/>
      <c r="F467" s="1536"/>
    </row>
    <row r="468" spans="1:6" s="1494" customFormat="1">
      <c r="A468" s="233"/>
      <c r="B468" s="233"/>
      <c r="C468" s="233"/>
      <c r="D468" s="233"/>
      <c r="E468" s="233"/>
      <c r="F468" s="1536"/>
    </row>
    <row r="469" spans="1:6" s="1494" customFormat="1">
      <c r="A469" s="1504"/>
      <c r="B469" s="1505"/>
      <c r="C469" s="1530"/>
      <c r="D469" s="233"/>
      <c r="E469" s="233"/>
      <c r="F469" s="1536"/>
    </row>
    <row r="470" spans="1:6" s="1494" customFormat="1">
      <c r="A470" s="233"/>
      <c r="B470" s="233"/>
      <c r="C470" s="1531"/>
      <c r="D470" s="233"/>
      <c r="E470" s="233"/>
      <c r="F470" s="1536"/>
    </row>
    <row r="471" spans="1:6">
      <c r="C471" s="1520"/>
    </row>
    <row r="473" spans="1:6" s="276" customFormat="1">
      <c r="A473" s="496"/>
      <c r="B473" s="496"/>
      <c r="C473" s="496"/>
      <c r="D473" s="292"/>
      <c r="E473" s="292"/>
      <c r="F473" s="1532"/>
    </row>
    <row r="491" ht="15" customHeight="1"/>
    <row r="501" spans="7:7">
      <c r="G501" s="279"/>
    </row>
    <row r="503" spans="7:7">
      <c r="G503" s="279"/>
    </row>
    <row r="504" spans="7:7">
      <c r="G504" s="279"/>
    </row>
    <row r="505" spans="7:7">
      <c r="G505" s="279"/>
    </row>
    <row r="506" spans="7:7">
      <c r="G506" s="279"/>
    </row>
    <row r="507" spans="7:7">
      <c r="G507" s="279"/>
    </row>
    <row r="508" spans="7:7">
      <c r="G508" s="279"/>
    </row>
    <row r="509" spans="7:7">
      <c r="G509" s="279"/>
    </row>
    <row r="510" spans="7:7" ht="15" customHeight="1">
      <c r="G510" s="279"/>
    </row>
    <row r="513" spans="7:7">
      <c r="G513" s="279"/>
    </row>
  </sheetData>
  <dataValidations count="1">
    <dataValidation type="list" allowBlank="1" showInputMessage="1" showErrorMessage="1" sqref="C5">
      <formula1>"USD,CAD"</formula1>
    </dataValidation>
  </dataValidations>
  <pageMargins left="0.25" right="0.25" top="0.75" bottom="0.75" header="0.3" footer="0.3"/>
  <pageSetup scale="52" orientation="portrait" r:id="rId1"/>
  <rowBreaks count="1" manualBreakCount="1">
    <brk id="36" max="9" man="1"/>
  </rowBreaks>
  <colBreaks count="2" manualBreakCount="2">
    <brk id="10" max="1048575" man="1"/>
    <brk id="11"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3"/>
  <sheetViews>
    <sheetView showGridLines="0" view="pageBreakPreview" zoomScale="70" zoomScaleNormal="85" zoomScaleSheetLayoutView="70" workbookViewId="0">
      <selection activeCell="Q27" sqref="Q27"/>
    </sheetView>
  </sheetViews>
  <sheetFormatPr defaultColWidth="13.85546875" defaultRowHeight="12.75" outlineLevelRow="1" outlineLevelCol="1"/>
  <cols>
    <col min="1" max="1" width="6.140625" style="555" customWidth="1"/>
    <col min="2" max="3" width="2.28515625" style="555" customWidth="1"/>
    <col min="4" max="4" width="31.85546875" style="555" customWidth="1"/>
    <col min="5" max="6" width="0.7109375" style="555" customWidth="1"/>
    <col min="7" max="7" width="14.140625" style="583" customWidth="1" outlineLevel="1"/>
    <col min="8" max="8" width="1" style="555" customWidth="1" outlineLevel="1"/>
    <col min="9" max="9" width="14.140625" style="583" customWidth="1" outlineLevel="1"/>
    <col min="10" max="10" width="1" style="555" customWidth="1" outlineLevel="1"/>
    <col min="11" max="11" width="14.140625" style="583" customWidth="1" outlineLevel="1"/>
    <col min="12" max="12" width="1" style="555" customWidth="1" outlineLevel="1"/>
    <col min="13" max="13" width="14.140625" style="583" customWidth="1" outlineLevel="1"/>
    <col min="14" max="14" width="1" style="555" customWidth="1" outlineLevel="1"/>
    <col min="15" max="15" width="14.140625" style="583" customWidth="1" outlineLevel="1"/>
    <col min="16" max="16" width="1" style="555" customWidth="1" outlineLevel="1"/>
    <col min="17" max="17" width="14.140625" style="583" customWidth="1" outlineLevel="1"/>
    <col min="18" max="18" width="1" style="555" customWidth="1" outlineLevel="1"/>
    <col min="19" max="19" width="14.140625" style="583" customWidth="1" outlineLevel="1"/>
    <col min="20" max="20" width="1" style="555" customWidth="1" outlineLevel="1"/>
    <col min="21" max="21" width="14.140625" style="583" customWidth="1" outlineLevel="1"/>
    <col min="22" max="22" width="1" style="555" customWidth="1" outlineLevel="1"/>
    <col min="23" max="23" width="14.140625" style="583" customWidth="1" outlineLevel="1"/>
    <col min="24" max="24" width="1" style="555" customWidth="1" outlineLevel="1"/>
    <col min="25" max="25" width="14.140625" style="583" customWidth="1" outlineLevel="1"/>
    <col min="26" max="26" width="1" style="555" customWidth="1" outlineLevel="1"/>
    <col min="27" max="27" width="14.140625" style="583" customWidth="1" outlineLevel="1"/>
    <col min="28" max="28" width="1" style="555" customWidth="1" outlineLevel="1"/>
    <col min="29" max="29" width="14.140625" style="583" customWidth="1" outlineLevel="1"/>
    <col min="30" max="30" width="1" style="555" customWidth="1" outlineLevel="1"/>
    <col min="31" max="31" width="14.140625" style="583" customWidth="1"/>
    <col min="32" max="32" width="4.5703125" style="555" customWidth="1"/>
    <col min="33" max="33" width="1.42578125" style="555" customWidth="1"/>
    <col min="34" max="36" width="14.28515625" style="555" customWidth="1"/>
    <col min="37" max="37" width="3" style="555" customWidth="1"/>
    <col min="38" max="40" width="11.140625" style="555" customWidth="1"/>
    <col min="41" max="43" width="18" style="555" customWidth="1"/>
    <col min="44" max="16384" width="13.85546875" style="555"/>
  </cols>
  <sheetData>
    <row r="1" spans="1:43" s="565" customFormat="1" ht="15.75">
      <c r="A1" s="636" t="s">
        <v>1408</v>
      </c>
      <c r="J1" s="566"/>
      <c r="K1" s="567"/>
      <c r="N1" s="566"/>
      <c r="O1" s="568"/>
      <c r="P1" s="566"/>
      <c r="Q1" s="567"/>
      <c r="V1" s="566"/>
      <c r="W1" s="567"/>
      <c r="AB1" s="566"/>
      <c r="AC1" s="567"/>
      <c r="AE1" s="569"/>
      <c r="AO1" s="637"/>
      <c r="AP1" s="638"/>
      <c r="AQ1" s="638"/>
    </row>
    <row r="2" spans="1:43" s="565" customFormat="1" ht="15.75">
      <c r="A2" s="636" t="s">
        <v>404</v>
      </c>
      <c r="K2" s="570"/>
      <c r="N2" s="566"/>
      <c r="O2" s="570"/>
      <c r="Q2" s="570" t="s">
        <v>195</v>
      </c>
      <c r="W2" s="570" t="s">
        <v>195</v>
      </c>
      <c r="AC2" s="570" t="s">
        <v>195</v>
      </c>
      <c r="AF2" s="639"/>
      <c r="AG2" s="639"/>
      <c r="AH2" s="549"/>
      <c r="AO2" s="641"/>
      <c r="AP2" s="642"/>
      <c r="AQ2" s="643" t="s">
        <v>660</v>
      </c>
    </row>
    <row r="3" spans="1:43" s="565" customFormat="1" ht="15.75" customHeight="1">
      <c r="A3" s="636" t="s">
        <v>1379</v>
      </c>
      <c r="AG3" s="548" t="s">
        <v>1409</v>
      </c>
      <c r="AH3" s="640">
        <f>AQ28</f>
        <v>6.0284625288846063E-3</v>
      </c>
      <c r="AI3" s="1684" t="s">
        <v>2116</v>
      </c>
      <c r="AO3" s="644" t="s">
        <v>396</v>
      </c>
      <c r="AP3" s="645" t="s">
        <v>1410</v>
      </c>
      <c r="AQ3" s="646" t="s">
        <v>1411</v>
      </c>
    </row>
    <row r="4" spans="1:43" s="565" customFormat="1" ht="16.5" thickBot="1">
      <c r="A4" s="647"/>
      <c r="AE4" s="648"/>
      <c r="AF4" s="648"/>
      <c r="AH4" s="648"/>
      <c r="AI4" s="648"/>
      <c r="AJ4" s="648"/>
      <c r="AK4" s="649"/>
      <c r="AO4" s="650">
        <v>2010</v>
      </c>
      <c r="AP4" s="651">
        <v>131402</v>
      </c>
      <c r="AQ4" s="652">
        <v>0.1244934831401061</v>
      </c>
    </row>
    <row r="5" spans="1:43" s="565" customFormat="1" ht="15.75">
      <c r="A5" s="653" t="s">
        <v>1412</v>
      </c>
      <c r="B5" s="654"/>
      <c r="C5" s="654"/>
      <c r="D5" s="654"/>
      <c r="E5" s="654"/>
      <c r="F5" s="654"/>
      <c r="G5" s="655"/>
      <c r="H5" s="653"/>
      <c r="I5" s="653"/>
      <c r="J5" s="653"/>
      <c r="K5" s="653"/>
      <c r="L5" s="653"/>
      <c r="M5" s="653"/>
      <c r="N5" s="653"/>
      <c r="O5" s="653"/>
      <c r="P5" s="653"/>
      <c r="Q5" s="653"/>
      <c r="R5" s="653"/>
      <c r="S5" s="653"/>
      <c r="T5" s="653"/>
      <c r="U5" s="653"/>
      <c r="V5" s="653"/>
      <c r="W5" s="653"/>
      <c r="X5" s="653"/>
      <c r="Y5" s="653"/>
      <c r="Z5" s="653"/>
      <c r="AA5" s="653"/>
      <c r="AB5" s="653"/>
      <c r="AC5" s="653"/>
      <c r="AD5" s="653"/>
      <c r="AE5" s="656"/>
      <c r="AF5" s="656"/>
      <c r="AH5" s="657" t="s">
        <v>1413</v>
      </c>
      <c r="AI5" s="657" t="s">
        <v>1036</v>
      </c>
      <c r="AJ5" s="657" t="s">
        <v>1414</v>
      </c>
      <c r="AK5" s="657"/>
      <c r="AO5" s="650">
        <v>2011</v>
      </c>
      <c r="AP5" s="651">
        <v>30599</v>
      </c>
      <c r="AQ5" s="652">
        <v>2.8990244369218935E-2</v>
      </c>
    </row>
    <row r="6" spans="1:43" s="565" customFormat="1" ht="16.5" thickBot="1">
      <c r="A6" s="571"/>
      <c r="B6" s="571"/>
      <c r="C6" s="571"/>
      <c r="D6" s="571"/>
      <c r="E6" s="571"/>
      <c r="F6" s="571"/>
      <c r="G6" s="572">
        <v>43117</v>
      </c>
      <c r="H6" s="573"/>
      <c r="I6" s="572">
        <f>G6+31</f>
        <v>43148</v>
      </c>
      <c r="J6" s="573"/>
      <c r="K6" s="572">
        <f>I6+31</f>
        <v>43179</v>
      </c>
      <c r="L6" s="574"/>
      <c r="M6" s="572">
        <f>K6+31</f>
        <v>43210</v>
      </c>
      <c r="N6" s="573"/>
      <c r="O6" s="572">
        <f>M6+31</f>
        <v>43241</v>
      </c>
      <c r="P6" s="573"/>
      <c r="Q6" s="572">
        <f>O6+31</f>
        <v>43272</v>
      </c>
      <c r="R6" s="574"/>
      <c r="S6" s="572">
        <f>Q6+31</f>
        <v>43303</v>
      </c>
      <c r="T6" s="573"/>
      <c r="U6" s="572">
        <f>S6+31</f>
        <v>43334</v>
      </c>
      <c r="V6" s="573"/>
      <c r="W6" s="572">
        <f>U6+31</f>
        <v>43365</v>
      </c>
      <c r="X6" s="574"/>
      <c r="Y6" s="572">
        <f>W6+31</f>
        <v>43396</v>
      </c>
      <c r="Z6" s="573"/>
      <c r="AA6" s="572">
        <f>Y6+31</f>
        <v>43427</v>
      </c>
      <c r="AB6" s="573"/>
      <c r="AC6" s="572">
        <f>AA6+31</f>
        <v>43458</v>
      </c>
      <c r="AD6" s="574"/>
      <c r="AE6" s="575" t="s">
        <v>26</v>
      </c>
      <c r="AF6" s="576"/>
      <c r="AH6" s="572" t="s">
        <v>1415</v>
      </c>
      <c r="AI6" s="572" t="s">
        <v>1416</v>
      </c>
      <c r="AJ6" s="572" t="s">
        <v>1417</v>
      </c>
      <c r="AK6" s="657"/>
      <c r="AO6" s="650">
        <v>2012</v>
      </c>
      <c r="AP6" s="651">
        <v>22646</v>
      </c>
      <c r="AQ6" s="652">
        <v>2.1455376776539494E-2</v>
      </c>
    </row>
    <row r="7" spans="1:43" s="559" customFormat="1" ht="15.75" outlineLevel="1">
      <c r="G7" s="580"/>
      <c r="H7" s="579"/>
      <c r="I7" s="580"/>
      <c r="J7" s="579"/>
      <c r="K7" s="580"/>
      <c r="L7" s="579"/>
      <c r="M7" s="580"/>
      <c r="N7" s="579"/>
      <c r="O7" s="580"/>
      <c r="P7" s="579"/>
      <c r="Q7" s="580"/>
      <c r="R7" s="579"/>
      <c r="S7" s="580"/>
      <c r="T7" s="579"/>
      <c r="U7" s="580"/>
      <c r="V7" s="579"/>
      <c r="W7" s="580"/>
      <c r="X7" s="579"/>
      <c r="Y7" s="580"/>
      <c r="Z7" s="579"/>
      <c r="AA7" s="580"/>
      <c r="AB7" s="579"/>
      <c r="AC7" s="580"/>
      <c r="AD7" s="579"/>
      <c r="AE7" s="580"/>
      <c r="AF7" s="577"/>
      <c r="AG7" s="565"/>
      <c r="AO7" s="650">
        <v>2013</v>
      </c>
      <c r="AP7" s="651">
        <v>59476</v>
      </c>
      <c r="AQ7" s="652">
        <v>5.6349023631611012E-2</v>
      </c>
    </row>
    <row r="8" spans="1:43" ht="15" outlineLevel="1">
      <c r="A8" s="557">
        <v>70035</v>
      </c>
      <c r="B8" s="557" t="s">
        <v>42</v>
      </c>
      <c r="C8" s="558"/>
      <c r="D8" s="556"/>
      <c r="E8" s="559"/>
      <c r="F8" s="560"/>
      <c r="G8" s="561">
        <f>+IFERROR(VLOOKUP($A8,'[50]2000_IS210'!$D:$AH,7,FALSE),0)</f>
        <v>250</v>
      </c>
      <c r="H8" s="560"/>
      <c r="I8" s="561">
        <f>+IFERROR(VLOOKUP($A8,'[50]2000_IS210'!$D:$AH,9,FALSE),0)</f>
        <v>250</v>
      </c>
      <c r="J8" s="560"/>
      <c r="K8" s="561">
        <f>+IFERROR(VLOOKUP($A8,'[50]2000_IS210'!$D:$AH,11,FALSE),0)</f>
        <v>-62.5</v>
      </c>
      <c r="L8" s="560"/>
      <c r="M8" s="561">
        <f>+IFERROR(VLOOKUP($A8,'[50]2000_IS210'!$D:$AH,13,FALSE),0)</f>
        <v>204.45</v>
      </c>
      <c r="N8" s="560"/>
      <c r="O8" s="561">
        <f>+IFERROR(VLOOKUP($A8,'[50]2000_IS210'!$D:$AH,15,FALSE),0)</f>
        <v>-216.09</v>
      </c>
      <c r="P8" s="560"/>
      <c r="Q8" s="561">
        <f>+IFERROR(VLOOKUP($A8,'[50]2000_IS210'!$D:$AH,17,FALSE),0)</f>
        <v>-841.1</v>
      </c>
      <c r="R8" s="560"/>
      <c r="S8" s="561">
        <f>+IFERROR(VLOOKUP($A8,'[50]2000_IS210'!$D:$AH,19,FALSE),0)</f>
        <v>33.9</v>
      </c>
      <c r="T8" s="560"/>
      <c r="U8" s="561">
        <f>+IFERROR(VLOOKUP($A8,'[50]2000_IS210'!$D:$AH,21,FALSE),0)</f>
        <v>33.909999999999997</v>
      </c>
      <c r="V8" s="560"/>
      <c r="W8" s="561">
        <f>+IFERROR(VLOOKUP($A8,'[50]2000_IS210'!$D:$AH,23,FALSE),0)</f>
        <v>33.9</v>
      </c>
      <c r="X8" s="560"/>
      <c r="Y8" s="561">
        <f>+IFERROR(VLOOKUP($A8,'[50]2000_IS210'!$D:$AH,25,FALSE),0)</f>
        <v>33.909999999999997</v>
      </c>
      <c r="Z8" s="560"/>
      <c r="AA8" s="561">
        <f>+IFERROR(VLOOKUP($A8,'[50]2000_IS210'!$D:$AH,27,FALSE),0)</f>
        <v>-220.38</v>
      </c>
      <c r="AB8" s="560"/>
      <c r="AC8" s="561">
        <f>+IFERROR(VLOOKUP($A8,'[50]2000_IS210'!$D:$AH,29,FALSE),0)</f>
        <v>29.79</v>
      </c>
      <c r="AD8" s="560"/>
      <c r="AE8" s="561">
        <f t="shared" ref="AE8:AE45" si="0">AC8+AA8+Y8+W8+U8+S8+Q8+O8+M8+K8+I8+G8</f>
        <v>-470.21000000000004</v>
      </c>
      <c r="AF8" s="562"/>
      <c r="AG8" s="563"/>
      <c r="AH8" s="658">
        <f>(SUM(G8:AC8)*$AH$3)</f>
        <v>-2.8346433657068313</v>
      </c>
      <c r="AJ8" s="555">
        <f t="shared" ref="AJ8:AJ45" si="1">AH8+AI8</f>
        <v>-2.8346433657068313</v>
      </c>
      <c r="AO8" s="650">
        <v>2014</v>
      </c>
      <c r="AP8" s="651">
        <v>56</v>
      </c>
      <c r="AQ8" s="652">
        <v>5.3055775831767712E-5</v>
      </c>
    </row>
    <row r="9" spans="1:43" ht="15" outlineLevel="1">
      <c r="A9" s="557">
        <v>70036</v>
      </c>
      <c r="B9" s="557" t="s">
        <v>43</v>
      </c>
      <c r="C9" s="558"/>
      <c r="D9" s="556"/>
      <c r="E9" s="559"/>
      <c r="F9" s="560"/>
      <c r="G9" s="561">
        <f>+IFERROR(VLOOKUP($A9,'[50]2000_IS210'!$D:$AH,7,FALSE),0)</f>
        <v>1247.08</v>
      </c>
      <c r="H9" s="560"/>
      <c r="I9" s="561">
        <f>+IFERROR(VLOOKUP($A9,'[50]2000_IS210'!$D:$AH,9,FALSE),0)</f>
        <v>1247.0899999999999</v>
      </c>
      <c r="J9" s="560"/>
      <c r="K9" s="561">
        <f>+IFERROR(VLOOKUP($A9,'[50]2000_IS210'!$D:$AH,11,FALSE),0)</f>
        <v>1612.08</v>
      </c>
      <c r="L9" s="560"/>
      <c r="M9" s="561">
        <f>+IFERROR(VLOOKUP($A9,'[50]2000_IS210'!$D:$AH,13,FALSE),0)</f>
        <v>1247.08</v>
      </c>
      <c r="N9" s="560"/>
      <c r="O9" s="561">
        <f>+IFERROR(VLOOKUP($A9,'[50]2000_IS210'!$D:$AH,15,FALSE),0)</f>
        <v>1847.09</v>
      </c>
      <c r="P9" s="560"/>
      <c r="Q9" s="561">
        <f>+IFERROR(VLOOKUP($A9,'[50]2000_IS210'!$D:$AH,17,FALSE),0)</f>
        <v>1451.14</v>
      </c>
      <c r="R9" s="560"/>
      <c r="S9" s="561">
        <f>+IFERROR(VLOOKUP($A9,'[50]2000_IS210'!$D:$AH,19,FALSE),0)</f>
        <v>51297.08</v>
      </c>
      <c r="T9" s="560"/>
      <c r="U9" s="561">
        <f>+IFERROR(VLOOKUP($A9,'[50]2000_IS210'!$D:$AH,21,FALSE),0)</f>
        <v>1247.0899999999999</v>
      </c>
      <c r="V9" s="560"/>
      <c r="W9" s="561">
        <f>+IFERROR(VLOOKUP($A9,'[50]2000_IS210'!$D:$AH,23,FALSE),0)</f>
        <v>1397.08</v>
      </c>
      <c r="X9" s="560"/>
      <c r="Y9" s="561">
        <f>+IFERROR(VLOOKUP($A9,'[50]2000_IS210'!$D:$AH,25,FALSE),0)</f>
        <v>1517.83</v>
      </c>
      <c r="Z9" s="560"/>
      <c r="AA9" s="561">
        <f>+IFERROR(VLOOKUP($A9,'[50]2000_IS210'!$D:$AH,27,FALSE),0)</f>
        <v>1347.09</v>
      </c>
      <c r="AB9" s="560"/>
      <c r="AC9" s="561">
        <f>+IFERROR(VLOOKUP($A9,'[50]2000_IS210'!$D:$AH,29,FALSE),0)</f>
        <v>1271.32</v>
      </c>
      <c r="AD9" s="560"/>
      <c r="AE9" s="561">
        <f t="shared" si="0"/>
        <v>66729.05</v>
      </c>
      <c r="AF9" s="562"/>
      <c r="AG9" s="563"/>
      <c r="AH9" s="658">
        <f t="shared" ref="AH9:AH45" si="2">(SUM(G9:AC9)*$AH$3)</f>
        <v>402.27357751306738</v>
      </c>
      <c r="AJ9" s="555">
        <f t="shared" si="1"/>
        <v>402.27357751306738</v>
      </c>
      <c r="AO9" s="650">
        <v>2015</v>
      </c>
      <c r="AP9" s="651">
        <v>0</v>
      </c>
      <c r="AQ9" s="652">
        <v>0</v>
      </c>
    </row>
    <row r="10" spans="1:43" ht="15" outlineLevel="1">
      <c r="A10" s="557">
        <v>70086</v>
      </c>
      <c r="B10" s="557" t="s">
        <v>245</v>
      </c>
      <c r="C10" s="558"/>
      <c r="D10" s="556"/>
      <c r="E10" s="559"/>
      <c r="F10" s="560"/>
      <c r="G10" s="561">
        <f>+IFERROR(VLOOKUP($A10,'[50]2000_IS210'!$D:$AH,7,FALSE),0)</f>
        <v>935.08</v>
      </c>
      <c r="H10" s="560"/>
      <c r="I10" s="561">
        <f>+IFERROR(VLOOKUP($A10,'[50]2000_IS210'!$D:$AH,9,FALSE),0)</f>
        <v>3172.78</v>
      </c>
      <c r="J10" s="560"/>
      <c r="K10" s="561">
        <f>+IFERROR(VLOOKUP($A10,'[50]2000_IS210'!$D:$AH,11,FALSE),0)</f>
        <v>402.75</v>
      </c>
      <c r="L10" s="560"/>
      <c r="M10" s="561">
        <f>+IFERROR(VLOOKUP($A10,'[50]2000_IS210'!$D:$AH,13,FALSE),0)</f>
        <v>2021.44</v>
      </c>
      <c r="N10" s="560"/>
      <c r="O10" s="561">
        <f>+IFERROR(VLOOKUP($A10,'[50]2000_IS210'!$D:$AH,15,FALSE),0)</f>
        <v>4114.32</v>
      </c>
      <c r="P10" s="560"/>
      <c r="Q10" s="561">
        <f>+IFERROR(VLOOKUP($A10,'[50]2000_IS210'!$D:$AH,17,FALSE),0)</f>
        <v>656.83</v>
      </c>
      <c r="R10" s="560"/>
      <c r="S10" s="561">
        <f>+IFERROR(VLOOKUP($A10,'[50]2000_IS210'!$D:$AH,19,FALSE),0)</f>
        <v>1418.74</v>
      </c>
      <c r="T10" s="560"/>
      <c r="U10" s="561">
        <f>+IFERROR(VLOOKUP($A10,'[50]2000_IS210'!$D:$AH,21,FALSE),0)</f>
        <v>2274.2399999999998</v>
      </c>
      <c r="V10" s="560"/>
      <c r="W10" s="561">
        <f>+IFERROR(VLOOKUP($A10,'[50]2000_IS210'!$D:$AH,23,FALSE),0)</f>
        <v>725.05</v>
      </c>
      <c r="X10" s="560"/>
      <c r="Y10" s="561">
        <f>+IFERROR(VLOOKUP($A10,'[50]2000_IS210'!$D:$AH,25,FALSE),0)</f>
        <v>-7.2</v>
      </c>
      <c r="Z10" s="560"/>
      <c r="AA10" s="561">
        <f>+IFERROR(VLOOKUP($A10,'[50]2000_IS210'!$D:$AH,27,FALSE),0)</f>
        <v>1354.16</v>
      </c>
      <c r="AB10" s="560"/>
      <c r="AC10" s="561">
        <f>+IFERROR(VLOOKUP($A10,'[50]2000_IS210'!$D:$AH,29,FALSE),0)</f>
        <v>1230.3599999999999</v>
      </c>
      <c r="AD10" s="560"/>
      <c r="AE10" s="561">
        <f t="shared" si="0"/>
        <v>18298.550000000003</v>
      </c>
      <c r="AF10" s="562"/>
      <c r="AG10" s="563"/>
      <c r="AH10" s="658">
        <f t="shared" si="2"/>
        <v>110.31212300792141</v>
      </c>
      <c r="AJ10" s="555">
        <f t="shared" si="1"/>
        <v>110.31212300792141</v>
      </c>
      <c r="AO10" s="650">
        <v>2025</v>
      </c>
      <c r="AP10" s="651">
        <v>2441</v>
      </c>
      <c r="AQ10" s="652">
        <v>2.3126633715240177E-3</v>
      </c>
    </row>
    <row r="11" spans="1:43" ht="15" outlineLevel="1">
      <c r="A11" s="557">
        <v>70095</v>
      </c>
      <c r="B11" s="557" t="s">
        <v>132</v>
      </c>
      <c r="C11" s="558"/>
      <c r="D11" s="556"/>
      <c r="E11" s="559"/>
      <c r="F11" s="560"/>
      <c r="G11" s="561">
        <f>+IFERROR(VLOOKUP($A11,'[50]2000_IS210'!$D:$AH,7,FALSE),0)</f>
        <v>17701.560000000001</v>
      </c>
      <c r="H11" s="560"/>
      <c r="I11" s="561">
        <f>+IFERROR(VLOOKUP($A11,'[50]2000_IS210'!$D:$AH,9,FALSE),0)</f>
        <v>11577.88</v>
      </c>
      <c r="J11" s="560"/>
      <c r="K11" s="561">
        <f>+IFERROR(VLOOKUP($A11,'[50]2000_IS210'!$D:$AH,11,FALSE),0)</f>
        <v>16067.76</v>
      </c>
      <c r="L11" s="560"/>
      <c r="M11" s="561">
        <f>+IFERROR(VLOOKUP($A11,'[50]2000_IS210'!$D:$AH,13,FALSE),0)</f>
        <v>4277.54</v>
      </c>
      <c r="N11" s="560"/>
      <c r="O11" s="561">
        <f>+IFERROR(VLOOKUP($A11,'[50]2000_IS210'!$D:$AH,15,FALSE),0)</f>
        <v>3087.22</v>
      </c>
      <c r="P11" s="560"/>
      <c r="Q11" s="561">
        <f>+IFERROR(VLOOKUP($A11,'[50]2000_IS210'!$D:$AH,17,FALSE),0)</f>
        <v>4187.6899999999996</v>
      </c>
      <c r="R11" s="560"/>
      <c r="S11" s="561">
        <f>+IFERROR(VLOOKUP($A11,'[50]2000_IS210'!$D:$AH,19,FALSE),0)</f>
        <v>2768.9</v>
      </c>
      <c r="T11" s="560"/>
      <c r="U11" s="561">
        <f>+IFERROR(VLOOKUP($A11,'[50]2000_IS210'!$D:$AH,21,FALSE),0)</f>
        <v>5774.53</v>
      </c>
      <c r="V11" s="560"/>
      <c r="W11" s="561">
        <f>+IFERROR(VLOOKUP($A11,'[50]2000_IS210'!$D:$AH,23,FALSE),0)</f>
        <v>3186.11</v>
      </c>
      <c r="X11" s="560"/>
      <c r="Y11" s="561">
        <f>+IFERROR(VLOOKUP($A11,'[50]2000_IS210'!$D:$AH,25,FALSE),0)</f>
        <v>8156.59</v>
      </c>
      <c r="Z11" s="560"/>
      <c r="AA11" s="561">
        <f>+IFERROR(VLOOKUP($A11,'[50]2000_IS210'!$D:$AH,27,FALSE),0)</f>
        <v>10035.68</v>
      </c>
      <c r="AB11" s="560"/>
      <c r="AC11" s="561">
        <f>+IFERROR(VLOOKUP($A11,'[50]2000_IS210'!$D:$AH,29,FALSE),0)</f>
        <v>20044.580000000002</v>
      </c>
      <c r="AD11" s="560"/>
      <c r="AE11" s="561">
        <f t="shared" si="0"/>
        <v>106866.04000000001</v>
      </c>
      <c r="AF11" s="562"/>
      <c r="AG11" s="563"/>
      <c r="AH11" s="658">
        <f t="shared" si="2"/>
        <v>644.23791775028349</v>
      </c>
      <c r="AI11" s="555">
        <f>-AH11</f>
        <v>-644.23791775028349</v>
      </c>
      <c r="AJ11" s="555">
        <f t="shared" si="1"/>
        <v>0</v>
      </c>
      <c r="AO11" s="650">
        <v>2040</v>
      </c>
      <c r="AP11" s="651">
        <v>7913</v>
      </c>
      <c r="AQ11" s="652">
        <v>7.4969706099424632E-3</v>
      </c>
    </row>
    <row r="12" spans="1:43" ht="15" outlineLevel="1">
      <c r="A12" s="557">
        <v>70105</v>
      </c>
      <c r="B12" s="557" t="s">
        <v>134</v>
      </c>
      <c r="C12" s="558"/>
      <c r="D12" s="556"/>
      <c r="E12" s="559"/>
      <c r="F12" s="560"/>
      <c r="G12" s="561">
        <f>+IFERROR(VLOOKUP($A12,'[50]2000_IS210'!$D:$AH,7,FALSE),0)</f>
        <v>0</v>
      </c>
      <c r="H12" s="560"/>
      <c r="I12" s="561">
        <f>+IFERROR(VLOOKUP($A12,'[50]2000_IS210'!$D:$AH,9,FALSE),0)</f>
        <v>0</v>
      </c>
      <c r="J12" s="560"/>
      <c r="K12" s="561">
        <f>+IFERROR(VLOOKUP($A12,'[50]2000_IS210'!$D:$AH,11,FALSE),0)</f>
        <v>0</v>
      </c>
      <c r="L12" s="560"/>
      <c r="M12" s="561">
        <f>+IFERROR(VLOOKUP($A12,'[50]2000_IS210'!$D:$AH,13,FALSE),0)</f>
        <v>0</v>
      </c>
      <c r="N12" s="560"/>
      <c r="O12" s="561">
        <f>+IFERROR(VLOOKUP($A12,'[50]2000_IS210'!$D:$AH,15,FALSE),0)</f>
        <v>0</v>
      </c>
      <c r="P12" s="560"/>
      <c r="Q12" s="561">
        <f>+IFERROR(VLOOKUP($A12,'[50]2000_IS210'!$D:$AH,17,FALSE),0)</f>
        <v>0</v>
      </c>
      <c r="R12" s="560"/>
      <c r="S12" s="561">
        <f>+IFERROR(VLOOKUP($A12,'[50]2000_IS210'!$D:$AH,19,FALSE),0)</f>
        <v>0</v>
      </c>
      <c r="T12" s="560"/>
      <c r="U12" s="561">
        <f>+IFERROR(VLOOKUP($A12,'[50]2000_IS210'!$D:$AH,21,FALSE),0)</f>
        <v>0</v>
      </c>
      <c r="V12" s="560"/>
      <c r="W12" s="561">
        <f>+IFERROR(VLOOKUP($A12,'[50]2000_IS210'!$D:$AH,23,FALSE),0)</f>
        <v>375</v>
      </c>
      <c r="X12" s="560"/>
      <c r="Y12" s="561">
        <f>+IFERROR(VLOOKUP($A12,'[50]2000_IS210'!$D:$AH,25,FALSE),0)</f>
        <v>0</v>
      </c>
      <c r="Z12" s="560"/>
      <c r="AA12" s="561">
        <f>+IFERROR(VLOOKUP($A12,'[50]2000_IS210'!$D:$AH,27,FALSE),0)</f>
        <v>0</v>
      </c>
      <c r="AB12" s="560"/>
      <c r="AC12" s="561">
        <f>+IFERROR(VLOOKUP($A12,'[50]2000_IS210'!$D:$AH,29,FALSE),0)</f>
        <v>4810</v>
      </c>
      <c r="AD12" s="560"/>
      <c r="AE12" s="561">
        <f t="shared" si="0"/>
        <v>5185</v>
      </c>
      <c r="AF12" s="562"/>
      <c r="AG12" s="563"/>
      <c r="AH12" s="658">
        <f t="shared" si="2"/>
        <v>31.257578212266683</v>
      </c>
      <c r="AJ12" s="555">
        <f t="shared" si="1"/>
        <v>31.257578212266683</v>
      </c>
      <c r="AO12" s="650">
        <v>2041</v>
      </c>
      <c r="AP12" s="651">
        <v>2381</v>
      </c>
      <c r="AQ12" s="652">
        <v>2.2558178974185525E-3</v>
      </c>
    </row>
    <row r="13" spans="1:43" ht="15" outlineLevel="1">
      <c r="A13" s="557">
        <v>70110</v>
      </c>
      <c r="B13" s="557" t="s">
        <v>135</v>
      </c>
      <c r="C13" s="558"/>
      <c r="D13" s="556"/>
      <c r="E13" s="559"/>
      <c r="F13" s="560"/>
      <c r="G13" s="561">
        <f>+IFERROR(VLOOKUP($A13,'[50]2000_IS210'!$D:$AH,7,FALSE),0)</f>
        <v>5000</v>
      </c>
      <c r="H13" s="560"/>
      <c r="I13" s="561">
        <f>+IFERROR(VLOOKUP($A13,'[50]2000_IS210'!$D:$AH,9,FALSE),0)</f>
        <v>2500</v>
      </c>
      <c r="J13" s="560"/>
      <c r="K13" s="561">
        <f>+IFERROR(VLOOKUP($A13,'[50]2000_IS210'!$D:$AH,11,FALSE),0)</f>
        <v>0</v>
      </c>
      <c r="L13" s="560"/>
      <c r="M13" s="561">
        <f>+IFERROR(VLOOKUP($A13,'[50]2000_IS210'!$D:$AH,13,FALSE),0)</f>
        <v>5000</v>
      </c>
      <c r="N13" s="560"/>
      <c r="O13" s="561">
        <f>+IFERROR(VLOOKUP($A13,'[50]2000_IS210'!$D:$AH,15,FALSE),0)</f>
        <v>-2070.2600000000002</v>
      </c>
      <c r="P13" s="560"/>
      <c r="Q13" s="561">
        <f>+IFERROR(VLOOKUP($A13,'[50]2000_IS210'!$D:$AH,17,FALSE),0)</f>
        <v>20000</v>
      </c>
      <c r="R13" s="560"/>
      <c r="S13" s="561">
        <f>+IFERROR(VLOOKUP($A13,'[50]2000_IS210'!$D:$AH,19,FALSE),0)</f>
        <v>0</v>
      </c>
      <c r="T13" s="560"/>
      <c r="U13" s="561">
        <f>+IFERROR(VLOOKUP($A13,'[50]2000_IS210'!$D:$AH,21,FALSE),0)</f>
        <v>263.75</v>
      </c>
      <c r="V13" s="560"/>
      <c r="W13" s="561">
        <f>+IFERROR(VLOOKUP($A13,'[50]2000_IS210'!$D:$AH,23,FALSE),0)</f>
        <v>102500</v>
      </c>
      <c r="X13" s="560"/>
      <c r="Y13" s="561">
        <f>+IFERROR(VLOOKUP($A13,'[50]2000_IS210'!$D:$AH,25,FALSE),0)</f>
        <v>5500</v>
      </c>
      <c r="Z13" s="560"/>
      <c r="AA13" s="561">
        <f>+IFERROR(VLOOKUP($A13,'[50]2000_IS210'!$D:$AH,27,FALSE),0)</f>
        <v>0</v>
      </c>
      <c r="AB13" s="560"/>
      <c r="AC13" s="561">
        <f>+IFERROR(VLOOKUP($A13,'[50]2000_IS210'!$D:$AH,29,FALSE),0)</f>
        <v>0</v>
      </c>
      <c r="AD13" s="560"/>
      <c r="AE13" s="561">
        <f t="shared" si="0"/>
        <v>138693.49</v>
      </c>
      <c r="AF13" s="562"/>
      <c r="AG13" s="563"/>
      <c r="AH13" s="658">
        <f t="shared" si="2"/>
        <v>836.10850746523181</v>
      </c>
      <c r="AI13" s="555">
        <f>-AH13</f>
        <v>-836.10850746523181</v>
      </c>
      <c r="AJ13" s="555">
        <f t="shared" si="1"/>
        <v>0</v>
      </c>
      <c r="AO13" s="650">
        <v>2042</v>
      </c>
      <c r="AP13" s="651">
        <v>126</v>
      </c>
      <c r="AQ13" s="652">
        <v>1.1937549562147736E-4</v>
      </c>
    </row>
    <row r="14" spans="1:43" ht="15" outlineLevel="1">
      <c r="A14" s="557">
        <v>70112</v>
      </c>
      <c r="B14" s="557" t="s">
        <v>668</v>
      </c>
      <c r="C14" s="558"/>
      <c r="D14" s="556"/>
      <c r="E14" s="559"/>
      <c r="F14" s="560"/>
      <c r="G14" s="561">
        <f>+IFERROR(VLOOKUP($A14,'[50]2000_IS210'!$D:$AH,7,FALSE),0)</f>
        <v>0</v>
      </c>
      <c r="H14" s="560"/>
      <c r="I14" s="561">
        <f>+IFERROR(VLOOKUP($A14,'[50]2000_IS210'!$D:$AH,9,FALSE),0)</f>
        <v>0</v>
      </c>
      <c r="J14" s="560"/>
      <c r="K14" s="561">
        <f>+IFERROR(VLOOKUP($A14,'[50]2000_IS210'!$D:$AH,11,FALSE),0)</f>
        <v>0</v>
      </c>
      <c r="L14" s="560"/>
      <c r="M14" s="561">
        <f>+IFERROR(VLOOKUP($A14,'[50]2000_IS210'!$D:$AH,13,FALSE),0)</f>
        <v>0</v>
      </c>
      <c r="N14" s="560"/>
      <c r="O14" s="561">
        <f>+IFERROR(VLOOKUP($A14,'[50]2000_IS210'!$D:$AH,15,FALSE),0)</f>
        <v>0</v>
      </c>
      <c r="P14" s="560"/>
      <c r="Q14" s="561">
        <f>+IFERROR(VLOOKUP($A14,'[50]2000_IS210'!$D:$AH,17,FALSE),0)</f>
        <v>0</v>
      </c>
      <c r="R14" s="560"/>
      <c r="S14" s="561">
        <f>+IFERROR(VLOOKUP($A14,'[50]2000_IS210'!$D:$AH,19,FALSE),0)</f>
        <v>0</v>
      </c>
      <c r="T14" s="560"/>
      <c r="U14" s="561">
        <f>+IFERROR(VLOOKUP($A14,'[50]2000_IS210'!$D:$AH,21,FALSE),0)</f>
        <v>0</v>
      </c>
      <c r="V14" s="560"/>
      <c r="W14" s="561">
        <f>+IFERROR(VLOOKUP($A14,'[50]2000_IS210'!$D:$AH,23,FALSE),0)</f>
        <v>0</v>
      </c>
      <c r="X14" s="560"/>
      <c r="Y14" s="561">
        <f>+IFERROR(VLOOKUP($A14,'[50]2000_IS210'!$D:$AH,25,FALSE),0)</f>
        <v>0</v>
      </c>
      <c r="Z14" s="560"/>
      <c r="AA14" s="561">
        <f>+IFERROR(VLOOKUP($A14,'[50]2000_IS210'!$D:$AH,27,FALSE),0)</f>
        <v>0</v>
      </c>
      <c r="AB14" s="560"/>
      <c r="AC14" s="561">
        <f>+IFERROR(VLOOKUP($A14,'[50]2000_IS210'!$D:$AH,29,FALSE),0)</f>
        <v>0</v>
      </c>
      <c r="AD14" s="560"/>
      <c r="AE14" s="561">
        <f t="shared" si="0"/>
        <v>0</v>
      </c>
      <c r="AF14" s="562"/>
      <c r="AG14" s="563"/>
      <c r="AH14" s="658">
        <f t="shared" si="2"/>
        <v>0</v>
      </c>
      <c r="AI14" s="555">
        <f>-AH14</f>
        <v>0</v>
      </c>
      <c r="AJ14" s="555">
        <f t="shared" si="1"/>
        <v>0</v>
      </c>
      <c r="AO14" s="650">
        <v>2043</v>
      </c>
      <c r="AP14" s="651">
        <v>5231</v>
      </c>
      <c r="AQ14" s="652">
        <v>4.9559779174281589E-3</v>
      </c>
    </row>
    <row r="15" spans="1:43" ht="15" outlineLevel="1">
      <c r="A15" s="557">
        <v>70147</v>
      </c>
      <c r="B15" s="557" t="s">
        <v>113</v>
      </c>
      <c r="C15" s="558"/>
      <c r="D15" s="556"/>
      <c r="E15" s="559"/>
      <c r="F15" s="560"/>
      <c r="G15" s="561">
        <f>+IFERROR(VLOOKUP($A15,'[50]2000_IS210'!$D:$AH,7,FALSE),0)</f>
        <v>1848.82</v>
      </c>
      <c r="H15" s="560"/>
      <c r="I15" s="561">
        <f>+IFERROR(VLOOKUP($A15,'[50]2000_IS210'!$D:$AH,9,FALSE),0)</f>
        <v>3300.98</v>
      </c>
      <c r="J15" s="560"/>
      <c r="K15" s="561">
        <f>+IFERROR(VLOOKUP($A15,'[50]2000_IS210'!$D:$AH,11,FALSE),0)</f>
        <v>2681.48</v>
      </c>
      <c r="L15" s="560"/>
      <c r="M15" s="561">
        <f>+IFERROR(VLOOKUP($A15,'[50]2000_IS210'!$D:$AH,13,FALSE),0)</f>
        <v>2551.6999999999998</v>
      </c>
      <c r="N15" s="560"/>
      <c r="O15" s="561">
        <f>+IFERROR(VLOOKUP($A15,'[50]2000_IS210'!$D:$AH,15,FALSE),0)</f>
        <v>4147.8999999999996</v>
      </c>
      <c r="P15" s="560"/>
      <c r="Q15" s="561">
        <f>+IFERROR(VLOOKUP($A15,'[50]2000_IS210'!$D:$AH,17,FALSE),0)</f>
        <v>2415.3000000000002</v>
      </c>
      <c r="R15" s="560"/>
      <c r="S15" s="561">
        <f>+IFERROR(VLOOKUP($A15,'[50]2000_IS210'!$D:$AH,19,FALSE),0)</f>
        <v>2732.13</v>
      </c>
      <c r="T15" s="560"/>
      <c r="U15" s="561">
        <f>+IFERROR(VLOOKUP($A15,'[50]2000_IS210'!$D:$AH,21,FALSE),0)</f>
        <v>1267.57</v>
      </c>
      <c r="V15" s="560"/>
      <c r="W15" s="561">
        <f>+IFERROR(VLOOKUP($A15,'[50]2000_IS210'!$D:$AH,23,FALSE),0)</f>
        <v>1789.2</v>
      </c>
      <c r="X15" s="560"/>
      <c r="Y15" s="561">
        <f>+IFERROR(VLOOKUP($A15,'[50]2000_IS210'!$D:$AH,25,FALSE),0)</f>
        <v>4133.84</v>
      </c>
      <c r="Z15" s="560"/>
      <c r="AA15" s="561">
        <f>+IFERROR(VLOOKUP($A15,'[50]2000_IS210'!$D:$AH,27,FALSE),0)</f>
        <v>2715.44</v>
      </c>
      <c r="AB15" s="560"/>
      <c r="AC15" s="561">
        <f>+IFERROR(VLOOKUP($A15,'[50]2000_IS210'!$D:$AH,29,FALSE),0)</f>
        <v>935</v>
      </c>
      <c r="AD15" s="560"/>
      <c r="AE15" s="561">
        <f t="shared" si="0"/>
        <v>30519.359999999997</v>
      </c>
      <c r="AF15" s="562"/>
      <c r="AG15" s="563"/>
      <c r="AH15" s="658">
        <f t="shared" si="2"/>
        <v>183.98481816553971</v>
      </c>
      <c r="AJ15" s="555">
        <f t="shared" si="1"/>
        <v>183.98481816553971</v>
      </c>
      <c r="AO15" s="650">
        <v>2044</v>
      </c>
      <c r="AP15" s="651">
        <v>7646</v>
      </c>
      <c r="AQ15" s="652">
        <v>7.2440082501731414E-3</v>
      </c>
    </row>
    <row r="16" spans="1:43" ht="15" outlineLevel="1">
      <c r="A16" s="557">
        <v>70165</v>
      </c>
      <c r="B16" s="557" t="s">
        <v>56</v>
      </c>
      <c r="C16" s="558"/>
      <c r="D16" s="556"/>
      <c r="E16" s="559"/>
      <c r="F16" s="560"/>
      <c r="G16" s="561">
        <f>+IFERROR(VLOOKUP($A16,'[50]2000_IS210'!$D:$AH,7,FALSE),0)</f>
        <v>2222.64</v>
      </c>
      <c r="H16" s="560"/>
      <c r="I16" s="561">
        <f>+IFERROR(VLOOKUP($A16,'[50]2000_IS210'!$D:$AH,9,FALSE),0)</f>
        <v>3516.51</v>
      </c>
      <c r="J16" s="560"/>
      <c r="K16" s="561">
        <f>+IFERROR(VLOOKUP($A16,'[50]2000_IS210'!$D:$AH,11,FALSE),0)</f>
        <v>3193.98</v>
      </c>
      <c r="L16" s="560"/>
      <c r="M16" s="561">
        <f>+IFERROR(VLOOKUP($A16,'[50]2000_IS210'!$D:$AH,13,FALSE),0)</f>
        <v>3148.78</v>
      </c>
      <c r="N16" s="560"/>
      <c r="O16" s="561">
        <f>+IFERROR(VLOOKUP($A16,'[50]2000_IS210'!$D:$AH,15,FALSE),0)</f>
        <v>2972.75</v>
      </c>
      <c r="P16" s="560"/>
      <c r="Q16" s="561">
        <f>+IFERROR(VLOOKUP($A16,'[50]2000_IS210'!$D:$AH,17,FALSE),0)</f>
        <v>3152.4</v>
      </c>
      <c r="R16" s="560"/>
      <c r="S16" s="561">
        <f>+IFERROR(VLOOKUP($A16,'[50]2000_IS210'!$D:$AH,19,FALSE),0)</f>
        <v>3659.38</v>
      </c>
      <c r="T16" s="560"/>
      <c r="U16" s="561">
        <f>+IFERROR(VLOOKUP($A16,'[50]2000_IS210'!$D:$AH,21,FALSE),0)</f>
        <v>2341.25</v>
      </c>
      <c r="V16" s="560"/>
      <c r="W16" s="561">
        <f>+IFERROR(VLOOKUP($A16,'[50]2000_IS210'!$D:$AH,23,FALSE),0)</f>
        <v>3266.67</v>
      </c>
      <c r="X16" s="560"/>
      <c r="Y16" s="561">
        <f>+IFERROR(VLOOKUP($A16,'[50]2000_IS210'!$D:$AH,25,FALSE),0)</f>
        <v>3231.86</v>
      </c>
      <c r="Z16" s="560"/>
      <c r="AA16" s="561">
        <f>+IFERROR(VLOOKUP($A16,'[50]2000_IS210'!$D:$AH,27,FALSE),0)</f>
        <v>3443.12</v>
      </c>
      <c r="AB16" s="560"/>
      <c r="AC16" s="561">
        <f>+IFERROR(VLOOKUP($A16,'[50]2000_IS210'!$D:$AH,29,FALSE),0)</f>
        <v>4854.32</v>
      </c>
      <c r="AD16" s="560"/>
      <c r="AE16" s="561">
        <f t="shared" si="0"/>
        <v>39003.660000000003</v>
      </c>
      <c r="AF16" s="562"/>
      <c r="AG16" s="563"/>
      <c r="AH16" s="658">
        <f t="shared" si="2"/>
        <v>235.13210279935538</v>
      </c>
      <c r="AJ16" s="555">
        <f t="shared" si="1"/>
        <v>235.13210279935538</v>
      </c>
      <c r="AO16" s="650">
        <v>2045</v>
      </c>
      <c r="AP16" s="651">
        <v>6253</v>
      </c>
      <c r="AQ16" s="652">
        <v>5.9242458263579203E-3</v>
      </c>
    </row>
    <row r="17" spans="1:43" ht="15" outlineLevel="1">
      <c r="A17" s="557">
        <v>70167</v>
      </c>
      <c r="B17" s="557" t="s">
        <v>282</v>
      </c>
      <c r="C17" s="558"/>
      <c r="D17" s="556"/>
      <c r="E17" s="559"/>
      <c r="F17" s="560"/>
      <c r="G17" s="561">
        <f>+IFERROR(VLOOKUP($A17,'[50]2000_IS210'!$D:$AH,7,FALSE),0)</f>
        <v>2713.67</v>
      </c>
      <c r="H17" s="560"/>
      <c r="I17" s="561">
        <f>+IFERROR(VLOOKUP($A17,'[50]2000_IS210'!$D:$AH,9,FALSE),0)</f>
        <v>2365.73</v>
      </c>
      <c r="J17" s="560"/>
      <c r="K17" s="561">
        <f>+IFERROR(VLOOKUP($A17,'[50]2000_IS210'!$D:$AH,11,FALSE),0)</f>
        <v>3270.14</v>
      </c>
      <c r="L17" s="560"/>
      <c r="M17" s="561">
        <f>+IFERROR(VLOOKUP($A17,'[50]2000_IS210'!$D:$AH,13,FALSE),0)</f>
        <v>2317.11</v>
      </c>
      <c r="N17" s="560"/>
      <c r="O17" s="561">
        <f>+IFERROR(VLOOKUP($A17,'[50]2000_IS210'!$D:$AH,15,FALSE),0)</f>
        <v>2654.65</v>
      </c>
      <c r="P17" s="560"/>
      <c r="Q17" s="561">
        <f>+IFERROR(VLOOKUP($A17,'[50]2000_IS210'!$D:$AH,17,FALSE),0)</f>
        <v>2820.64</v>
      </c>
      <c r="R17" s="560"/>
      <c r="S17" s="561">
        <f>+IFERROR(VLOOKUP($A17,'[50]2000_IS210'!$D:$AH,19,FALSE),0)</f>
        <v>2867.62</v>
      </c>
      <c r="T17" s="560"/>
      <c r="U17" s="561">
        <f>+IFERROR(VLOOKUP($A17,'[50]2000_IS210'!$D:$AH,21,FALSE),0)</f>
        <v>2373.94</v>
      </c>
      <c r="V17" s="560"/>
      <c r="W17" s="561">
        <f>+IFERROR(VLOOKUP($A17,'[50]2000_IS210'!$D:$AH,23,FALSE),0)</f>
        <v>2785.83</v>
      </c>
      <c r="X17" s="560"/>
      <c r="Y17" s="561">
        <f>+IFERROR(VLOOKUP($A17,'[50]2000_IS210'!$D:$AH,25,FALSE),0)</f>
        <v>2923.7</v>
      </c>
      <c r="Z17" s="560"/>
      <c r="AA17" s="561">
        <f>+IFERROR(VLOOKUP($A17,'[50]2000_IS210'!$D:$AH,27,FALSE),0)</f>
        <v>2320.56</v>
      </c>
      <c r="AB17" s="560"/>
      <c r="AC17" s="561">
        <f>+IFERROR(VLOOKUP($A17,'[50]2000_IS210'!$D:$AH,29,FALSE),0)</f>
        <v>2656.98</v>
      </c>
      <c r="AD17" s="560"/>
      <c r="AE17" s="561">
        <f t="shared" si="0"/>
        <v>32070.57</v>
      </c>
      <c r="AF17" s="562"/>
      <c r="AG17" s="563"/>
      <c r="AH17" s="658">
        <f t="shared" si="2"/>
        <v>193.33622952497078</v>
      </c>
      <c r="AJ17" s="555">
        <f t="shared" si="1"/>
        <v>193.33622952497078</v>
      </c>
      <c r="AO17" s="650">
        <v>2046</v>
      </c>
      <c r="AP17" s="651">
        <v>9287</v>
      </c>
      <c r="AQ17" s="652">
        <v>8.7987319669576205E-3</v>
      </c>
    </row>
    <row r="18" spans="1:43" ht="15" outlineLevel="1">
      <c r="A18" s="557">
        <v>70170</v>
      </c>
      <c r="B18" s="557" t="s">
        <v>261</v>
      </c>
      <c r="C18" s="558"/>
      <c r="D18" s="556"/>
      <c r="E18" s="559"/>
      <c r="F18" s="560"/>
      <c r="G18" s="561">
        <f>+IFERROR(VLOOKUP($A18,'[50]2000_IS210'!$D:$AH,7,FALSE),0)</f>
        <v>21327.35</v>
      </c>
      <c r="H18" s="560"/>
      <c r="I18" s="561">
        <f>+IFERROR(VLOOKUP($A18,'[50]2000_IS210'!$D:$AH,9,FALSE),0)</f>
        <v>21327.35</v>
      </c>
      <c r="J18" s="560"/>
      <c r="K18" s="561">
        <f>+IFERROR(VLOOKUP($A18,'[50]2000_IS210'!$D:$AH,11,FALSE),0)</f>
        <v>21327.35</v>
      </c>
      <c r="L18" s="560"/>
      <c r="M18" s="561">
        <f>+IFERROR(VLOOKUP($A18,'[50]2000_IS210'!$D:$AH,13,FALSE),0)</f>
        <v>21327.35</v>
      </c>
      <c r="N18" s="560"/>
      <c r="O18" s="561">
        <f>+IFERROR(VLOOKUP($A18,'[50]2000_IS210'!$D:$AH,15,FALSE),0)</f>
        <v>21327.35</v>
      </c>
      <c r="P18" s="560"/>
      <c r="Q18" s="561">
        <f>+IFERROR(VLOOKUP($A18,'[50]2000_IS210'!$D:$AH,17,FALSE),0)</f>
        <v>20997</v>
      </c>
      <c r="R18" s="560"/>
      <c r="S18" s="561">
        <f>+IFERROR(VLOOKUP($A18,'[50]2000_IS210'!$D:$AH,19,FALSE),0)</f>
        <v>21327</v>
      </c>
      <c r="T18" s="560"/>
      <c r="U18" s="561">
        <f>+IFERROR(VLOOKUP($A18,'[50]2000_IS210'!$D:$AH,21,FALSE),0)</f>
        <v>21327</v>
      </c>
      <c r="V18" s="560"/>
      <c r="W18" s="561">
        <f>+IFERROR(VLOOKUP($A18,'[50]2000_IS210'!$D:$AH,23,FALSE),0)</f>
        <v>21327</v>
      </c>
      <c r="X18" s="560"/>
      <c r="Y18" s="561">
        <f>+IFERROR(VLOOKUP($A18,'[50]2000_IS210'!$D:$AH,25,FALSE),0)</f>
        <v>21327</v>
      </c>
      <c r="Z18" s="560"/>
      <c r="AA18" s="561">
        <f>+IFERROR(VLOOKUP($A18,'[50]2000_IS210'!$D:$AH,27,FALSE),0)</f>
        <v>21327</v>
      </c>
      <c r="AB18" s="560"/>
      <c r="AC18" s="561">
        <f>+IFERROR(VLOOKUP($A18,'[50]2000_IS210'!$D:$AH,29,FALSE),0)</f>
        <v>21327.35</v>
      </c>
      <c r="AD18" s="560"/>
      <c r="AE18" s="561">
        <f t="shared" si="0"/>
        <v>255596.10000000003</v>
      </c>
      <c r="AF18" s="562"/>
      <c r="AG18" s="563"/>
      <c r="AH18" s="658">
        <f t="shared" si="2"/>
        <v>1540.8515113790427</v>
      </c>
      <c r="AJ18" s="555">
        <f t="shared" si="1"/>
        <v>1540.8515113790427</v>
      </c>
      <c r="AO18" s="650">
        <v>2047</v>
      </c>
      <c r="AP18" s="651">
        <v>13578</v>
      </c>
      <c r="AQ18" s="652">
        <v>1.2864130790066822E-2</v>
      </c>
    </row>
    <row r="19" spans="1:43" ht="15" outlineLevel="1">
      <c r="A19" s="557">
        <v>70171</v>
      </c>
      <c r="B19" s="557" t="s">
        <v>1418</v>
      </c>
      <c r="C19" s="558"/>
      <c r="D19" s="556"/>
      <c r="E19" s="559"/>
      <c r="F19" s="560"/>
      <c r="G19" s="561">
        <f>+IFERROR(VLOOKUP($A19,'[50]2000_IS210'!$D:$AH,7,FALSE),0)</f>
        <v>0</v>
      </c>
      <c r="H19" s="560"/>
      <c r="I19" s="561">
        <f>+IFERROR(VLOOKUP($A19,'[50]2000_IS210'!$D:$AH,9,FALSE),0)</f>
        <v>0</v>
      </c>
      <c r="J19" s="560"/>
      <c r="K19" s="561">
        <f>+IFERROR(VLOOKUP($A19,'[50]2000_IS210'!$D:$AH,11,FALSE),0)</f>
        <v>0</v>
      </c>
      <c r="L19" s="560"/>
      <c r="M19" s="561">
        <f>+IFERROR(VLOOKUP($A19,'[50]2000_IS210'!$D:$AH,13,FALSE),0)</f>
        <v>0</v>
      </c>
      <c r="N19" s="560"/>
      <c r="O19" s="561">
        <f>+IFERROR(VLOOKUP($A19,'[50]2000_IS210'!$D:$AH,15,FALSE),0)</f>
        <v>0</v>
      </c>
      <c r="P19" s="560"/>
      <c r="Q19" s="561">
        <f>+IFERROR(VLOOKUP($A19,'[50]2000_IS210'!$D:$AH,17,FALSE),0)</f>
        <v>0</v>
      </c>
      <c r="R19" s="560"/>
      <c r="S19" s="561">
        <f>+IFERROR(VLOOKUP($A19,'[50]2000_IS210'!$D:$AH,19,FALSE),0)</f>
        <v>0</v>
      </c>
      <c r="T19" s="560"/>
      <c r="U19" s="561">
        <f>+IFERROR(VLOOKUP($A19,'[50]2000_IS210'!$D:$AH,21,FALSE),0)</f>
        <v>0</v>
      </c>
      <c r="V19" s="560"/>
      <c r="W19" s="561">
        <f>+IFERROR(VLOOKUP($A19,'[50]2000_IS210'!$D:$AH,23,FALSE),0)</f>
        <v>0</v>
      </c>
      <c r="X19" s="560"/>
      <c r="Y19" s="561">
        <f>+IFERROR(VLOOKUP($A19,'[50]2000_IS210'!$D:$AH,25,FALSE),0)</f>
        <v>0</v>
      </c>
      <c r="Z19" s="560"/>
      <c r="AA19" s="561">
        <f>+IFERROR(VLOOKUP($A19,'[50]2000_IS210'!$D:$AH,27,FALSE),0)</f>
        <v>0</v>
      </c>
      <c r="AB19" s="560"/>
      <c r="AC19" s="561">
        <f>+IFERROR(VLOOKUP($A19,'[50]2000_IS210'!$D:$AH,29,FALSE),0)</f>
        <v>1132.3399999999999</v>
      </c>
      <c r="AD19" s="560"/>
      <c r="AE19" s="561">
        <f t="shared" si="0"/>
        <v>1132.3399999999999</v>
      </c>
      <c r="AF19" s="562"/>
      <c r="AG19" s="563"/>
      <c r="AH19" s="658">
        <f t="shared" si="2"/>
        <v>6.8262692599571944</v>
      </c>
      <c r="AO19" s="650"/>
      <c r="AP19" s="651"/>
      <c r="AQ19" s="652"/>
    </row>
    <row r="20" spans="1:43" ht="15" outlineLevel="1">
      <c r="A20" s="557">
        <v>70175</v>
      </c>
      <c r="B20" s="557" t="s">
        <v>57</v>
      </c>
      <c r="C20" s="558"/>
      <c r="D20" s="556"/>
      <c r="E20" s="559"/>
      <c r="F20" s="560"/>
      <c r="G20" s="561">
        <f>+IFERROR(VLOOKUP($A20,'[50]2000_IS210'!$D:$AH,7,FALSE),0)</f>
        <v>0</v>
      </c>
      <c r="H20" s="560"/>
      <c r="I20" s="561">
        <f>+IFERROR(VLOOKUP($A20,'[50]2000_IS210'!$D:$AH,9,FALSE),0)</f>
        <v>0</v>
      </c>
      <c r="J20" s="560"/>
      <c r="K20" s="561">
        <f>+IFERROR(VLOOKUP($A20,'[50]2000_IS210'!$D:$AH,11,FALSE),0)</f>
        <v>0</v>
      </c>
      <c r="L20" s="560"/>
      <c r="M20" s="561">
        <f>+IFERROR(VLOOKUP($A20,'[50]2000_IS210'!$D:$AH,13,FALSE),0)</f>
        <v>0</v>
      </c>
      <c r="N20" s="560"/>
      <c r="O20" s="561">
        <f>+IFERROR(VLOOKUP($A20,'[50]2000_IS210'!$D:$AH,15,FALSE),0)</f>
        <v>0</v>
      </c>
      <c r="P20" s="560"/>
      <c r="Q20" s="561">
        <f>+IFERROR(VLOOKUP($A20,'[50]2000_IS210'!$D:$AH,17,FALSE),0)</f>
        <v>0</v>
      </c>
      <c r="R20" s="560"/>
      <c r="S20" s="561">
        <f>+IFERROR(VLOOKUP($A20,'[50]2000_IS210'!$D:$AH,19,FALSE),0)</f>
        <v>0</v>
      </c>
      <c r="T20" s="560"/>
      <c r="U20" s="561">
        <f>+IFERROR(VLOOKUP($A20,'[50]2000_IS210'!$D:$AH,21,FALSE),0)</f>
        <v>0</v>
      </c>
      <c r="V20" s="560"/>
      <c r="W20" s="561">
        <f>+IFERROR(VLOOKUP($A20,'[50]2000_IS210'!$D:$AH,23,FALSE),0)</f>
        <v>0</v>
      </c>
      <c r="X20" s="560"/>
      <c r="Y20" s="561">
        <f>+IFERROR(VLOOKUP($A20,'[50]2000_IS210'!$D:$AH,25,FALSE),0)</f>
        <v>82.42</v>
      </c>
      <c r="Z20" s="560"/>
      <c r="AA20" s="561">
        <f>+IFERROR(VLOOKUP($A20,'[50]2000_IS210'!$D:$AH,27,FALSE),0)</f>
        <v>0</v>
      </c>
      <c r="AB20" s="560"/>
      <c r="AC20" s="561">
        <f>+IFERROR(VLOOKUP($A20,'[50]2000_IS210'!$D:$AH,29,FALSE),0)</f>
        <v>0</v>
      </c>
      <c r="AD20" s="560"/>
      <c r="AE20" s="561">
        <f t="shared" si="0"/>
        <v>82.42</v>
      </c>
      <c r="AF20" s="562"/>
      <c r="AG20" s="563"/>
      <c r="AH20" s="658">
        <f t="shared" si="2"/>
        <v>0.49686588163066925</v>
      </c>
      <c r="AJ20" s="555">
        <f t="shared" si="1"/>
        <v>0.49686588163066925</v>
      </c>
      <c r="AO20" s="650">
        <v>2048</v>
      </c>
      <c r="AP20" s="651">
        <v>119</v>
      </c>
      <c r="AQ20" s="652">
        <v>1.1274352364250639E-4</v>
      </c>
    </row>
    <row r="21" spans="1:43" ht="15" outlineLevel="1">
      <c r="A21" s="557">
        <v>70185</v>
      </c>
      <c r="B21" s="557" t="s">
        <v>112</v>
      </c>
      <c r="C21" s="558"/>
      <c r="D21" s="556"/>
      <c r="E21" s="559"/>
      <c r="F21" s="560"/>
      <c r="G21" s="561">
        <f>+IFERROR(VLOOKUP($A21,'[50]2000_IS210'!$D:$AH,7,FALSE),0)</f>
        <v>868.07</v>
      </c>
      <c r="H21" s="560"/>
      <c r="I21" s="561">
        <f>+IFERROR(VLOOKUP($A21,'[50]2000_IS210'!$D:$AH,9,FALSE),0)</f>
        <v>1535.61</v>
      </c>
      <c r="J21" s="560"/>
      <c r="K21" s="561">
        <f>+IFERROR(VLOOKUP($A21,'[50]2000_IS210'!$D:$AH,11,FALSE),0)</f>
        <v>1324.17</v>
      </c>
      <c r="L21" s="560"/>
      <c r="M21" s="561">
        <f>+IFERROR(VLOOKUP($A21,'[50]2000_IS210'!$D:$AH,13,FALSE),0)</f>
        <v>927.05</v>
      </c>
      <c r="N21" s="560"/>
      <c r="O21" s="561">
        <f>+IFERROR(VLOOKUP($A21,'[50]2000_IS210'!$D:$AH,15,FALSE),0)</f>
        <v>1472.87</v>
      </c>
      <c r="P21" s="560"/>
      <c r="Q21" s="561">
        <f>+IFERROR(VLOOKUP($A21,'[50]2000_IS210'!$D:$AH,17,FALSE),0)</f>
        <v>2278.41</v>
      </c>
      <c r="R21" s="560"/>
      <c r="S21" s="561">
        <f>+IFERROR(VLOOKUP($A21,'[50]2000_IS210'!$D:$AH,19,FALSE),0)</f>
        <v>420.99</v>
      </c>
      <c r="T21" s="560"/>
      <c r="U21" s="561">
        <f>+IFERROR(VLOOKUP($A21,'[50]2000_IS210'!$D:$AH,21,FALSE),0)</f>
        <v>454.99</v>
      </c>
      <c r="V21" s="560"/>
      <c r="W21" s="561">
        <f>+IFERROR(VLOOKUP($A21,'[50]2000_IS210'!$D:$AH,23,FALSE),0)</f>
        <v>436.33</v>
      </c>
      <c r="X21" s="560"/>
      <c r="Y21" s="561">
        <f>+IFERROR(VLOOKUP($A21,'[50]2000_IS210'!$D:$AH,25,FALSE),0)</f>
        <v>8.7799999999999994</v>
      </c>
      <c r="Z21" s="560"/>
      <c r="AA21" s="561">
        <f>+IFERROR(VLOOKUP($A21,'[50]2000_IS210'!$D:$AH,27,FALSE),0)</f>
        <v>1522.63</v>
      </c>
      <c r="AB21" s="560"/>
      <c r="AC21" s="561">
        <f>+IFERROR(VLOOKUP($A21,'[50]2000_IS210'!$D:$AH,29,FALSE),0)</f>
        <v>102.59</v>
      </c>
      <c r="AD21" s="560"/>
      <c r="AE21" s="561">
        <f t="shared" si="0"/>
        <v>11352.49</v>
      </c>
      <c r="AF21" s="562"/>
      <c r="AG21" s="563"/>
      <c r="AH21" s="658">
        <f t="shared" si="2"/>
        <v>68.438060574537218</v>
      </c>
      <c r="AJ21" s="555">
        <f t="shared" si="1"/>
        <v>68.438060574537218</v>
      </c>
      <c r="AO21" s="650">
        <v>2049</v>
      </c>
      <c r="AP21" s="651">
        <v>16</v>
      </c>
      <c r="AQ21" s="652">
        <v>1.5158793094790775E-5</v>
      </c>
    </row>
    <row r="22" spans="1:43" ht="15" outlineLevel="1">
      <c r="A22" s="557">
        <v>70190</v>
      </c>
      <c r="B22" s="557" t="s">
        <v>671</v>
      </c>
      <c r="C22" s="558"/>
      <c r="D22" s="556"/>
      <c r="E22" s="559"/>
      <c r="F22" s="560"/>
      <c r="G22" s="561">
        <f>+IFERROR(VLOOKUP($A22,'[50]2000_IS210'!$D:$AH,7,FALSE),0)</f>
        <v>0</v>
      </c>
      <c r="H22" s="560"/>
      <c r="I22" s="561">
        <f>+IFERROR(VLOOKUP($A22,'[50]2000_IS210'!$D:$AH,9,FALSE),0)</f>
        <v>0</v>
      </c>
      <c r="J22" s="560"/>
      <c r="K22" s="561">
        <f>+IFERROR(VLOOKUP($A22,'[50]2000_IS210'!$D:$AH,11,FALSE),0)</f>
        <v>0</v>
      </c>
      <c r="L22" s="560"/>
      <c r="M22" s="561">
        <f>+IFERROR(VLOOKUP($A22,'[50]2000_IS210'!$D:$AH,13,FALSE),0)</f>
        <v>120</v>
      </c>
      <c r="N22" s="560"/>
      <c r="O22" s="561">
        <f>+IFERROR(VLOOKUP($A22,'[50]2000_IS210'!$D:$AH,15,FALSE),0)</f>
        <v>1630</v>
      </c>
      <c r="P22" s="560"/>
      <c r="Q22" s="561">
        <f>+IFERROR(VLOOKUP($A22,'[50]2000_IS210'!$D:$AH,17,FALSE),0)</f>
        <v>0</v>
      </c>
      <c r="R22" s="560"/>
      <c r="S22" s="561">
        <f>+IFERROR(VLOOKUP($A22,'[50]2000_IS210'!$D:$AH,19,FALSE),0)</f>
        <v>0</v>
      </c>
      <c r="T22" s="560"/>
      <c r="U22" s="561">
        <f>+IFERROR(VLOOKUP($A22,'[50]2000_IS210'!$D:$AH,21,FALSE),0)</f>
        <v>0</v>
      </c>
      <c r="V22" s="560"/>
      <c r="W22" s="561">
        <f>+IFERROR(VLOOKUP($A22,'[50]2000_IS210'!$D:$AH,23,FALSE),0)</f>
        <v>0</v>
      </c>
      <c r="X22" s="560"/>
      <c r="Y22" s="561">
        <f>+IFERROR(VLOOKUP($A22,'[50]2000_IS210'!$D:$AH,25,FALSE),0)</f>
        <v>554</v>
      </c>
      <c r="Z22" s="560"/>
      <c r="AA22" s="561">
        <f>+IFERROR(VLOOKUP($A22,'[50]2000_IS210'!$D:$AH,27,FALSE),0)</f>
        <v>0</v>
      </c>
      <c r="AB22" s="560"/>
      <c r="AC22" s="561">
        <f>+IFERROR(VLOOKUP($A22,'[50]2000_IS210'!$D:$AH,29,FALSE),0)</f>
        <v>150</v>
      </c>
      <c r="AD22" s="560"/>
      <c r="AE22" s="561">
        <f t="shared" si="0"/>
        <v>2454</v>
      </c>
      <c r="AF22" s="562"/>
      <c r="AG22" s="563"/>
      <c r="AH22" s="658">
        <f t="shared" si="2"/>
        <v>14.793847045882824</v>
      </c>
      <c r="AJ22" s="555">
        <f t="shared" si="1"/>
        <v>14.793847045882824</v>
      </c>
      <c r="AO22" s="650">
        <v>2050</v>
      </c>
      <c r="AP22" s="651">
        <v>44</v>
      </c>
      <c r="AQ22" s="652">
        <v>4.1686681010674631E-5</v>
      </c>
    </row>
    <row r="23" spans="1:43" ht="15" outlineLevel="1">
      <c r="A23" s="557">
        <v>70195</v>
      </c>
      <c r="B23" s="557" t="s">
        <v>283</v>
      </c>
      <c r="C23" s="558"/>
      <c r="D23" s="556"/>
      <c r="E23" s="559"/>
      <c r="F23" s="560"/>
      <c r="G23" s="561">
        <f>+IFERROR(VLOOKUP($A23,'[50]2000_IS210'!$D:$AH,7,FALSE),0)</f>
        <v>4631.71</v>
      </c>
      <c r="H23" s="560"/>
      <c r="I23" s="561">
        <f>+IFERROR(VLOOKUP($A23,'[50]2000_IS210'!$D:$AH,9,FALSE),0)</f>
        <v>4093.86</v>
      </c>
      <c r="J23" s="560"/>
      <c r="K23" s="561">
        <f>+IFERROR(VLOOKUP($A23,'[50]2000_IS210'!$D:$AH,11,FALSE),0)</f>
        <v>3550.71</v>
      </c>
      <c r="L23" s="560"/>
      <c r="M23" s="561">
        <f>+IFERROR(VLOOKUP($A23,'[50]2000_IS210'!$D:$AH,13,FALSE),0)</f>
        <v>5315.03</v>
      </c>
      <c r="N23" s="560"/>
      <c r="O23" s="561">
        <f>+IFERROR(VLOOKUP($A23,'[50]2000_IS210'!$D:$AH,15,FALSE),0)</f>
        <v>2532.9299999999998</v>
      </c>
      <c r="P23" s="560"/>
      <c r="Q23" s="561">
        <f>+IFERROR(VLOOKUP($A23,'[50]2000_IS210'!$D:$AH,17,FALSE),0)</f>
        <v>5386.75</v>
      </c>
      <c r="R23" s="560"/>
      <c r="S23" s="561">
        <f>+IFERROR(VLOOKUP($A23,'[50]2000_IS210'!$D:$AH,19,FALSE),0)</f>
        <v>2871.88</v>
      </c>
      <c r="T23" s="560"/>
      <c r="U23" s="561">
        <f>+IFERROR(VLOOKUP($A23,'[50]2000_IS210'!$D:$AH,21,FALSE),0)</f>
        <v>701.71</v>
      </c>
      <c r="V23" s="560"/>
      <c r="W23" s="561">
        <f>+IFERROR(VLOOKUP($A23,'[50]2000_IS210'!$D:$AH,23,FALSE),0)</f>
        <v>1480.72</v>
      </c>
      <c r="X23" s="560"/>
      <c r="Y23" s="561">
        <f>+IFERROR(VLOOKUP($A23,'[50]2000_IS210'!$D:$AH,25,FALSE),0)</f>
        <v>2666.93</v>
      </c>
      <c r="Z23" s="560"/>
      <c r="AA23" s="561">
        <f>+IFERROR(VLOOKUP($A23,'[50]2000_IS210'!$D:$AH,27,FALSE),0)</f>
        <v>84.99</v>
      </c>
      <c r="AB23" s="560"/>
      <c r="AC23" s="561">
        <f>+IFERROR(VLOOKUP($A23,'[50]2000_IS210'!$D:$AH,29,FALSE),0)</f>
        <v>1771.37</v>
      </c>
      <c r="AD23" s="560"/>
      <c r="AE23" s="561">
        <f t="shared" si="0"/>
        <v>35088.589999999997</v>
      </c>
      <c r="AF23" s="562"/>
      <c r="AG23" s="563"/>
      <c r="AH23" s="658">
        <f t="shared" si="2"/>
        <v>211.53025000639508</v>
      </c>
      <c r="AJ23" s="555">
        <f t="shared" si="1"/>
        <v>211.53025000639508</v>
      </c>
      <c r="AO23" s="650">
        <v>2051</v>
      </c>
      <c r="AP23" s="651">
        <v>485</v>
      </c>
      <c r="AQ23" s="652">
        <v>4.595009156858454E-4</v>
      </c>
    </row>
    <row r="24" spans="1:43" ht="15" outlineLevel="1">
      <c r="A24" s="557">
        <v>70200</v>
      </c>
      <c r="B24" s="557" t="s">
        <v>59</v>
      </c>
      <c r="C24" s="558"/>
      <c r="D24" s="556"/>
      <c r="E24" s="559"/>
      <c r="F24" s="560"/>
      <c r="G24" s="561">
        <f>+IFERROR(VLOOKUP($A24,'[50]2000_IS210'!$D:$AH,7,FALSE),0)</f>
        <v>8716.02</v>
      </c>
      <c r="H24" s="560"/>
      <c r="I24" s="561">
        <f>+IFERROR(VLOOKUP($A24,'[50]2000_IS210'!$D:$AH,9,FALSE),0)</f>
        <v>18435.41</v>
      </c>
      <c r="J24" s="560"/>
      <c r="K24" s="561">
        <f>+IFERROR(VLOOKUP($A24,'[50]2000_IS210'!$D:$AH,11,FALSE),0)</f>
        <v>9377.2099999999991</v>
      </c>
      <c r="L24" s="560"/>
      <c r="M24" s="561">
        <f>+IFERROR(VLOOKUP($A24,'[50]2000_IS210'!$D:$AH,13,FALSE),0)</f>
        <v>17510.849999999999</v>
      </c>
      <c r="N24" s="560"/>
      <c r="O24" s="561">
        <f>+IFERROR(VLOOKUP($A24,'[50]2000_IS210'!$D:$AH,15,FALSE),0)</f>
        <v>13531.08</v>
      </c>
      <c r="P24" s="560"/>
      <c r="Q24" s="561">
        <f>+IFERROR(VLOOKUP($A24,'[50]2000_IS210'!$D:$AH,17,FALSE),0)</f>
        <v>16733.71</v>
      </c>
      <c r="R24" s="560"/>
      <c r="S24" s="561">
        <f>+IFERROR(VLOOKUP($A24,'[50]2000_IS210'!$D:$AH,19,FALSE),0)</f>
        <v>14364.57</v>
      </c>
      <c r="T24" s="560"/>
      <c r="U24" s="561">
        <f>+IFERROR(VLOOKUP($A24,'[50]2000_IS210'!$D:$AH,21,FALSE),0)</f>
        <v>10576.76</v>
      </c>
      <c r="V24" s="560"/>
      <c r="W24" s="561">
        <f>+IFERROR(VLOOKUP($A24,'[50]2000_IS210'!$D:$AH,23,FALSE),0)</f>
        <v>10234.06</v>
      </c>
      <c r="X24" s="560"/>
      <c r="Y24" s="561">
        <f>+IFERROR(VLOOKUP($A24,'[50]2000_IS210'!$D:$AH,25,FALSE),0)</f>
        <v>7599.54</v>
      </c>
      <c r="Z24" s="560"/>
      <c r="AA24" s="561">
        <f>+IFERROR(VLOOKUP($A24,'[50]2000_IS210'!$D:$AH,27,FALSE),0)</f>
        <v>13092.06</v>
      </c>
      <c r="AB24" s="560"/>
      <c r="AC24" s="561">
        <f>+IFERROR(VLOOKUP($A24,'[50]2000_IS210'!$D:$AH,29,FALSE),0)</f>
        <v>13046.47</v>
      </c>
      <c r="AD24" s="560"/>
      <c r="AE24" s="561">
        <f t="shared" si="0"/>
        <v>153217.73999999996</v>
      </c>
      <c r="AF24" s="562"/>
      <c r="AG24" s="563"/>
      <c r="AH24" s="658">
        <f t="shared" si="2"/>
        <v>923.667404350384</v>
      </c>
      <c r="AJ24" s="555">
        <f t="shared" si="1"/>
        <v>923.667404350384</v>
      </c>
      <c r="AO24" s="650">
        <v>2053</v>
      </c>
      <c r="AP24" s="651">
        <v>102</v>
      </c>
      <c r="AQ24" s="652">
        <v>9.6637305979291197E-5</v>
      </c>
    </row>
    <row r="25" spans="1:43" ht="15" outlineLevel="1">
      <c r="A25" s="557">
        <v>70201</v>
      </c>
      <c r="B25" s="557" t="s">
        <v>139</v>
      </c>
      <c r="C25" s="558"/>
      <c r="D25" s="556"/>
      <c r="E25" s="559"/>
      <c r="F25" s="560"/>
      <c r="G25" s="561">
        <f>+IFERROR(VLOOKUP($A25,'[50]2000_IS210'!$D:$AH,7,FALSE),0)</f>
        <v>1940.97</v>
      </c>
      <c r="H25" s="560"/>
      <c r="I25" s="561">
        <f>+IFERROR(VLOOKUP($A25,'[50]2000_IS210'!$D:$AH,9,FALSE),0)</f>
        <v>2647.49</v>
      </c>
      <c r="J25" s="560"/>
      <c r="K25" s="561">
        <f>+IFERROR(VLOOKUP($A25,'[50]2000_IS210'!$D:$AH,11,FALSE),0)</f>
        <v>5169.2</v>
      </c>
      <c r="L25" s="560"/>
      <c r="M25" s="561">
        <f>+IFERROR(VLOOKUP($A25,'[50]2000_IS210'!$D:$AH,13,FALSE),0)</f>
        <v>4069.28</v>
      </c>
      <c r="N25" s="560"/>
      <c r="O25" s="561">
        <f>+IFERROR(VLOOKUP($A25,'[50]2000_IS210'!$D:$AH,15,FALSE),0)</f>
        <v>3695.13</v>
      </c>
      <c r="P25" s="560"/>
      <c r="Q25" s="561">
        <f>+IFERROR(VLOOKUP($A25,'[50]2000_IS210'!$D:$AH,17,FALSE),0)</f>
        <v>2854.23</v>
      </c>
      <c r="R25" s="560"/>
      <c r="S25" s="561">
        <f>+IFERROR(VLOOKUP($A25,'[50]2000_IS210'!$D:$AH,19,FALSE),0)</f>
        <v>4962.91</v>
      </c>
      <c r="T25" s="560"/>
      <c r="U25" s="561">
        <f>+IFERROR(VLOOKUP($A25,'[50]2000_IS210'!$D:$AH,21,FALSE),0)</f>
        <v>1718.1</v>
      </c>
      <c r="V25" s="560"/>
      <c r="W25" s="561">
        <f>+IFERROR(VLOOKUP($A25,'[50]2000_IS210'!$D:$AH,23,FALSE),0)</f>
        <v>5085.79</v>
      </c>
      <c r="X25" s="560"/>
      <c r="Y25" s="561">
        <f>+IFERROR(VLOOKUP($A25,'[50]2000_IS210'!$D:$AH,25,FALSE),0)</f>
        <v>2014.71</v>
      </c>
      <c r="Z25" s="560"/>
      <c r="AA25" s="561">
        <f>+IFERROR(VLOOKUP($A25,'[50]2000_IS210'!$D:$AH,27,FALSE),0)</f>
        <v>4694.1899999999996</v>
      </c>
      <c r="AB25" s="560"/>
      <c r="AC25" s="561">
        <f>+IFERROR(VLOOKUP($A25,'[50]2000_IS210'!$D:$AH,29,FALSE),0)</f>
        <v>3145.88</v>
      </c>
      <c r="AD25" s="560"/>
      <c r="AE25" s="561">
        <f t="shared" si="0"/>
        <v>41997.88</v>
      </c>
      <c r="AF25" s="562"/>
      <c r="AG25" s="563"/>
      <c r="AH25" s="658">
        <f t="shared" si="2"/>
        <v>253.18264587259222</v>
      </c>
      <c r="AI25" s="555">
        <f>-AH25</f>
        <v>-253.18264587259222</v>
      </c>
      <c r="AJ25" s="555">
        <f t="shared" si="1"/>
        <v>0</v>
      </c>
      <c r="AO25" s="650">
        <v>2111</v>
      </c>
      <c r="AP25" s="651">
        <v>56674</v>
      </c>
      <c r="AQ25" s="652">
        <v>5.3694339990885777E-2</v>
      </c>
    </row>
    <row r="26" spans="1:43" ht="15" outlineLevel="1">
      <c r="A26" s="557">
        <v>70202</v>
      </c>
      <c r="B26" s="557" t="s">
        <v>284</v>
      </c>
      <c r="C26" s="558"/>
      <c r="D26" s="556"/>
      <c r="E26" s="559"/>
      <c r="F26" s="560"/>
      <c r="G26" s="561">
        <f>+IFERROR(VLOOKUP($A26,'[50]2000_IS210'!$D:$AH,7,FALSE),0)</f>
        <v>50882.92</v>
      </c>
      <c r="H26" s="560"/>
      <c r="I26" s="561">
        <f>+IFERROR(VLOOKUP($A26,'[50]2000_IS210'!$D:$AH,9,FALSE),0)</f>
        <v>166702.69</v>
      </c>
      <c r="J26" s="560"/>
      <c r="K26" s="561">
        <f>+IFERROR(VLOOKUP($A26,'[50]2000_IS210'!$D:$AH,11,FALSE),0)</f>
        <v>86205.17</v>
      </c>
      <c r="L26" s="560"/>
      <c r="M26" s="561">
        <f>+IFERROR(VLOOKUP($A26,'[50]2000_IS210'!$D:$AH,13,FALSE),0)</f>
        <v>17740.310000000001</v>
      </c>
      <c r="N26" s="560"/>
      <c r="O26" s="561">
        <f>+IFERROR(VLOOKUP($A26,'[50]2000_IS210'!$D:$AH,15,FALSE),0)</f>
        <v>109760.31</v>
      </c>
      <c r="P26" s="560"/>
      <c r="Q26" s="561">
        <f>+IFERROR(VLOOKUP($A26,'[50]2000_IS210'!$D:$AH,17,FALSE),0)</f>
        <v>33603.99</v>
      </c>
      <c r="R26" s="560"/>
      <c r="S26" s="561">
        <f>+IFERROR(VLOOKUP($A26,'[50]2000_IS210'!$D:$AH,19,FALSE),0)</f>
        <v>27896.720000000001</v>
      </c>
      <c r="T26" s="560"/>
      <c r="U26" s="561">
        <f>+IFERROR(VLOOKUP($A26,'[50]2000_IS210'!$D:$AH,21,FALSE),0)</f>
        <v>47252</v>
      </c>
      <c r="V26" s="560"/>
      <c r="W26" s="561">
        <f>+IFERROR(VLOOKUP($A26,'[50]2000_IS210'!$D:$AH,23,FALSE),0)</f>
        <v>19094.14</v>
      </c>
      <c r="X26" s="560"/>
      <c r="Y26" s="561">
        <f>+IFERROR(VLOOKUP($A26,'[50]2000_IS210'!$D:$AH,25,FALSE),0)</f>
        <v>11167.04</v>
      </c>
      <c r="Z26" s="560"/>
      <c r="AA26" s="561">
        <f>+IFERROR(VLOOKUP($A26,'[50]2000_IS210'!$D:$AH,27,FALSE),0)</f>
        <v>2211.6</v>
      </c>
      <c r="AB26" s="560"/>
      <c r="AC26" s="561">
        <f>+IFERROR(VLOOKUP($A26,'[50]2000_IS210'!$D:$AH,29,FALSE),0)</f>
        <v>23479.599999999999</v>
      </c>
      <c r="AD26" s="560"/>
      <c r="AE26" s="561">
        <f t="shared" si="0"/>
        <v>595996.49000000011</v>
      </c>
      <c r="AF26" s="562"/>
      <c r="AG26" s="563"/>
      <c r="AH26" s="658">
        <f t="shared" si="2"/>
        <v>3592.9425073117491</v>
      </c>
      <c r="AJ26" s="555">
        <f t="shared" si="1"/>
        <v>3592.9425073117491</v>
      </c>
      <c r="AO26" s="650">
        <v>2112</v>
      </c>
      <c r="AP26" s="651">
        <v>25553</v>
      </c>
      <c r="AQ26" s="652">
        <v>2.4209539996949293E-2</v>
      </c>
    </row>
    <row r="27" spans="1:43" ht="15" outlineLevel="1">
      <c r="A27" s="557">
        <v>70203</v>
      </c>
      <c r="B27" s="557" t="s">
        <v>141</v>
      </c>
      <c r="C27" s="558"/>
      <c r="D27" s="556"/>
      <c r="E27" s="559"/>
      <c r="F27" s="560"/>
      <c r="G27" s="561">
        <f>+IFERROR(VLOOKUP($A27,'[50]2000_IS210'!$D:$AH,7,FALSE),0)</f>
        <v>4126.08</v>
      </c>
      <c r="H27" s="560"/>
      <c r="I27" s="561">
        <f>+IFERROR(VLOOKUP($A27,'[50]2000_IS210'!$D:$AH,9,FALSE),0)</f>
        <v>7701.45</v>
      </c>
      <c r="J27" s="560"/>
      <c r="K27" s="561">
        <f>+IFERROR(VLOOKUP($A27,'[50]2000_IS210'!$D:$AH,11,FALSE),0)</f>
        <v>12406.79</v>
      </c>
      <c r="L27" s="560"/>
      <c r="M27" s="561">
        <f>+IFERROR(VLOOKUP($A27,'[50]2000_IS210'!$D:$AH,13,FALSE),0)</f>
        <v>7618.94</v>
      </c>
      <c r="N27" s="560"/>
      <c r="O27" s="561">
        <f>+IFERROR(VLOOKUP($A27,'[50]2000_IS210'!$D:$AH,15,FALSE),0)</f>
        <v>9066.32</v>
      </c>
      <c r="P27" s="560"/>
      <c r="Q27" s="561">
        <f>+IFERROR(VLOOKUP($A27,'[50]2000_IS210'!$D:$AH,17,FALSE),0)</f>
        <v>10821.57</v>
      </c>
      <c r="R27" s="560"/>
      <c r="S27" s="561">
        <f>+IFERROR(VLOOKUP($A27,'[50]2000_IS210'!$D:$AH,19,FALSE),0)</f>
        <v>7297.86</v>
      </c>
      <c r="T27" s="560"/>
      <c r="U27" s="561">
        <f>+IFERROR(VLOOKUP($A27,'[50]2000_IS210'!$D:$AH,21,FALSE),0)</f>
        <v>14021.14</v>
      </c>
      <c r="V27" s="560"/>
      <c r="W27" s="561">
        <f>+IFERROR(VLOOKUP($A27,'[50]2000_IS210'!$D:$AH,23,FALSE),0)</f>
        <v>10386.33</v>
      </c>
      <c r="X27" s="560"/>
      <c r="Y27" s="561">
        <f>+IFERROR(VLOOKUP($A27,'[50]2000_IS210'!$D:$AH,25,FALSE),0)</f>
        <v>5387.01</v>
      </c>
      <c r="Z27" s="560"/>
      <c r="AA27" s="561">
        <f>+IFERROR(VLOOKUP($A27,'[50]2000_IS210'!$D:$AH,27,FALSE),0)</f>
        <v>8612.75</v>
      </c>
      <c r="AB27" s="560"/>
      <c r="AC27" s="561">
        <f>+IFERROR(VLOOKUP($A27,'[50]2000_IS210'!$D:$AH,29,FALSE),0)</f>
        <v>9060.7999999999993</v>
      </c>
      <c r="AD27" s="560"/>
      <c r="AE27" s="561">
        <f t="shared" si="0"/>
        <v>106507.04000000001</v>
      </c>
      <c r="AF27" s="562"/>
      <c r="AG27" s="563"/>
      <c r="AH27" s="658">
        <f t="shared" si="2"/>
        <v>642.07369970241393</v>
      </c>
      <c r="AJ27" s="555">
        <f t="shared" si="1"/>
        <v>642.07369970241393</v>
      </c>
      <c r="AO27" s="650">
        <v>2113</v>
      </c>
      <c r="AP27" s="651">
        <v>1</v>
      </c>
      <c r="AQ27" s="652">
        <v>9.4742456842442343E-7</v>
      </c>
    </row>
    <row r="28" spans="1:43" ht="15" outlineLevel="1">
      <c r="A28" s="557">
        <v>70204</v>
      </c>
      <c r="B28" s="557" t="s">
        <v>1419</v>
      </c>
      <c r="C28" s="558"/>
      <c r="D28" s="556"/>
      <c r="E28" s="559"/>
      <c r="F28" s="560"/>
      <c r="G28" s="561">
        <f>+IFERROR(VLOOKUP($A28,'[50]2000_IS210'!$D:$AH,7,FALSE),0)</f>
        <v>0</v>
      </c>
      <c r="H28" s="560"/>
      <c r="I28" s="561">
        <f>+IFERROR(VLOOKUP($A28,'[50]2000_IS210'!$D:$AH,9,FALSE),0)</f>
        <v>0</v>
      </c>
      <c r="J28" s="560"/>
      <c r="K28" s="561">
        <f>+IFERROR(VLOOKUP($A28,'[50]2000_IS210'!$D:$AH,11,FALSE),0)</f>
        <v>0</v>
      </c>
      <c r="L28" s="560"/>
      <c r="M28" s="561">
        <f>+IFERROR(VLOOKUP($A28,'[50]2000_IS210'!$D:$AH,13,FALSE),0)</f>
        <v>0</v>
      </c>
      <c r="N28" s="560"/>
      <c r="O28" s="561">
        <f>+IFERROR(VLOOKUP($A28,'[50]2000_IS210'!$D:$AH,15,FALSE),0)</f>
        <v>0</v>
      </c>
      <c r="P28" s="560"/>
      <c r="Q28" s="561">
        <f>+IFERROR(VLOOKUP($A28,'[50]2000_IS210'!$D:$AH,17,FALSE),0)</f>
        <v>0</v>
      </c>
      <c r="R28" s="560"/>
      <c r="S28" s="561">
        <f>+IFERROR(VLOOKUP($A28,'[50]2000_IS210'!$D:$AH,19,FALSE),0)</f>
        <v>0</v>
      </c>
      <c r="T28" s="560"/>
      <c r="U28" s="561">
        <f>+IFERROR(VLOOKUP($A28,'[50]2000_IS210'!$D:$AH,21,FALSE),0)</f>
        <v>0</v>
      </c>
      <c r="V28" s="560"/>
      <c r="W28" s="561">
        <f>+IFERROR(VLOOKUP($A28,'[50]2000_IS210'!$D:$AH,23,FALSE),0)</f>
        <v>0</v>
      </c>
      <c r="X28" s="560"/>
      <c r="Y28" s="561">
        <f>+IFERROR(VLOOKUP($A28,'[50]2000_IS210'!$D:$AH,25,FALSE),0)</f>
        <v>0</v>
      </c>
      <c r="Z28" s="560"/>
      <c r="AA28" s="561">
        <f>+IFERROR(VLOOKUP($A28,'[50]2000_IS210'!$D:$AH,27,FALSE),0)</f>
        <v>0</v>
      </c>
      <c r="AB28" s="560"/>
      <c r="AC28" s="561">
        <f>+IFERROR(VLOOKUP($A28,'[50]2000_IS210'!$D:$AH,29,FALSE),0)</f>
        <v>0</v>
      </c>
      <c r="AD28" s="560"/>
      <c r="AE28" s="561">
        <f t="shared" si="0"/>
        <v>0</v>
      </c>
      <c r="AF28" s="562"/>
      <c r="AG28" s="563"/>
      <c r="AH28" s="658">
        <f t="shared" si="2"/>
        <v>0</v>
      </c>
      <c r="AJ28" s="555">
        <f t="shared" si="1"/>
        <v>0</v>
      </c>
      <c r="AO28" s="659">
        <v>2120</v>
      </c>
      <c r="AP28" s="660">
        <v>6363</v>
      </c>
      <c r="AQ28" s="661">
        <v>6.0284625288846063E-3</v>
      </c>
    </row>
    <row r="29" spans="1:43" ht="15" outlineLevel="1">
      <c r="A29" s="557">
        <v>70205</v>
      </c>
      <c r="B29" s="557" t="s">
        <v>285</v>
      </c>
      <c r="C29" s="558"/>
      <c r="D29" s="556"/>
      <c r="E29" s="559"/>
      <c r="F29" s="560"/>
      <c r="G29" s="561">
        <f>+IFERROR(VLOOKUP($A29,'[50]2000_IS210'!$D:$AH,7,FALSE),0)</f>
        <v>8524.26</v>
      </c>
      <c r="H29" s="560"/>
      <c r="I29" s="561">
        <f>+IFERROR(VLOOKUP($A29,'[50]2000_IS210'!$D:$AH,9,FALSE),0)</f>
        <v>6509.39</v>
      </c>
      <c r="J29" s="560"/>
      <c r="K29" s="561">
        <f>+IFERROR(VLOOKUP($A29,'[50]2000_IS210'!$D:$AH,11,FALSE),0)</f>
        <v>14037.55</v>
      </c>
      <c r="L29" s="560"/>
      <c r="M29" s="561">
        <f>+IFERROR(VLOOKUP($A29,'[50]2000_IS210'!$D:$AH,13,FALSE),0)</f>
        <v>8045.05</v>
      </c>
      <c r="N29" s="560"/>
      <c r="O29" s="561">
        <f>+IFERROR(VLOOKUP($A29,'[50]2000_IS210'!$D:$AH,15,FALSE),0)</f>
        <v>9399.2999999999993</v>
      </c>
      <c r="P29" s="560"/>
      <c r="Q29" s="561">
        <f>+IFERROR(VLOOKUP($A29,'[50]2000_IS210'!$D:$AH,17,FALSE),0)</f>
        <v>10875.55</v>
      </c>
      <c r="R29" s="560"/>
      <c r="S29" s="561">
        <f>+IFERROR(VLOOKUP($A29,'[50]2000_IS210'!$D:$AH,19,FALSE),0)</f>
        <v>8744.1</v>
      </c>
      <c r="T29" s="560"/>
      <c r="U29" s="561">
        <f>+IFERROR(VLOOKUP($A29,'[50]2000_IS210'!$D:$AH,21,FALSE),0)</f>
        <v>9536.61</v>
      </c>
      <c r="V29" s="560"/>
      <c r="W29" s="561">
        <f>+IFERROR(VLOOKUP($A29,'[50]2000_IS210'!$D:$AH,23,FALSE),0)</f>
        <v>11346.82</v>
      </c>
      <c r="X29" s="560"/>
      <c r="Y29" s="561">
        <f>+IFERROR(VLOOKUP($A29,'[50]2000_IS210'!$D:$AH,25,FALSE),0)</f>
        <v>6602.36</v>
      </c>
      <c r="Z29" s="560"/>
      <c r="AA29" s="561">
        <f>+IFERROR(VLOOKUP($A29,'[50]2000_IS210'!$D:$AH,27,FALSE),0)</f>
        <v>10264.27</v>
      </c>
      <c r="AB29" s="560"/>
      <c r="AC29" s="561">
        <f>+IFERROR(VLOOKUP($A29,'[50]2000_IS210'!$D:$AH,29,FALSE),0)</f>
        <v>7152.97</v>
      </c>
      <c r="AD29" s="560"/>
      <c r="AE29" s="561">
        <f t="shared" si="0"/>
        <v>111038.23</v>
      </c>
      <c r="AF29" s="562"/>
      <c r="AG29" s="563"/>
      <c r="AH29" s="658">
        <f t="shared" si="2"/>
        <v>669.38980882867065</v>
      </c>
      <c r="AJ29" s="555">
        <f t="shared" si="1"/>
        <v>669.38980882867065</v>
      </c>
      <c r="AO29" s="650">
        <v>2121</v>
      </c>
      <c r="AP29" s="651">
        <v>0</v>
      </c>
      <c r="AQ29" s="652">
        <v>0</v>
      </c>
    </row>
    <row r="30" spans="1:43" ht="15" outlineLevel="1">
      <c r="A30" s="557">
        <v>70206</v>
      </c>
      <c r="B30" s="557" t="s">
        <v>143</v>
      </c>
      <c r="C30" s="558"/>
      <c r="D30" s="556"/>
      <c r="E30" s="559"/>
      <c r="F30" s="560"/>
      <c r="G30" s="561">
        <f>+IFERROR(VLOOKUP($A30,'[50]2000_IS210'!$D:$AH,7,FALSE),0)</f>
        <v>2593.6999999999998</v>
      </c>
      <c r="H30" s="560"/>
      <c r="I30" s="561">
        <f>+IFERROR(VLOOKUP($A30,'[50]2000_IS210'!$D:$AH,9,FALSE),0)</f>
        <v>2056.94</v>
      </c>
      <c r="J30" s="560"/>
      <c r="K30" s="561">
        <f>+IFERROR(VLOOKUP($A30,'[50]2000_IS210'!$D:$AH,11,FALSE),0)</f>
        <v>4101.83</v>
      </c>
      <c r="L30" s="560"/>
      <c r="M30" s="561">
        <f>+IFERROR(VLOOKUP($A30,'[50]2000_IS210'!$D:$AH,13,FALSE),0)</f>
        <v>1642.77</v>
      </c>
      <c r="N30" s="560"/>
      <c r="O30" s="561">
        <f>+IFERROR(VLOOKUP($A30,'[50]2000_IS210'!$D:$AH,15,FALSE),0)</f>
        <v>1841.68</v>
      </c>
      <c r="P30" s="560"/>
      <c r="Q30" s="561">
        <f>+IFERROR(VLOOKUP($A30,'[50]2000_IS210'!$D:$AH,17,FALSE),0)</f>
        <v>2254.4499999999998</v>
      </c>
      <c r="R30" s="560"/>
      <c r="S30" s="561">
        <f>+IFERROR(VLOOKUP($A30,'[50]2000_IS210'!$D:$AH,19,FALSE),0)</f>
        <v>1771.53</v>
      </c>
      <c r="T30" s="560"/>
      <c r="U30" s="561">
        <f>+IFERROR(VLOOKUP($A30,'[50]2000_IS210'!$D:$AH,21,FALSE),0)</f>
        <v>3467.63</v>
      </c>
      <c r="V30" s="560"/>
      <c r="W30" s="561">
        <f>+IFERROR(VLOOKUP($A30,'[50]2000_IS210'!$D:$AH,23,FALSE),0)</f>
        <v>1285.6099999999999</v>
      </c>
      <c r="X30" s="560"/>
      <c r="Y30" s="561">
        <f>+IFERROR(VLOOKUP($A30,'[50]2000_IS210'!$D:$AH,25,FALSE),0)</f>
        <v>2086.87</v>
      </c>
      <c r="Z30" s="560"/>
      <c r="AA30" s="561">
        <f>+IFERROR(VLOOKUP($A30,'[50]2000_IS210'!$D:$AH,27,FALSE),0)</f>
        <v>2596.9699999999998</v>
      </c>
      <c r="AB30" s="560"/>
      <c r="AC30" s="561">
        <f>+IFERROR(VLOOKUP($A30,'[50]2000_IS210'!$D:$AH,29,FALSE),0)</f>
        <v>1827.09</v>
      </c>
      <c r="AD30" s="560"/>
      <c r="AE30" s="561">
        <f t="shared" si="0"/>
        <v>27527.07</v>
      </c>
      <c r="AF30" s="562"/>
      <c r="AG30" s="563"/>
      <c r="AH30" s="658">
        <f t="shared" si="2"/>
        <v>165.94591002498359</v>
      </c>
      <c r="AJ30" s="555">
        <f t="shared" si="1"/>
        <v>165.94591002498359</v>
      </c>
      <c r="AO30" s="650">
        <v>2125</v>
      </c>
      <c r="AP30" s="651">
        <v>1</v>
      </c>
      <c r="AQ30" s="652">
        <v>9.4742456842442343E-7</v>
      </c>
    </row>
    <row r="31" spans="1:43" ht="15" outlineLevel="1">
      <c r="A31" s="557">
        <v>70207</v>
      </c>
      <c r="B31" s="557" t="s">
        <v>144</v>
      </c>
      <c r="C31" s="558"/>
      <c r="D31" s="556"/>
      <c r="E31" s="559"/>
      <c r="F31" s="560"/>
      <c r="G31" s="561">
        <f>+IFERROR(VLOOKUP($A31,'[50]2000_IS210'!$D:$AH,7,FALSE),0)</f>
        <v>0</v>
      </c>
      <c r="H31" s="560"/>
      <c r="I31" s="561">
        <f>+IFERROR(VLOOKUP($A31,'[50]2000_IS210'!$D:$AH,9,FALSE),0)</f>
        <v>0</v>
      </c>
      <c r="J31" s="560"/>
      <c r="K31" s="561">
        <f>+IFERROR(VLOOKUP($A31,'[50]2000_IS210'!$D:$AH,11,FALSE),0)</f>
        <v>0</v>
      </c>
      <c r="L31" s="560"/>
      <c r="M31" s="561">
        <f>+IFERROR(VLOOKUP($A31,'[50]2000_IS210'!$D:$AH,13,FALSE),0)</f>
        <v>0</v>
      </c>
      <c r="N31" s="560"/>
      <c r="O31" s="561">
        <f>+IFERROR(VLOOKUP($A31,'[50]2000_IS210'!$D:$AH,15,FALSE),0)</f>
        <v>0</v>
      </c>
      <c r="P31" s="560"/>
      <c r="Q31" s="561">
        <f>+IFERROR(VLOOKUP($A31,'[50]2000_IS210'!$D:$AH,17,FALSE),0)</f>
        <v>0</v>
      </c>
      <c r="R31" s="560"/>
      <c r="S31" s="561">
        <f>+IFERROR(VLOOKUP($A31,'[50]2000_IS210'!$D:$AH,19,FALSE),0)</f>
        <v>0</v>
      </c>
      <c r="T31" s="560"/>
      <c r="U31" s="561">
        <f>+IFERROR(VLOOKUP($A31,'[50]2000_IS210'!$D:$AH,21,FALSE),0)</f>
        <v>0</v>
      </c>
      <c r="V31" s="560"/>
      <c r="W31" s="561">
        <f>+IFERROR(VLOOKUP($A31,'[50]2000_IS210'!$D:$AH,23,FALSE),0)</f>
        <v>0</v>
      </c>
      <c r="X31" s="560"/>
      <c r="Y31" s="561">
        <f>+IFERROR(VLOOKUP($A31,'[50]2000_IS210'!$D:$AH,25,FALSE),0)</f>
        <v>0</v>
      </c>
      <c r="Z31" s="560"/>
      <c r="AA31" s="561">
        <f>+IFERROR(VLOOKUP($A31,'[50]2000_IS210'!$D:$AH,27,FALSE),0)</f>
        <v>0</v>
      </c>
      <c r="AB31" s="560"/>
      <c r="AC31" s="561">
        <f>+IFERROR(VLOOKUP($A31,'[50]2000_IS210'!$D:$AH,29,FALSE),0)</f>
        <v>0</v>
      </c>
      <c r="AD31" s="560"/>
      <c r="AE31" s="561">
        <f t="shared" si="0"/>
        <v>0</v>
      </c>
      <c r="AF31" s="562"/>
      <c r="AG31" s="563"/>
      <c r="AH31" s="658">
        <f t="shared" si="2"/>
        <v>0</v>
      </c>
      <c r="AJ31" s="555">
        <f t="shared" si="1"/>
        <v>0</v>
      </c>
      <c r="AO31" s="650">
        <v>2131</v>
      </c>
      <c r="AP31" s="651">
        <v>0</v>
      </c>
      <c r="AQ31" s="652">
        <v>0</v>
      </c>
    </row>
    <row r="32" spans="1:43" ht="15" outlineLevel="1">
      <c r="A32" s="557">
        <v>70210</v>
      </c>
      <c r="B32" s="557" t="s">
        <v>111</v>
      </c>
      <c r="C32" s="558"/>
      <c r="D32" s="556"/>
      <c r="E32" s="559"/>
      <c r="F32" s="560"/>
      <c r="G32" s="561">
        <f>+IFERROR(VLOOKUP($A32,'[50]2000_IS210'!$D:$AH,7,FALSE),0)</f>
        <v>6149.85</v>
      </c>
      <c r="H32" s="560"/>
      <c r="I32" s="561">
        <f>+IFERROR(VLOOKUP($A32,'[50]2000_IS210'!$D:$AH,9,FALSE),0)</f>
        <v>3904.92</v>
      </c>
      <c r="J32" s="560"/>
      <c r="K32" s="561">
        <f>+IFERROR(VLOOKUP($A32,'[50]2000_IS210'!$D:$AH,11,FALSE),0)</f>
        <v>2211.67</v>
      </c>
      <c r="L32" s="560"/>
      <c r="M32" s="561">
        <f>+IFERROR(VLOOKUP($A32,'[50]2000_IS210'!$D:$AH,13,FALSE),0)</f>
        <v>5483.39</v>
      </c>
      <c r="N32" s="560"/>
      <c r="O32" s="561">
        <f>+IFERROR(VLOOKUP($A32,'[50]2000_IS210'!$D:$AH,15,FALSE),0)</f>
        <v>4382.53</v>
      </c>
      <c r="P32" s="560"/>
      <c r="Q32" s="561">
        <f>+IFERROR(VLOOKUP($A32,'[50]2000_IS210'!$D:$AH,17,FALSE),0)</f>
        <v>4164.82</v>
      </c>
      <c r="R32" s="560"/>
      <c r="S32" s="561">
        <f>+IFERROR(VLOOKUP($A32,'[50]2000_IS210'!$D:$AH,19,FALSE),0)</f>
        <v>4304.5200000000004</v>
      </c>
      <c r="T32" s="560"/>
      <c r="U32" s="561">
        <f>+IFERROR(VLOOKUP($A32,'[50]2000_IS210'!$D:$AH,21,FALSE),0)</f>
        <v>2960.13</v>
      </c>
      <c r="V32" s="560"/>
      <c r="W32" s="561">
        <f>+IFERROR(VLOOKUP($A32,'[50]2000_IS210'!$D:$AH,23,FALSE),0)</f>
        <v>1788.53</v>
      </c>
      <c r="X32" s="560"/>
      <c r="Y32" s="561">
        <f>+IFERROR(VLOOKUP($A32,'[50]2000_IS210'!$D:$AH,25,FALSE),0)</f>
        <v>3236.67</v>
      </c>
      <c r="Z32" s="560"/>
      <c r="AA32" s="561">
        <f>+IFERROR(VLOOKUP($A32,'[50]2000_IS210'!$D:$AH,27,FALSE),0)</f>
        <v>3534.42</v>
      </c>
      <c r="AB32" s="560"/>
      <c r="AC32" s="561">
        <f>+IFERROR(VLOOKUP($A32,'[50]2000_IS210'!$D:$AH,29,FALSE),0)</f>
        <v>2592.52</v>
      </c>
      <c r="AD32" s="560"/>
      <c r="AE32" s="561">
        <f t="shared" si="0"/>
        <v>44713.969999999994</v>
      </c>
      <c r="AF32" s="562"/>
      <c r="AG32" s="563"/>
      <c r="AH32" s="658">
        <f t="shared" si="2"/>
        <v>269.55649266267039</v>
      </c>
      <c r="AJ32" s="555">
        <f t="shared" si="1"/>
        <v>269.55649266267039</v>
      </c>
      <c r="AO32" s="650">
        <v>2132</v>
      </c>
      <c r="AP32" s="651">
        <v>2185</v>
      </c>
      <c r="AQ32" s="652">
        <v>2.0701226820073653E-3</v>
      </c>
    </row>
    <row r="33" spans="1:43" ht="15" outlineLevel="1">
      <c r="A33" s="557">
        <v>70215</v>
      </c>
      <c r="B33" s="557" t="s">
        <v>673</v>
      </c>
      <c r="C33" s="558"/>
      <c r="D33" s="556"/>
      <c r="E33" s="559"/>
      <c r="F33" s="560"/>
      <c r="G33" s="561">
        <f>+IFERROR(VLOOKUP($A33,'[50]2000_IS210'!$D:$AH,7,FALSE),0)</f>
        <v>0</v>
      </c>
      <c r="H33" s="560"/>
      <c r="I33" s="561">
        <f>+IFERROR(VLOOKUP($A33,'[50]2000_IS210'!$D:$AH,9,FALSE),0)</f>
        <v>109.2</v>
      </c>
      <c r="J33" s="560"/>
      <c r="K33" s="561">
        <f>+IFERROR(VLOOKUP($A33,'[50]2000_IS210'!$D:$AH,11,FALSE),0)</f>
        <v>1.54</v>
      </c>
      <c r="L33" s="560"/>
      <c r="M33" s="561">
        <f>+IFERROR(VLOOKUP($A33,'[50]2000_IS210'!$D:$AH,13,FALSE),0)</f>
        <v>0</v>
      </c>
      <c r="N33" s="560"/>
      <c r="O33" s="561">
        <f>+IFERROR(VLOOKUP($A33,'[50]2000_IS210'!$D:$AH,15,FALSE),0)</f>
        <v>0</v>
      </c>
      <c r="P33" s="560"/>
      <c r="Q33" s="561">
        <f>+IFERROR(VLOOKUP($A33,'[50]2000_IS210'!$D:$AH,17,FALSE),0)</f>
        <v>0</v>
      </c>
      <c r="R33" s="560"/>
      <c r="S33" s="561">
        <f>+IFERROR(VLOOKUP($A33,'[50]2000_IS210'!$D:$AH,19,FALSE),0)</f>
        <v>0</v>
      </c>
      <c r="T33" s="560"/>
      <c r="U33" s="561">
        <f>+IFERROR(VLOOKUP($A33,'[50]2000_IS210'!$D:$AH,21,FALSE),0)</f>
        <v>0</v>
      </c>
      <c r="V33" s="560"/>
      <c r="W33" s="561">
        <f>+IFERROR(VLOOKUP($A33,'[50]2000_IS210'!$D:$AH,23,FALSE),0)</f>
        <v>0</v>
      </c>
      <c r="X33" s="560"/>
      <c r="Y33" s="561">
        <f>+IFERROR(VLOOKUP($A33,'[50]2000_IS210'!$D:$AH,25,FALSE),0)</f>
        <v>0</v>
      </c>
      <c r="Z33" s="560"/>
      <c r="AA33" s="561">
        <f>+IFERROR(VLOOKUP($A33,'[50]2000_IS210'!$D:$AH,27,FALSE),0)</f>
        <v>0</v>
      </c>
      <c r="AB33" s="560"/>
      <c r="AC33" s="561">
        <f>+IFERROR(VLOOKUP($A33,'[50]2000_IS210'!$D:$AH,29,FALSE),0)</f>
        <v>0</v>
      </c>
      <c r="AD33" s="560"/>
      <c r="AE33" s="561">
        <f t="shared" si="0"/>
        <v>110.74000000000001</v>
      </c>
      <c r="AF33" s="562"/>
      <c r="AG33" s="563"/>
      <c r="AH33" s="658">
        <f t="shared" si="2"/>
        <v>0.66759194044868131</v>
      </c>
      <c r="AJ33" s="555">
        <f t="shared" si="1"/>
        <v>0.66759194044868131</v>
      </c>
      <c r="AO33" s="650">
        <v>2140</v>
      </c>
      <c r="AP33" s="651">
        <v>29801</v>
      </c>
      <c r="AQ33" s="652">
        <v>2.8234199563616245E-2</v>
      </c>
    </row>
    <row r="34" spans="1:43" ht="15" outlineLevel="1">
      <c r="A34" s="557">
        <v>70214</v>
      </c>
      <c r="B34" s="557" t="s">
        <v>145</v>
      </c>
      <c r="C34" s="558"/>
      <c r="D34" s="556"/>
      <c r="E34" s="559"/>
      <c r="F34" s="560"/>
      <c r="G34" s="561">
        <f>+IFERROR(VLOOKUP($A34,'[50]2000_IS210'!$D:$AH,7,FALSE),0)</f>
        <v>0</v>
      </c>
      <c r="H34" s="560"/>
      <c r="I34" s="561">
        <f>+IFERROR(VLOOKUP($A34,'[50]2000_IS210'!$D:$AH,9,FALSE),0)</f>
        <v>0</v>
      </c>
      <c r="J34" s="560"/>
      <c r="K34" s="561">
        <f>+IFERROR(VLOOKUP($A34,'[50]2000_IS210'!$D:$AH,11,FALSE),0)</f>
        <v>0</v>
      </c>
      <c r="L34" s="560"/>
      <c r="M34" s="561">
        <f>+IFERROR(VLOOKUP($A34,'[50]2000_IS210'!$D:$AH,13,FALSE),0)</f>
        <v>0</v>
      </c>
      <c r="N34" s="560"/>
      <c r="O34" s="561">
        <f>+IFERROR(VLOOKUP($A34,'[50]2000_IS210'!$D:$AH,15,FALSE),0)</f>
        <v>0</v>
      </c>
      <c r="P34" s="560"/>
      <c r="Q34" s="561">
        <f>+IFERROR(VLOOKUP($A34,'[50]2000_IS210'!$D:$AH,17,FALSE),0)</f>
        <v>0</v>
      </c>
      <c r="R34" s="560"/>
      <c r="S34" s="561">
        <f>+IFERROR(VLOOKUP($A34,'[50]2000_IS210'!$D:$AH,19,FALSE),0)</f>
        <v>6.15</v>
      </c>
      <c r="T34" s="560"/>
      <c r="U34" s="561">
        <f>+IFERROR(VLOOKUP($A34,'[50]2000_IS210'!$D:$AH,21,FALSE),0)</f>
        <v>0</v>
      </c>
      <c r="V34" s="560"/>
      <c r="W34" s="561">
        <f>+IFERROR(VLOOKUP($A34,'[50]2000_IS210'!$D:$AH,23,FALSE),0)</f>
        <v>0</v>
      </c>
      <c r="X34" s="560"/>
      <c r="Y34" s="561">
        <f>+IFERROR(VLOOKUP($A34,'[50]2000_IS210'!$D:$AH,25,FALSE),0)</f>
        <v>0</v>
      </c>
      <c r="Z34" s="560"/>
      <c r="AA34" s="561">
        <f>+IFERROR(VLOOKUP($A34,'[50]2000_IS210'!$D:$AH,27,FALSE),0)</f>
        <v>0</v>
      </c>
      <c r="AB34" s="560"/>
      <c r="AC34" s="561">
        <f>+IFERROR(VLOOKUP($A34,'[50]2000_IS210'!$D:$AH,29,FALSE),0)</f>
        <v>0</v>
      </c>
      <c r="AD34" s="560"/>
      <c r="AE34" s="561">
        <f t="shared" si="0"/>
        <v>6.15</v>
      </c>
      <c r="AF34" s="562"/>
      <c r="AG34" s="563"/>
      <c r="AH34" s="658">
        <f t="shared" si="2"/>
        <v>3.7075044552640331E-2</v>
      </c>
      <c r="AJ34" s="555">
        <f t="shared" si="1"/>
        <v>3.7075044552640331E-2</v>
      </c>
      <c r="AO34" s="650"/>
      <c r="AP34" s="651"/>
      <c r="AQ34" s="652"/>
    </row>
    <row r="35" spans="1:43" ht="15" outlineLevel="1">
      <c r="A35" s="557">
        <v>70225</v>
      </c>
      <c r="B35" s="557" t="s">
        <v>89</v>
      </c>
      <c r="C35" s="558"/>
      <c r="D35" s="556"/>
      <c r="E35" s="559"/>
      <c r="F35" s="560"/>
      <c r="G35" s="561">
        <f>+IFERROR(VLOOKUP($A35,'[50]2000_IS210'!$D:$AH,7,FALSE),0)</f>
        <v>0</v>
      </c>
      <c r="H35" s="560"/>
      <c r="I35" s="561">
        <f>+IFERROR(VLOOKUP($A35,'[50]2000_IS210'!$D:$AH,9,FALSE),0)</f>
        <v>0</v>
      </c>
      <c r="J35" s="560"/>
      <c r="K35" s="561">
        <f>+IFERROR(VLOOKUP($A35,'[50]2000_IS210'!$D:$AH,11,FALSE),0)</f>
        <v>423.84</v>
      </c>
      <c r="L35" s="560"/>
      <c r="M35" s="561">
        <f>+IFERROR(VLOOKUP($A35,'[50]2000_IS210'!$D:$AH,13,FALSE),0)</f>
        <v>0</v>
      </c>
      <c r="N35" s="560"/>
      <c r="O35" s="561">
        <f>+IFERROR(VLOOKUP($A35,'[50]2000_IS210'!$D:$AH,15,FALSE),0)</f>
        <v>0</v>
      </c>
      <c r="P35" s="560"/>
      <c r="Q35" s="561">
        <f>+IFERROR(VLOOKUP($A35,'[50]2000_IS210'!$D:$AH,17,FALSE),0)</f>
        <v>0</v>
      </c>
      <c r="R35" s="560"/>
      <c r="S35" s="561">
        <f>+IFERROR(VLOOKUP($A35,'[50]2000_IS210'!$D:$AH,19,FALSE),0)</f>
        <v>0</v>
      </c>
      <c r="T35" s="560"/>
      <c r="U35" s="561">
        <f>+IFERROR(VLOOKUP($A35,'[50]2000_IS210'!$D:$AH,21,FALSE),0)</f>
        <v>10</v>
      </c>
      <c r="V35" s="560"/>
      <c r="W35" s="561">
        <f>+IFERROR(VLOOKUP($A35,'[50]2000_IS210'!$D:$AH,23,FALSE),0)</f>
        <v>0</v>
      </c>
      <c r="X35" s="560"/>
      <c r="Y35" s="561">
        <f>+IFERROR(VLOOKUP($A35,'[50]2000_IS210'!$D:$AH,25,FALSE),0)</f>
        <v>0</v>
      </c>
      <c r="Z35" s="560"/>
      <c r="AA35" s="561">
        <f>+IFERROR(VLOOKUP($A35,'[50]2000_IS210'!$D:$AH,27,FALSE),0)</f>
        <v>0</v>
      </c>
      <c r="AB35" s="560"/>
      <c r="AC35" s="561">
        <f>+IFERROR(VLOOKUP($A35,'[50]2000_IS210'!$D:$AH,29,FALSE),0)</f>
        <v>0</v>
      </c>
      <c r="AD35" s="560"/>
      <c r="AE35" s="561">
        <f t="shared" si="0"/>
        <v>433.84</v>
      </c>
      <c r="AF35" s="562"/>
      <c r="AG35" s="563"/>
      <c r="AH35" s="658">
        <f t="shared" si="2"/>
        <v>2.6153881835312975</v>
      </c>
      <c r="AI35" s="555">
        <f>-AH35</f>
        <v>-2.6153881835312975</v>
      </c>
      <c r="AJ35" s="555">
        <f t="shared" si="1"/>
        <v>0</v>
      </c>
      <c r="AO35" s="650">
        <v>2143</v>
      </c>
      <c r="AP35" s="651">
        <v>0</v>
      </c>
      <c r="AQ35" s="652">
        <v>0</v>
      </c>
    </row>
    <row r="36" spans="1:43" ht="15" outlineLevel="1">
      <c r="A36" s="557">
        <v>70230</v>
      </c>
      <c r="B36" s="557" t="s">
        <v>675</v>
      </c>
      <c r="C36" s="558"/>
      <c r="D36" s="556"/>
      <c r="E36" s="559"/>
      <c r="F36" s="560"/>
      <c r="G36" s="561">
        <f>+IFERROR(VLOOKUP($A36,'[50]2000_IS210'!$D:$AH,7,FALSE),0)</f>
        <v>16000</v>
      </c>
      <c r="H36" s="560"/>
      <c r="I36" s="561">
        <f>+IFERROR(VLOOKUP($A36,'[50]2000_IS210'!$D:$AH,9,FALSE),0)</f>
        <v>-16000</v>
      </c>
      <c r="J36" s="560"/>
      <c r="K36" s="561">
        <f>+IFERROR(VLOOKUP($A36,'[50]2000_IS210'!$D:$AH,11,FALSE),0)</f>
        <v>0</v>
      </c>
      <c r="L36" s="560"/>
      <c r="M36" s="561">
        <f>+IFERROR(VLOOKUP($A36,'[50]2000_IS210'!$D:$AH,13,FALSE),0)</f>
        <v>0</v>
      </c>
      <c r="N36" s="560"/>
      <c r="O36" s="561">
        <f>+IFERROR(VLOOKUP($A36,'[50]2000_IS210'!$D:$AH,15,FALSE),0)</f>
        <v>0</v>
      </c>
      <c r="P36" s="560"/>
      <c r="Q36" s="561">
        <f>+IFERROR(VLOOKUP($A36,'[50]2000_IS210'!$D:$AH,17,FALSE),0)</f>
        <v>0</v>
      </c>
      <c r="R36" s="560"/>
      <c r="S36" s="561">
        <f>+IFERROR(VLOOKUP($A36,'[50]2000_IS210'!$D:$AH,19,FALSE),0)</f>
        <v>0</v>
      </c>
      <c r="T36" s="560"/>
      <c r="U36" s="561">
        <f>+IFERROR(VLOOKUP($A36,'[50]2000_IS210'!$D:$AH,21,FALSE),0)</f>
        <v>0</v>
      </c>
      <c r="V36" s="560"/>
      <c r="W36" s="561">
        <f>+IFERROR(VLOOKUP($A36,'[50]2000_IS210'!$D:$AH,23,FALSE),0)</f>
        <v>0</v>
      </c>
      <c r="X36" s="560"/>
      <c r="Y36" s="561">
        <f>+IFERROR(VLOOKUP($A36,'[50]2000_IS210'!$D:$AH,25,FALSE),0)</f>
        <v>0</v>
      </c>
      <c r="Z36" s="560"/>
      <c r="AA36" s="561">
        <f>+IFERROR(VLOOKUP($A36,'[50]2000_IS210'!$D:$AH,27,FALSE),0)</f>
        <v>0</v>
      </c>
      <c r="AB36" s="560"/>
      <c r="AC36" s="561">
        <f>+IFERROR(VLOOKUP($A36,'[50]2000_IS210'!$D:$AH,29,FALSE),0)</f>
        <v>99</v>
      </c>
      <c r="AD36" s="560"/>
      <c r="AE36" s="561">
        <f t="shared" si="0"/>
        <v>99</v>
      </c>
      <c r="AF36" s="562"/>
      <c r="AG36" s="563"/>
      <c r="AH36" s="658">
        <f t="shared" si="2"/>
        <v>0.59681779035957605</v>
      </c>
      <c r="AJ36" s="555">
        <f t="shared" si="1"/>
        <v>0.59681779035957605</v>
      </c>
      <c r="AO36" s="650">
        <v>2144</v>
      </c>
      <c r="AP36" s="651">
        <v>12945</v>
      </c>
      <c r="AQ36" s="652">
        <v>1.2264411038254161E-2</v>
      </c>
    </row>
    <row r="37" spans="1:43" ht="15" outlineLevel="1">
      <c r="A37" s="557">
        <v>70231</v>
      </c>
      <c r="B37" s="557" t="s">
        <v>146</v>
      </c>
      <c r="C37" s="558"/>
      <c r="D37" s="556"/>
      <c r="E37" s="559"/>
      <c r="F37" s="560"/>
      <c r="G37" s="561">
        <f>+IFERROR(VLOOKUP($A37,'[50]2000_IS210'!$D:$AH,7,FALSE),0)</f>
        <v>14019.99</v>
      </c>
      <c r="H37" s="560"/>
      <c r="I37" s="561">
        <f>+IFERROR(VLOOKUP($A37,'[50]2000_IS210'!$D:$AH,9,FALSE),0)</f>
        <v>61.46</v>
      </c>
      <c r="J37" s="560"/>
      <c r="K37" s="561">
        <f>+IFERROR(VLOOKUP($A37,'[50]2000_IS210'!$D:$AH,11,FALSE),0)</f>
        <v>138.91</v>
      </c>
      <c r="L37" s="560"/>
      <c r="M37" s="561">
        <f>+IFERROR(VLOOKUP($A37,'[50]2000_IS210'!$D:$AH,13,FALSE),0)</f>
        <v>397.92</v>
      </c>
      <c r="N37" s="560"/>
      <c r="O37" s="561">
        <f>+IFERROR(VLOOKUP($A37,'[50]2000_IS210'!$D:$AH,15,FALSE),0)</f>
        <v>466.46</v>
      </c>
      <c r="P37" s="560"/>
      <c r="Q37" s="561">
        <f>+IFERROR(VLOOKUP($A37,'[50]2000_IS210'!$D:$AH,17,FALSE),0)</f>
        <v>501.7</v>
      </c>
      <c r="R37" s="560"/>
      <c r="S37" s="561">
        <f>+IFERROR(VLOOKUP($A37,'[50]2000_IS210'!$D:$AH,19,FALSE),0)</f>
        <v>97.02</v>
      </c>
      <c r="T37" s="560"/>
      <c r="U37" s="561">
        <f>+IFERROR(VLOOKUP($A37,'[50]2000_IS210'!$D:$AH,21,FALSE),0)</f>
        <v>6.6</v>
      </c>
      <c r="V37" s="560"/>
      <c r="W37" s="561">
        <f>+IFERROR(VLOOKUP($A37,'[50]2000_IS210'!$D:$AH,23,FALSE),0)</f>
        <v>3277.6</v>
      </c>
      <c r="X37" s="560"/>
      <c r="Y37" s="561">
        <f>+IFERROR(VLOOKUP($A37,'[50]2000_IS210'!$D:$AH,25,FALSE),0)</f>
        <v>2474.79</v>
      </c>
      <c r="Z37" s="560"/>
      <c r="AA37" s="561">
        <f>+IFERROR(VLOOKUP($A37,'[50]2000_IS210'!$D:$AH,27,FALSE),0)</f>
        <v>842.39</v>
      </c>
      <c r="AB37" s="560"/>
      <c r="AC37" s="561">
        <f>+IFERROR(VLOOKUP($A37,'[50]2000_IS210'!$D:$AH,29,FALSE),0)</f>
        <v>173.37</v>
      </c>
      <c r="AD37" s="560"/>
      <c r="AE37" s="561">
        <f t="shared" si="0"/>
        <v>22458.21</v>
      </c>
      <c r="AF37" s="562"/>
      <c r="AG37" s="563"/>
      <c r="AH37" s="658">
        <f t="shared" si="2"/>
        <v>135.38847745082154</v>
      </c>
      <c r="AJ37" s="555">
        <f t="shared" si="1"/>
        <v>135.38847745082154</v>
      </c>
      <c r="AO37" s="650">
        <v>2146</v>
      </c>
      <c r="AP37" s="651">
        <v>7439</v>
      </c>
      <c r="AQ37" s="652">
        <v>7.0478913645092862E-3</v>
      </c>
    </row>
    <row r="38" spans="1:43" ht="15" outlineLevel="1">
      <c r="A38" s="557">
        <v>70232</v>
      </c>
      <c r="B38" s="557" t="s">
        <v>676</v>
      </c>
      <c r="C38" s="558"/>
      <c r="D38" s="556"/>
      <c r="E38" s="559"/>
      <c r="F38" s="560"/>
      <c r="G38" s="561">
        <f>+IFERROR(VLOOKUP($A38,'[50]2000_IS210'!$D:$AH,7,FALSE),0)</f>
        <v>0</v>
      </c>
      <c r="H38" s="560"/>
      <c r="I38" s="561">
        <f>+IFERROR(VLOOKUP($A38,'[50]2000_IS210'!$D:$AH,9,FALSE),0)</f>
        <v>0</v>
      </c>
      <c r="J38" s="560"/>
      <c r="K38" s="561">
        <f>+IFERROR(VLOOKUP($A38,'[50]2000_IS210'!$D:$AH,11,FALSE),0)</f>
        <v>0</v>
      </c>
      <c r="L38" s="560"/>
      <c r="M38" s="561">
        <f>+IFERROR(VLOOKUP($A38,'[50]2000_IS210'!$D:$AH,13,FALSE),0)</f>
        <v>0</v>
      </c>
      <c r="N38" s="560"/>
      <c r="O38" s="561">
        <f>+IFERROR(VLOOKUP($A38,'[50]2000_IS210'!$D:$AH,15,FALSE),0)</f>
        <v>960.91</v>
      </c>
      <c r="P38" s="560"/>
      <c r="Q38" s="561">
        <f>+IFERROR(VLOOKUP($A38,'[50]2000_IS210'!$D:$AH,17,FALSE),0)</f>
        <v>197.62</v>
      </c>
      <c r="R38" s="560"/>
      <c r="S38" s="561">
        <f>+IFERROR(VLOOKUP($A38,'[50]2000_IS210'!$D:$AH,19,FALSE),0)</f>
        <v>32</v>
      </c>
      <c r="T38" s="560"/>
      <c r="U38" s="561">
        <f>+IFERROR(VLOOKUP($A38,'[50]2000_IS210'!$D:$AH,21,FALSE),0)</f>
        <v>0</v>
      </c>
      <c r="V38" s="560"/>
      <c r="W38" s="561">
        <f>+IFERROR(VLOOKUP($A38,'[50]2000_IS210'!$D:$AH,23,FALSE),0)</f>
        <v>0</v>
      </c>
      <c r="X38" s="560"/>
      <c r="Y38" s="561">
        <f>+IFERROR(VLOOKUP($A38,'[50]2000_IS210'!$D:$AH,25,FALSE),0)</f>
        <v>0</v>
      </c>
      <c r="Z38" s="560"/>
      <c r="AA38" s="561">
        <f>+IFERROR(VLOOKUP($A38,'[50]2000_IS210'!$D:$AH,27,FALSE),0)</f>
        <v>29.95</v>
      </c>
      <c r="AB38" s="560"/>
      <c r="AC38" s="561">
        <f>+IFERROR(VLOOKUP($A38,'[50]2000_IS210'!$D:$AH,29,FALSE),0)</f>
        <v>0</v>
      </c>
      <c r="AD38" s="560"/>
      <c r="AE38" s="561">
        <f t="shared" si="0"/>
        <v>1220.48</v>
      </c>
      <c r="AF38" s="562"/>
      <c r="AG38" s="563"/>
      <c r="AH38" s="658">
        <f t="shared" si="2"/>
        <v>7.3576179472530843</v>
      </c>
      <c r="AJ38" s="555">
        <f t="shared" si="1"/>
        <v>7.3576179472530843</v>
      </c>
      <c r="AO38" s="650"/>
      <c r="AP38" s="651"/>
      <c r="AQ38" s="652"/>
    </row>
    <row r="39" spans="1:43" ht="15" outlineLevel="1">
      <c r="A39" s="557">
        <v>70245</v>
      </c>
      <c r="B39" s="557" t="s">
        <v>286</v>
      </c>
      <c r="C39" s="558"/>
      <c r="D39" s="556"/>
      <c r="E39" s="559"/>
      <c r="F39" s="560"/>
      <c r="G39" s="561">
        <f>+IFERROR(VLOOKUP($A39,'[50]2000_IS210'!$D:$AH,7,FALSE),0)</f>
        <v>131.36000000000001</v>
      </c>
      <c r="H39" s="560"/>
      <c r="I39" s="561">
        <f>+IFERROR(VLOOKUP($A39,'[50]2000_IS210'!$D:$AH,9,FALSE),0)</f>
        <v>131.36000000000001</v>
      </c>
      <c r="J39" s="560"/>
      <c r="K39" s="561">
        <f>+IFERROR(VLOOKUP($A39,'[50]2000_IS210'!$D:$AH,11,FALSE),0)</f>
        <v>131.36000000000001</v>
      </c>
      <c r="L39" s="560"/>
      <c r="M39" s="561">
        <f>+IFERROR(VLOOKUP($A39,'[50]2000_IS210'!$D:$AH,13,FALSE),0)</f>
        <v>0</v>
      </c>
      <c r="N39" s="560"/>
      <c r="O39" s="561">
        <f>+IFERROR(VLOOKUP($A39,'[50]2000_IS210'!$D:$AH,15,FALSE),0)</f>
        <v>0</v>
      </c>
      <c r="P39" s="560"/>
      <c r="Q39" s="561">
        <f>+IFERROR(VLOOKUP($A39,'[50]2000_IS210'!$D:$AH,17,FALSE),0)</f>
        <v>0</v>
      </c>
      <c r="R39" s="560"/>
      <c r="S39" s="561">
        <f>+IFERROR(VLOOKUP($A39,'[50]2000_IS210'!$D:$AH,19,FALSE),0)</f>
        <v>0</v>
      </c>
      <c r="T39" s="560"/>
      <c r="U39" s="561">
        <f>+IFERROR(VLOOKUP($A39,'[50]2000_IS210'!$D:$AH,21,FALSE),0)</f>
        <v>0</v>
      </c>
      <c r="V39" s="560"/>
      <c r="W39" s="561">
        <f>+IFERROR(VLOOKUP($A39,'[50]2000_IS210'!$D:$AH,23,FALSE),0)</f>
        <v>0</v>
      </c>
      <c r="X39" s="560"/>
      <c r="Y39" s="561">
        <f>+IFERROR(VLOOKUP($A39,'[50]2000_IS210'!$D:$AH,25,FALSE),0)</f>
        <v>0</v>
      </c>
      <c r="Z39" s="560"/>
      <c r="AA39" s="561">
        <f>+IFERROR(VLOOKUP($A39,'[50]2000_IS210'!$D:$AH,27,FALSE),0)</f>
        <v>0</v>
      </c>
      <c r="AB39" s="560"/>
      <c r="AC39" s="561">
        <f>+IFERROR(VLOOKUP($A39,'[50]2000_IS210'!$D:$AH,29,FALSE),0)</f>
        <v>0</v>
      </c>
      <c r="AD39" s="560"/>
      <c r="AE39" s="561">
        <f t="shared" si="0"/>
        <v>394.08000000000004</v>
      </c>
      <c r="AF39" s="562"/>
      <c r="AG39" s="563"/>
      <c r="AH39" s="658">
        <f t="shared" si="2"/>
        <v>2.375696513382846</v>
      </c>
      <c r="AJ39" s="555">
        <f t="shared" si="1"/>
        <v>2.375696513382846</v>
      </c>
      <c r="AO39" s="650">
        <v>2148</v>
      </c>
      <c r="AP39" s="651"/>
      <c r="AQ39" s="652">
        <v>0</v>
      </c>
    </row>
    <row r="40" spans="1:43" ht="15" outlineLevel="1">
      <c r="A40" s="557">
        <v>70255</v>
      </c>
      <c r="B40" s="557" t="s">
        <v>77</v>
      </c>
      <c r="C40" s="558"/>
      <c r="D40" s="556"/>
      <c r="E40" s="559"/>
      <c r="F40" s="560"/>
      <c r="G40" s="561">
        <f>+IFERROR(VLOOKUP($A40,'[50]2000_IS210'!$D:$AH,7,FALSE),0)</f>
        <v>9500</v>
      </c>
      <c r="H40" s="560"/>
      <c r="I40" s="561">
        <f>+IFERROR(VLOOKUP($A40,'[50]2000_IS210'!$D:$AH,9,FALSE),0)</f>
        <v>30875.84</v>
      </c>
      <c r="J40" s="560"/>
      <c r="K40" s="561">
        <f>+IFERROR(VLOOKUP($A40,'[50]2000_IS210'!$D:$AH,11,FALSE),0)</f>
        <v>11999.5</v>
      </c>
      <c r="L40" s="560"/>
      <c r="M40" s="561">
        <f>+IFERROR(VLOOKUP($A40,'[50]2000_IS210'!$D:$AH,13,FALSE),0)</f>
        <v>4000</v>
      </c>
      <c r="N40" s="560"/>
      <c r="O40" s="561">
        <f>+IFERROR(VLOOKUP($A40,'[50]2000_IS210'!$D:$AH,15,FALSE),0)</f>
        <v>11424.28</v>
      </c>
      <c r="P40" s="560"/>
      <c r="Q40" s="561">
        <f>+IFERROR(VLOOKUP($A40,'[50]2000_IS210'!$D:$AH,17,FALSE),0)</f>
        <v>21498.36</v>
      </c>
      <c r="R40" s="560"/>
      <c r="S40" s="561">
        <f>+IFERROR(VLOOKUP($A40,'[50]2000_IS210'!$D:$AH,19,FALSE),0)</f>
        <v>0</v>
      </c>
      <c r="T40" s="560"/>
      <c r="U40" s="561">
        <f>+IFERROR(VLOOKUP($A40,'[50]2000_IS210'!$D:$AH,21,FALSE),0)</f>
        <v>-32331.79</v>
      </c>
      <c r="V40" s="560"/>
      <c r="W40" s="561">
        <f>+IFERROR(VLOOKUP($A40,'[50]2000_IS210'!$D:$AH,23,FALSE),0)</f>
        <v>5465.76</v>
      </c>
      <c r="X40" s="560"/>
      <c r="Y40" s="561">
        <f>+IFERROR(VLOOKUP($A40,'[50]2000_IS210'!$D:$AH,25,FALSE),0)</f>
        <v>339.5</v>
      </c>
      <c r="Z40" s="560"/>
      <c r="AA40" s="561">
        <f>+IFERROR(VLOOKUP($A40,'[50]2000_IS210'!$D:$AH,27,FALSE),0)</f>
        <v>0</v>
      </c>
      <c r="AB40" s="560"/>
      <c r="AC40" s="561">
        <f>+IFERROR(VLOOKUP($A40,'[50]2000_IS210'!$D:$AH,29,FALSE),0)</f>
        <v>3500</v>
      </c>
      <c r="AD40" s="560"/>
      <c r="AE40" s="561">
        <f t="shared" si="0"/>
        <v>66271.45</v>
      </c>
      <c r="AF40" s="562"/>
      <c r="AG40" s="563"/>
      <c r="AH40" s="658">
        <f t="shared" si="2"/>
        <v>399.51495305984974</v>
      </c>
      <c r="AJ40" s="555">
        <f t="shared" si="1"/>
        <v>399.51495305984974</v>
      </c>
      <c r="AO40" s="650">
        <v>2149</v>
      </c>
      <c r="AP40" s="651">
        <v>12817</v>
      </c>
      <c r="AQ40" s="652">
        <v>1.2143140693495836E-2</v>
      </c>
    </row>
    <row r="41" spans="1:43" ht="15" outlineLevel="1">
      <c r="A41" s="557">
        <v>70275</v>
      </c>
      <c r="B41" s="557" t="s">
        <v>263</v>
      </c>
      <c r="C41" s="558"/>
      <c r="D41" s="556"/>
      <c r="E41" s="559"/>
      <c r="F41" s="560"/>
      <c r="G41" s="561">
        <f>+IFERROR(VLOOKUP($A41,'[50]2000_IS210'!$D:$AH,7,FALSE),0)</f>
        <v>0</v>
      </c>
      <c r="H41" s="560"/>
      <c r="I41" s="561">
        <f>+IFERROR(VLOOKUP($A41,'[50]2000_IS210'!$D:$AH,9,FALSE),0)</f>
        <v>0</v>
      </c>
      <c r="J41" s="560"/>
      <c r="K41" s="561">
        <f>+IFERROR(VLOOKUP($A41,'[50]2000_IS210'!$D:$AH,11,FALSE),0)</f>
        <v>0</v>
      </c>
      <c r="L41" s="560"/>
      <c r="M41" s="561">
        <f>+IFERROR(VLOOKUP($A41,'[50]2000_IS210'!$D:$AH,13,FALSE),0)</f>
        <v>0</v>
      </c>
      <c r="N41" s="560"/>
      <c r="O41" s="561">
        <f>+IFERROR(VLOOKUP($A41,'[50]2000_IS210'!$D:$AH,15,FALSE),0)</f>
        <v>0</v>
      </c>
      <c r="P41" s="560"/>
      <c r="Q41" s="561">
        <f>+IFERROR(VLOOKUP($A41,'[50]2000_IS210'!$D:$AH,17,FALSE),0)</f>
        <v>0</v>
      </c>
      <c r="R41" s="560"/>
      <c r="S41" s="561">
        <f>+IFERROR(VLOOKUP($A41,'[50]2000_IS210'!$D:$AH,19,FALSE),0)</f>
        <v>0</v>
      </c>
      <c r="T41" s="560"/>
      <c r="U41" s="561">
        <f>+IFERROR(VLOOKUP($A41,'[50]2000_IS210'!$D:$AH,21,FALSE),0)</f>
        <v>0</v>
      </c>
      <c r="V41" s="560"/>
      <c r="W41" s="561">
        <f>+IFERROR(VLOOKUP($A41,'[50]2000_IS210'!$D:$AH,23,FALSE),0)</f>
        <v>0</v>
      </c>
      <c r="X41" s="560"/>
      <c r="Y41" s="561">
        <f>+IFERROR(VLOOKUP($A41,'[50]2000_IS210'!$D:$AH,25,FALSE),0)</f>
        <v>0</v>
      </c>
      <c r="Z41" s="560"/>
      <c r="AA41" s="561">
        <f>+IFERROR(VLOOKUP($A41,'[50]2000_IS210'!$D:$AH,27,FALSE),0)</f>
        <v>0</v>
      </c>
      <c r="AB41" s="560"/>
      <c r="AC41" s="561">
        <f>+IFERROR(VLOOKUP($A41,'[50]2000_IS210'!$D:$AH,29,FALSE),0)</f>
        <v>0</v>
      </c>
      <c r="AD41" s="560"/>
      <c r="AE41" s="561">
        <f t="shared" si="0"/>
        <v>0</v>
      </c>
      <c r="AF41" s="562"/>
      <c r="AG41" s="563"/>
      <c r="AH41" s="658">
        <f t="shared" si="2"/>
        <v>0</v>
      </c>
      <c r="AJ41" s="555">
        <f t="shared" si="1"/>
        <v>0</v>
      </c>
      <c r="AO41" s="650">
        <v>2150</v>
      </c>
      <c r="AP41" s="651">
        <v>0</v>
      </c>
      <c r="AQ41" s="652">
        <v>0</v>
      </c>
    </row>
    <row r="42" spans="1:43" ht="15" outlineLevel="1">
      <c r="A42" s="557">
        <v>70302</v>
      </c>
      <c r="B42" s="557" t="s">
        <v>681</v>
      </c>
      <c r="C42" s="558"/>
      <c r="D42" s="556"/>
      <c r="E42" s="559"/>
      <c r="F42" s="560"/>
      <c r="G42" s="561">
        <f>+IFERROR(VLOOKUP($A42,'[50]2000_IS210'!$D:$AH,7,FALSE),0)</f>
        <v>144.43</v>
      </c>
      <c r="H42" s="560"/>
      <c r="I42" s="561">
        <f>+IFERROR(VLOOKUP($A42,'[50]2000_IS210'!$D:$AH,9,FALSE),0)</f>
        <v>13.97</v>
      </c>
      <c r="J42" s="560"/>
      <c r="K42" s="561">
        <f>+IFERROR(VLOOKUP($A42,'[50]2000_IS210'!$D:$AH,11,FALSE),0)</f>
        <v>5.18</v>
      </c>
      <c r="L42" s="560"/>
      <c r="M42" s="561">
        <f>+IFERROR(VLOOKUP($A42,'[50]2000_IS210'!$D:$AH,13,FALSE),0)</f>
        <v>286.52999999999997</v>
      </c>
      <c r="N42" s="560"/>
      <c r="O42" s="561">
        <f>+IFERROR(VLOOKUP($A42,'[50]2000_IS210'!$D:$AH,15,FALSE),0)</f>
        <v>892.37</v>
      </c>
      <c r="P42" s="560"/>
      <c r="Q42" s="561">
        <f>+IFERROR(VLOOKUP($A42,'[50]2000_IS210'!$D:$AH,17,FALSE),0)</f>
        <v>560.29</v>
      </c>
      <c r="R42" s="560"/>
      <c r="S42" s="561">
        <f>+IFERROR(VLOOKUP($A42,'[50]2000_IS210'!$D:$AH,19,FALSE),0)</f>
        <v>1059.02</v>
      </c>
      <c r="T42" s="560"/>
      <c r="U42" s="561">
        <f>+IFERROR(VLOOKUP($A42,'[50]2000_IS210'!$D:$AH,21,FALSE),0)</f>
        <v>142.16999999999999</v>
      </c>
      <c r="V42" s="560"/>
      <c r="W42" s="561">
        <f>+IFERROR(VLOOKUP($A42,'[50]2000_IS210'!$D:$AH,23,FALSE),0)</f>
        <v>607.03</v>
      </c>
      <c r="X42" s="560"/>
      <c r="Y42" s="561">
        <f>+IFERROR(VLOOKUP($A42,'[50]2000_IS210'!$D:$AH,25,FALSE),0)</f>
        <v>74.63</v>
      </c>
      <c r="Z42" s="560"/>
      <c r="AA42" s="561">
        <f>+IFERROR(VLOOKUP($A42,'[50]2000_IS210'!$D:$AH,27,FALSE),0)</f>
        <v>425.75</v>
      </c>
      <c r="AB42" s="560"/>
      <c r="AC42" s="561">
        <f>+IFERROR(VLOOKUP($A42,'[50]2000_IS210'!$D:$AH,29,FALSE),0)</f>
        <v>172.4</v>
      </c>
      <c r="AD42" s="560"/>
      <c r="AE42" s="561">
        <f t="shared" si="0"/>
        <v>4383.7700000000004</v>
      </c>
      <c r="AF42" s="562"/>
      <c r="AG42" s="563"/>
      <c r="AH42" s="658">
        <f t="shared" si="2"/>
        <v>26.427393180248469</v>
      </c>
      <c r="AJ42" s="555">
        <f t="shared" si="1"/>
        <v>26.427393180248469</v>
      </c>
      <c r="AO42" s="650">
        <v>2160</v>
      </c>
      <c r="AP42" s="651">
        <v>0</v>
      </c>
      <c r="AQ42" s="652">
        <v>0</v>
      </c>
    </row>
    <row r="43" spans="1:43" ht="15" outlineLevel="1">
      <c r="A43" s="557">
        <v>70320</v>
      </c>
      <c r="B43" s="557" t="s">
        <v>118</v>
      </c>
      <c r="C43" s="558"/>
      <c r="D43" s="556"/>
      <c r="E43" s="559"/>
      <c r="F43" s="560"/>
      <c r="G43" s="561">
        <f>+IFERROR(VLOOKUP($A43,'[50]2000_IS210'!$D:$AH,7,FALSE),0)</f>
        <v>140.6</v>
      </c>
      <c r="H43" s="560"/>
      <c r="I43" s="561">
        <f>+IFERROR(VLOOKUP($A43,'[50]2000_IS210'!$D:$AH,9,FALSE),0)</f>
        <v>207.05</v>
      </c>
      <c r="J43" s="560"/>
      <c r="K43" s="561">
        <f>+IFERROR(VLOOKUP($A43,'[50]2000_IS210'!$D:$AH,11,FALSE),0)</f>
        <v>213.76</v>
      </c>
      <c r="L43" s="560"/>
      <c r="M43" s="561">
        <f>+IFERROR(VLOOKUP($A43,'[50]2000_IS210'!$D:$AH,13,FALSE),0)</f>
        <v>233.52</v>
      </c>
      <c r="N43" s="560"/>
      <c r="O43" s="561">
        <f>+IFERROR(VLOOKUP($A43,'[50]2000_IS210'!$D:$AH,15,FALSE),0)</f>
        <v>57.05</v>
      </c>
      <c r="P43" s="560"/>
      <c r="Q43" s="561">
        <f>+IFERROR(VLOOKUP($A43,'[50]2000_IS210'!$D:$AH,17,FALSE),0)</f>
        <v>207.05</v>
      </c>
      <c r="R43" s="560"/>
      <c r="S43" s="561">
        <f>+IFERROR(VLOOKUP($A43,'[50]2000_IS210'!$D:$AH,19,FALSE),0)</f>
        <v>307.75</v>
      </c>
      <c r="T43" s="560"/>
      <c r="U43" s="561">
        <f>+IFERROR(VLOOKUP($A43,'[50]2000_IS210'!$D:$AH,21,FALSE),0)</f>
        <v>67.75</v>
      </c>
      <c r="V43" s="560"/>
      <c r="W43" s="561">
        <f>+IFERROR(VLOOKUP($A43,'[50]2000_IS210'!$D:$AH,23,FALSE),0)</f>
        <v>60.22</v>
      </c>
      <c r="X43" s="560"/>
      <c r="Y43" s="561">
        <f>+IFERROR(VLOOKUP($A43,'[50]2000_IS210'!$D:$AH,25,FALSE),0)</f>
        <v>14880.38</v>
      </c>
      <c r="Z43" s="560"/>
      <c r="AA43" s="561">
        <f>+IFERROR(VLOOKUP($A43,'[50]2000_IS210'!$D:$AH,27,FALSE),0)</f>
        <v>4638.72</v>
      </c>
      <c r="AB43" s="560"/>
      <c r="AC43" s="561">
        <f>+IFERROR(VLOOKUP($A43,'[50]2000_IS210'!$D:$AH,29,FALSE),0)</f>
        <v>3380.72</v>
      </c>
      <c r="AD43" s="560"/>
      <c r="AE43" s="561">
        <f t="shared" si="0"/>
        <v>24394.569999999996</v>
      </c>
      <c r="AF43" s="562"/>
      <c r="AG43" s="563"/>
      <c r="AH43" s="658">
        <f t="shared" si="2"/>
        <v>147.06175115325254</v>
      </c>
      <c r="AJ43" s="555">
        <f t="shared" si="1"/>
        <v>147.06175115325254</v>
      </c>
      <c r="AO43" s="650">
        <v>2170</v>
      </c>
      <c r="AP43" s="651">
        <v>0</v>
      </c>
      <c r="AQ43" s="652">
        <v>0</v>
      </c>
    </row>
    <row r="44" spans="1:43" ht="15" outlineLevel="1">
      <c r="A44" s="557">
        <v>70335</v>
      </c>
      <c r="B44" s="557" t="s">
        <v>1420</v>
      </c>
      <c r="C44" s="558"/>
      <c r="D44" s="556"/>
      <c r="E44" s="559"/>
      <c r="F44" s="560"/>
      <c r="G44" s="561">
        <f>+IFERROR(VLOOKUP($A44,'[50]2000_IS210'!$D:$AH,7,FALSE),0)</f>
        <v>0</v>
      </c>
      <c r="H44" s="560"/>
      <c r="I44" s="561">
        <f>+IFERROR(VLOOKUP($A44,'[50]2000_IS210'!$D:$AH,9,FALSE),0)</f>
        <v>0</v>
      </c>
      <c r="J44" s="560"/>
      <c r="K44" s="561">
        <f>+IFERROR(VLOOKUP($A44,'[50]2000_IS210'!$D:$AH,11,FALSE),0)</f>
        <v>0</v>
      </c>
      <c r="L44" s="560"/>
      <c r="M44" s="561">
        <f>+IFERROR(VLOOKUP($A44,'[50]2000_IS210'!$D:$AH,13,FALSE),0)</f>
        <v>0</v>
      </c>
      <c r="N44" s="560"/>
      <c r="O44" s="561">
        <f>+IFERROR(VLOOKUP($A44,'[50]2000_IS210'!$D:$AH,15,FALSE),0)</f>
        <v>0</v>
      </c>
      <c r="P44" s="560"/>
      <c r="Q44" s="561">
        <f>+IFERROR(VLOOKUP($A44,'[50]2000_IS210'!$D:$AH,17,FALSE),0)</f>
        <v>-150.46</v>
      </c>
      <c r="R44" s="560"/>
      <c r="S44" s="561">
        <f>+IFERROR(VLOOKUP($A44,'[50]2000_IS210'!$D:$AH,19,FALSE),0)</f>
        <v>0</v>
      </c>
      <c r="T44" s="560"/>
      <c r="U44" s="561">
        <f>+IFERROR(VLOOKUP($A44,'[50]2000_IS210'!$D:$AH,21,FALSE),0)</f>
        <v>0</v>
      </c>
      <c r="V44" s="560"/>
      <c r="W44" s="561">
        <f>+IFERROR(VLOOKUP($A44,'[50]2000_IS210'!$D:$AH,23,FALSE),0)</f>
        <v>0</v>
      </c>
      <c r="X44" s="560"/>
      <c r="Y44" s="561">
        <f>+IFERROR(VLOOKUP($A44,'[50]2000_IS210'!$D:$AH,25,FALSE),0)</f>
        <v>0</v>
      </c>
      <c r="Z44" s="560"/>
      <c r="AA44" s="561">
        <f>+IFERROR(VLOOKUP($A44,'[50]2000_IS210'!$D:$AH,27,FALSE),0)</f>
        <v>0</v>
      </c>
      <c r="AB44" s="560"/>
      <c r="AC44" s="561">
        <f>+IFERROR(VLOOKUP($A44,'[50]2000_IS210'!$D:$AH,29,FALSE),0)</f>
        <v>0</v>
      </c>
      <c r="AD44" s="560"/>
      <c r="AE44" s="561">
        <f t="shared" si="0"/>
        <v>-150.46</v>
      </c>
      <c r="AF44" s="562"/>
      <c r="AG44" s="563"/>
      <c r="AH44" s="658">
        <f t="shared" si="2"/>
        <v>-0.90704247209597788</v>
      </c>
      <c r="AJ44" s="555">
        <f t="shared" si="1"/>
        <v>-0.90704247209597788</v>
      </c>
      <c r="AO44" s="650">
        <v>2171</v>
      </c>
      <c r="AP44" s="651">
        <v>62</v>
      </c>
      <c r="AQ44" s="652">
        <v>5.8740323242314253E-5</v>
      </c>
    </row>
    <row r="45" spans="1:43" ht="15" outlineLevel="1">
      <c r="A45" s="557">
        <v>70336</v>
      </c>
      <c r="B45" s="557" t="s">
        <v>148</v>
      </c>
      <c r="C45" s="558"/>
      <c r="D45" s="556"/>
      <c r="E45" s="559"/>
      <c r="F45" s="560"/>
      <c r="G45" s="561">
        <f>+IFERROR(VLOOKUP($A45,'[50]2000_IS210'!$D:$AH,7,FALSE),0)</f>
        <v>911.11</v>
      </c>
      <c r="H45" s="560"/>
      <c r="I45" s="561">
        <f>+IFERROR(VLOOKUP($A45,'[50]2000_IS210'!$D:$AH,9,FALSE),0)</f>
        <v>279.52</v>
      </c>
      <c r="J45" s="560"/>
      <c r="K45" s="561">
        <f>+IFERROR(VLOOKUP($A45,'[50]2000_IS210'!$D:$AH,11,FALSE),0)</f>
        <v>321.27</v>
      </c>
      <c r="L45" s="560"/>
      <c r="M45" s="561">
        <f>+IFERROR(VLOOKUP($A45,'[50]2000_IS210'!$D:$AH,13,FALSE),0)</f>
        <v>855.38</v>
      </c>
      <c r="N45" s="560"/>
      <c r="O45" s="561">
        <f>+IFERROR(VLOOKUP($A45,'[50]2000_IS210'!$D:$AH,15,FALSE),0)</f>
        <v>561.62</v>
      </c>
      <c r="P45" s="560"/>
      <c r="Q45" s="561">
        <f>+IFERROR(VLOOKUP($A45,'[50]2000_IS210'!$D:$AH,17,FALSE),0)</f>
        <v>536.61</v>
      </c>
      <c r="R45" s="560"/>
      <c r="S45" s="561">
        <f>+IFERROR(VLOOKUP($A45,'[50]2000_IS210'!$D:$AH,19,FALSE),0)</f>
        <v>189.1</v>
      </c>
      <c r="T45" s="560"/>
      <c r="U45" s="561">
        <f>+IFERROR(VLOOKUP($A45,'[50]2000_IS210'!$D:$AH,21,FALSE),0)</f>
        <v>902.12</v>
      </c>
      <c r="V45" s="560"/>
      <c r="W45" s="561">
        <f>+IFERROR(VLOOKUP($A45,'[50]2000_IS210'!$D:$AH,23,FALSE),0)</f>
        <v>494.45</v>
      </c>
      <c r="X45" s="560"/>
      <c r="Y45" s="561">
        <f>+IFERROR(VLOOKUP($A45,'[50]2000_IS210'!$D:$AH,25,FALSE),0)</f>
        <v>1176.54</v>
      </c>
      <c r="Z45" s="560"/>
      <c r="AA45" s="561">
        <f>+IFERROR(VLOOKUP($A45,'[50]2000_IS210'!$D:$AH,27,FALSE),0)</f>
        <v>-26.41</v>
      </c>
      <c r="AB45" s="560"/>
      <c r="AC45" s="561">
        <f>+IFERROR(VLOOKUP($A45,'[50]2000_IS210'!$D:$AH,29,FALSE),0)</f>
        <v>768.23</v>
      </c>
      <c r="AD45" s="560"/>
      <c r="AE45" s="561">
        <f t="shared" si="0"/>
        <v>6969.54</v>
      </c>
      <c r="AF45" s="562"/>
      <c r="AG45" s="563"/>
      <c r="AH45" s="658">
        <f t="shared" si="2"/>
        <v>42.015610733562426</v>
      </c>
      <c r="AJ45" s="555">
        <f t="shared" si="1"/>
        <v>42.015610733562426</v>
      </c>
      <c r="AO45" s="650">
        <v>2172</v>
      </c>
      <c r="AP45" s="651">
        <v>10</v>
      </c>
      <c r="AQ45" s="652">
        <v>9.4742456842442343E-6</v>
      </c>
    </row>
    <row r="46" spans="1:43" ht="15.75" outlineLevel="1">
      <c r="A46" s="558"/>
      <c r="B46" s="558"/>
      <c r="C46" s="558"/>
      <c r="D46" s="558"/>
      <c r="E46" s="559"/>
      <c r="F46" s="559"/>
      <c r="G46" s="581"/>
      <c r="H46" s="579"/>
      <c r="I46" s="581"/>
      <c r="J46" s="579"/>
      <c r="K46" s="581"/>
      <c r="L46" s="579"/>
      <c r="M46" s="581"/>
      <c r="N46" s="579"/>
      <c r="O46" s="581"/>
      <c r="P46" s="579"/>
      <c r="Q46" s="581"/>
      <c r="R46" s="579"/>
      <c r="S46" s="581"/>
      <c r="T46" s="579"/>
      <c r="U46" s="581"/>
      <c r="V46" s="579"/>
      <c r="W46" s="581"/>
      <c r="X46" s="579"/>
      <c r="Y46" s="581"/>
      <c r="Z46" s="579"/>
      <c r="AA46" s="581"/>
      <c r="AB46" s="579"/>
      <c r="AC46" s="581"/>
      <c r="AD46" s="579"/>
      <c r="AE46" s="581"/>
      <c r="AF46" s="577"/>
      <c r="AG46" s="565"/>
      <c r="AH46" s="658"/>
      <c r="AI46" s="662"/>
      <c r="AJ46" s="662"/>
      <c r="AK46" s="663"/>
      <c r="AL46" s="559"/>
      <c r="AO46" s="650">
        <v>2173</v>
      </c>
      <c r="AP46" s="651">
        <v>12</v>
      </c>
      <c r="AQ46" s="652">
        <v>1.1369094821093081E-5</v>
      </c>
    </row>
    <row r="47" spans="1:43" ht="15.75" outlineLevel="1">
      <c r="A47" s="559"/>
      <c r="B47" s="559"/>
      <c r="C47" s="558" t="s">
        <v>287</v>
      </c>
      <c r="D47" s="559"/>
      <c r="E47" s="559"/>
      <c r="F47" s="559"/>
      <c r="G47" s="578">
        <f>SUM(G7:G46)</f>
        <v>182527.27</v>
      </c>
      <c r="H47" s="579"/>
      <c r="I47" s="578">
        <f>SUM(I7:I46)</f>
        <v>278524.48</v>
      </c>
      <c r="J47" s="579"/>
      <c r="K47" s="578">
        <f>SUM(K7:K46)</f>
        <v>200112.69999999998</v>
      </c>
      <c r="L47" s="579"/>
      <c r="M47" s="578">
        <f>SUM(M7:M46)</f>
        <v>116341.47000000002</v>
      </c>
      <c r="N47" s="579"/>
      <c r="O47" s="578">
        <f>SUM(O7:O46)</f>
        <v>209539.76999999996</v>
      </c>
      <c r="P47" s="579"/>
      <c r="Q47" s="578">
        <f>SUM(Q7:Q46)</f>
        <v>167164.54999999999</v>
      </c>
      <c r="R47" s="579"/>
      <c r="S47" s="578">
        <f>SUM(S7:S46)</f>
        <v>160430.86999999997</v>
      </c>
      <c r="T47" s="579"/>
      <c r="U47" s="578">
        <f>SUM(U7:U46)</f>
        <v>96389.2</v>
      </c>
      <c r="V47" s="579"/>
      <c r="W47" s="578">
        <f>SUM(W7:W46)</f>
        <v>208429.23</v>
      </c>
      <c r="X47" s="579"/>
      <c r="Y47" s="578">
        <f>SUM(Y7:Y46)</f>
        <v>107169.69999999998</v>
      </c>
      <c r="Z47" s="579"/>
      <c r="AA47" s="578">
        <f>SUM(AA7:AA46)</f>
        <v>94846.949999999983</v>
      </c>
      <c r="AB47" s="579"/>
      <c r="AC47" s="578">
        <f>SUM(AC7:AC46)</f>
        <v>128715.05</v>
      </c>
      <c r="AD47" s="579"/>
      <c r="AE47" s="578">
        <f>SUM(AE7:AE46)</f>
        <v>1950191.2400000002</v>
      </c>
      <c r="AF47" s="562"/>
      <c r="AG47" s="565"/>
      <c r="AH47" s="578">
        <f>SUM(AH8:AH46)</f>
        <v>11756.65481449901</v>
      </c>
      <c r="AI47" s="578">
        <f>SUM(AI8:AI46)</f>
        <v>-1736.1444592716389</v>
      </c>
      <c r="AJ47" s="578">
        <f>SUM(AJ8:AJ46)</f>
        <v>10013.684085967414</v>
      </c>
      <c r="AK47" s="578"/>
      <c r="AL47" s="559"/>
      <c r="AO47" s="650">
        <v>2180</v>
      </c>
      <c r="AP47" s="651">
        <v>75048</v>
      </c>
      <c r="AQ47" s="652">
        <v>7.1102319011116133E-2</v>
      </c>
    </row>
    <row r="48" spans="1:43" s="559" customFormat="1" ht="11.25" customHeight="1" outlineLevel="1">
      <c r="G48" s="580"/>
      <c r="H48" s="579"/>
      <c r="I48" s="580"/>
      <c r="J48" s="579"/>
      <c r="K48" s="580"/>
      <c r="L48" s="579"/>
      <c r="M48" s="580"/>
      <c r="N48" s="579"/>
      <c r="O48" s="580"/>
      <c r="P48" s="579"/>
      <c r="Q48" s="580"/>
      <c r="R48" s="579"/>
      <c r="S48" s="580"/>
      <c r="T48" s="579"/>
      <c r="U48" s="580"/>
      <c r="V48" s="579"/>
      <c r="W48" s="580"/>
      <c r="X48" s="579"/>
      <c r="Y48" s="580"/>
      <c r="Z48" s="579"/>
      <c r="AA48" s="580"/>
      <c r="AB48" s="579"/>
      <c r="AC48" s="580"/>
      <c r="AD48" s="579"/>
      <c r="AE48" s="580"/>
      <c r="AF48" s="577"/>
      <c r="AG48" s="565"/>
      <c r="AO48" s="650">
        <v>2182</v>
      </c>
      <c r="AP48" s="651">
        <v>1</v>
      </c>
      <c r="AQ48" s="652">
        <v>9.4742456842442343E-7</v>
      </c>
    </row>
    <row r="49" spans="1:43" s="559" customFormat="1" ht="16.5" thickBot="1">
      <c r="A49" s="564"/>
      <c r="B49" s="564"/>
      <c r="C49" s="564"/>
      <c r="D49" s="564"/>
      <c r="E49" s="555"/>
      <c r="F49" s="555"/>
      <c r="G49" s="583"/>
      <c r="H49" s="555"/>
      <c r="I49" s="583"/>
      <c r="J49" s="565"/>
      <c r="K49" s="583"/>
      <c r="L49" s="565"/>
      <c r="M49" s="583"/>
      <c r="N49" s="555"/>
      <c r="O49" s="583"/>
      <c r="P49" s="565"/>
      <c r="Q49" s="583"/>
      <c r="R49" s="565"/>
      <c r="S49" s="583"/>
      <c r="T49" s="555"/>
      <c r="U49" s="583"/>
      <c r="V49" s="565"/>
      <c r="W49" s="583"/>
      <c r="X49" s="565"/>
      <c r="Y49" s="583"/>
      <c r="Z49" s="555"/>
      <c r="AA49" s="583"/>
      <c r="AB49" s="565"/>
      <c r="AC49" s="583"/>
      <c r="AD49" s="565"/>
      <c r="AE49" s="583"/>
      <c r="AF49" s="551" t="s">
        <v>1421</v>
      </c>
      <c r="AG49" s="555"/>
      <c r="AH49" s="667">
        <f>'[51]2120_IS210'!$AH$197</f>
        <v>11545.88</v>
      </c>
      <c r="AI49" s="583"/>
      <c r="AJ49" s="664">
        <f>AH49+AI47</f>
        <v>9809.7355407283612</v>
      </c>
      <c r="AK49" s="665"/>
      <c r="AL49" s="666"/>
      <c r="AO49" s="650">
        <v>2183</v>
      </c>
      <c r="AP49" s="651">
        <v>57936</v>
      </c>
      <c r="AQ49" s="652">
        <v>5.4889989796237396E-2</v>
      </c>
    </row>
    <row r="50" spans="1:43" s="559" customFormat="1" ht="15.75" outlineLevel="1">
      <c r="A50" s="558"/>
      <c r="B50" s="558"/>
      <c r="C50" s="558"/>
      <c r="D50" s="558"/>
      <c r="E50" s="555"/>
      <c r="F50" s="555"/>
      <c r="G50" s="583"/>
      <c r="H50" s="555"/>
      <c r="I50" s="583"/>
      <c r="J50" s="565"/>
      <c r="K50" s="583"/>
      <c r="L50" s="565"/>
      <c r="M50" s="583"/>
      <c r="N50" s="555"/>
      <c r="O50" s="583"/>
      <c r="P50" s="565"/>
      <c r="Q50" s="583"/>
      <c r="R50" s="565"/>
      <c r="S50" s="583"/>
      <c r="T50" s="555"/>
      <c r="U50" s="583"/>
      <c r="V50" s="565"/>
      <c r="W50" s="583"/>
      <c r="X50" s="565"/>
      <c r="Y50" s="583"/>
      <c r="Z50" s="555"/>
      <c r="AA50" s="583"/>
      <c r="AB50" s="565"/>
      <c r="AC50" s="583"/>
      <c r="AD50" s="565"/>
      <c r="AE50" s="583"/>
      <c r="AF50" s="583"/>
      <c r="AG50" s="555"/>
      <c r="AH50" s="583">
        <f>AH47-AH49</f>
        <v>210.77481449901097</v>
      </c>
      <c r="AI50" s="584" t="s">
        <v>1422</v>
      </c>
      <c r="AJ50" s="583">
        <f>AJ47-AJ49</f>
        <v>203.94854523905269</v>
      </c>
      <c r="AK50" s="583"/>
      <c r="AL50" s="583"/>
      <c r="AO50" s="650">
        <v>2184</v>
      </c>
      <c r="AP50" s="651">
        <v>1</v>
      </c>
      <c r="AQ50" s="652">
        <v>9.4742456842442343E-7</v>
      </c>
    </row>
    <row r="51" spans="1:43" s="583" customFormat="1" ht="15.75">
      <c r="A51" s="559"/>
      <c r="B51" s="559"/>
      <c r="C51" s="558"/>
      <c r="D51" s="559"/>
      <c r="E51" s="555"/>
      <c r="F51" s="555"/>
      <c r="H51" s="555"/>
      <c r="J51" s="565"/>
      <c r="L51" s="565"/>
      <c r="N51" s="555"/>
      <c r="P51" s="565"/>
      <c r="R51" s="565"/>
      <c r="T51" s="555"/>
      <c r="V51" s="565"/>
      <c r="X51" s="565"/>
      <c r="Z51" s="555"/>
      <c r="AB51" s="565"/>
      <c r="AD51" s="565"/>
      <c r="AG51" s="555"/>
      <c r="AO51" s="650">
        <v>2185</v>
      </c>
      <c r="AP51" s="651">
        <v>2839</v>
      </c>
      <c r="AQ51" s="652">
        <v>2.6897383497569384E-3</v>
      </c>
    </row>
    <row r="52" spans="1:43" s="583" customFormat="1" ht="15.75">
      <c r="A52" s="584" t="s">
        <v>1423</v>
      </c>
      <c r="B52" s="559"/>
      <c r="C52" s="559"/>
      <c r="D52" s="559"/>
      <c r="E52" s="555"/>
      <c r="F52" s="555"/>
      <c r="H52" s="555"/>
      <c r="J52" s="565"/>
      <c r="L52" s="565"/>
      <c r="N52" s="555"/>
      <c r="P52" s="565"/>
      <c r="R52" s="565"/>
      <c r="T52" s="555"/>
      <c r="V52" s="565"/>
      <c r="X52" s="565"/>
      <c r="Z52" s="555"/>
      <c r="AB52" s="565"/>
      <c r="AD52" s="565"/>
      <c r="AG52" s="555"/>
      <c r="AO52" s="650">
        <v>2186</v>
      </c>
      <c r="AP52" s="651">
        <v>20384</v>
      </c>
      <c r="AQ52" s="652">
        <v>1.9312302402763448E-2</v>
      </c>
    </row>
    <row r="53" spans="1:43" s="583" customFormat="1" ht="15.75">
      <c r="A53" s="559"/>
      <c r="B53" s="582"/>
      <c r="C53" s="559"/>
      <c r="D53" s="559"/>
      <c r="E53" s="555"/>
      <c r="F53" s="555"/>
      <c r="H53" s="555"/>
      <c r="P53" s="565"/>
      <c r="R53" s="565"/>
      <c r="T53" s="555"/>
      <c r="V53" s="565"/>
      <c r="X53" s="565"/>
      <c r="Z53" s="555"/>
      <c r="AB53" s="565"/>
      <c r="AD53" s="565"/>
      <c r="AG53" s="555"/>
      <c r="AO53" s="650">
        <v>2187</v>
      </c>
      <c r="AP53" s="651">
        <v>1</v>
      </c>
      <c r="AQ53" s="652">
        <v>9.4742456842442343E-7</v>
      </c>
    </row>
    <row r="54" spans="1:43" s="583" customFormat="1" ht="15.75">
      <c r="A54" s="559"/>
      <c r="B54" s="559"/>
      <c r="C54" s="559"/>
      <c r="D54" s="559"/>
      <c r="E54" s="555"/>
      <c r="F54" s="555"/>
      <c r="H54" s="555"/>
      <c r="P54" s="565"/>
      <c r="R54" s="565"/>
      <c r="T54" s="555"/>
      <c r="V54" s="565"/>
      <c r="X54" s="565"/>
      <c r="Z54" s="555"/>
      <c r="AB54" s="565"/>
      <c r="AD54" s="565"/>
      <c r="AG54" s="555"/>
      <c r="AO54" s="650">
        <v>2188</v>
      </c>
      <c r="AP54" s="651">
        <v>24910</v>
      </c>
      <c r="AQ54" s="652">
        <v>2.3600345999452387E-2</v>
      </c>
    </row>
    <row r="55" spans="1:43" s="583" customFormat="1" ht="15.75">
      <c r="A55" s="564"/>
      <c r="B55" s="564"/>
      <c r="C55" s="564"/>
      <c r="D55" s="564"/>
      <c r="E55" s="555"/>
      <c r="F55" s="555"/>
      <c r="H55" s="555"/>
      <c r="P55" s="565"/>
      <c r="R55" s="565"/>
      <c r="T55" s="555"/>
      <c r="V55" s="565"/>
      <c r="X55" s="565"/>
      <c r="Z55" s="555"/>
      <c r="AB55" s="565"/>
      <c r="AD55" s="565"/>
      <c r="AG55" s="555"/>
      <c r="AO55" s="650">
        <v>2189</v>
      </c>
      <c r="AP55" s="651">
        <v>1</v>
      </c>
      <c r="AQ55" s="652">
        <v>9.4742456842442343E-7</v>
      </c>
    </row>
    <row r="56" spans="1:43" s="583" customFormat="1" ht="15.75">
      <c r="A56" s="558"/>
      <c r="B56" s="558"/>
      <c r="C56" s="558"/>
      <c r="D56" s="558"/>
      <c r="E56" s="555"/>
      <c r="F56" s="555"/>
      <c r="H56" s="555"/>
      <c r="P56" s="565"/>
      <c r="R56" s="565"/>
      <c r="T56" s="555"/>
      <c r="V56" s="565"/>
      <c r="X56" s="565"/>
      <c r="Z56" s="555"/>
      <c r="AB56" s="565"/>
      <c r="AD56" s="565"/>
      <c r="AG56" s="555"/>
      <c r="AO56" s="650">
        <v>2190</v>
      </c>
      <c r="AP56" s="651">
        <v>431</v>
      </c>
      <c r="AQ56" s="652">
        <v>4.083399889909265E-4</v>
      </c>
    </row>
    <row r="57" spans="1:43" s="583" customFormat="1" ht="15.75">
      <c r="A57" s="559"/>
      <c r="B57" s="559"/>
      <c r="C57" s="557"/>
      <c r="D57" s="559"/>
      <c r="E57" s="555"/>
      <c r="F57" s="555"/>
      <c r="H57" s="555"/>
      <c r="P57" s="565"/>
      <c r="R57" s="565"/>
      <c r="T57" s="555"/>
      <c r="V57" s="565"/>
      <c r="X57" s="565"/>
      <c r="Z57" s="555"/>
      <c r="AB57" s="565"/>
      <c r="AD57" s="565"/>
      <c r="AG57" s="555"/>
      <c r="AO57" s="650">
        <v>2191</v>
      </c>
      <c r="AP57" s="651">
        <v>7</v>
      </c>
      <c r="AQ57" s="652">
        <v>6.631971978970964E-6</v>
      </c>
    </row>
    <row r="58" spans="1:43" s="583" customFormat="1" ht="15.75">
      <c r="A58" s="559"/>
      <c r="B58" s="559"/>
      <c r="C58" s="559"/>
      <c r="D58" s="559"/>
      <c r="E58" s="555"/>
      <c r="F58" s="555"/>
      <c r="H58" s="555"/>
      <c r="P58" s="565"/>
      <c r="R58" s="565"/>
      <c r="T58" s="555"/>
      <c r="V58" s="565"/>
      <c r="X58" s="565"/>
      <c r="Z58" s="555"/>
      <c r="AB58" s="565"/>
      <c r="AD58" s="565"/>
      <c r="AG58" s="555"/>
      <c r="AO58" s="650">
        <v>2195</v>
      </c>
      <c r="AP58" s="651">
        <v>30828</v>
      </c>
      <c r="AQ58" s="652">
        <v>2.9207204595388128E-2</v>
      </c>
    </row>
    <row r="59" spans="1:43" s="583" customFormat="1" ht="15.75">
      <c r="A59" s="559"/>
      <c r="B59" s="582"/>
      <c r="C59" s="559"/>
      <c r="D59" s="559"/>
      <c r="E59" s="555"/>
      <c r="F59" s="555"/>
      <c r="H59" s="555"/>
      <c r="P59" s="565"/>
      <c r="R59" s="565"/>
      <c r="T59" s="555"/>
      <c r="V59" s="565"/>
      <c r="X59" s="565"/>
      <c r="Z59" s="555"/>
      <c r="AB59" s="565"/>
      <c r="AD59" s="565"/>
      <c r="AG59" s="555"/>
      <c r="AO59" s="650">
        <v>2210</v>
      </c>
      <c r="AP59" s="651">
        <v>20315</v>
      </c>
      <c r="AQ59" s="652">
        <v>1.9246930107542162E-2</v>
      </c>
    </row>
    <row r="60" spans="1:43" s="583" customFormat="1" ht="15.75">
      <c r="A60" s="555"/>
      <c r="B60" s="555"/>
      <c r="C60" s="555"/>
      <c r="D60" s="555"/>
      <c r="E60" s="555"/>
      <c r="F60" s="555"/>
      <c r="H60" s="555"/>
      <c r="P60" s="565"/>
      <c r="R60" s="565"/>
      <c r="T60" s="555"/>
      <c r="V60" s="565"/>
      <c r="X60" s="565"/>
      <c r="Z60" s="555"/>
      <c r="AB60" s="565"/>
      <c r="AD60" s="565"/>
      <c r="AG60" s="555"/>
      <c r="AO60" s="650">
        <v>2211</v>
      </c>
      <c r="AP60" s="651">
        <v>23360</v>
      </c>
      <c r="AQ60" s="652">
        <v>2.2131837918394532E-2</v>
      </c>
    </row>
    <row r="61" spans="1:43" s="583" customFormat="1" ht="15.75">
      <c r="A61" s="564"/>
      <c r="B61" s="564"/>
      <c r="C61" s="564"/>
      <c r="D61" s="564"/>
      <c r="E61" s="555"/>
      <c r="F61" s="555"/>
      <c r="H61" s="555"/>
      <c r="P61" s="565"/>
      <c r="R61" s="565"/>
      <c r="T61" s="555"/>
      <c r="V61" s="565"/>
      <c r="X61" s="565"/>
      <c r="Z61" s="555"/>
      <c r="AB61" s="565"/>
      <c r="AD61" s="565"/>
      <c r="AG61" s="555"/>
      <c r="AO61" s="650">
        <v>2212</v>
      </c>
      <c r="AP61" s="651">
        <v>5061</v>
      </c>
      <c r="AQ61" s="652">
        <v>4.7949157407960073E-3</v>
      </c>
    </row>
    <row r="62" spans="1:43" s="583" customFormat="1" ht="15.75">
      <c r="A62" s="558"/>
      <c r="B62" s="558"/>
      <c r="C62" s="558"/>
      <c r="D62" s="558"/>
      <c r="E62" s="555"/>
      <c r="F62" s="555"/>
      <c r="H62" s="555"/>
      <c r="P62" s="565"/>
      <c r="R62" s="565"/>
      <c r="T62" s="555"/>
      <c r="V62" s="565"/>
      <c r="X62" s="565"/>
      <c r="Z62" s="555"/>
      <c r="AB62" s="565"/>
      <c r="AD62" s="565"/>
      <c r="AG62" s="555"/>
      <c r="AO62" s="650">
        <v>2213</v>
      </c>
      <c r="AP62" s="651">
        <v>0</v>
      </c>
      <c r="AQ62" s="652">
        <v>0</v>
      </c>
    </row>
    <row r="63" spans="1:43" s="583" customFormat="1" ht="15.75">
      <c r="A63" s="559"/>
      <c r="B63" s="559"/>
      <c r="C63" s="557"/>
      <c r="D63" s="559"/>
      <c r="E63" s="555"/>
      <c r="F63" s="555"/>
      <c r="H63" s="555"/>
      <c r="P63" s="565"/>
      <c r="R63" s="565"/>
      <c r="T63" s="555"/>
      <c r="V63" s="565"/>
      <c r="X63" s="565"/>
      <c r="Z63" s="555"/>
      <c r="AB63" s="565"/>
      <c r="AD63" s="565"/>
      <c r="AG63" s="555"/>
      <c r="AO63" s="650">
        <v>2214</v>
      </c>
      <c r="AP63" s="651">
        <v>8448</v>
      </c>
      <c r="AQ63" s="652">
        <v>8.00384275404953E-3</v>
      </c>
    </row>
    <row r="64" spans="1:43" s="583" customFormat="1" ht="15.75">
      <c r="A64" s="559"/>
      <c r="B64" s="559"/>
      <c r="C64" s="559"/>
      <c r="D64" s="559"/>
      <c r="E64" s="555"/>
      <c r="F64" s="555"/>
      <c r="H64" s="555"/>
      <c r="P64" s="565"/>
      <c r="R64" s="565"/>
      <c r="T64" s="555"/>
      <c r="V64" s="565"/>
      <c r="X64" s="565"/>
      <c r="Z64" s="555"/>
      <c r="AB64" s="565"/>
      <c r="AD64" s="565"/>
      <c r="AG64" s="555"/>
      <c r="AO64" s="650">
        <v>2310</v>
      </c>
      <c r="AP64" s="651">
        <v>12082</v>
      </c>
      <c r="AQ64" s="652">
        <v>1.1446783635703884E-2</v>
      </c>
    </row>
    <row r="65" spans="1:43" s="583" customFormat="1" ht="15.75">
      <c r="A65" s="559"/>
      <c r="B65" s="582"/>
      <c r="C65" s="559"/>
      <c r="D65" s="559"/>
      <c r="E65" s="555"/>
      <c r="F65" s="555"/>
      <c r="H65" s="555"/>
      <c r="P65" s="565"/>
      <c r="R65" s="565"/>
      <c r="T65" s="555"/>
      <c r="V65" s="565"/>
      <c r="X65" s="565"/>
      <c r="Z65" s="555"/>
      <c r="AB65" s="565"/>
      <c r="AD65" s="565"/>
      <c r="AG65" s="555"/>
      <c r="AO65" s="650">
        <v>2410</v>
      </c>
      <c r="AP65" s="651">
        <v>92616</v>
      </c>
      <c r="AQ65" s="652">
        <v>8.7746673829196403E-2</v>
      </c>
    </row>
    <row r="66" spans="1:43" s="583" customFormat="1" ht="15.75">
      <c r="A66" s="559"/>
      <c r="B66" s="559"/>
      <c r="C66" s="559"/>
      <c r="D66" s="559"/>
      <c r="E66" s="555"/>
      <c r="F66" s="555"/>
      <c r="H66" s="555"/>
      <c r="P66" s="565"/>
      <c r="R66" s="565"/>
      <c r="T66" s="555"/>
      <c r="V66" s="565"/>
      <c r="X66" s="565"/>
      <c r="Z66" s="555"/>
      <c r="AB66" s="565"/>
      <c r="AD66" s="565"/>
      <c r="AG66" s="555"/>
      <c r="AO66" s="650">
        <v>2411</v>
      </c>
      <c r="AP66" s="651">
        <v>0</v>
      </c>
      <c r="AQ66" s="652">
        <v>0</v>
      </c>
    </row>
    <row r="67" spans="1:43" s="583" customFormat="1" ht="15.75">
      <c r="A67" s="564"/>
      <c r="B67" s="564"/>
      <c r="C67" s="564"/>
      <c r="D67" s="564"/>
      <c r="E67" s="555"/>
      <c r="F67" s="555"/>
      <c r="H67" s="555"/>
      <c r="P67" s="565"/>
      <c r="R67" s="565"/>
      <c r="T67" s="555"/>
      <c r="V67" s="565"/>
      <c r="X67" s="565"/>
      <c r="Z67" s="555"/>
      <c r="AB67" s="565"/>
      <c r="AD67" s="565"/>
      <c r="AG67" s="555"/>
      <c r="AO67" s="650">
        <v>2412</v>
      </c>
      <c r="AP67" s="651">
        <v>0</v>
      </c>
      <c r="AQ67" s="652">
        <v>0</v>
      </c>
    </row>
    <row r="68" spans="1:43" s="583" customFormat="1" ht="15.75">
      <c r="A68" s="558"/>
      <c r="B68" s="558"/>
      <c r="C68" s="558"/>
      <c r="D68" s="558"/>
      <c r="E68" s="555"/>
      <c r="F68" s="555"/>
      <c r="H68" s="555"/>
      <c r="P68" s="565"/>
      <c r="R68" s="565"/>
      <c r="T68" s="555"/>
      <c r="V68" s="565"/>
      <c r="X68" s="565"/>
      <c r="Z68" s="555"/>
      <c r="AB68" s="565"/>
      <c r="AD68" s="565"/>
      <c r="AG68" s="555"/>
      <c r="AO68" s="650">
        <v>2413</v>
      </c>
      <c r="AP68" s="651">
        <v>0</v>
      </c>
      <c r="AQ68" s="652">
        <v>0</v>
      </c>
    </row>
    <row r="69" spans="1:43" s="583" customFormat="1" ht="15.75">
      <c r="A69" s="559"/>
      <c r="B69" s="559"/>
      <c r="C69" s="557"/>
      <c r="D69" s="559"/>
      <c r="E69" s="555"/>
      <c r="F69" s="555"/>
      <c r="H69" s="555"/>
      <c r="P69" s="565"/>
      <c r="R69" s="565"/>
      <c r="T69" s="555"/>
      <c r="V69" s="565"/>
      <c r="X69" s="565"/>
      <c r="Z69" s="555"/>
      <c r="AB69" s="565"/>
      <c r="AD69" s="565"/>
      <c r="AG69" s="555"/>
      <c r="AO69" s="650">
        <v>2414</v>
      </c>
      <c r="AP69" s="651">
        <v>0</v>
      </c>
      <c r="AQ69" s="652">
        <v>0</v>
      </c>
    </row>
    <row r="70" spans="1:43" s="583" customFormat="1" ht="15.75">
      <c r="A70" s="559"/>
      <c r="B70" s="559"/>
      <c r="C70" s="559"/>
      <c r="D70" s="559"/>
      <c r="E70" s="555"/>
      <c r="F70" s="555"/>
      <c r="H70" s="555"/>
      <c r="P70" s="565"/>
      <c r="R70" s="565"/>
      <c r="T70" s="555"/>
      <c r="V70" s="565"/>
      <c r="X70" s="565"/>
      <c r="Z70" s="555"/>
      <c r="AB70" s="565"/>
      <c r="AD70" s="565"/>
      <c r="AG70" s="555"/>
      <c r="AO70" s="650">
        <v>2420</v>
      </c>
      <c r="AP70" s="651">
        <v>0</v>
      </c>
      <c r="AQ70" s="652">
        <v>0</v>
      </c>
    </row>
    <row r="71" spans="1:43" s="583" customFormat="1" ht="15.75">
      <c r="A71" s="559"/>
      <c r="B71" s="582"/>
      <c r="C71" s="559"/>
      <c r="D71" s="559"/>
      <c r="E71" s="555"/>
      <c r="F71" s="555"/>
      <c r="H71" s="555"/>
      <c r="P71" s="565"/>
      <c r="R71" s="565"/>
      <c r="T71" s="555"/>
      <c r="V71" s="565"/>
      <c r="X71" s="565"/>
      <c r="Z71" s="555"/>
      <c r="AB71" s="565"/>
      <c r="AD71" s="565"/>
      <c r="AG71" s="555"/>
      <c r="AO71" s="650">
        <v>2430</v>
      </c>
      <c r="AP71" s="651">
        <v>0</v>
      </c>
      <c r="AQ71" s="652">
        <v>0</v>
      </c>
    </row>
    <row r="72" spans="1:43" s="583" customFormat="1" ht="15.75">
      <c r="A72" s="555"/>
      <c r="B72" s="555"/>
      <c r="C72" s="555"/>
      <c r="D72" s="555"/>
      <c r="E72" s="555"/>
      <c r="F72" s="555"/>
      <c r="H72" s="555"/>
      <c r="P72" s="565"/>
      <c r="R72" s="565"/>
      <c r="T72" s="555"/>
      <c r="V72" s="565"/>
      <c r="X72" s="565"/>
      <c r="Z72" s="555"/>
      <c r="AB72" s="565"/>
      <c r="AD72" s="565"/>
      <c r="AG72" s="555"/>
      <c r="AO72" s="650">
        <v>2431</v>
      </c>
      <c r="AP72" s="651">
        <v>0</v>
      </c>
      <c r="AQ72" s="652">
        <v>0</v>
      </c>
    </row>
    <row r="73" spans="1:43" s="583" customFormat="1" ht="15.75">
      <c r="A73" s="555"/>
      <c r="B73" s="555"/>
      <c r="C73" s="555"/>
      <c r="D73" s="555"/>
      <c r="E73" s="555"/>
      <c r="F73" s="555"/>
      <c r="H73" s="555"/>
      <c r="P73" s="565"/>
      <c r="R73" s="565"/>
      <c r="T73" s="555"/>
      <c r="V73" s="565"/>
      <c r="X73" s="565"/>
      <c r="Z73" s="555"/>
      <c r="AB73" s="565"/>
      <c r="AD73" s="565"/>
      <c r="AG73" s="555"/>
      <c r="AO73" s="650">
        <v>2432</v>
      </c>
      <c r="AP73" s="651">
        <v>0</v>
      </c>
      <c r="AQ73" s="652">
        <v>0</v>
      </c>
    </row>
    <row r="74" spans="1:43" s="583" customFormat="1" ht="15.75">
      <c r="A74" s="555"/>
      <c r="B74" s="555"/>
      <c r="C74" s="555"/>
      <c r="D74" s="555"/>
      <c r="E74" s="555"/>
      <c r="F74" s="555"/>
      <c r="H74" s="555"/>
      <c r="P74" s="565"/>
      <c r="R74" s="565"/>
      <c r="T74" s="555"/>
      <c r="V74" s="565"/>
      <c r="X74" s="565"/>
      <c r="Z74" s="555"/>
      <c r="AB74" s="565"/>
      <c r="AD74" s="565"/>
      <c r="AG74" s="555"/>
      <c r="AO74" s="650">
        <v>2440</v>
      </c>
      <c r="AP74" s="651">
        <v>0</v>
      </c>
      <c r="AQ74" s="652">
        <v>0</v>
      </c>
    </row>
    <row r="75" spans="1:43" s="583" customFormat="1" ht="15.75">
      <c r="A75" s="555"/>
      <c r="B75" s="555"/>
      <c r="C75" s="555"/>
      <c r="D75" s="555"/>
      <c r="E75" s="555"/>
      <c r="F75" s="555"/>
      <c r="H75" s="555"/>
      <c r="P75" s="565"/>
      <c r="R75" s="565"/>
      <c r="T75" s="555"/>
      <c r="V75" s="565"/>
      <c r="X75" s="565"/>
      <c r="Z75" s="555"/>
      <c r="AB75" s="565"/>
      <c r="AD75" s="565"/>
      <c r="AG75" s="555"/>
      <c r="AO75" s="650">
        <v>2450</v>
      </c>
      <c r="AP75" s="651">
        <v>0</v>
      </c>
      <c r="AQ75" s="652">
        <v>0</v>
      </c>
    </row>
    <row r="76" spans="1:43" s="583" customFormat="1" ht="15.75">
      <c r="A76" s="555"/>
      <c r="B76" s="555"/>
      <c r="C76" s="555"/>
      <c r="D76" s="555"/>
      <c r="E76" s="555"/>
      <c r="F76" s="555"/>
      <c r="H76" s="555"/>
      <c r="P76" s="565"/>
      <c r="R76" s="565"/>
      <c r="T76" s="555"/>
      <c r="V76" s="565"/>
      <c r="X76" s="565"/>
      <c r="Z76" s="555"/>
      <c r="AB76" s="565"/>
      <c r="AD76" s="565"/>
      <c r="AG76" s="555"/>
      <c r="AO76" s="650">
        <v>2451</v>
      </c>
      <c r="AP76" s="651">
        <v>0</v>
      </c>
      <c r="AQ76" s="652">
        <v>0</v>
      </c>
    </row>
    <row r="77" spans="1:43" s="583" customFormat="1" ht="15.75">
      <c r="A77" s="555"/>
      <c r="B77" s="555"/>
      <c r="C77" s="555"/>
      <c r="D77" s="555"/>
      <c r="E77" s="555"/>
      <c r="F77" s="555"/>
      <c r="H77" s="555"/>
      <c r="P77" s="565"/>
      <c r="R77" s="565"/>
      <c r="T77" s="555"/>
      <c r="V77" s="565"/>
      <c r="X77" s="565"/>
      <c r="Z77" s="555"/>
      <c r="AB77" s="565"/>
      <c r="AD77" s="565"/>
      <c r="AG77" s="555"/>
      <c r="AO77" s="650">
        <v>3022</v>
      </c>
      <c r="AP77" s="651">
        <v>4762</v>
      </c>
      <c r="AQ77" s="652">
        <v>4.5116357948371049E-3</v>
      </c>
    </row>
    <row r="78" spans="1:43" s="583" customFormat="1" ht="15.75">
      <c r="A78" s="555"/>
      <c r="B78" s="555"/>
      <c r="C78" s="555"/>
      <c r="D78" s="555"/>
      <c r="E78" s="555"/>
      <c r="F78" s="555"/>
      <c r="H78" s="555"/>
      <c r="P78" s="565"/>
      <c r="R78" s="565"/>
      <c r="T78" s="555"/>
      <c r="V78" s="565"/>
      <c r="X78" s="565"/>
      <c r="Z78" s="555"/>
      <c r="AB78" s="565"/>
      <c r="AD78" s="565"/>
      <c r="AG78" s="555"/>
      <c r="AO78" s="650">
        <v>3023</v>
      </c>
      <c r="AP78" s="651">
        <v>8536</v>
      </c>
      <c r="AQ78" s="652">
        <v>8.0872161160708781E-3</v>
      </c>
    </row>
    <row r="79" spans="1:43" s="583" customFormat="1" ht="15.75">
      <c r="A79" s="555"/>
      <c r="B79" s="555"/>
      <c r="C79" s="555"/>
      <c r="D79" s="555"/>
      <c r="E79" s="555"/>
      <c r="F79" s="555"/>
      <c r="H79" s="555"/>
      <c r="P79" s="565"/>
      <c r="R79" s="565"/>
      <c r="T79" s="555"/>
      <c r="V79" s="565"/>
      <c r="X79" s="565"/>
      <c r="Z79" s="555"/>
      <c r="AB79" s="565"/>
      <c r="AD79" s="565"/>
      <c r="AG79" s="555"/>
      <c r="AO79" s="650">
        <v>3024</v>
      </c>
      <c r="AP79" s="651">
        <v>4397</v>
      </c>
      <c r="AQ79" s="652">
        <v>4.1658258273621898E-3</v>
      </c>
    </row>
    <row r="80" spans="1:43" s="583" customFormat="1" ht="15.75">
      <c r="A80" s="555"/>
      <c r="B80" s="555"/>
      <c r="C80" s="555"/>
      <c r="D80" s="555"/>
      <c r="E80" s="555"/>
      <c r="F80" s="555"/>
      <c r="H80" s="555"/>
      <c r="P80" s="565"/>
      <c r="R80" s="565"/>
      <c r="T80" s="555"/>
      <c r="V80" s="565"/>
      <c r="X80" s="565"/>
      <c r="Z80" s="555"/>
      <c r="AB80" s="565"/>
      <c r="AD80" s="565"/>
      <c r="AG80" s="555"/>
      <c r="AO80" s="650">
        <v>3025</v>
      </c>
      <c r="AP80" s="651">
        <v>988</v>
      </c>
      <c r="AQ80" s="652">
        <v>9.3605547360333036E-4</v>
      </c>
    </row>
    <row r="81" spans="1:43" s="583" customFormat="1" ht="15.75">
      <c r="A81" s="555"/>
      <c r="B81" s="555"/>
      <c r="C81" s="555"/>
      <c r="D81" s="555"/>
      <c r="E81" s="555"/>
      <c r="F81" s="555"/>
      <c r="H81" s="555"/>
      <c r="P81" s="565"/>
      <c r="R81" s="565"/>
      <c r="T81" s="555"/>
      <c r="V81" s="565"/>
      <c r="X81" s="565"/>
      <c r="Z81" s="555"/>
      <c r="AB81" s="565"/>
      <c r="AD81" s="565"/>
      <c r="AG81" s="555"/>
      <c r="AO81" s="650">
        <v>4008</v>
      </c>
      <c r="AP81" s="651">
        <v>0</v>
      </c>
      <c r="AQ81" s="652">
        <v>0</v>
      </c>
    </row>
    <row r="82" spans="1:43" s="583" customFormat="1" ht="15.75">
      <c r="A82" s="555"/>
      <c r="B82" s="555"/>
      <c r="C82" s="555"/>
      <c r="D82" s="555"/>
      <c r="E82" s="555"/>
      <c r="F82" s="555"/>
      <c r="H82" s="555"/>
      <c r="P82" s="565"/>
      <c r="R82" s="565"/>
      <c r="T82" s="555"/>
      <c r="V82" s="565"/>
      <c r="X82" s="565"/>
      <c r="Z82" s="555"/>
      <c r="AB82" s="565"/>
      <c r="AD82" s="565"/>
      <c r="AG82" s="555"/>
      <c r="AO82" s="650">
        <v>4009</v>
      </c>
      <c r="AP82" s="651">
        <v>0</v>
      </c>
      <c r="AQ82" s="652">
        <v>0</v>
      </c>
    </row>
    <row r="83" spans="1:43" s="583" customFormat="1" ht="15.75">
      <c r="A83" s="555"/>
      <c r="B83" s="555"/>
      <c r="C83" s="555"/>
      <c r="D83" s="555"/>
      <c r="E83" s="555"/>
      <c r="F83" s="555"/>
      <c r="H83" s="555"/>
      <c r="P83" s="565"/>
      <c r="R83" s="565"/>
      <c r="T83" s="555"/>
      <c r="V83" s="565"/>
      <c r="X83" s="565"/>
      <c r="Z83" s="555"/>
      <c r="AB83" s="565"/>
      <c r="AD83" s="565"/>
      <c r="AG83" s="555"/>
      <c r="AO83" s="650">
        <v>4010</v>
      </c>
      <c r="AP83" s="651">
        <v>0</v>
      </c>
      <c r="AQ83" s="652">
        <v>0</v>
      </c>
    </row>
    <row r="84" spans="1:43" s="583" customFormat="1" ht="15.75">
      <c r="A84" s="555"/>
      <c r="B84" s="555"/>
      <c r="C84" s="555"/>
      <c r="D84" s="555"/>
      <c r="E84" s="555"/>
      <c r="F84" s="555"/>
      <c r="H84" s="555"/>
      <c r="P84" s="565"/>
      <c r="R84" s="565"/>
      <c r="T84" s="555"/>
      <c r="V84" s="565"/>
      <c r="X84" s="565"/>
      <c r="Z84" s="555"/>
      <c r="AB84" s="565"/>
      <c r="AD84" s="565"/>
      <c r="AG84" s="555"/>
      <c r="AO84" s="650">
        <v>4012</v>
      </c>
      <c r="AP84" s="651">
        <v>0</v>
      </c>
      <c r="AQ84" s="652">
        <v>0</v>
      </c>
    </row>
    <row r="85" spans="1:43" s="583" customFormat="1" ht="15.75">
      <c r="A85" s="555"/>
      <c r="B85" s="555"/>
      <c r="C85" s="555"/>
      <c r="D85" s="555"/>
      <c r="E85" s="555"/>
      <c r="F85" s="555"/>
      <c r="H85" s="555"/>
      <c r="P85" s="565"/>
      <c r="R85" s="565"/>
      <c r="T85" s="555"/>
      <c r="V85" s="565"/>
      <c r="X85" s="565"/>
      <c r="Z85" s="555"/>
      <c r="AB85" s="565"/>
      <c r="AD85" s="565"/>
      <c r="AG85" s="555"/>
      <c r="AO85" s="650">
        <v>4013</v>
      </c>
      <c r="AP85" s="651">
        <v>0</v>
      </c>
      <c r="AQ85" s="652">
        <v>0</v>
      </c>
    </row>
    <row r="86" spans="1:43" s="583" customFormat="1" ht="15.75">
      <c r="A86" s="555"/>
      <c r="B86" s="555"/>
      <c r="C86" s="555"/>
      <c r="D86" s="555"/>
      <c r="E86" s="555"/>
      <c r="F86" s="555"/>
      <c r="H86" s="555"/>
      <c r="P86" s="565"/>
      <c r="R86" s="565"/>
      <c r="T86" s="555"/>
      <c r="V86" s="565"/>
      <c r="X86" s="565"/>
      <c r="Z86" s="555"/>
      <c r="AB86" s="565"/>
      <c r="AD86" s="565"/>
      <c r="AG86" s="555"/>
      <c r="AO86" s="650">
        <v>4014</v>
      </c>
      <c r="AP86" s="651">
        <v>5367</v>
      </c>
      <c r="AQ86" s="652">
        <v>5.0848276587338809E-3</v>
      </c>
    </row>
    <row r="87" spans="1:43" s="583" customFormat="1" ht="15.75">
      <c r="A87" s="555"/>
      <c r="B87" s="555"/>
      <c r="C87" s="555"/>
      <c r="D87" s="555"/>
      <c r="E87" s="555"/>
      <c r="F87" s="555"/>
      <c r="H87" s="555"/>
      <c r="P87" s="565"/>
      <c r="R87" s="565"/>
      <c r="T87" s="555"/>
      <c r="V87" s="565"/>
      <c r="X87" s="565"/>
      <c r="Z87" s="555"/>
      <c r="AB87" s="565"/>
      <c r="AD87" s="565"/>
      <c r="AG87" s="555"/>
      <c r="AO87" s="650">
        <v>4016</v>
      </c>
      <c r="AP87" s="651">
        <v>48</v>
      </c>
      <c r="AQ87" s="652">
        <v>4.5476379284372325E-5</v>
      </c>
    </row>
    <row r="88" spans="1:43" s="583" customFormat="1" ht="15.75">
      <c r="A88" s="555"/>
      <c r="B88" s="555"/>
      <c r="C88" s="555"/>
      <c r="D88" s="555"/>
      <c r="E88" s="555"/>
      <c r="F88" s="555"/>
      <c r="H88" s="555"/>
      <c r="P88" s="565"/>
      <c r="R88" s="565"/>
      <c r="T88" s="555"/>
      <c r="V88" s="565"/>
      <c r="X88" s="565"/>
      <c r="Z88" s="555"/>
      <c r="AB88" s="565"/>
      <c r="AD88" s="565"/>
      <c r="AG88" s="555"/>
      <c r="AO88" s="650">
        <v>4018</v>
      </c>
      <c r="AP88" s="651">
        <v>14782</v>
      </c>
      <c r="AQ88" s="652">
        <v>1.4004829970449828E-2</v>
      </c>
    </row>
    <row r="89" spans="1:43" s="583" customFormat="1" ht="15.75">
      <c r="A89" s="555"/>
      <c r="B89" s="555"/>
      <c r="C89" s="555"/>
      <c r="D89" s="555"/>
      <c r="E89" s="555"/>
      <c r="F89" s="555"/>
      <c r="H89" s="555"/>
      <c r="P89" s="565"/>
      <c r="R89" s="565"/>
      <c r="T89" s="555"/>
      <c r="V89" s="565"/>
      <c r="X89" s="565"/>
      <c r="Z89" s="555"/>
      <c r="AB89" s="565"/>
      <c r="AD89" s="565"/>
      <c r="AG89" s="555"/>
      <c r="AO89" s="650">
        <v>4019</v>
      </c>
      <c r="AP89" s="651">
        <v>77</v>
      </c>
      <c r="AQ89" s="652">
        <v>7.2951691768680601E-5</v>
      </c>
    </row>
    <row r="90" spans="1:43" s="583" customFormat="1" ht="15.75">
      <c r="A90" s="555"/>
      <c r="B90" s="555"/>
      <c r="C90" s="555"/>
      <c r="D90" s="555"/>
      <c r="E90" s="555"/>
      <c r="F90" s="555"/>
      <c r="H90" s="555"/>
      <c r="P90" s="565"/>
      <c r="R90" s="565"/>
      <c r="T90" s="555"/>
      <c r="V90" s="565"/>
      <c r="X90" s="565"/>
      <c r="Z90" s="555"/>
      <c r="AB90" s="565"/>
      <c r="AD90" s="565"/>
      <c r="AG90" s="555"/>
      <c r="AO90" s="650">
        <v>4020</v>
      </c>
      <c r="AP90" s="651">
        <v>59683</v>
      </c>
      <c r="AQ90" s="652">
        <v>5.6545140517274863E-2</v>
      </c>
    </row>
    <row r="91" spans="1:43" s="583" customFormat="1" ht="15.75">
      <c r="A91" s="555"/>
      <c r="B91" s="555"/>
      <c r="C91" s="555"/>
      <c r="D91" s="555"/>
      <c r="E91" s="555"/>
      <c r="F91" s="555"/>
      <c r="H91" s="555"/>
      <c r="P91" s="565"/>
      <c r="R91" s="565"/>
      <c r="T91" s="555"/>
      <c r="V91" s="565"/>
      <c r="X91" s="565"/>
      <c r="Z91" s="555"/>
      <c r="AB91" s="565"/>
      <c r="AD91" s="565"/>
      <c r="AG91" s="555"/>
      <c r="AO91" s="650">
        <v>4021</v>
      </c>
      <c r="AP91" s="651">
        <v>163</v>
      </c>
      <c r="AQ91" s="652">
        <v>1.5443020465318104E-4</v>
      </c>
    </row>
    <row r="92" spans="1:43" s="583" customFormat="1" ht="15.75">
      <c r="A92" s="555"/>
      <c r="B92" s="555"/>
      <c r="C92" s="555"/>
      <c r="D92" s="555"/>
      <c r="E92" s="555"/>
      <c r="F92" s="555"/>
      <c r="H92" s="555"/>
      <c r="P92" s="565"/>
      <c r="R92" s="565"/>
      <c r="T92" s="555"/>
      <c r="V92" s="565"/>
      <c r="X92" s="565"/>
      <c r="Z92" s="555"/>
      <c r="AB92" s="565"/>
      <c r="AD92" s="565"/>
      <c r="AG92" s="555"/>
      <c r="AO92" s="650">
        <v>4022</v>
      </c>
      <c r="AP92" s="651">
        <v>0</v>
      </c>
      <c r="AQ92" s="652">
        <v>0</v>
      </c>
    </row>
    <row r="93" spans="1:43" s="583" customFormat="1" ht="15.75">
      <c r="A93" s="555"/>
      <c r="B93" s="555"/>
      <c r="C93" s="555"/>
      <c r="D93" s="555"/>
      <c r="E93" s="555"/>
      <c r="F93" s="555"/>
      <c r="H93" s="555"/>
      <c r="P93" s="565"/>
      <c r="R93" s="565"/>
      <c r="T93" s="555"/>
      <c r="V93" s="565"/>
      <c r="X93" s="565"/>
      <c r="Z93" s="555"/>
      <c r="AB93" s="565"/>
      <c r="AD93" s="565"/>
      <c r="AG93" s="555"/>
      <c r="AO93" s="650">
        <v>4025</v>
      </c>
      <c r="AP93" s="651">
        <v>0</v>
      </c>
      <c r="AQ93" s="652">
        <v>0</v>
      </c>
    </row>
    <row r="94" spans="1:43" s="583" customFormat="1" ht="15.75">
      <c r="A94" s="555"/>
      <c r="B94" s="555"/>
      <c r="C94" s="555"/>
      <c r="D94" s="555"/>
      <c r="E94" s="555"/>
      <c r="F94" s="555"/>
      <c r="H94" s="555"/>
      <c r="P94" s="565"/>
      <c r="R94" s="565"/>
      <c r="T94" s="555"/>
      <c r="V94" s="565"/>
      <c r="X94" s="565"/>
      <c r="Z94" s="555"/>
      <c r="AB94" s="565"/>
      <c r="AD94" s="565"/>
      <c r="AG94" s="555"/>
      <c r="AO94" s="650">
        <v>4030</v>
      </c>
      <c r="AP94" s="651">
        <v>44733</v>
      </c>
      <c r="AQ94" s="652">
        <v>4.2381143219329738E-2</v>
      </c>
    </row>
    <row r="95" spans="1:43" s="583" customFormat="1" ht="15.75">
      <c r="A95" s="555"/>
      <c r="B95" s="555"/>
      <c r="C95" s="555"/>
      <c r="D95" s="555"/>
      <c r="E95" s="555"/>
      <c r="F95" s="555"/>
      <c r="H95" s="555"/>
      <c r="P95" s="565"/>
      <c r="R95" s="565"/>
      <c r="T95" s="555"/>
      <c r="V95" s="565"/>
      <c r="X95" s="565"/>
      <c r="Z95" s="555"/>
      <c r="AB95" s="565"/>
      <c r="AD95" s="565"/>
      <c r="AG95" s="555"/>
      <c r="AO95" s="650">
        <v>4031</v>
      </c>
      <c r="AP95" s="651">
        <v>184</v>
      </c>
      <c r="AQ95" s="652">
        <v>1.7432612059009391E-4</v>
      </c>
    </row>
    <row r="96" spans="1:43" s="583" customFormat="1" ht="15.75">
      <c r="A96" s="555"/>
      <c r="B96" s="555"/>
      <c r="C96" s="555"/>
      <c r="D96" s="555"/>
      <c r="E96" s="555"/>
      <c r="F96" s="555"/>
      <c r="H96" s="555"/>
      <c r="P96" s="565"/>
      <c r="R96" s="565"/>
      <c r="T96" s="555"/>
      <c r="V96" s="565"/>
      <c r="X96" s="565"/>
      <c r="Z96" s="555"/>
      <c r="AB96" s="565"/>
      <c r="AD96" s="565"/>
      <c r="AG96" s="555"/>
      <c r="AO96" s="650">
        <v>4040</v>
      </c>
      <c r="AP96" s="651">
        <v>310</v>
      </c>
      <c r="AQ96" s="652">
        <v>2.937016162115713E-4</v>
      </c>
    </row>
    <row r="97" spans="1:43" s="583" customFormat="1" ht="15.75">
      <c r="A97" s="555"/>
      <c r="B97" s="555"/>
      <c r="C97" s="555"/>
      <c r="D97" s="555"/>
      <c r="E97" s="555"/>
      <c r="F97" s="555"/>
      <c r="H97" s="555"/>
      <c r="P97" s="565"/>
      <c r="R97" s="565"/>
      <c r="T97" s="555"/>
      <c r="V97" s="565"/>
      <c r="X97" s="565"/>
      <c r="Z97" s="555"/>
      <c r="AB97" s="565"/>
      <c r="AD97" s="565"/>
      <c r="AG97" s="555"/>
      <c r="AO97" s="650">
        <v>4050</v>
      </c>
      <c r="AP97" s="651">
        <v>137</v>
      </c>
      <c r="AQ97" s="652">
        <v>1.2979716587414601E-4</v>
      </c>
    </row>
    <row r="98" spans="1:43" s="583" customFormat="1" ht="15.75">
      <c r="A98" s="555"/>
      <c r="B98" s="555"/>
      <c r="C98" s="555"/>
      <c r="D98" s="555"/>
      <c r="E98" s="555"/>
      <c r="F98" s="555"/>
      <c r="H98" s="555"/>
      <c r="P98" s="565"/>
      <c r="R98" s="565"/>
      <c r="T98" s="555"/>
      <c r="V98" s="565"/>
      <c r="X98" s="565"/>
      <c r="Z98" s="555"/>
      <c r="AB98" s="565"/>
      <c r="AD98" s="565"/>
      <c r="AG98" s="555"/>
      <c r="AO98" s="650">
        <v>4100</v>
      </c>
      <c r="AP98" s="651">
        <v>207</v>
      </c>
      <c r="AQ98" s="652">
        <v>1.9611688566385565E-4</v>
      </c>
    </row>
    <row r="99" spans="1:43" s="583" customFormat="1" ht="15.75">
      <c r="A99" s="555"/>
      <c r="B99" s="555"/>
      <c r="C99" s="555"/>
      <c r="D99" s="555"/>
      <c r="E99" s="555"/>
      <c r="F99" s="555"/>
      <c r="H99" s="555"/>
      <c r="P99" s="565"/>
      <c r="R99" s="565"/>
      <c r="T99" s="555"/>
      <c r="V99" s="565"/>
      <c r="X99" s="565"/>
      <c r="Z99" s="555"/>
      <c r="AB99" s="565"/>
      <c r="AD99" s="565"/>
      <c r="AG99" s="555"/>
      <c r="AO99" s="650">
        <v>4105</v>
      </c>
      <c r="AP99" s="651">
        <v>16</v>
      </c>
      <c r="AQ99" s="652">
        <v>1.5158793094790775E-5</v>
      </c>
    </row>
    <row r="100" spans="1:43" s="583" customFormat="1" ht="15.75">
      <c r="A100" s="555"/>
      <c r="B100" s="555"/>
      <c r="C100" s="555"/>
      <c r="D100" s="555"/>
      <c r="E100" s="555"/>
      <c r="F100" s="555"/>
      <c r="H100" s="555"/>
      <c r="P100" s="565"/>
      <c r="R100" s="565"/>
      <c r="T100" s="555"/>
      <c r="V100" s="565"/>
      <c r="X100" s="565"/>
      <c r="Z100" s="555"/>
      <c r="AB100" s="565"/>
      <c r="AD100" s="565"/>
      <c r="AG100" s="555"/>
      <c r="AO100" s="650">
        <v>4110</v>
      </c>
      <c r="AP100" s="651">
        <v>13871</v>
      </c>
      <c r="AQ100" s="652">
        <v>1.3141726188615178E-2</v>
      </c>
    </row>
    <row r="101" spans="1:43" s="583" customFormat="1" ht="15.75">
      <c r="A101" s="555"/>
      <c r="B101" s="555"/>
      <c r="C101" s="555"/>
      <c r="D101" s="555"/>
      <c r="E101" s="555"/>
      <c r="F101" s="555"/>
      <c r="H101" s="555"/>
      <c r="P101" s="565"/>
      <c r="R101" s="565"/>
      <c r="T101" s="555"/>
      <c r="V101" s="565"/>
      <c r="X101" s="565"/>
      <c r="Z101" s="555"/>
      <c r="AB101" s="565"/>
      <c r="AD101" s="565"/>
      <c r="AG101" s="555"/>
      <c r="AO101" s="650">
        <v>4120</v>
      </c>
      <c r="AP101" s="651">
        <v>28094</v>
      </c>
      <c r="AQ101" s="652">
        <v>2.6616945825315753E-2</v>
      </c>
    </row>
    <row r="102" spans="1:43" s="583" customFormat="1" ht="15.75">
      <c r="A102" s="555"/>
      <c r="B102" s="555"/>
      <c r="C102" s="555"/>
      <c r="D102" s="555"/>
      <c r="E102" s="555"/>
      <c r="F102" s="555"/>
      <c r="H102" s="555"/>
      <c r="P102" s="565"/>
      <c r="R102" s="565"/>
      <c r="T102" s="555"/>
      <c r="V102" s="565"/>
      <c r="X102" s="565"/>
      <c r="Z102" s="555"/>
      <c r="AB102" s="565"/>
      <c r="AD102" s="565"/>
      <c r="AG102" s="555"/>
      <c r="AO102" s="650">
        <v>4130</v>
      </c>
      <c r="AP102" s="651">
        <v>11635</v>
      </c>
      <c r="AQ102" s="652">
        <v>1.1023284853618167E-2</v>
      </c>
    </row>
    <row r="103" spans="1:43" s="583" customFormat="1" ht="15.75">
      <c r="A103" s="555"/>
      <c r="B103" s="555"/>
      <c r="C103" s="555"/>
      <c r="D103" s="555"/>
      <c r="E103" s="555"/>
      <c r="F103" s="555"/>
      <c r="H103" s="555"/>
      <c r="P103" s="565"/>
      <c r="R103" s="565"/>
      <c r="T103" s="555"/>
      <c r="V103" s="565"/>
      <c r="X103" s="565"/>
      <c r="Z103" s="555"/>
      <c r="AB103" s="565"/>
      <c r="AD103" s="565"/>
      <c r="AG103" s="555"/>
      <c r="AO103" s="650">
        <v>4140</v>
      </c>
      <c r="AP103" s="651">
        <v>5157</v>
      </c>
      <c r="AQ103" s="652">
        <v>4.8858684993647516E-3</v>
      </c>
    </row>
    <row r="104" spans="1:43" s="583" customFormat="1" ht="15.75">
      <c r="A104" s="555"/>
      <c r="B104" s="555"/>
      <c r="C104" s="555"/>
      <c r="D104" s="555"/>
      <c r="E104" s="555"/>
      <c r="F104" s="555"/>
      <c r="H104" s="555"/>
      <c r="P104" s="565"/>
      <c r="R104" s="565"/>
      <c r="T104" s="555"/>
      <c r="V104" s="565"/>
      <c r="X104" s="565"/>
      <c r="Z104" s="555"/>
      <c r="AB104" s="565"/>
      <c r="AD104" s="565"/>
      <c r="AG104" s="555"/>
      <c r="AO104" s="650">
        <v>4150</v>
      </c>
      <c r="AP104" s="651">
        <v>94</v>
      </c>
      <c r="AQ104" s="652">
        <v>8.9057909431895809E-5</v>
      </c>
    </row>
    <row r="105" spans="1:43" s="583" customFormat="1" ht="15.75">
      <c r="A105" s="555"/>
      <c r="B105" s="555"/>
      <c r="C105" s="555"/>
      <c r="D105" s="555"/>
      <c r="E105" s="555"/>
      <c r="F105" s="555"/>
      <c r="H105" s="555"/>
      <c r="P105" s="565"/>
      <c r="R105" s="565"/>
      <c r="T105" s="555"/>
      <c r="V105" s="565"/>
      <c r="X105" s="565"/>
      <c r="Z105" s="555"/>
      <c r="AB105" s="565"/>
      <c r="AD105" s="565"/>
      <c r="AG105" s="555"/>
      <c r="AO105" s="650">
        <v>4160</v>
      </c>
      <c r="AP105" s="651">
        <v>0</v>
      </c>
      <c r="AQ105" s="652">
        <v>0</v>
      </c>
    </row>
    <row r="106" spans="1:43" s="583" customFormat="1" ht="15.75">
      <c r="A106" s="555"/>
      <c r="B106" s="555"/>
      <c r="C106" s="555"/>
      <c r="D106" s="555"/>
      <c r="E106" s="555"/>
      <c r="F106" s="555"/>
      <c r="H106" s="555"/>
      <c r="P106" s="565"/>
      <c r="R106" s="565"/>
      <c r="T106" s="555"/>
      <c r="V106" s="565"/>
      <c r="X106" s="565"/>
      <c r="Z106" s="555"/>
      <c r="AB106" s="565"/>
      <c r="AD106" s="565"/>
      <c r="AG106" s="555"/>
      <c r="AO106" s="650">
        <v>5411</v>
      </c>
      <c r="AP106" s="651">
        <v>14700</v>
      </c>
      <c r="AQ106" s="652">
        <v>1.3927141155839024E-2</v>
      </c>
    </row>
    <row r="107" spans="1:43" s="583" customFormat="1" ht="15.75">
      <c r="A107" s="555"/>
      <c r="B107" s="555"/>
      <c r="C107" s="555"/>
      <c r="D107" s="555"/>
      <c r="E107" s="555"/>
      <c r="F107" s="555"/>
      <c r="H107" s="555"/>
      <c r="P107" s="565"/>
      <c r="R107" s="565"/>
      <c r="T107" s="555"/>
      <c r="V107" s="565"/>
      <c r="X107" s="565"/>
      <c r="Z107" s="555"/>
      <c r="AB107" s="565"/>
      <c r="AD107" s="565"/>
      <c r="AG107" s="555"/>
      <c r="AO107" s="650">
        <v>5412</v>
      </c>
      <c r="AP107" s="651">
        <v>9611</v>
      </c>
      <c r="AQ107" s="652">
        <v>9.1056975271271347E-3</v>
      </c>
    </row>
    <row r="108" spans="1:43" s="583" customFormat="1" ht="15.75">
      <c r="A108" s="555"/>
      <c r="B108" s="555"/>
      <c r="C108" s="555"/>
      <c r="D108" s="555"/>
      <c r="E108" s="555"/>
      <c r="F108" s="555"/>
      <c r="H108" s="555"/>
      <c r="P108" s="565"/>
      <c r="R108" s="565"/>
      <c r="T108" s="555"/>
      <c r="V108" s="565"/>
      <c r="X108" s="565"/>
      <c r="Z108" s="555"/>
      <c r="AB108" s="565"/>
      <c r="AD108" s="565"/>
      <c r="AG108" s="555"/>
      <c r="AO108" s="650">
        <v>5414</v>
      </c>
      <c r="AP108" s="651">
        <v>8</v>
      </c>
      <c r="AQ108" s="652">
        <v>7.5793965473953874E-6</v>
      </c>
    </row>
    <row r="109" spans="1:43" s="583" customFormat="1" ht="15.75">
      <c r="A109" s="555"/>
      <c r="B109" s="555"/>
      <c r="C109" s="555"/>
      <c r="D109" s="555"/>
      <c r="E109" s="555"/>
      <c r="F109" s="555"/>
      <c r="H109" s="555"/>
      <c r="P109" s="565"/>
      <c r="R109" s="565"/>
      <c r="T109" s="555"/>
      <c r="V109" s="565"/>
      <c r="X109" s="565"/>
      <c r="Z109" s="555"/>
      <c r="AB109" s="565"/>
      <c r="AD109" s="565"/>
      <c r="AG109" s="555"/>
      <c r="AO109" s="650" t="s">
        <v>1042</v>
      </c>
      <c r="AP109" s="651">
        <v>1055493</v>
      </c>
      <c r="AQ109" s="652">
        <v>1.0000000000000002</v>
      </c>
    </row>
    <row r="110" spans="1:43" s="583" customFormat="1" ht="15.75">
      <c r="A110" s="555"/>
      <c r="B110" s="555"/>
      <c r="C110" s="555"/>
      <c r="D110" s="555"/>
      <c r="E110" s="555"/>
      <c r="F110" s="555"/>
      <c r="H110" s="555"/>
      <c r="P110" s="565"/>
      <c r="R110" s="565"/>
      <c r="T110" s="555"/>
      <c r="V110" s="565"/>
      <c r="X110" s="565"/>
      <c r="Z110" s="555"/>
      <c r="AB110" s="565"/>
      <c r="AD110" s="565"/>
      <c r="AG110" s="555"/>
      <c r="AO110" s="650" t="s">
        <v>1424</v>
      </c>
      <c r="AP110" s="651">
        <v>0</v>
      </c>
      <c r="AQ110" s="652"/>
    </row>
    <row r="111" spans="1:43" s="583" customFormat="1" ht="15">
      <c r="A111" s="555"/>
      <c r="B111" s="555"/>
      <c r="C111" s="555"/>
      <c r="D111" s="555"/>
      <c r="E111" s="555"/>
      <c r="F111" s="555"/>
      <c r="H111" s="555"/>
      <c r="P111" s="565"/>
      <c r="R111" s="565"/>
      <c r="T111" s="555"/>
      <c r="V111" s="565"/>
      <c r="X111" s="565"/>
      <c r="Z111" s="555"/>
      <c r="AB111" s="565"/>
      <c r="AD111" s="565"/>
      <c r="AG111" s="555"/>
    </row>
    <row r="112" spans="1:43" s="583" customFormat="1" ht="15">
      <c r="A112" s="555"/>
      <c r="B112" s="555"/>
      <c r="C112" s="555"/>
      <c r="D112" s="555"/>
      <c r="E112" s="555"/>
      <c r="F112" s="555"/>
      <c r="H112" s="555"/>
      <c r="P112" s="565"/>
      <c r="R112" s="565"/>
      <c r="T112" s="555"/>
      <c r="V112" s="565"/>
      <c r="X112" s="565"/>
      <c r="Z112" s="555"/>
      <c r="AB112" s="565"/>
      <c r="AD112" s="565"/>
      <c r="AG112" s="555"/>
    </row>
    <row r="113" spans="1:33" s="583" customFormat="1" ht="15">
      <c r="A113" s="555"/>
      <c r="B113" s="555"/>
      <c r="C113" s="555"/>
      <c r="D113" s="555"/>
      <c r="E113" s="555"/>
      <c r="F113" s="555"/>
      <c r="H113" s="555"/>
      <c r="P113" s="565"/>
      <c r="R113" s="565"/>
      <c r="T113" s="555"/>
      <c r="V113" s="565"/>
      <c r="X113" s="565"/>
      <c r="Z113" s="555"/>
      <c r="AB113" s="565"/>
      <c r="AD113" s="565"/>
      <c r="AG113" s="555"/>
    </row>
    <row r="114" spans="1:33" s="583" customFormat="1" ht="15">
      <c r="A114" s="555"/>
      <c r="B114" s="555"/>
      <c r="C114" s="555"/>
      <c r="D114" s="555"/>
      <c r="E114" s="555"/>
      <c r="F114" s="555"/>
      <c r="H114" s="555"/>
      <c r="P114" s="565"/>
      <c r="R114" s="565"/>
      <c r="T114" s="555"/>
      <c r="V114" s="565"/>
      <c r="X114" s="565"/>
      <c r="Z114" s="555"/>
      <c r="AB114" s="565"/>
      <c r="AD114" s="565"/>
      <c r="AG114" s="555"/>
    </row>
    <row r="115" spans="1:33" s="583" customFormat="1" ht="15">
      <c r="A115" s="555"/>
      <c r="B115" s="555"/>
      <c r="C115" s="555"/>
      <c r="D115" s="555"/>
      <c r="E115" s="555"/>
      <c r="F115" s="555"/>
      <c r="H115" s="555"/>
      <c r="P115" s="565"/>
      <c r="R115" s="565"/>
      <c r="T115" s="555"/>
      <c r="V115" s="565"/>
      <c r="X115" s="565"/>
      <c r="Z115" s="555"/>
      <c r="AB115" s="565"/>
      <c r="AD115" s="565"/>
      <c r="AG115" s="555"/>
    </row>
    <row r="116" spans="1:33" s="583" customFormat="1" ht="15">
      <c r="A116" s="555"/>
      <c r="B116" s="555"/>
      <c r="C116" s="555"/>
      <c r="D116" s="555"/>
      <c r="E116" s="555"/>
      <c r="F116" s="555"/>
      <c r="H116" s="555"/>
      <c r="P116" s="565"/>
      <c r="R116" s="565"/>
      <c r="T116" s="555"/>
      <c r="V116" s="565"/>
      <c r="X116" s="565"/>
      <c r="Z116" s="555"/>
      <c r="AB116" s="565"/>
      <c r="AD116" s="565"/>
      <c r="AG116" s="555"/>
    </row>
    <row r="117" spans="1:33" s="583" customFormat="1" ht="15">
      <c r="A117" s="555"/>
      <c r="B117" s="555"/>
      <c r="C117" s="555"/>
      <c r="D117" s="555"/>
      <c r="E117" s="555"/>
      <c r="F117" s="555"/>
      <c r="H117" s="555"/>
      <c r="P117" s="565"/>
      <c r="R117" s="565"/>
      <c r="T117" s="555"/>
      <c r="V117" s="565"/>
      <c r="X117" s="565"/>
      <c r="Z117" s="555"/>
      <c r="AB117" s="565"/>
      <c r="AD117" s="565"/>
      <c r="AG117" s="555"/>
    </row>
    <row r="118" spans="1:33" s="583" customFormat="1" ht="15">
      <c r="A118" s="555"/>
      <c r="B118" s="555"/>
      <c r="C118" s="555"/>
      <c r="D118" s="555"/>
      <c r="E118" s="555"/>
      <c r="F118" s="555"/>
      <c r="H118" s="555"/>
      <c r="P118" s="565"/>
      <c r="R118" s="565"/>
      <c r="T118" s="555"/>
      <c r="V118" s="565"/>
      <c r="X118" s="565"/>
      <c r="Z118" s="555"/>
      <c r="AB118" s="565"/>
      <c r="AD118" s="565"/>
      <c r="AG118" s="555"/>
    </row>
    <row r="119" spans="1:33" s="583" customFormat="1" ht="15">
      <c r="A119" s="555"/>
      <c r="B119" s="555"/>
      <c r="C119" s="555"/>
      <c r="D119" s="555"/>
      <c r="E119" s="555"/>
      <c r="F119" s="555"/>
      <c r="H119" s="555"/>
      <c r="P119" s="565"/>
      <c r="R119" s="565"/>
      <c r="T119" s="555"/>
      <c r="V119" s="565"/>
      <c r="X119" s="565"/>
      <c r="Z119" s="555"/>
      <c r="AB119" s="565"/>
      <c r="AD119" s="565"/>
      <c r="AG119" s="555"/>
    </row>
    <row r="120" spans="1:33" s="583" customFormat="1" ht="15">
      <c r="A120" s="555"/>
      <c r="B120" s="555"/>
      <c r="C120" s="555"/>
      <c r="D120" s="555"/>
      <c r="E120" s="555"/>
      <c r="F120" s="555"/>
      <c r="H120" s="555"/>
      <c r="P120" s="565"/>
      <c r="R120" s="565"/>
      <c r="T120" s="555"/>
      <c r="V120" s="565"/>
      <c r="X120" s="565"/>
      <c r="Z120" s="555"/>
      <c r="AB120" s="565"/>
      <c r="AD120" s="565"/>
      <c r="AG120" s="555"/>
    </row>
    <row r="121" spans="1:33" s="583" customFormat="1" ht="15">
      <c r="A121" s="555"/>
      <c r="B121" s="555"/>
      <c r="C121" s="555"/>
      <c r="D121" s="555"/>
      <c r="E121" s="555"/>
      <c r="F121" s="555"/>
      <c r="H121" s="555"/>
      <c r="P121" s="565"/>
      <c r="R121" s="565"/>
      <c r="T121" s="555"/>
      <c r="V121" s="565"/>
      <c r="X121" s="565"/>
      <c r="Z121" s="555"/>
      <c r="AB121" s="565"/>
      <c r="AD121" s="565"/>
      <c r="AG121" s="555"/>
    </row>
    <row r="122" spans="1:33" s="583" customFormat="1" ht="15">
      <c r="A122" s="555"/>
      <c r="B122" s="555"/>
      <c r="C122" s="555"/>
      <c r="D122" s="555"/>
      <c r="E122" s="555"/>
      <c r="F122" s="555"/>
      <c r="H122" s="555"/>
      <c r="P122" s="565"/>
      <c r="R122" s="565"/>
      <c r="T122" s="555"/>
      <c r="V122" s="565"/>
      <c r="X122" s="565"/>
      <c r="Z122" s="555"/>
      <c r="AB122" s="565"/>
      <c r="AD122" s="565"/>
      <c r="AG122" s="555"/>
    </row>
    <row r="123" spans="1:33" s="583" customFormat="1" ht="15">
      <c r="A123" s="555"/>
      <c r="B123" s="555"/>
      <c r="C123" s="555"/>
      <c r="D123" s="555"/>
      <c r="E123" s="555"/>
      <c r="F123" s="555"/>
      <c r="H123" s="555"/>
      <c r="P123" s="565"/>
      <c r="R123" s="565"/>
      <c r="T123" s="555"/>
      <c r="V123" s="565"/>
      <c r="X123" s="565"/>
      <c r="Z123" s="555"/>
      <c r="AB123" s="565"/>
      <c r="AD123" s="565"/>
      <c r="AG123" s="555"/>
    </row>
    <row r="124" spans="1:33" s="583" customFormat="1" ht="15">
      <c r="A124" s="555"/>
      <c r="B124" s="555"/>
      <c r="C124" s="555"/>
      <c r="D124" s="555"/>
      <c r="E124" s="555"/>
      <c r="F124" s="555"/>
      <c r="H124" s="555"/>
      <c r="P124" s="565"/>
      <c r="R124" s="565"/>
      <c r="T124" s="555"/>
      <c r="V124" s="565"/>
      <c r="X124" s="565"/>
      <c r="Z124" s="555"/>
      <c r="AB124" s="565"/>
      <c r="AD124" s="565"/>
      <c r="AG124" s="555"/>
    </row>
    <row r="125" spans="1:33" s="583" customFormat="1" ht="15">
      <c r="A125" s="555"/>
      <c r="B125" s="555"/>
      <c r="C125" s="555"/>
      <c r="D125" s="555"/>
      <c r="E125" s="555"/>
      <c r="F125" s="555"/>
      <c r="H125" s="555"/>
      <c r="P125" s="565"/>
      <c r="R125" s="565"/>
      <c r="T125" s="555"/>
      <c r="V125" s="565"/>
      <c r="X125" s="565"/>
      <c r="Z125" s="555"/>
      <c r="AB125" s="565"/>
      <c r="AD125" s="565"/>
      <c r="AG125" s="555"/>
    </row>
    <row r="126" spans="1:33" s="583" customFormat="1" ht="15">
      <c r="A126" s="555"/>
      <c r="B126" s="555"/>
      <c r="C126" s="555"/>
      <c r="D126" s="555"/>
      <c r="E126" s="555"/>
      <c r="F126" s="555"/>
      <c r="H126" s="555"/>
      <c r="P126" s="565"/>
      <c r="R126" s="565"/>
      <c r="T126" s="555"/>
      <c r="V126" s="565"/>
      <c r="X126" s="565"/>
      <c r="Z126" s="555"/>
      <c r="AB126" s="565"/>
      <c r="AD126" s="565"/>
      <c r="AG126" s="555"/>
    </row>
    <row r="127" spans="1:33" s="583" customFormat="1" ht="15">
      <c r="A127" s="555"/>
      <c r="B127" s="555"/>
      <c r="C127" s="555"/>
      <c r="D127" s="555"/>
      <c r="E127" s="555"/>
      <c r="F127" s="555"/>
      <c r="H127" s="555"/>
      <c r="P127" s="565"/>
      <c r="R127" s="565"/>
      <c r="T127" s="555"/>
      <c r="V127" s="565"/>
      <c r="X127" s="565"/>
      <c r="Z127" s="555"/>
      <c r="AB127" s="565"/>
      <c r="AD127" s="565"/>
      <c r="AG127" s="555"/>
    </row>
    <row r="128" spans="1:33" s="583" customFormat="1" ht="15">
      <c r="A128" s="555"/>
      <c r="B128" s="555"/>
      <c r="C128" s="555"/>
      <c r="D128" s="555"/>
      <c r="E128" s="555"/>
      <c r="F128" s="555"/>
      <c r="H128" s="555"/>
      <c r="P128" s="565"/>
      <c r="R128" s="565"/>
      <c r="T128" s="555"/>
      <c r="V128" s="565"/>
      <c r="X128" s="565"/>
      <c r="Z128" s="555"/>
      <c r="AB128" s="565"/>
      <c r="AD128" s="565"/>
      <c r="AG128" s="555"/>
    </row>
    <row r="129" spans="1:33" s="583" customFormat="1" ht="15">
      <c r="A129" s="555"/>
      <c r="B129" s="555"/>
      <c r="C129" s="555"/>
      <c r="D129" s="555"/>
      <c r="E129" s="555"/>
      <c r="F129" s="555"/>
      <c r="H129" s="555"/>
      <c r="P129" s="565"/>
      <c r="R129" s="565"/>
      <c r="T129" s="555"/>
      <c r="V129" s="565"/>
      <c r="X129" s="565"/>
      <c r="Z129" s="555"/>
      <c r="AB129" s="565"/>
      <c r="AD129" s="565"/>
      <c r="AG129" s="555"/>
    </row>
    <row r="130" spans="1:33" s="583" customFormat="1" ht="15">
      <c r="A130" s="555"/>
      <c r="B130" s="555"/>
      <c r="C130" s="555"/>
      <c r="D130" s="555"/>
      <c r="E130" s="555"/>
      <c r="F130" s="555"/>
      <c r="H130" s="555"/>
      <c r="P130" s="565"/>
      <c r="R130" s="565"/>
      <c r="T130" s="555"/>
      <c r="V130" s="565"/>
      <c r="X130" s="565"/>
      <c r="Z130" s="555"/>
      <c r="AB130" s="565"/>
      <c r="AD130" s="565"/>
      <c r="AG130" s="555"/>
    </row>
    <row r="131" spans="1:33" s="583" customFormat="1" ht="15">
      <c r="A131" s="555"/>
      <c r="B131" s="555"/>
      <c r="C131" s="555"/>
      <c r="D131" s="555"/>
      <c r="E131" s="555"/>
      <c r="F131" s="555"/>
      <c r="H131" s="555"/>
      <c r="P131" s="565"/>
      <c r="R131" s="565"/>
      <c r="T131" s="555"/>
      <c r="V131" s="565"/>
      <c r="X131" s="565"/>
      <c r="Z131" s="555"/>
      <c r="AB131" s="565"/>
      <c r="AD131" s="565"/>
      <c r="AG131" s="555"/>
    </row>
    <row r="132" spans="1:33" s="583" customFormat="1" ht="15">
      <c r="A132" s="555"/>
      <c r="B132" s="555"/>
      <c r="C132" s="555"/>
      <c r="D132" s="555"/>
      <c r="E132" s="555"/>
      <c r="F132" s="555"/>
      <c r="H132" s="555"/>
      <c r="P132" s="565"/>
      <c r="R132" s="565"/>
      <c r="T132" s="555"/>
      <c r="V132" s="565"/>
      <c r="X132" s="565"/>
      <c r="Z132" s="555"/>
      <c r="AB132" s="565"/>
      <c r="AD132" s="565"/>
      <c r="AG132" s="555"/>
    </row>
    <row r="133" spans="1:33" s="583" customFormat="1" ht="15">
      <c r="A133" s="555"/>
      <c r="B133" s="555"/>
      <c r="C133" s="555"/>
      <c r="D133" s="555"/>
      <c r="E133" s="555"/>
      <c r="F133" s="555"/>
      <c r="H133" s="555"/>
      <c r="P133" s="565"/>
      <c r="R133" s="565"/>
      <c r="T133" s="555"/>
      <c r="V133" s="565"/>
      <c r="X133" s="565"/>
      <c r="Z133" s="555"/>
      <c r="AB133" s="565"/>
      <c r="AD133" s="565"/>
      <c r="AG133" s="555"/>
    </row>
    <row r="134" spans="1:33" s="583" customFormat="1" ht="15">
      <c r="A134" s="555"/>
      <c r="B134" s="555"/>
      <c r="C134" s="555"/>
      <c r="D134" s="555"/>
      <c r="E134" s="555"/>
      <c r="F134" s="555"/>
      <c r="H134" s="555"/>
      <c r="P134" s="565"/>
      <c r="R134" s="565"/>
      <c r="T134" s="555"/>
      <c r="V134" s="565"/>
      <c r="X134" s="565"/>
      <c r="Z134" s="555"/>
      <c r="AB134" s="565"/>
      <c r="AD134" s="565"/>
      <c r="AG134" s="555"/>
    </row>
    <row r="135" spans="1:33" s="583" customFormat="1" ht="15">
      <c r="A135" s="555"/>
      <c r="B135" s="555"/>
      <c r="C135" s="555"/>
      <c r="D135" s="555"/>
      <c r="E135" s="555"/>
      <c r="F135" s="555"/>
      <c r="H135" s="555"/>
      <c r="P135" s="565"/>
      <c r="R135" s="565"/>
      <c r="T135" s="555"/>
      <c r="V135" s="565"/>
      <c r="X135" s="565"/>
      <c r="Z135" s="555"/>
      <c r="AB135" s="565"/>
      <c r="AD135" s="565"/>
      <c r="AG135" s="555"/>
    </row>
    <row r="136" spans="1:33" s="583" customFormat="1" ht="15">
      <c r="A136" s="555"/>
      <c r="B136" s="555"/>
      <c r="C136" s="555"/>
      <c r="D136" s="555"/>
      <c r="E136" s="555"/>
      <c r="F136" s="555"/>
      <c r="H136" s="555"/>
      <c r="P136" s="565"/>
      <c r="R136" s="565"/>
      <c r="T136" s="555"/>
      <c r="V136" s="565"/>
      <c r="X136" s="565"/>
      <c r="Z136" s="555"/>
      <c r="AB136" s="565"/>
      <c r="AD136" s="565"/>
      <c r="AG136" s="555"/>
    </row>
    <row r="137" spans="1:33" s="583" customFormat="1" ht="15">
      <c r="A137" s="555"/>
      <c r="B137" s="555"/>
      <c r="C137" s="555"/>
      <c r="D137" s="555"/>
      <c r="E137" s="555"/>
      <c r="F137" s="555"/>
      <c r="H137" s="555"/>
      <c r="P137" s="565"/>
      <c r="R137" s="565"/>
      <c r="T137" s="555"/>
      <c r="V137" s="565"/>
      <c r="X137" s="565"/>
      <c r="Z137" s="555"/>
      <c r="AB137" s="565"/>
      <c r="AD137" s="565"/>
      <c r="AG137" s="555"/>
    </row>
    <row r="138" spans="1:33" s="583" customFormat="1" ht="15">
      <c r="A138" s="555"/>
      <c r="B138" s="555"/>
      <c r="C138" s="555"/>
      <c r="D138" s="555"/>
      <c r="E138" s="555"/>
      <c r="F138" s="555"/>
      <c r="H138" s="555"/>
      <c r="P138" s="565"/>
      <c r="R138" s="565"/>
      <c r="T138" s="555"/>
      <c r="V138" s="565"/>
      <c r="X138" s="565"/>
      <c r="Z138" s="555"/>
      <c r="AB138" s="565"/>
      <c r="AD138" s="565"/>
      <c r="AG138" s="555"/>
    </row>
    <row r="139" spans="1:33" s="583" customFormat="1" ht="15">
      <c r="A139" s="555"/>
      <c r="B139" s="555"/>
      <c r="C139" s="555"/>
      <c r="D139" s="555"/>
      <c r="E139" s="555"/>
      <c r="F139" s="555"/>
      <c r="H139" s="555"/>
      <c r="P139" s="565"/>
      <c r="R139" s="565"/>
      <c r="T139" s="555"/>
      <c r="V139" s="565"/>
      <c r="X139" s="565"/>
      <c r="Z139" s="555"/>
      <c r="AB139" s="565"/>
      <c r="AD139" s="565"/>
      <c r="AG139" s="555"/>
    </row>
    <row r="140" spans="1:33" s="583" customFormat="1" ht="15">
      <c r="A140" s="555"/>
      <c r="B140" s="555"/>
      <c r="C140" s="555"/>
      <c r="D140" s="555"/>
      <c r="E140" s="555"/>
      <c r="F140" s="555"/>
      <c r="H140" s="555"/>
      <c r="P140" s="565"/>
      <c r="R140" s="565"/>
      <c r="T140" s="555"/>
      <c r="V140" s="565"/>
      <c r="X140" s="565"/>
      <c r="Z140" s="555"/>
      <c r="AB140" s="565"/>
      <c r="AD140" s="565"/>
      <c r="AG140" s="555"/>
    </row>
    <row r="141" spans="1:33" s="583" customFormat="1" ht="15">
      <c r="A141" s="555"/>
      <c r="B141" s="555"/>
      <c r="C141" s="555"/>
      <c r="D141" s="555"/>
      <c r="E141" s="555"/>
      <c r="F141" s="555"/>
      <c r="H141" s="555"/>
      <c r="P141" s="565"/>
      <c r="R141" s="565"/>
      <c r="T141" s="555"/>
      <c r="V141" s="565"/>
      <c r="X141" s="565"/>
      <c r="Z141" s="555"/>
      <c r="AB141" s="565"/>
      <c r="AD141" s="565"/>
      <c r="AG141" s="555"/>
    </row>
    <row r="142" spans="1:33" s="583" customFormat="1" ht="15">
      <c r="A142" s="555"/>
      <c r="B142" s="555"/>
      <c r="C142" s="555"/>
      <c r="D142" s="555"/>
      <c r="E142" s="555"/>
      <c r="F142" s="555"/>
      <c r="H142" s="555"/>
      <c r="P142" s="565"/>
      <c r="R142" s="565"/>
      <c r="T142" s="555"/>
      <c r="V142" s="565"/>
      <c r="X142" s="565"/>
      <c r="Z142" s="555"/>
      <c r="AB142" s="565"/>
      <c r="AD142" s="565"/>
      <c r="AG142" s="555"/>
    </row>
    <row r="143" spans="1:33" s="583" customFormat="1" ht="15">
      <c r="A143" s="555"/>
      <c r="B143" s="555"/>
      <c r="C143" s="555"/>
      <c r="D143" s="555"/>
      <c r="E143" s="555"/>
      <c r="F143" s="555"/>
      <c r="H143" s="555"/>
      <c r="P143" s="565"/>
      <c r="R143" s="565"/>
      <c r="T143" s="555"/>
      <c r="V143" s="565"/>
      <c r="X143" s="565"/>
      <c r="Z143" s="555"/>
      <c r="AB143" s="565"/>
      <c r="AD143" s="565"/>
      <c r="AG143" s="555"/>
    </row>
    <row r="144" spans="1:33" s="583" customFormat="1" ht="15">
      <c r="A144" s="555"/>
      <c r="B144" s="555"/>
      <c r="C144" s="555"/>
      <c r="D144" s="555"/>
      <c r="E144" s="555"/>
      <c r="F144" s="555"/>
      <c r="H144" s="555"/>
      <c r="P144" s="565"/>
      <c r="R144" s="565"/>
      <c r="T144" s="555"/>
      <c r="V144" s="565"/>
      <c r="X144" s="565"/>
      <c r="Z144" s="555"/>
      <c r="AB144" s="565"/>
      <c r="AD144" s="565"/>
      <c r="AG144" s="555"/>
    </row>
    <row r="145" spans="1:33" s="583" customFormat="1" ht="15">
      <c r="A145" s="555"/>
      <c r="B145" s="555"/>
      <c r="C145" s="555"/>
      <c r="D145" s="555"/>
      <c r="E145" s="555"/>
      <c r="F145" s="555"/>
      <c r="H145" s="555"/>
      <c r="P145" s="565"/>
      <c r="R145" s="565"/>
      <c r="T145" s="555"/>
      <c r="V145" s="565"/>
      <c r="X145" s="565"/>
      <c r="Z145" s="555"/>
      <c r="AB145" s="565"/>
      <c r="AD145" s="565"/>
      <c r="AG145" s="555"/>
    </row>
    <row r="146" spans="1:33" s="583" customFormat="1" ht="15">
      <c r="A146" s="555"/>
      <c r="B146" s="555"/>
      <c r="C146" s="555"/>
      <c r="D146" s="555"/>
      <c r="E146" s="555"/>
      <c r="F146" s="555"/>
      <c r="H146" s="555"/>
      <c r="P146" s="565"/>
      <c r="R146" s="565"/>
      <c r="T146" s="555"/>
      <c r="V146" s="565"/>
      <c r="X146" s="565"/>
      <c r="Z146" s="555"/>
      <c r="AB146" s="565"/>
      <c r="AD146" s="565"/>
      <c r="AG146" s="555"/>
    </row>
    <row r="147" spans="1:33" s="583" customFormat="1" ht="15">
      <c r="A147" s="555"/>
      <c r="B147" s="555"/>
      <c r="C147" s="555"/>
      <c r="D147" s="555"/>
      <c r="E147" s="555"/>
      <c r="F147" s="555"/>
      <c r="H147" s="555"/>
      <c r="P147" s="565"/>
      <c r="R147" s="565"/>
      <c r="T147" s="555"/>
      <c r="V147" s="565"/>
      <c r="X147" s="565"/>
      <c r="Z147" s="555"/>
      <c r="AB147" s="565"/>
      <c r="AD147" s="565"/>
      <c r="AG147" s="555"/>
    </row>
    <row r="148" spans="1:33" s="583" customFormat="1" ht="15">
      <c r="A148" s="555"/>
      <c r="B148" s="555"/>
      <c r="C148" s="555"/>
      <c r="D148" s="555"/>
      <c r="E148" s="555"/>
      <c r="F148" s="555"/>
      <c r="H148" s="555"/>
      <c r="P148" s="565"/>
      <c r="R148" s="565"/>
      <c r="T148" s="555"/>
      <c r="V148" s="565"/>
      <c r="X148" s="565"/>
      <c r="Z148" s="555"/>
      <c r="AB148" s="565"/>
      <c r="AD148" s="565"/>
      <c r="AG148" s="555"/>
    </row>
    <row r="149" spans="1:33" s="583" customFormat="1" ht="15">
      <c r="A149" s="555"/>
      <c r="B149" s="555"/>
      <c r="C149" s="555"/>
      <c r="D149" s="555"/>
      <c r="E149" s="555"/>
      <c r="F149" s="555"/>
      <c r="H149" s="555"/>
      <c r="P149" s="565"/>
      <c r="R149" s="565"/>
      <c r="T149" s="555"/>
      <c r="V149" s="565"/>
      <c r="X149" s="565"/>
      <c r="Z149" s="555"/>
      <c r="AB149" s="565"/>
      <c r="AD149" s="565"/>
      <c r="AG149" s="555"/>
    </row>
    <row r="150" spans="1:33" s="583" customFormat="1" ht="15">
      <c r="A150" s="555"/>
      <c r="B150" s="555"/>
      <c r="C150" s="555"/>
      <c r="D150" s="555"/>
      <c r="E150" s="555"/>
      <c r="F150" s="555"/>
      <c r="H150" s="555"/>
      <c r="P150" s="565"/>
      <c r="R150" s="565"/>
      <c r="T150" s="555"/>
      <c r="V150" s="565"/>
      <c r="X150" s="565"/>
      <c r="Z150" s="555"/>
      <c r="AB150" s="565"/>
      <c r="AD150" s="565"/>
      <c r="AG150" s="555"/>
    </row>
    <row r="151" spans="1:33" s="583" customFormat="1" ht="15">
      <c r="A151" s="555"/>
      <c r="B151" s="555"/>
      <c r="C151" s="555"/>
      <c r="D151" s="555"/>
      <c r="E151" s="555"/>
      <c r="F151" s="555"/>
      <c r="H151" s="555"/>
      <c r="P151" s="565"/>
      <c r="R151" s="565"/>
      <c r="T151" s="555"/>
      <c r="V151" s="565"/>
      <c r="X151" s="565"/>
      <c r="Z151" s="555"/>
      <c r="AB151" s="565"/>
      <c r="AD151" s="565"/>
      <c r="AG151" s="555"/>
    </row>
    <row r="152" spans="1:33" s="583" customFormat="1" ht="15">
      <c r="A152" s="555"/>
      <c r="B152" s="555"/>
      <c r="C152" s="555"/>
      <c r="D152" s="555"/>
      <c r="E152" s="555"/>
      <c r="F152" s="555"/>
      <c r="H152" s="555"/>
      <c r="P152" s="565"/>
      <c r="R152" s="565"/>
      <c r="T152" s="555"/>
      <c r="V152" s="565"/>
      <c r="X152" s="565"/>
      <c r="Z152" s="555"/>
      <c r="AB152" s="565"/>
      <c r="AD152" s="565"/>
      <c r="AG152" s="555"/>
    </row>
    <row r="153" spans="1:33" s="583" customFormat="1" ht="15">
      <c r="A153" s="555"/>
      <c r="B153" s="555"/>
      <c r="C153" s="555"/>
      <c r="D153" s="555"/>
      <c r="E153" s="555"/>
      <c r="F153" s="555"/>
      <c r="H153" s="555"/>
      <c r="P153" s="565"/>
      <c r="R153" s="565"/>
      <c r="T153" s="555"/>
      <c r="V153" s="565"/>
      <c r="X153" s="565"/>
      <c r="Z153" s="555"/>
      <c r="AB153" s="565"/>
      <c r="AD153" s="565"/>
      <c r="AG153" s="555"/>
    </row>
    <row r="154" spans="1:33" s="583" customFormat="1" ht="15">
      <c r="A154" s="555"/>
      <c r="B154" s="555"/>
      <c r="C154" s="555"/>
      <c r="D154" s="555"/>
      <c r="E154" s="555"/>
      <c r="F154" s="555"/>
      <c r="H154" s="555"/>
      <c r="P154" s="565"/>
      <c r="R154" s="565"/>
      <c r="T154" s="555"/>
      <c r="V154" s="565"/>
      <c r="X154" s="565"/>
      <c r="Z154" s="555"/>
      <c r="AB154" s="565"/>
      <c r="AD154" s="565"/>
      <c r="AG154" s="555"/>
    </row>
    <row r="155" spans="1:33" s="583" customFormat="1" ht="15">
      <c r="A155" s="555"/>
      <c r="B155" s="555"/>
      <c r="C155" s="555"/>
      <c r="D155" s="555"/>
      <c r="E155" s="555"/>
      <c r="F155" s="555"/>
      <c r="H155" s="555"/>
      <c r="P155" s="565"/>
      <c r="R155" s="565"/>
      <c r="T155" s="555"/>
      <c r="V155" s="565"/>
      <c r="X155" s="565"/>
      <c r="Z155" s="555"/>
      <c r="AB155" s="565"/>
      <c r="AD155" s="565"/>
      <c r="AG155" s="555"/>
    </row>
    <row r="156" spans="1:33" s="583" customFormat="1" ht="15">
      <c r="A156" s="555"/>
      <c r="B156" s="555"/>
      <c r="C156" s="555"/>
      <c r="D156" s="555"/>
      <c r="E156" s="555"/>
      <c r="F156" s="555"/>
      <c r="H156" s="555"/>
      <c r="P156" s="565"/>
      <c r="R156" s="565"/>
      <c r="T156" s="555"/>
      <c r="V156" s="565"/>
      <c r="X156" s="565"/>
      <c r="Z156" s="555"/>
      <c r="AB156" s="565"/>
      <c r="AD156" s="565"/>
      <c r="AG156" s="555"/>
    </row>
    <row r="157" spans="1:33" s="583" customFormat="1" ht="15">
      <c r="A157" s="555"/>
      <c r="B157" s="555"/>
      <c r="C157" s="555"/>
      <c r="D157" s="555"/>
      <c r="E157" s="555"/>
      <c r="F157" s="555"/>
      <c r="H157" s="555"/>
      <c r="P157" s="565"/>
      <c r="R157" s="565"/>
      <c r="T157" s="555"/>
      <c r="V157" s="565"/>
      <c r="X157" s="565"/>
      <c r="Z157" s="555"/>
      <c r="AB157" s="565"/>
      <c r="AD157" s="565"/>
      <c r="AG157" s="555"/>
    </row>
    <row r="158" spans="1:33" s="583" customFormat="1" ht="15">
      <c r="A158" s="555"/>
      <c r="B158" s="555"/>
      <c r="C158" s="555"/>
      <c r="D158" s="555"/>
      <c r="E158" s="555"/>
      <c r="F158" s="555"/>
      <c r="H158" s="555"/>
      <c r="P158" s="565"/>
      <c r="R158" s="565"/>
      <c r="T158" s="555"/>
      <c r="V158" s="565"/>
      <c r="X158" s="565"/>
      <c r="Z158" s="555"/>
      <c r="AB158" s="565"/>
      <c r="AD158" s="565"/>
      <c r="AG158" s="555"/>
    </row>
    <row r="159" spans="1:33" s="583" customFormat="1" ht="15">
      <c r="A159" s="555"/>
      <c r="B159" s="555"/>
      <c r="C159" s="555"/>
      <c r="D159" s="555"/>
      <c r="E159" s="555"/>
      <c r="F159" s="555"/>
      <c r="H159" s="555"/>
      <c r="P159" s="565"/>
      <c r="R159" s="565"/>
      <c r="T159" s="555"/>
      <c r="V159" s="565"/>
      <c r="X159" s="565"/>
      <c r="Z159" s="555"/>
      <c r="AB159" s="565"/>
      <c r="AD159" s="565"/>
      <c r="AG159" s="555"/>
    </row>
    <row r="160" spans="1:33" s="583" customFormat="1" ht="15">
      <c r="A160" s="555"/>
      <c r="B160" s="555"/>
      <c r="C160" s="555"/>
      <c r="D160" s="555"/>
      <c r="E160" s="555"/>
      <c r="F160" s="555"/>
      <c r="H160" s="555"/>
      <c r="P160" s="565"/>
      <c r="R160" s="565"/>
      <c r="T160" s="555"/>
      <c r="V160" s="565"/>
      <c r="X160" s="565"/>
      <c r="Z160" s="555"/>
      <c r="AB160" s="565"/>
      <c r="AD160" s="565"/>
      <c r="AG160" s="555"/>
    </row>
    <row r="161" spans="1:33" s="583" customFormat="1" ht="15">
      <c r="A161" s="555"/>
      <c r="B161" s="555"/>
      <c r="C161" s="555"/>
      <c r="D161" s="555"/>
      <c r="E161" s="555"/>
      <c r="F161" s="555"/>
      <c r="H161" s="555"/>
      <c r="P161" s="565"/>
      <c r="R161" s="565"/>
      <c r="T161" s="555"/>
      <c r="V161" s="565"/>
      <c r="X161" s="565"/>
      <c r="Z161" s="555"/>
      <c r="AB161" s="565"/>
      <c r="AD161" s="565"/>
      <c r="AG161" s="555"/>
    </row>
    <row r="162" spans="1:33" s="583" customFormat="1" ht="15">
      <c r="A162" s="555"/>
      <c r="B162" s="555"/>
      <c r="C162" s="555"/>
      <c r="D162" s="555"/>
      <c r="E162" s="555"/>
      <c r="F162" s="555"/>
      <c r="H162" s="555"/>
      <c r="P162" s="565"/>
      <c r="R162" s="565"/>
      <c r="T162" s="555"/>
      <c r="V162" s="565"/>
      <c r="X162" s="565"/>
      <c r="Z162" s="555"/>
      <c r="AB162" s="565"/>
      <c r="AD162" s="565"/>
      <c r="AG162" s="555"/>
    </row>
    <row r="163" spans="1:33" s="583" customFormat="1" ht="15">
      <c r="A163" s="555"/>
      <c r="B163" s="555"/>
      <c r="C163" s="555"/>
      <c r="D163" s="555"/>
      <c r="E163" s="555"/>
      <c r="F163" s="555"/>
      <c r="H163" s="555"/>
      <c r="P163" s="565"/>
      <c r="R163" s="565"/>
      <c r="T163" s="555"/>
      <c r="V163" s="565"/>
      <c r="X163" s="565"/>
      <c r="Z163" s="555"/>
      <c r="AB163" s="565"/>
      <c r="AD163" s="565"/>
      <c r="AG163" s="555"/>
    </row>
    <row r="164" spans="1:33" s="583" customFormat="1" ht="15">
      <c r="A164" s="555"/>
      <c r="B164" s="555"/>
      <c r="C164" s="555"/>
      <c r="D164" s="555"/>
      <c r="E164" s="555"/>
      <c r="F164" s="555"/>
      <c r="H164" s="555"/>
      <c r="P164" s="565"/>
      <c r="R164" s="565"/>
      <c r="T164" s="555"/>
      <c r="V164" s="565"/>
      <c r="X164" s="565"/>
      <c r="Z164" s="555"/>
      <c r="AB164" s="565"/>
      <c r="AD164" s="565"/>
      <c r="AG164" s="555"/>
    </row>
    <row r="165" spans="1:33" s="583" customFormat="1" ht="15">
      <c r="A165" s="555"/>
      <c r="B165" s="555"/>
      <c r="C165" s="555"/>
      <c r="D165" s="555"/>
      <c r="E165" s="555"/>
      <c r="F165" s="555"/>
      <c r="H165" s="555"/>
      <c r="P165" s="565"/>
      <c r="R165" s="565"/>
      <c r="T165" s="555"/>
      <c r="V165" s="565"/>
      <c r="X165" s="565"/>
      <c r="Z165" s="555"/>
      <c r="AB165" s="565"/>
      <c r="AD165" s="565"/>
      <c r="AG165" s="555"/>
    </row>
    <row r="166" spans="1:33" s="583" customFormat="1" ht="15">
      <c r="A166" s="555"/>
      <c r="B166" s="555"/>
      <c r="C166" s="555"/>
      <c r="D166" s="555"/>
      <c r="E166" s="555"/>
      <c r="F166" s="555"/>
      <c r="H166" s="555"/>
      <c r="P166" s="565"/>
      <c r="R166" s="565"/>
      <c r="T166" s="555"/>
      <c r="V166" s="565"/>
      <c r="X166" s="565"/>
      <c r="Z166" s="555"/>
      <c r="AB166" s="565"/>
      <c r="AD166" s="565"/>
      <c r="AG166" s="555"/>
    </row>
    <row r="167" spans="1:33" s="583" customFormat="1" ht="15">
      <c r="A167" s="555"/>
      <c r="B167" s="555"/>
      <c r="C167" s="555"/>
      <c r="D167" s="555"/>
      <c r="E167" s="555"/>
      <c r="F167" s="555"/>
      <c r="H167" s="555"/>
      <c r="P167" s="565"/>
      <c r="R167" s="565"/>
      <c r="T167" s="555"/>
      <c r="V167" s="565"/>
      <c r="X167" s="565"/>
      <c r="Z167" s="555"/>
      <c r="AB167" s="565"/>
      <c r="AD167" s="565"/>
      <c r="AG167" s="555"/>
    </row>
    <row r="168" spans="1:33" s="583" customFormat="1" ht="15">
      <c r="A168" s="555"/>
      <c r="B168" s="555"/>
      <c r="C168" s="555"/>
      <c r="D168" s="555"/>
      <c r="E168" s="555"/>
      <c r="F168" s="555"/>
      <c r="H168" s="555"/>
      <c r="P168" s="565"/>
      <c r="R168" s="565"/>
      <c r="T168" s="555"/>
      <c r="V168" s="565"/>
      <c r="X168" s="565"/>
      <c r="Z168" s="555"/>
      <c r="AB168" s="565"/>
      <c r="AD168" s="565"/>
      <c r="AG168" s="555"/>
    </row>
    <row r="169" spans="1:33" s="583" customFormat="1" ht="15">
      <c r="A169" s="555"/>
      <c r="B169" s="555"/>
      <c r="C169" s="555"/>
      <c r="D169" s="555"/>
      <c r="E169" s="555"/>
      <c r="F169" s="555"/>
      <c r="H169" s="555"/>
      <c r="P169" s="565"/>
      <c r="R169" s="565"/>
      <c r="T169" s="555"/>
      <c r="V169" s="565"/>
      <c r="X169" s="565"/>
      <c r="Z169" s="555"/>
      <c r="AB169" s="565"/>
      <c r="AD169" s="565"/>
      <c r="AG169" s="555"/>
    </row>
    <row r="170" spans="1:33" s="583" customFormat="1" ht="15">
      <c r="A170" s="555"/>
      <c r="B170" s="555"/>
      <c r="C170" s="555"/>
      <c r="D170" s="555"/>
      <c r="E170" s="555"/>
      <c r="F170" s="555"/>
      <c r="H170" s="555"/>
      <c r="P170" s="565"/>
      <c r="R170" s="565"/>
      <c r="T170" s="555"/>
      <c r="V170" s="565"/>
      <c r="X170" s="565"/>
      <c r="Z170" s="555"/>
      <c r="AB170" s="565"/>
      <c r="AD170" s="565"/>
      <c r="AG170" s="555"/>
    </row>
    <row r="171" spans="1:33" s="583" customFormat="1" ht="15">
      <c r="A171" s="555"/>
      <c r="B171" s="555"/>
      <c r="C171" s="555"/>
      <c r="D171" s="555"/>
      <c r="E171" s="555"/>
      <c r="F171" s="555"/>
      <c r="H171" s="555"/>
      <c r="P171" s="565"/>
      <c r="R171" s="565"/>
      <c r="T171" s="555"/>
      <c r="V171" s="565"/>
      <c r="X171" s="565"/>
      <c r="Z171" s="555"/>
      <c r="AB171" s="565"/>
      <c r="AD171" s="565"/>
      <c r="AG171" s="555"/>
    </row>
    <row r="172" spans="1:33" s="583" customFormat="1" ht="15">
      <c r="A172" s="555"/>
      <c r="B172" s="555"/>
      <c r="C172" s="555"/>
      <c r="D172" s="555"/>
      <c r="E172" s="555"/>
      <c r="F172" s="555"/>
      <c r="H172" s="555"/>
      <c r="P172" s="565"/>
      <c r="R172" s="565"/>
      <c r="T172" s="555"/>
      <c r="V172" s="565"/>
      <c r="X172" s="565"/>
      <c r="Z172" s="555"/>
      <c r="AB172" s="565"/>
      <c r="AD172" s="565"/>
      <c r="AG172" s="555"/>
    </row>
    <row r="173" spans="1:33" s="583" customFormat="1" ht="15">
      <c r="A173" s="555"/>
      <c r="B173" s="555"/>
      <c r="C173" s="555"/>
      <c r="D173" s="555"/>
      <c r="E173" s="555"/>
      <c r="F173" s="555"/>
      <c r="H173" s="555"/>
      <c r="P173" s="565"/>
      <c r="R173" s="565"/>
      <c r="T173" s="555"/>
      <c r="V173" s="565"/>
      <c r="X173" s="565"/>
      <c r="Z173" s="555"/>
      <c r="AB173" s="565"/>
      <c r="AD173" s="565"/>
      <c r="AG173" s="555"/>
    </row>
    <row r="174" spans="1:33" s="583" customFormat="1" ht="15">
      <c r="A174" s="555"/>
      <c r="B174" s="555"/>
      <c r="C174" s="555"/>
      <c r="D174" s="555"/>
      <c r="E174" s="555"/>
      <c r="F174" s="555"/>
      <c r="H174" s="555"/>
      <c r="P174" s="565"/>
      <c r="R174" s="565"/>
      <c r="T174" s="555"/>
      <c r="V174" s="565"/>
      <c r="X174" s="565"/>
      <c r="Z174" s="555"/>
      <c r="AB174" s="565"/>
      <c r="AD174" s="565"/>
      <c r="AG174" s="555"/>
    </row>
    <row r="175" spans="1:33" s="583" customFormat="1" ht="15">
      <c r="A175" s="555"/>
      <c r="B175" s="555"/>
      <c r="C175" s="555"/>
      <c r="D175" s="555"/>
      <c r="E175" s="555"/>
      <c r="F175" s="555"/>
      <c r="H175" s="555"/>
      <c r="P175" s="565"/>
      <c r="R175" s="565"/>
      <c r="T175" s="555"/>
      <c r="V175" s="565"/>
      <c r="X175" s="565"/>
      <c r="Z175" s="555"/>
      <c r="AB175" s="565"/>
      <c r="AD175" s="565"/>
      <c r="AG175" s="555"/>
    </row>
    <row r="176" spans="1:33" s="583" customFormat="1" ht="15">
      <c r="A176" s="555"/>
      <c r="B176" s="555"/>
      <c r="C176" s="555"/>
      <c r="D176" s="555"/>
      <c r="E176" s="555"/>
      <c r="F176" s="555"/>
      <c r="H176" s="555"/>
      <c r="P176" s="565"/>
      <c r="R176" s="565"/>
      <c r="T176" s="555"/>
      <c r="V176" s="565"/>
      <c r="X176" s="565"/>
      <c r="Z176" s="555"/>
      <c r="AB176" s="565"/>
      <c r="AD176" s="565"/>
      <c r="AG176" s="555"/>
    </row>
    <row r="177" spans="1:33" s="583" customFormat="1" ht="15">
      <c r="A177" s="555"/>
      <c r="B177" s="555"/>
      <c r="C177" s="555"/>
      <c r="D177" s="555"/>
      <c r="E177" s="555"/>
      <c r="F177" s="555"/>
      <c r="H177" s="555"/>
      <c r="P177" s="565"/>
      <c r="R177" s="565"/>
      <c r="T177" s="555"/>
      <c r="V177" s="565"/>
      <c r="X177" s="565"/>
      <c r="Z177" s="555"/>
      <c r="AB177" s="565"/>
      <c r="AD177" s="565"/>
      <c r="AG177" s="555"/>
    </row>
    <row r="178" spans="1:33" s="583" customFormat="1" ht="15">
      <c r="A178" s="555"/>
      <c r="B178" s="555"/>
      <c r="C178" s="555"/>
      <c r="D178" s="555"/>
      <c r="E178" s="555"/>
      <c r="F178" s="555"/>
      <c r="H178" s="555"/>
      <c r="P178" s="565"/>
      <c r="R178" s="565"/>
      <c r="T178" s="555"/>
      <c r="V178" s="565"/>
      <c r="X178" s="565"/>
      <c r="Z178" s="555"/>
      <c r="AB178" s="565"/>
      <c r="AD178" s="565"/>
      <c r="AG178" s="555"/>
    </row>
    <row r="179" spans="1:33" s="583" customFormat="1" ht="15">
      <c r="A179" s="555"/>
      <c r="B179" s="555"/>
      <c r="C179" s="555"/>
      <c r="D179" s="555"/>
      <c r="E179" s="555"/>
      <c r="F179" s="555"/>
      <c r="H179" s="555"/>
      <c r="P179" s="565"/>
      <c r="R179" s="565"/>
      <c r="T179" s="555"/>
      <c r="V179" s="565"/>
      <c r="X179" s="565"/>
      <c r="Z179" s="555"/>
      <c r="AB179" s="565"/>
      <c r="AD179" s="565"/>
      <c r="AG179" s="555"/>
    </row>
    <row r="180" spans="1:33" s="583" customFormat="1" ht="15">
      <c r="A180" s="555"/>
      <c r="B180" s="555"/>
      <c r="C180" s="555"/>
      <c r="D180" s="555"/>
      <c r="E180" s="555"/>
      <c r="F180" s="555"/>
      <c r="H180" s="555"/>
      <c r="P180" s="565"/>
      <c r="R180" s="565"/>
      <c r="T180" s="555"/>
      <c r="V180" s="565"/>
      <c r="X180" s="565"/>
      <c r="Z180" s="555"/>
      <c r="AB180" s="565"/>
      <c r="AD180" s="565"/>
      <c r="AG180" s="555"/>
    </row>
    <row r="181" spans="1:33" s="583" customFormat="1" ht="15">
      <c r="A181" s="555"/>
      <c r="B181" s="555"/>
      <c r="C181" s="555"/>
      <c r="D181" s="555"/>
      <c r="E181" s="555"/>
      <c r="F181" s="555"/>
      <c r="H181" s="555"/>
      <c r="P181" s="565"/>
      <c r="R181" s="565"/>
      <c r="T181" s="555"/>
      <c r="V181" s="565"/>
      <c r="X181" s="565"/>
      <c r="Z181" s="555"/>
      <c r="AB181" s="565"/>
      <c r="AD181" s="565"/>
      <c r="AG181" s="555"/>
    </row>
    <row r="182" spans="1:33" s="583" customFormat="1" ht="15">
      <c r="A182" s="555"/>
      <c r="B182" s="555"/>
      <c r="C182" s="555"/>
      <c r="D182" s="555"/>
      <c r="E182" s="555"/>
      <c r="F182" s="555"/>
      <c r="H182" s="555"/>
      <c r="P182" s="565"/>
      <c r="R182" s="565"/>
      <c r="T182" s="555"/>
      <c r="V182" s="565"/>
      <c r="X182" s="565"/>
      <c r="Z182" s="555"/>
      <c r="AB182" s="565"/>
      <c r="AD182" s="565"/>
      <c r="AG182" s="555"/>
    </row>
    <row r="183" spans="1:33" s="583" customFormat="1" ht="15">
      <c r="A183" s="555"/>
      <c r="B183" s="555"/>
      <c r="C183" s="555"/>
      <c r="D183" s="555"/>
      <c r="E183" s="555"/>
      <c r="F183" s="555"/>
      <c r="H183" s="555"/>
      <c r="P183" s="565"/>
      <c r="R183" s="565"/>
      <c r="T183" s="555"/>
      <c r="V183" s="565"/>
      <c r="X183" s="565"/>
      <c r="Z183" s="555"/>
      <c r="AB183" s="565"/>
      <c r="AD183" s="565"/>
      <c r="AG183" s="555"/>
    </row>
    <row r="184" spans="1:33" s="583" customFormat="1" ht="15">
      <c r="A184" s="555"/>
      <c r="B184" s="555"/>
      <c r="C184" s="555"/>
      <c r="D184" s="555"/>
      <c r="E184" s="555"/>
      <c r="F184" s="555"/>
      <c r="H184" s="555"/>
      <c r="P184" s="565"/>
      <c r="R184" s="565"/>
      <c r="T184" s="555"/>
      <c r="V184" s="565"/>
      <c r="X184" s="565"/>
      <c r="Z184" s="555"/>
      <c r="AB184" s="565"/>
      <c r="AD184" s="565"/>
      <c r="AG184" s="555"/>
    </row>
    <row r="185" spans="1:33" s="583" customFormat="1" ht="15">
      <c r="A185" s="555"/>
      <c r="B185" s="555"/>
      <c r="C185" s="555"/>
      <c r="D185" s="555"/>
      <c r="E185" s="555"/>
      <c r="F185" s="555"/>
      <c r="H185" s="555"/>
      <c r="P185" s="565"/>
      <c r="R185" s="565"/>
      <c r="T185" s="555"/>
      <c r="V185" s="565"/>
      <c r="X185" s="565"/>
      <c r="Z185" s="555"/>
      <c r="AB185" s="565"/>
      <c r="AD185" s="565"/>
      <c r="AG185" s="555"/>
    </row>
    <row r="186" spans="1:33" s="583" customFormat="1" ht="15">
      <c r="A186" s="555"/>
      <c r="B186" s="555"/>
      <c r="C186" s="555"/>
      <c r="D186" s="555"/>
      <c r="E186" s="555"/>
      <c r="F186" s="555"/>
      <c r="H186" s="555"/>
      <c r="P186" s="565"/>
      <c r="R186" s="565"/>
      <c r="T186" s="555"/>
      <c r="V186" s="565"/>
      <c r="X186" s="565"/>
      <c r="Z186" s="555"/>
      <c r="AB186" s="565"/>
      <c r="AD186" s="565"/>
      <c r="AG186" s="555"/>
    </row>
    <row r="187" spans="1:33" s="583" customFormat="1" ht="15">
      <c r="A187" s="555"/>
      <c r="B187" s="555"/>
      <c r="C187" s="555"/>
      <c r="D187" s="555"/>
      <c r="E187" s="555"/>
      <c r="F187" s="555"/>
      <c r="H187" s="555"/>
      <c r="P187" s="565"/>
      <c r="R187" s="565"/>
      <c r="T187" s="555"/>
      <c r="V187" s="565"/>
      <c r="X187" s="565"/>
      <c r="Z187" s="555"/>
      <c r="AB187" s="565"/>
      <c r="AD187" s="565"/>
      <c r="AG187" s="555"/>
    </row>
    <row r="188" spans="1:33" s="583" customFormat="1" ht="15">
      <c r="A188" s="555"/>
      <c r="B188" s="555"/>
      <c r="C188" s="555"/>
      <c r="D188" s="555"/>
      <c r="E188" s="555"/>
      <c r="F188" s="555"/>
      <c r="H188" s="555"/>
      <c r="P188" s="565"/>
      <c r="R188" s="565"/>
      <c r="T188" s="555"/>
      <c r="V188" s="565"/>
      <c r="X188" s="565"/>
      <c r="Z188" s="555"/>
      <c r="AB188" s="565"/>
      <c r="AD188" s="565"/>
      <c r="AG188" s="555"/>
    </row>
    <row r="189" spans="1:33" s="583" customFormat="1" ht="15">
      <c r="A189" s="555"/>
      <c r="B189" s="555"/>
      <c r="C189" s="555"/>
      <c r="D189" s="555"/>
      <c r="E189" s="555"/>
      <c r="F189" s="555"/>
      <c r="H189" s="555"/>
      <c r="P189" s="565"/>
      <c r="R189" s="565"/>
      <c r="T189" s="555"/>
      <c r="V189" s="565"/>
      <c r="X189" s="565"/>
      <c r="Z189" s="555"/>
      <c r="AB189" s="565"/>
      <c r="AD189" s="565"/>
      <c r="AG189" s="555"/>
    </row>
    <row r="190" spans="1:33" s="583" customFormat="1" ht="15">
      <c r="A190" s="555"/>
      <c r="B190" s="555"/>
      <c r="C190" s="555"/>
      <c r="D190" s="555"/>
      <c r="E190" s="555"/>
      <c r="F190" s="555"/>
      <c r="H190" s="555"/>
      <c r="P190" s="565"/>
      <c r="R190" s="565"/>
      <c r="T190" s="555"/>
      <c r="V190" s="565"/>
      <c r="X190" s="565"/>
      <c r="Z190" s="555"/>
      <c r="AB190" s="565"/>
      <c r="AD190" s="565"/>
      <c r="AG190" s="555"/>
    </row>
    <row r="191" spans="1:33" s="583" customFormat="1" ht="15">
      <c r="A191" s="555"/>
      <c r="B191" s="555"/>
      <c r="C191" s="555"/>
      <c r="D191" s="555"/>
      <c r="E191" s="555"/>
      <c r="F191" s="555"/>
      <c r="H191" s="555"/>
      <c r="P191" s="565"/>
      <c r="R191" s="565"/>
      <c r="T191" s="555"/>
      <c r="V191" s="565"/>
      <c r="X191" s="565"/>
      <c r="Z191" s="555"/>
      <c r="AB191" s="565"/>
      <c r="AD191" s="565"/>
      <c r="AG191" s="555"/>
    </row>
    <row r="192" spans="1:33" s="583" customFormat="1" ht="15">
      <c r="A192" s="555"/>
      <c r="B192" s="555"/>
      <c r="C192" s="555"/>
      <c r="D192" s="555"/>
      <c r="E192" s="555"/>
      <c r="F192" s="555"/>
      <c r="H192" s="555"/>
      <c r="P192" s="565"/>
      <c r="R192" s="565"/>
      <c r="T192" s="555"/>
      <c r="V192" s="565"/>
      <c r="X192" s="565"/>
      <c r="Z192" s="555"/>
      <c r="AB192" s="565"/>
      <c r="AD192" s="565"/>
      <c r="AG192" s="555"/>
    </row>
    <row r="193" spans="1:33" s="583" customFormat="1" ht="15">
      <c r="A193" s="555"/>
      <c r="B193" s="555"/>
      <c r="C193" s="555"/>
      <c r="D193" s="555"/>
      <c r="E193" s="555"/>
      <c r="F193" s="555"/>
      <c r="H193" s="555"/>
      <c r="P193" s="565"/>
      <c r="R193" s="565"/>
      <c r="T193" s="555"/>
      <c r="V193" s="565"/>
      <c r="X193" s="565"/>
      <c r="Z193" s="555"/>
      <c r="AB193" s="565"/>
      <c r="AD193" s="565"/>
      <c r="AG193" s="555"/>
    </row>
    <row r="194" spans="1:33" s="583" customFormat="1" ht="15">
      <c r="A194" s="555"/>
      <c r="B194" s="555"/>
      <c r="C194" s="555"/>
      <c r="D194" s="555"/>
      <c r="E194" s="555"/>
      <c r="F194" s="555"/>
      <c r="H194" s="555"/>
      <c r="P194" s="565"/>
      <c r="R194" s="565"/>
      <c r="T194" s="555"/>
      <c r="V194" s="565"/>
      <c r="X194" s="565"/>
      <c r="Z194" s="555"/>
      <c r="AB194" s="565"/>
      <c r="AD194" s="565"/>
      <c r="AG194" s="555"/>
    </row>
    <row r="195" spans="1:33" s="583" customFormat="1" ht="15">
      <c r="A195" s="555"/>
      <c r="B195" s="555"/>
      <c r="C195" s="555"/>
      <c r="D195" s="555"/>
      <c r="E195" s="555"/>
      <c r="F195" s="555"/>
      <c r="H195" s="555"/>
      <c r="P195" s="565"/>
      <c r="R195" s="565"/>
      <c r="T195" s="555"/>
      <c r="V195" s="565"/>
      <c r="X195" s="565"/>
      <c r="Z195" s="555"/>
      <c r="AB195" s="565"/>
      <c r="AD195" s="565"/>
      <c r="AG195" s="555"/>
    </row>
    <row r="196" spans="1:33" s="583" customFormat="1" ht="15">
      <c r="A196" s="555"/>
      <c r="B196" s="555"/>
      <c r="C196" s="555"/>
      <c r="D196" s="555"/>
      <c r="E196" s="555"/>
      <c r="F196" s="555"/>
      <c r="H196" s="555"/>
      <c r="P196" s="565"/>
      <c r="R196" s="565"/>
      <c r="T196" s="555"/>
      <c r="V196" s="565"/>
      <c r="X196" s="565"/>
      <c r="Z196" s="555"/>
      <c r="AB196" s="565"/>
      <c r="AD196" s="565"/>
      <c r="AG196" s="555"/>
    </row>
    <row r="197" spans="1:33" s="583" customFormat="1" ht="15">
      <c r="A197" s="555"/>
      <c r="B197" s="555"/>
      <c r="C197" s="555"/>
      <c r="D197" s="555"/>
      <c r="E197" s="555"/>
      <c r="F197" s="555"/>
      <c r="H197" s="555"/>
      <c r="P197" s="565"/>
      <c r="R197" s="565"/>
      <c r="T197" s="555"/>
      <c r="V197" s="565"/>
      <c r="X197" s="565"/>
      <c r="Z197" s="555"/>
      <c r="AB197" s="565"/>
      <c r="AD197" s="565"/>
      <c r="AG197" s="555"/>
    </row>
    <row r="198" spans="1:33" s="583" customFormat="1" ht="15">
      <c r="A198" s="555"/>
      <c r="B198" s="555"/>
      <c r="C198" s="555"/>
      <c r="D198" s="555"/>
      <c r="E198" s="555"/>
      <c r="F198" s="555"/>
      <c r="H198" s="555"/>
      <c r="P198" s="565"/>
      <c r="R198" s="565"/>
      <c r="T198" s="555"/>
      <c r="V198" s="565"/>
      <c r="X198" s="565"/>
      <c r="Z198" s="555"/>
      <c r="AB198" s="565"/>
      <c r="AD198" s="565"/>
      <c r="AG198" s="555"/>
    </row>
    <row r="199" spans="1:33" s="583" customFormat="1" ht="15">
      <c r="A199" s="555"/>
      <c r="B199" s="555"/>
      <c r="C199" s="555"/>
      <c r="D199" s="555"/>
      <c r="E199" s="555"/>
      <c r="F199" s="555"/>
      <c r="H199" s="555"/>
      <c r="P199" s="565"/>
      <c r="R199" s="565"/>
      <c r="T199" s="555"/>
      <c r="V199" s="565"/>
      <c r="X199" s="565"/>
      <c r="Z199" s="555"/>
      <c r="AB199" s="565"/>
      <c r="AD199" s="565"/>
      <c r="AG199" s="555"/>
    </row>
    <row r="200" spans="1:33" s="583" customFormat="1" ht="15">
      <c r="A200" s="555"/>
      <c r="B200" s="555"/>
      <c r="C200" s="555"/>
      <c r="D200" s="555"/>
      <c r="E200" s="555"/>
      <c r="F200" s="555"/>
      <c r="H200" s="555"/>
      <c r="P200" s="565"/>
      <c r="R200" s="565"/>
      <c r="T200" s="555"/>
      <c r="V200" s="565"/>
      <c r="X200" s="565"/>
      <c r="Z200" s="555"/>
      <c r="AB200" s="565"/>
      <c r="AD200" s="565"/>
      <c r="AG200" s="555"/>
    </row>
    <row r="201" spans="1:33" s="583" customFormat="1" ht="15">
      <c r="A201" s="555"/>
      <c r="B201" s="555"/>
      <c r="C201" s="555"/>
      <c r="D201" s="555"/>
      <c r="E201" s="555"/>
      <c r="F201" s="555"/>
      <c r="H201" s="555"/>
      <c r="P201" s="565"/>
      <c r="R201" s="565"/>
      <c r="T201" s="555"/>
      <c r="V201" s="565"/>
      <c r="X201" s="565"/>
      <c r="Z201" s="555"/>
      <c r="AB201" s="565"/>
      <c r="AD201" s="565"/>
      <c r="AG201" s="555"/>
    </row>
    <row r="202" spans="1:33" s="583" customFormat="1" ht="15">
      <c r="A202" s="555"/>
      <c r="B202" s="555"/>
      <c r="C202" s="555"/>
      <c r="D202" s="555"/>
      <c r="E202" s="555"/>
      <c r="F202" s="555"/>
      <c r="H202" s="555"/>
      <c r="P202" s="565"/>
      <c r="R202" s="565"/>
      <c r="T202" s="555"/>
      <c r="V202" s="565"/>
      <c r="X202" s="565"/>
      <c r="Z202" s="555"/>
      <c r="AB202" s="565"/>
      <c r="AD202" s="565"/>
      <c r="AG202" s="555"/>
    </row>
    <row r="203" spans="1:33" s="583" customFormat="1" ht="15">
      <c r="A203" s="555"/>
      <c r="B203" s="555"/>
      <c r="C203" s="555"/>
      <c r="D203" s="555"/>
      <c r="E203" s="555"/>
      <c r="F203" s="555"/>
      <c r="H203" s="555"/>
      <c r="P203" s="565"/>
      <c r="R203" s="565"/>
      <c r="T203" s="555"/>
      <c r="V203" s="565"/>
      <c r="X203" s="565"/>
      <c r="Z203" s="555"/>
      <c r="AB203" s="565"/>
      <c r="AD203" s="565"/>
      <c r="AG203" s="555"/>
    </row>
    <row r="204" spans="1:33" s="583" customFormat="1" ht="15">
      <c r="A204" s="555"/>
      <c r="B204" s="555"/>
      <c r="C204" s="555"/>
      <c r="D204" s="555"/>
      <c r="E204" s="555"/>
      <c r="F204" s="555"/>
      <c r="H204" s="555"/>
      <c r="P204" s="565"/>
      <c r="R204" s="565"/>
      <c r="T204" s="555"/>
      <c r="V204" s="565"/>
      <c r="X204" s="565"/>
      <c r="Z204" s="555"/>
      <c r="AB204" s="565"/>
      <c r="AD204" s="565"/>
      <c r="AG204" s="555"/>
    </row>
    <row r="205" spans="1:33" s="583" customFormat="1" ht="15">
      <c r="A205" s="555"/>
      <c r="B205" s="555"/>
      <c r="C205" s="555"/>
      <c r="D205" s="555"/>
      <c r="E205" s="555"/>
      <c r="F205" s="555"/>
      <c r="H205" s="555"/>
      <c r="P205" s="565"/>
      <c r="R205" s="565"/>
      <c r="T205" s="555"/>
      <c r="V205" s="565"/>
      <c r="X205" s="565"/>
      <c r="Z205" s="555"/>
      <c r="AB205" s="565"/>
      <c r="AD205" s="565"/>
      <c r="AG205" s="555"/>
    </row>
    <row r="206" spans="1:33" s="583" customFormat="1" ht="15">
      <c r="A206" s="555"/>
      <c r="B206" s="555"/>
      <c r="C206" s="555"/>
      <c r="D206" s="555"/>
      <c r="E206" s="555"/>
      <c r="F206" s="555"/>
      <c r="H206" s="555"/>
      <c r="P206" s="565"/>
      <c r="R206" s="565"/>
      <c r="T206" s="555"/>
      <c r="V206" s="565"/>
      <c r="X206" s="565"/>
      <c r="Z206" s="555"/>
      <c r="AB206" s="565"/>
      <c r="AD206" s="565"/>
      <c r="AG206" s="555"/>
    </row>
    <row r="207" spans="1:33" s="583" customFormat="1" ht="15">
      <c r="A207" s="555"/>
      <c r="B207" s="555"/>
      <c r="C207" s="555"/>
      <c r="D207" s="555"/>
      <c r="E207" s="555"/>
      <c r="F207" s="555"/>
      <c r="H207" s="555"/>
      <c r="P207" s="565"/>
      <c r="R207" s="565"/>
      <c r="T207" s="555"/>
      <c r="V207" s="565"/>
      <c r="X207" s="565"/>
      <c r="Z207" s="555"/>
      <c r="AB207" s="565"/>
      <c r="AD207" s="565"/>
      <c r="AG207" s="555"/>
    </row>
    <row r="208" spans="1:33" s="583" customFormat="1" ht="15">
      <c r="A208" s="555"/>
      <c r="B208" s="555"/>
      <c r="C208" s="555"/>
      <c r="D208" s="555"/>
      <c r="E208" s="555"/>
      <c r="F208" s="555"/>
      <c r="H208" s="555"/>
      <c r="P208" s="565"/>
      <c r="R208" s="565"/>
      <c r="T208" s="555"/>
      <c r="V208" s="565"/>
      <c r="X208" s="565"/>
      <c r="Z208" s="555"/>
      <c r="AB208" s="565"/>
      <c r="AD208" s="565"/>
      <c r="AG208" s="555"/>
    </row>
    <row r="209" spans="1:33" s="583" customFormat="1" ht="15">
      <c r="A209" s="555"/>
      <c r="B209" s="555"/>
      <c r="C209" s="555"/>
      <c r="D209" s="555"/>
      <c r="E209" s="555"/>
      <c r="F209" s="555"/>
      <c r="H209" s="555"/>
      <c r="P209" s="565"/>
      <c r="R209" s="565"/>
      <c r="T209" s="555"/>
      <c r="V209" s="565"/>
      <c r="X209" s="565"/>
      <c r="Z209" s="555"/>
      <c r="AB209" s="565"/>
      <c r="AD209" s="565"/>
      <c r="AG209" s="555"/>
    </row>
    <row r="210" spans="1:33" s="583" customFormat="1" ht="15">
      <c r="A210" s="555"/>
      <c r="B210" s="555"/>
      <c r="C210" s="555"/>
      <c r="D210" s="555"/>
      <c r="E210" s="555"/>
      <c r="F210" s="555"/>
      <c r="H210" s="555"/>
      <c r="P210" s="565"/>
      <c r="R210" s="565"/>
      <c r="T210" s="555"/>
      <c r="V210" s="565"/>
      <c r="X210" s="565"/>
      <c r="Z210" s="555"/>
      <c r="AB210" s="565"/>
      <c r="AD210" s="565"/>
      <c r="AG210" s="555"/>
    </row>
    <row r="211" spans="1:33" s="583" customFormat="1" ht="15">
      <c r="A211" s="555"/>
      <c r="B211" s="555"/>
      <c r="C211" s="555"/>
      <c r="D211" s="555"/>
      <c r="E211" s="555"/>
      <c r="F211" s="555"/>
      <c r="H211" s="555"/>
      <c r="P211" s="565"/>
      <c r="R211" s="565"/>
      <c r="T211" s="555"/>
      <c r="V211" s="565"/>
      <c r="X211" s="565"/>
      <c r="Z211" s="555"/>
      <c r="AB211" s="565"/>
      <c r="AD211" s="565"/>
      <c r="AG211" s="555"/>
    </row>
    <row r="212" spans="1:33" s="583" customFormat="1" ht="15">
      <c r="A212" s="555"/>
      <c r="B212" s="555"/>
      <c r="C212" s="555"/>
      <c r="D212" s="555"/>
      <c r="E212" s="555"/>
      <c r="F212" s="555"/>
      <c r="H212" s="555"/>
      <c r="P212" s="565"/>
      <c r="R212" s="565"/>
      <c r="T212" s="555"/>
      <c r="V212" s="565"/>
      <c r="X212" s="565"/>
      <c r="Z212" s="555"/>
      <c r="AB212" s="565"/>
      <c r="AD212" s="565"/>
      <c r="AG212" s="555"/>
    </row>
    <row r="213" spans="1:33" s="583" customFormat="1" ht="15">
      <c r="A213" s="555"/>
      <c r="B213" s="555"/>
      <c r="C213" s="555"/>
      <c r="D213" s="555"/>
      <c r="E213" s="555"/>
      <c r="F213" s="555"/>
      <c r="H213" s="555"/>
      <c r="P213" s="565"/>
      <c r="R213" s="565"/>
      <c r="T213" s="555"/>
      <c r="V213" s="565"/>
      <c r="X213" s="565"/>
      <c r="Z213" s="555"/>
      <c r="AB213" s="565"/>
      <c r="AD213" s="565"/>
      <c r="AG213" s="555"/>
    </row>
    <row r="214" spans="1:33" s="583" customFormat="1" ht="15">
      <c r="A214" s="555"/>
      <c r="B214" s="555"/>
      <c r="C214" s="555"/>
      <c r="D214" s="555"/>
      <c r="E214" s="555"/>
      <c r="F214" s="555"/>
      <c r="H214" s="555"/>
      <c r="P214" s="565"/>
      <c r="R214" s="565"/>
      <c r="T214" s="555"/>
      <c r="V214" s="565"/>
      <c r="X214" s="565"/>
      <c r="Z214" s="555"/>
      <c r="AB214" s="565"/>
      <c r="AD214" s="565"/>
      <c r="AG214" s="555"/>
    </row>
    <row r="215" spans="1:33" s="583" customFormat="1" ht="15">
      <c r="A215" s="555"/>
      <c r="B215" s="555"/>
      <c r="C215" s="555"/>
      <c r="D215" s="555"/>
      <c r="E215" s="555"/>
      <c r="F215" s="555"/>
      <c r="H215" s="555"/>
      <c r="P215" s="565"/>
      <c r="R215" s="565"/>
      <c r="T215" s="555"/>
      <c r="V215" s="565"/>
      <c r="X215" s="565"/>
      <c r="Z215" s="555"/>
      <c r="AB215" s="565"/>
      <c r="AD215" s="565"/>
      <c r="AG215" s="555"/>
    </row>
    <row r="216" spans="1:33" s="583" customFormat="1" ht="15">
      <c r="A216" s="555"/>
      <c r="B216" s="555"/>
      <c r="C216" s="555"/>
      <c r="D216" s="555"/>
      <c r="E216" s="555"/>
      <c r="F216" s="555"/>
      <c r="H216" s="555"/>
      <c r="P216" s="565"/>
      <c r="R216" s="565"/>
      <c r="T216" s="555"/>
      <c r="V216" s="565"/>
      <c r="X216" s="565"/>
      <c r="Z216" s="555"/>
      <c r="AB216" s="565"/>
      <c r="AD216" s="565"/>
      <c r="AG216" s="555"/>
    </row>
    <row r="217" spans="1:33" s="583" customFormat="1" ht="15">
      <c r="A217" s="555"/>
      <c r="B217" s="555"/>
      <c r="C217" s="555"/>
      <c r="D217" s="555"/>
      <c r="E217" s="555"/>
      <c r="F217" s="555"/>
      <c r="H217" s="555"/>
      <c r="P217" s="565"/>
      <c r="R217" s="565"/>
      <c r="T217" s="555"/>
      <c r="V217" s="565"/>
      <c r="X217" s="565"/>
      <c r="Z217" s="555"/>
      <c r="AB217" s="565"/>
      <c r="AD217" s="565"/>
      <c r="AG217" s="555"/>
    </row>
    <row r="218" spans="1:33" s="583" customFormat="1" ht="15">
      <c r="A218" s="555"/>
      <c r="B218" s="555"/>
      <c r="C218" s="555"/>
      <c r="D218" s="555"/>
      <c r="E218" s="555"/>
      <c r="F218" s="555"/>
      <c r="H218" s="555"/>
      <c r="P218" s="565"/>
      <c r="R218" s="565"/>
      <c r="T218" s="555"/>
      <c r="V218" s="565"/>
      <c r="X218" s="565"/>
      <c r="Z218" s="555"/>
      <c r="AB218" s="565"/>
      <c r="AD218" s="565"/>
      <c r="AG218" s="555"/>
    </row>
    <row r="219" spans="1:33" s="583" customFormat="1" ht="15">
      <c r="A219" s="555"/>
      <c r="B219" s="555"/>
      <c r="C219" s="555"/>
      <c r="D219" s="555"/>
      <c r="E219" s="555"/>
      <c r="F219" s="555"/>
      <c r="H219" s="555"/>
      <c r="P219" s="565"/>
      <c r="R219" s="565"/>
      <c r="T219" s="555"/>
      <c r="V219" s="565"/>
      <c r="X219" s="565"/>
      <c r="Z219" s="555"/>
      <c r="AB219" s="565"/>
      <c r="AD219" s="565"/>
      <c r="AG219" s="555"/>
    </row>
    <row r="220" spans="1:33" s="583" customFormat="1" ht="15">
      <c r="A220" s="555"/>
      <c r="B220" s="555"/>
      <c r="C220" s="555"/>
      <c r="D220" s="555"/>
      <c r="E220" s="555"/>
      <c r="F220" s="555"/>
      <c r="H220" s="555"/>
      <c r="P220" s="565"/>
      <c r="R220" s="565"/>
      <c r="T220" s="555"/>
      <c r="V220" s="565"/>
      <c r="X220" s="565"/>
      <c r="Z220" s="555"/>
      <c r="AB220" s="565"/>
      <c r="AD220" s="565"/>
      <c r="AG220" s="555"/>
    </row>
    <row r="221" spans="1:33" s="583" customFormat="1" ht="15">
      <c r="A221" s="555"/>
      <c r="B221" s="555"/>
      <c r="C221" s="555"/>
      <c r="D221" s="555"/>
      <c r="E221" s="555"/>
      <c r="F221" s="555"/>
      <c r="H221" s="555"/>
      <c r="P221" s="565"/>
      <c r="R221" s="565"/>
      <c r="T221" s="555"/>
      <c r="V221" s="565"/>
      <c r="X221" s="565"/>
      <c r="Z221" s="555"/>
      <c r="AB221" s="565"/>
      <c r="AD221" s="565"/>
      <c r="AG221" s="555"/>
    </row>
    <row r="222" spans="1:33" s="583" customFormat="1" ht="15">
      <c r="A222" s="555"/>
      <c r="B222" s="555"/>
      <c r="C222" s="555"/>
      <c r="D222" s="555"/>
      <c r="E222" s="555"/>
      <c r="F222" s="555"/>
      <c r="H222" s="555"/>
      <c r="P222" s="565"/>
      <c r="R222" s="565"/>
      <c r="T222" s="555"/>
      <c r="V222" s="565"/>
      <c r="X222" s="565"/>
      <c r="Z222" s="555"/>
      <c r="AB222" s="565"/>
      <c r="AD222" s="565"/>
      <c r="AG222" s="555"/>
    </row>
    <row r="223" spans="1:33" s="583" customFormat="1" ht="15">
      <c r="A223" s="555"/>
      <c r="B223" s="555"/>
      <c r="C223" s="555"/>
      <c r="D223" s="555"/>
      <c r="E223" s="555"/>
      <c r="F223" s="555"/>
      <c r="H223" s="555"/>
      <c r="P223" s="565"/>
      <c r="R223" s="565"/>
      <c r="T223" s="555"/>
      <c r="V223" s="565"/>
      <c r="X223" s="565"/>
      <c r="Z223" s="555"/>
      <c r="AB223" s="565"/>
      <c r="AD223" s="565"/>
      <c r="AG223" s="555"/>
    </row>
    <row r="224" spans="1:33" s="583" customFormat="1" ht="15">
      <c r="A224" s="555"/>
      <c r="B224" s="555"/>
      <c r="C224" s="555"/>
      <c r="D224" s="555"/>
      <c r="E224" s="555"/>
      <c r="F224" s="555"/>
      <c r="H224" s="555"/>
      <c r="P224" s="565"/>
      <c r="R224" s="565"/>
      <c r="T224" s="555"/>
      <c r="V224" s="565"/>
      <c r="X224" s="565"/>
      <c r="Z224" s="555"/>
      <c r="AB224" s="565"/>
      <c r="AD224" s="565"/>
      <c r="AG224" s="555"/>
    </row>
    <row r="225" spans="1:33" s="583" customFormat="1" ht="15">
      <c r="A225" s="555"/>
      <c r="B225" s="555"/>
      <c r="C225" s="555"/>
      <c r="D225" s="555"/>
      <c r="E225" s="555"/>
      <c r="F225" s="555"/>
      <c r="H225" s="555"/>
      <c r="P225" s="565"/>
      <c r="R225" s="565"/>
      <c r="T225" s="555"/>
      <c r="V225" s="565"/>
      <c r="X225" s="565"/>
      <c r="Z225" s="555"/>
      <c r="AB225" s="565"/>
      <c r="AD225" s="565"/>
      <c r="AG225" s="555"/>
    </row>
    <row r="226" spans="1:33" s="583" customFormat="1" ht="15">
      <c r="A226" s="555"/>
      <c r="B226" s="555"/>
      <c r="C226" s="555"/>
      <c r="D226" s="555"/>
      <c r="E226" s="555"/>
      <c r="F226" s="555"/>
      <c r="H226" s="555"/>
      <c r="P226" s="565"/>
      <c r="R226" s="565"/>
      <c r="T226" s="555"/>
      <c r="V226" s="565"/>
      <c r="X226" s="565"/>
      <c r="Z226" s="555"/>
      <c r="AB226" s="565"/>
      <c r="AD226" s="565"/>
      <c r="AG226" s="555"/>
    </row>
    <row r="227" spans="1:33" s="583" customFormat="1" ht="15">
      <c r="A227" s="555"/>
      <c r="B227" s="555"/>
      <c r="C227" s="555"/>
      <c r="D227" s="555"/>
      <c r="E227" s="555"/>
      <c r="F227" s="555"/>
      <c r="H227" s="555"/>
      <c r="P227" s="565"/>
      <c r="R227" s="565"/>
      <c r="T227" s="555"/>
      <c r="V227" s="565"/>
      <c r="X227" s="565"/>
      <c r="Z227" s="555"/>
      <c r="AB227" s="565"/>
      <c r="AD227" s="565"/>
      <c r="AG227" s="555"/>
    </row>
    <row r="228" spans="1:33" s="583" customFormat="1" ht="15">
      <c r="A228" s="555"/>
      <c r="B228" s="555"/>
      <c r="C228" s="555"/>
      <c r="D228" s="555"/>
      <c r="E228" s="555"/>
      <c r="F228" s="555"/>
      <c r="H228" s="555"/>
      <c r="P228" s="565"/>
      <c r="R228" s="565"/>
      <c r="T228" s="555"/>
      <c r="V228" s="565"/>
      <c r="X228" s="565"/>
      <c r="Z228" s="555"/>
      <c r="AB228" s="565"/>
      <c r="AD228" s="565"/>
      <c r="AG228" s="555"/>
    </row>
    <row r="229" spans="1:33" s="583" customFormat="1" ht="15">
      <c r="A229" s="555"/>
      <c r="B229" s="555"/>
      <c r="C229" s="555"/>
      <c r="D229" s="555"/>
      <c r="E229" s="555"/>
      <c r="F229" s="555"/>
      <c r="H229" s="555"/>
      <c r="P229" s="565"/>
      <c r="R229" s="565"/>
      <c r="T229" s="555"/>
      <c r="V229" s="565"/>
      <c r="X229" s="565"/>
      <c r="Z229" s="555"/>
      <c r="AB229" s="565"/>
      <c r="AD229" s="565"/>
      <c r="AG229" s="555"/>
    </row>
    <row r="230" spans="1:33" s="583" customFormat="1" ht="15">
      <c r="A230" s="555"/>
      <c r="B230" s="555"/>
      <c r="C230" s="555"/>
      <c r="D230" s="555"/>
      <c r="E230" s="555"/>
      <c r="F230" s="555"/>
      <c r="H230" s="555"/>
      <c r="P230" s="565"/>
      <c r="R230" s="565"/>
      <c r="T230" s="555"/>
      <c r="V230" s="565"/>
      <c r="X230" s="565"/>
      <c r="Z230" s="555"/>
      <c r="AB230" s="565"/>
      <c r="AD230" s="565"/>
      <c r="AG230" s="555"/>
    </row>
    <row r="231" spans="1:33" s="583" customFormat="1" ht="15">
      <c r="A231" s="555"/>
      <c r="B231" s="555"/>
      <c r="C231" s="555"/>
      <c r="D231" s="555"/>
      <c r="E231" s="555"/>
      <c r="F231" s="555"/>
      <c r="H231" s="555"/>
      <c r="P231" s="565"/>
      <c r="R231" s="565"/>
      <c r="T231" s="555"/>
      <c r="V231" s="565"/>
      <c r="X231" s="565"/>
      <c r="Z231" s="555"/>
      <c r="AB231" s="565"/>
      <c r="AD231" s="565"/>
      <c r="AG231" s="555"/>
    </row>
    <row r="232" spans="1:33" s="583" customFormat="1" ht="15">
      <c r="A232" s="555"/>
      <c r="B232" s="555"/>
      <c r="C232" s="555"/>
      <c r="D232" s="555"/>
      <c r="E232" s="555"/>
      <c r="F232" s="555"/>
      <c r="H232" s="555"/>
      <c r="P232" s="565"/>
      <c r="R232" s="565"/>
      <c r="T232" s="555"/>
      <c r="V232" s="565"/>
      <c r="X232" s="565"/>
      <c r="Z232" s="555"/>
      <c r="AB232" s="565"/>
      <c r="AD232" s="565"/>
      <c r="AG232" s="555"/>
    </row>
    <row r="233" spans="1:33" s="583" customFormat="1" ht="15">
      <c r="A233" s="555"/>
      <c r="B233" s="555"/>
      <c r="C233" s="555"/>
      <c r="D233" s="555"/>
      <c r="E233" s="555"/>
      <c r="F233" s="555"/>
      <c r="H233" s="555"/>
      <c r="P233" s="565"/>
      <c r="R233" s="565"/>
      <c r="T233" s="555"/>
      <c r="V233" s="565"/>
      <c r="X233" s="565"/>
      <c r="Z233" s="555"/>
      <c r="AB233" s="565"/>
      <c r="AD233" s="565"/>
      <c r="AG233" s="555"/>
    </row>
    <row r="234" spans="1:33" s="583" customFormat="1" ht="15">
      <c r="A234" s="555"/>
      <c r="B234" s="555"/>
      <c r="C234" s="555"/>
      <c r="D234" s="555"/>
      <c r="E234" s="555"/>
      <c r="F234" s="555"/>
      <c r="H234" s="555"/>
      <c r="P234" s="565"/>
      <c r="R234" s="565"/>
      <c r="T234" s="555"/>
      <c r="V234" s="565"/>
      <c r="X234" s="565"/>
      <c r="Z234" s="555"/>
      <c r="AB234" s="565"/>
      <c r="AD234" s="565"/>
      <c r="AG234" s="555"/>
    </row>
    <row r="235" spans="1:33" s="583" customFormat="1" ht="15">
      <c r="A235" s="555"/>
      <c r="B235" s="555"/>
      <c r="C235" s="555"/>
      <c r="D235" s="555"/>
      <c r="E235" s="555"/>
      <c r="F235" s="555"/>
      <c r="H235" s="555"/>
      <c r="P235" s="565"/>
      <c r="R235" s="565"/>
      <c r="T235" s="555"/>
      <c r="V235" s="565"/>
      <c r="X235" s="565"/>
      <c r="Z235" s="555"/>
      <c r="AB235" s="565"/>
      <c r="AD235" s="565"/>
      <c r="AG235" s="555"/>
    </row>
    <row r="236" spans="1:33" s="583" customFormat="1" ht="15">
      <c r="A236" s="555"/>
      <c r="B236" s="555"/>
      <c r="C236" s="555"/>
      <c r="D236" s="555"/>
      <c r="E236" s="555"/>
      <c r="F236" s="555"/>
      <c r="H236" s="555"/>
      <c r="P236" s="565"/>
      <c r="R236" s="565"/>
      <c r="T236" s="555"/>
      <c r="V236" s="565"/>
      <c r="X236" s="565"/>
      <c r="Z236" s="555"/>
      <c r="AB236" s="565"/>
      <c r="AD236" s="565"/>
      <c r="AG236" s="555"/>
    </row>
    <row r="237" spans="1:33" s="583" customFormat="1">
      <c r="A237" s="555"/>
      <c r="B237" s="555"/>
      <c r="C237" s="555"/>
      <c r="D237" s="555"/>
      <c r="E237" s="555"/>
      <c r="F237" s="555"/>
      <c r="H237" s="555"/>
      <c r="P237" s="555"/>
      <c r="R237" s="555"/>
      <c r="T237" s="555"/>
      <c r="V237" s="555"/>
      <c r="X237" s="555"/>
      <c r="Z237" s="555"/>
      <c r="AB237" s="555"/>
      <c r="AD237" s="555"/>
      <c r="AF237" s="555"/>
      <c r="AG237" s="555"/>
    </row>
    <row r="238" spans="1:33" s="583" customFormat="1">
      <c r="A238" s="555"/>
      <c r="B238" s="555"/>
      <c r="C238" s="555"/>
      <c r="D238" s="555"/>
      <c r="E238" s="555"/>
      <c r="F238" s="555"/>
      <c r="H238" s="555"/>
      <c r="P238" s="555"/>
      <c r="R238" s="555"/>
      <c r="T238" s="555"/>
      <c r="V238" s="555"/>
      <c r="X238" s="555"/>
      <c r="Z238" s="555"/>
      <c r="AB238" s="555"/>
      <c r="AD238" s="555"/>
      <c r="AF238" s="555"/>
      <c r="AG238" s="555"/>
    </row>
    <row r="239" spans="1:33" s="583" customFormat="1">
      <c r="A239" s="555"/>
      <c r="B239" s="555"/>
      <c r="C239" s="555"/>
      <c r="D239" s="555"/>
      <c r="E239" s="555"/>
      <c r="F239" s="555"/>
      <c r="H239" s="555"/>
      <c r="P239" s="555"/>
      <c r="R239" s="555"/>
      <c r="T239" s="555"/>
      <c r="V239" s="555"/>
      <c r="X239" s="555"/>
      <c r="Z239" s="555"/>
      <c r="AB239" s="555"/>
      <c r="AD239" s="555"/>
      <c r="AF239" s="555"/>
      <c r="AG239" s="555"/>
    </row>
    <row r="240" spans="1:33" s="583" customFormat="1">
      <c r="A240" s="555"/>
      <c r="B240" s="555"/>
      <c r="C240" s="555"/>
      <c r="D240" s="555"/>
      <c r="E240" s="555"/>
      <c r="F240" s="555"/>
      <c r="H240" s="555"/>
      <c r="P240" s="555"/>
      <c r="R240" s="555"/>
      <c r="T240" s="555"/>
      <c r="V240" s="555"/>
      <c r="X240" s="555"/>
      <c r="Z240" s="555"/>
      <c r="AB240" s="555"/>
      <c r="AD240" s="555"/>
      <c r="AF240" s="555"/>
      <c r="AG240" s="555"/>
    </row>
    <row r="241" spans="1:38" s="583" customFormat="1">
      <c r="A241" s="555"/>
      <c r="B241" s="555"/>
      <c r="C241" s="555"/>
      <c r="D241" s="555"/>
      <c r="E241" s="555"/>
      <c r="F241" s="555"/>
      <c r="H241" s="555"/>
      <c r="P241" s="555"/>
      <c r="R241" s="555"/>
      <c r="T241" s="555"/>
      <c r="V241" s="555"/>
      <c r="X241" s="555"/>
      <c r="Z241" s="555"/>
      <c r="AB241" s="555"/>
      <c r="AD241" s="555"/>
      <c r="AF241" s="555"/>
      <c r="AG241" s="555"/>
    </row>
    <row r="242" spans="1:38" s="583" customFormat="1">
      <c r="A242" s="555"/>
      <c r="B242" s="555"/>
      <c r="C242" s="555"/>
      <c r="D242" s="555"/>
      <c r="E242" s="555"/>
      <c r="F242" s="555"/>
      <c r="H242" s="555"/>
      <c r="P242" s="555"/>
      <c r="R242" s="555"/>
      <c r="T242" s="555"/>
      <c r="V242" s="555"/>
      <c r="X242" s="555"/>
      <c r="Z242" s="555"/>
      <c r="AB242" s="555"/>
      <c r="AD242" s="555"/>
      <c r="AF242" s="555"/>
      <c r="AG242" s="555"/>
    </row>
    <row r="243" spans="1:38" s="583" customFormat="1">
      <c r="A243" s="555"/>
      <c r="B243" s="555"/>
      <c r="C243" s="555"/>
      <c r="D243" s="555"/>
      <c r="E243" s="555"/>
      <c r="F243" s="555"/>
      <c r="H243" s="555"/>
      <c r="P243" s="555"/>
      <c r="R243" s="555"/>
      <c r="T243" s="555"/>
      <c r="V243" s="555"/>
      <c r="X243" s="555"/>
      <c r="Z243" s="555"/>
      <c r="AB243" s="555"/>
      <c r="AD243" s="555"/>
      <c r="AF243" s="555"/>
      <c r="AG243" s="555"/>
    </row>
    <row r="244" spans="1:38" s="583" customFormat="1">
      <c r="A244" s="555"/>
      <c r="B244" s="555"/>
      <c r="C244" s="555"/>
      <c r="D244" s="555"/>
      <c r="E244" s="555"/>
      <c r="F244" s="555"/>
      <c r="H244" s="555"/>
      <c r="P244" s="555"/>
      <c r="R244" s="555"/>
      <c r="T244" s="555"/>
      <c r="V244" s="555"/>
      <c r="X244" s="555"/>
      <c r="Z244" s="555"/>
      <c r="AB244" s="555"/>
      <c r="AD244" s="555"/>
      <c r="AF244" s="555"/>
      <c r="AG244" s="555"/>
    </row>
    <row r="245" spans="1:38" s="583" customFormat="1">
      <c r="A245" s="555"/>
      <c r="B245" s="555"/>
      <c r="C245" s="555"/>
      <c r="D245" s="555"/>
      <c r="E245" s="555"/>
      <c r="F245" s="555"/>
      <c r="H245" s="555"/>
      <c r="P245" s="555"/>
      <c r="R245" s="555"/>
      <c r="T245" s="555"/>
      <c r="V245" s="555"/>
      <c r="X245" s="555"/>
      <c r="Z245" s="555"/>
      <c r="AB245" s="555"/>
      <c r="AD245" s="555"/>
      <c r="AF245" s="555"/>
      <c r="AG245" s="555"/>
    </row>
    <row r="246" spans="1:38" s="583" customFormat="1">
      <c r="A246" s="555"/>
      <c r="B246" s="555"/>
      <c r="C246" s="555"/>
      <c r="D246" s="555"/>
      <c r="E246" s="555"/>
      <c r="F246" s="555"/>
      <c r="H246" s="555"/>
      <c r="P246" s="555"/>
      <c r="R246" s="555"/>
      <c r="T246" s="555"/>
      <c r="V246" s="555"/>
      <c r="X246" s="555"/>
      <c r="Z246" s="555"/>
      <c r="AB246" s="555"/>
      <c r="AD246" s="555"/>
      <c r="AF246" s="555"/>
      <c r="AG246" s="555"/>
    </row>
    <row r="247" spans="1:38" s="583" customFormat="1">
      <c r="A247" s="555"/>
      <c r="B247" s="555"/>
      <c r="C247" s="555"/>
      <c r="D247" s="555"/>
      <c r="E247" s="555"/>
      <c r="F247" s="555"/>
      <c r="H247" s="555"/>
      <c r="P247" s="555"/>
      <c r="R247" s="555"/>
      <c r="T247" s="555"/>
      <c r="V247" s="555"/>
      <c r="X247" s="555"/>
      <c r="Z247" s="555"/>
      <c r="AB247" s="555"/>
      <c r="AD247" s="555"/>
      <c r="AF247" s="555"/>
      <c r="AG247" s="555"/>
    </row>
    <row r="248" spans="1:38" s="583" customFormat="1">
      <c r="A248" s="555"/>
      <c r="B248" s="555"/>
      <c r="C248" s="555"/>
      <c r="D248" s="555"/>
      <c r="E248" s="555"/>
      <c r="F248" s="555"/>
      <c r="H248" s="555"/>
      <c r="J248" s="555"/>
      <c r="L248" s="555"/>
      <c r="N248" s="555"/>
      <c r="P248" s="555"/>
      <c r="R248" s="555"/>
      <c r="T248" s="555"/>
      <c r="V248" s="555"/>
      <c r="X248" s="555"/>
      <c r="Z248" s="555"/>
      <c r="AB248" s="555"/>
      <c r="AD248" s="555"/>
      <c r="AF248" s="555"/>
      <c r="AG248" s="555"/>
    </row>
    <row r="249" spans="1:38" s="583" customFormat="1">
      <c r="A249" s="555"/>
      <c r="B249" s="555"/>
      <c r="C249" s="555"/>
      <c r="D249" s="555"/>
      <c r="E249" s="555"/>
      <c r="F249" s="555"/>
      <c r="H249" s="555"/>
      <c r="J249" s="555"/>
      <c r="L249" s="555"/>
      <c r="N249" s="555"/>
      <c r="P249" s="555"/>
      <c r="R249" s="555"/>
      <c r="T249" s="555"/>
      <c r="V249" s="555"/>
      <c r="X249" s="555"/>
      <c r="Z249" s="555"/>
      <c r="AB249" s="555"/>
      <c r="AD249" s="555"/>
      <c r="AF249" s="555"/>
      <c r="AG249" s="555"/>
    </row>
    <row r="250" spans="1:38" s="583" customFormat="1">
      <c r="A250" s="555"/>
      <c r="B250" s="555"/>
      <c r="C250" s="555"/>
      <c r="D250" s="555"/>
      <c r="E250" s="555"/>
      <c r="F250" s="555"/>
      <c r="H250" s="555"/>
      <c r="J250" s="555"/>
      <c r="L250" s="555"/>
      <c r="N250" s="555"/>
      <c r="P250" s="555"/>
      <c r="R250" s="555"/>
      <c r="T250" s="555"/>
      <c r="V250" s="555"/>
      <c r="X250" s="555"/>
      <c r="Z250" s="555"/>
      <c r="AB250" s="555"/>
      <c r="AD250" s="555"/>
      <c r="AF250" s="555"/>
      <c r="AG250" s="555"/>
    </row>
    <row r="251" spans="1:38" s="583" customFormat="1">
      <c r="A251" s="555"/>
      <c r="B251" s="555"/>
      <c r="C251" s="555"/>
      <c r="D251" s="555"/>
      <c r="E251" s="555"/>
      <c r="F251" s="555"/>
      <c r="H251" s="555"/>
      <c r="J251" s="555"/>
      <c r="L251" s="555"/>
      <c r="N251" s="555"/>
      <c r="P251" s="555"/>
      <c r="R251" s="555"/>
      <c r="T251" s="555"/>
      <c r="V251" s="555"/>
      <c r="X251" s="555"/>
      <c r="Z251" s="555"/>
      <c r="AB251" s="555"/>
      <c r="AD251" s="555"/>
      <c r="AF251" s="555"/>
      <c r="AG251" s="555"/>
    </row>
    <row r="252" spans="1:38" s="583" customFormat="1">
      <c r="A252" s="555"/>
      <c r="B252" s="555"/>
      <c r="C252" s="555"/>
      <c r="D252" s="555"/>
      <c r="E252" s="555"/>
      <c r="F252" s="555"/>
      <c r="H252" s="555"/>
      <c r="J252" s="555"/>
      <c r="L252" s="555"/>
      <c r="N252" s="555"/>
      <c r="P252" s="555"/>
      <c r="R252" s="555"/>
      <c r="T252" s="555"/>
      <c r="V252" s="555"/>
      <c r="X252" s="555"/>
      <c r="Z252" s="555"/>
      <c r="AB252" s="555"/>
      <c r="AD252" s="555"/>
      <c r="AF252" s="555"/>
      <c r="AG252" s="555"/>
      <c r="AH252" s="555"/>
      <c r="AI252" s="555"/>
      <c r="AJ252" s="555"/>
      <c r="AK252" s="555"/>
      <c r="AL252" s="555"/>
    </row>
    <row r="253" spans="1:38" s="583" customFormat="1">
      <c r="A253" s="555"/>
      <c r="B253" s="555"/>
      <c r="C253" s="555"/>
      <c r="D253" s="555"/>
      <c r="E253" s="555"/>
      <c r="F253" s="555"/>
      <c r="H253" s="555"/>
      <c r="J253" s="555"/>
      <c r="L253" s="555"/>
      <c r="N253" s="555"/>
      <c r="P253" s="555"/>
      <c r="R253" s="555"/>
      <c r="T253" s="555"/>
      <c r="V253" s="555"/>
      <c r="X253" s="555"/>
      <c r="Z253" s="555"/>
      <c r="AB253" s="555"/>
      <c r="AD253" s="555"/>
      <c r="AF253" s="555"/>
      <c r="AG253" s="555"/>
      <c r="AH253" s="555"/>
      <c r="AI253" s="555"/>
      <c r="AJ253" s="555"/>
      <c r="AK253" s="555"/>
      <c r="AL253" s="555"/>
    </row>
  </sheetData>
  <pageMargins left="0.25" right="0.25" top="0.75" bottom="0.75" header="0.3" footer="0.3"/>
  <pageSetup scale="39" orientation="landscape" errors="blank" r:id="rId1"/>
  <headerFooter alignWithMargins="0">
    <oddFooter>&amp;L&amp;F - &amp;A&amp;CPrinted &amp;D - &amp;T&amp;RPage &amp;P of &amp;N</oddFooter>
  </headerFooter>
  <rowBreaks count="1" manualBreakCount="1">
    <brk id="57" max="49" man="1"/>
  </rowBreaks>
  <colBreaks count="1" manualBreakCount="1">
    <brk id="37" max="10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J518"/>
  <sheetViews>
    <sheetView showGridLines="0" view="pageBreakPreview" topLeftCell="D15" zoomScale="60" zoomScaleNormal="85" workbookViewId="0">
      <selection activeCell="Q27" sqref="Q27"/>
    </sheetView>
  </sheetViews>
  <sheetFormatPr defaultColWidth="13.85546875" defaultRowHeight="12.75" outlineLevelRow="1"/>
  <cols>
    <col min="1" max="3" width="0" style="108" hidden="1" customWidth="1"/>
    <col min="4" max="4" width="7.28515625" style="108" customWidth="1"/>
    <col min="5" max="5" width="2.28515625" style="108" customWidth="1"/>
    <col min="6" max="6" width="1.5703125" style="108" customWidth="1"/>
    <col min="7" max="7" width="26.28515625" style="108" customWidth="1"/>
    <col min="8" max="9" width="1.140625" style="108" customWidth="1"/>
    <col min="10" max="10" width="10.28515625" style="172" customWidth="1"/>
    <col min="11" max="11" width="1.140625" style="108" customWidth="1"/>
    <col min="12" max="12" width="10.28515625" style="172" customWidth="1"/>
    <col min="13" max="13" width="1.140625" style="108" customWidth="1"/>
    <col min="14" max="14" width="10.28515625" style="172" customWidth="1"/>
    <col min="15" max="15" width="1.140625" style="108" customWidth="1"/>
    <col min="16" max="16" width="10.28515625" style="172" customWidth="1"/>
    <col min="17" max="17" width="1.140625" style="108" customWidth="1"/>
    <col min="18" max="18" width="10.28515625" style="172" customWidth="1"/>
    <col min="19" max="19" width="1.140625" style="108" customWidth="1"/>
    <col min="20" max="20" width="10.28515625" style="172" customWidth="1"/>
    <col min="21" max="21" width="1.140625" style="108" customWidth="1"/>
    <col min="22" max="22" width="10.28515625" style="172" customWidth="1"/>
    <col min="23" max="23" width="1.140625" style="108" customWidth="1"/>
    <col min="24" max="24" width="10.28515625" style="172" customWidth="1"/>
    <col min="25" max="25" width="1.140625" style="108" customWidth="1"/>
    <col min="26" max="26" width="10.28515625" style="172" customWidth="1"/>
    <col min="27" max="27" width="1.140625" style="108" customWidth="1"/>
    <col min="28" max="28" width="10.28515625" style="172" customWidth="1"/>
    <col min="29" max="29" width="1.140625" style="108" customWidth="1"/>
    <col min="30" max="30" width="10.28515625" style="172" customWidth="1"/>
    <col min="31" max="31" width="1.140625" style="108" customWidth="1"/>
    <col min="32" max="32" width="10.28515625" style="172" customWidth="1"/>
    <col min="33" max="33" width="1.140625" style="108" customWidth="1"/>
    <col min="34" max="34" width="11.5703125" style="172" customWidth="1"/>
    <col min="35" max="36" width="1.140625" style="108" customWidth="1"/>
    <col min="37" max="259" width="13.85546875" style="108"/>
    <col min="260" max="260" width="7.85546875" style="108" customWidth="1"/>
    <col min="261" max="262" width="2.28515625" style="108" customWidth="1"/>
    <col min="263" max="263" width="31.42578125" style="108" customWidth="1"/>
    <col min="264" max="264" width="2.28515625" style="108" customWidth="1"/>
    <col min="265" max="265" width="2.140625" style="108" customWidth="1"/>
    <col min="266" max="266" width="12.28515625" style="108" customWidth="1"/>
    <col min="267" max="267" width="1.5703125" style="108" customWidth="1"/>
    <col min="268" max="268" width="12.28515625" style="108" customWidth="1"/>
    <col min="269" max="269" width="1.5703125" style="108" customWidth="1"/>
    <col min="270" max="270" width="12.28515625" style="108" customWidth="1"/>
    <col min="271" max="271" width="1.5703125" style="108" customWidth="1"/>
    <col min="272" max="272" width="13.5703125" style="108" customWidth="1"/>
    <col min="273" max="273" width="0.85546875" style="108" customWidth="1"/>
    <col min="274" max="274" width="12.28515625" style="108" customWidth="1"/>
    <col min="275" max="275" width="1.5703125" style="108" customWidth="1"/>
    <col min="276" max="276" width="12.28515625" style="108" customWidth="1"/>
    <col min="277" max="277" width="1.5703125" style="108" customWidth="1"/>
    <col min="278" max="278" width="12.28515625" style="108" customWidth="1"/>
    <col min="279" max="279" width="0.85546875" style="108" customWidth="1"/>
    <col min="280" max="280" width="12.28515625" style="108" customWidth="1"/>
    <col min="281" max="281" width="1.5703125" style="108" customWidth="1"/>
    <col min="282" max="282" width="12.28515625" style="108" customWidth="1"/>
    <col min="283" max="283" width="1.5703125" style="108" customWidth="1"/>
    <col min="284" max="284" width="12.28515625" style="108" customWidth="1"/>
    <col min="285" max="285" width="0.85546875" style="108" customWidth="1"/>
    <col min="286" max="286" width="12.28515625" style="108" customWidth="1"/>
    <col min="287" max="287" width="1.5703125" style="108" customWidth="1"/>
    <col min="288" max="288" width="12.28515625" style="108" customWidth="1"/>
    <col min="289" max="289" width="1.5703125" style="108" customWidth="1"/>
    <col min="290" max="290" width="12.28515625" style="108" customWidth="1"/>
    <col min="291" max="291" width="4.5703125" style="108" customWidth="1"/>
    <col min="292" max="292" width="1.42578125" style="108" customWidth="1"/>
    <col min="293" max="515" width="13.85546875" style="108"/>
    <col min="516" max="516" width="7.85546875" style="108" customWidth="1"/>
    <col min="517" max="518" width="2.28515625" style="108" customWidth="1"/>
    <col min="519" max="519" width="31.42578125" style="108" customWidth="1"/>
    <col min="520" max="520" width="2.28515625" style="108" customWidth="1"/>
    <col min="521" max="521" width="2.140625" style="108" customWidth="1"/>
    <col min="522" max="522" width="12.28515625" style="108" customWidth="1"/>
    <col min="523" max="523" width="1.5703125" style="108" customWidth="1"/>
    <col min="524" max="524" width="12.28515625" style="108" customWidth="1"/>
    <col min="525" max="525" width="1.5703125" style="108" customWidth="1"/>
    <col min="526" max="526" width="12.28515625" style="108" customWidth="1"/>
    <col min="527" max="527" width="1.5703125" style="108" customWidth="1"/>
    <col min="528" max="528" width="13.5703125" style="108" customWidth="1"/>
    <col min="529" max="529" width="0.85546875" style="108" customWidth="1"/>
    <col min="530" max="530" width="12.28515625" style="108" customWidth="1"/>
    <col min="531" max="531" width="1.5703125" style="108" customWidth="1"/>
    <col min="532" max="532" width="12.28515625" style="108" customWidth="1"/>
    <col min="533" max="533" width="1.5703125" style="108" customWidth="1"/>
    <col min="534" max="534" width="12.28515625" style="108" customWidth="1"/>
    <col min="535" max="535" width="0.85546875" style="108" customWidth="1"/>
    <col min="536" max="536" width="12.28515625" style="108" customWidth="1"/>
    <col min="537" max="537" width="1.5703125" style="108" customWidth="1"/>
    <col min="538" max="538" width="12.28515625" style="108" customWidth="1"/>
    <col min="539" max="539" width="1.5703125" style="108" customWidth="1"/>
    <col min="540" max="540" width="12.28515625" style="108" customWidth="1"/>
    <col min="541" max="541" width="0.85546875" style="108" customWidth="1"/>
    <col min="542" max="542" width="12.28515625" style="108" customWidth="1"/>
    <col min="543" max="543" width="1.5703125" style="108" customWidth="1"/>
    <col min="544" max="544" width="12.28515625" style="108" customWidth="1"/>
    <col min="545" max="545" width="1.5703125" style="108" customWidth="1"/>
    <col min="546" max="546" width="12.28515625" style="108" customWidth="1"/>
    <col min="547" max="547" width="4.5703125" style="108" customWidth="1"/>
    <col min="548" max="548" width="1.42578125" style="108" customWidth="1"/>
    <col min="549" max="771" width="13.85546875" style="108"/>
    <col min="772" max="772" width="7.85546875" style="108" customWidth="1"/>
    <col min="773" max="774" width="2.28515625" style="108" customWidth="1"/>
    <col min="775" max="775" width="31.42578125" style="108" customWidth="1"/>
    <col min="776" max="776" width="2.28515625" style="108" customWidth="1"/>
    <col min="777" max="777" width="2.140625" style="108" customWidth="1"/>
    <col min="778" max="778" width="12.28515625" style="108" customWidth="1"/>
    <col min="779" max="779" width="1.5703125" style="108" customWidth="1"/>
    <col min="780" max="780" width="12.28515625" style="108" customWidth="1"/>
    <col min="781" max="781" width="1.5703125" style="108" customWidth="1"/>
    <col min="782" max="782" width="12.28515625" style="108" customWidth="1"/>
    <col min="783" max="783" width="1.5703125" style="108" customWidth="1"/>
    <col min="784" max="784" width="13.5703125" style="108" customWidth="1"/>
    <col min="785" max="785" width="0.85546875" style="108" customWidth="1"/>
    <col min="786" max="786" width="12.28515625" style="108" customWidth="1"/>
    <col min="787" max="787" width="1.5703125" style="108" customWidth="1"/>
    <col min="788" max="788" width="12.28515625" style="108" customWidth="1"/>
    <col min="789" max="789" width="1.5703125" style="108" customWidth="1"/>
    <col min="790" max="790" width="12.28515625" style="108" customWidth="1"/>
    <col min="791" max="791" width="0.85546875" style="108" customWidth="1"/>
    <col min="792" max="792" width="12.28515625" style="108" customWidth="1"/>
    <col min="793" max="793" width="1.5703125" style="108" customWidth="1"/>
    <col min="794" max="794" width="12.28515625" style="108" customWidth="1"/>
    <col min="795" max="795" width="1.5703125" style="108" customWidth="1"/>
    <col min="796" max="796" width="12.28515625" style="108" customWidth="1"/>
    <col min="797" max="797" width="0.85546875" style="108" customWidth="1"/>
    <col min="798" max="798" width="12.28515625" style="108" customWidth="1"/>
    <col min="799" max="799" width="1.5703125" style="108" customWidth="1"/>
    <col min="800" max="800" width="12.28515625" style="108" customWidth="1"/>
    <col min="801" max="801" width="1.5703125" style="108" customWidth="1"/>
    <col min="802" max="802" width="12.28515625" style="108" customWidth="1"/>
    <col min="803" max="803" width="4.5703125" style="108" customWidth="1"/>
    <col min="804" max="804" width="1.42578125" style="108" customWidth="1"/>
    <col min="805" max="1027" width="13.85546875" style="108"/>
    <col min="1028" max="1028" width="7.85546875" style="108" customWidth="1"/>
    <col min="1029" max="1030" width="2.28515625" style="108" customWidth="1"/>
    <col min="1031" max="1031" width="31.42578125" style="108" customWidth="1"/>
    <col min="1032" max="1032" width="2.28515625" style="108" customWidth="1"/>
    <col min="1033" max="1033" width="2.140625" style="108" customWidth="1"/>
    <col min="1034" max="1034" width="12.28515625" style="108" customWidth="1"/>
    <col min="1035" max="1035" width="1.5703125" style="108" customWidth="1"/>
    <col min="1036" max="1036" width="12.28515625" style="108" customWidth="1"/>
    <col min="1037" max="1037" width="1.5703125" style="108" customWidth="1"/>
    <col min="1038" max="1038" width="12.28515625" style="108" customWidth="1"/>
    <col min="1039" max="1039" width="1.5703125" style="108" customWidth="1"/>
    <col min="1040" max="1040" width="13.5703125" style="108" customWidth="1"/>
    <col min="1041" max="1041" width="0.85546875" style="108" customWidth="1"/>
    <col min="1042" max="1042" width="12.28515625" style="108" customWidth="1"/>
    <col min="1043" max="1043" width="1.5703125" style="108" customWidth="1"/>
    <col min="1044" max="1044" width="12.28515625" style="108" customWidth="1"/>
    <col min="1045" max="1045" width="1.5703125" style="108" customWidth="1"/>
    <col min="1046" max="1046" width="12.28515625" style="108" customWidth="1"/>
    <col min="1047" max="1047" width="0.85546875" style="108" customWidth="1"/>
    <col min="1048" max="1048" width="12.28515625" style="108" customWidth="1"/>
    <col min="1049" max="1049" width="1.5703125" style="108" customWidth="1"/>
    <col min="1050" max="1050" width="12.28515625" style="108" customWidth="1"/>
    <col min="1051" max="1051" width="1.5703125" style="108" customWidth="1"/>
    <col min="1052" max="1052" width="12.28515625" style="108" customWidth="1"/>
    <col min="1053" max="1053" width="0.85546875" style="108" customWidth="1"/>
    <col min="1054" max="1054" width="12.28515625" style="108" customWidth="1"/>
    <col min="1055" max="1055" width="1.5703125" style="108" customWidth="1"/>
    <col min="1056" max="1056" width="12.28515625" style="108" customWidth="1"/>
    <col min="1057" max="1057" width="1.5703125" style="108" customWidth="1"/>
    <col min="1058" max="1058" width="12.28515625" style="108" customWidth="1"/>
    <col min="1059" max="1059" width="4.5703125" style="108" customWidth="1"/>
    <col min="1060" max="1060" width="1.42578125" style="108" customWidth="1"/>
    <col min="1061" max="1283" width="13.85546875" style="108"/>
    <col min="1284" max="1284" width="7.85546875" style="108" customWidth="1"/>
    <col min="1285" max="1286" width="2.28515625" style="108" customWidth="1"/>
    <col min="1287" max="1287" width="31.42578125" style="108" customWidth="1"/>
    <col min="1288" max="1288" width="2.28515625" style="108" customWidth="1"/>
    <col min="1289" max="1289" width="2.140625" style="108" customWidth="1"/>
    <col min="1290" max="1290" width="12.28515625" style="108" customWidth="1"/>
    <col min="1291" max="1291" width="1.5703125" style="108" customWidth="1"/>
    <col min="1292" max="1292" width="12.28515625" style="108" customWidth="1"/>
    <col min="1293" max="1293" width="1.5703125" style="108" customWidth="1"/>
    <col min="1294" max="1294" width="12.28515625" style="108" customWidth="1"/>
    <col min="1295" max="1295" width="1.5703125" style="108" customWidth="1"/>
    <col min="1296" max="1296" width="13.5703125" style="108" customWidth="1"/>
    <col min="1297" max="1297" width="0.85546875" style="108" customWidth="1"/>
    <col min="1298" max="1298" width="12.28515625" style="108" customWidth="1"/>
    <col min="1299" max="1299" width="1.5703125" style="108" customWidth="1"/>
    <col min="1300" max="1300" width="12.28515625" style="108" customWidth="1"/>
    <col min="1301" max="1301" width="1.5703125" style="108" customWidth="1"/>
    <col min="1302" max="1302" width="12.28515625" style="108" customWidth="1"/>
    <col min="1303" max="1303" width="0.85546875" style="108" customWidth="1"/>
    <col min="1304" max="1304" width="12.28515625" style="108" customWidth="1"/>
    <col min="1305" max="1305" width="1.5703125" style="108" customWidth="1"/>
    <col min="1306" max="1306" width="12.28515625" style="108" customWidth="1"/>
    <col min="1307" max="1307" width="1.5703125" style="108" customWidth="1"/>
    <col min="1308" max="1308" width="12.28515625" style="108" customWidth="1"/>
    <col min="1309" max="1309" width="0.85546875" style="108" customWidth="1"/>
    <col min="1310" max="1310" width="12.28515625" style="108" customWidth="1"/>
    <col min="1311" max="1311" width="1.5703125" style="108" customWidth="1"/>
    <col min="1312" max="1312" width="12.28515625" style="108" customWidth="1"/>
    <col min="1313" max="1313" width="1.5703125" style="108" customWidth="1"/>
    <col min="1314" max="1314" width="12.28515625" style="108" customWidth="1"/>
    <col min="1315" max="1315" width="4.5703125" style="108" customWidth="1"/>
    <col min="1316" max="1316" width="1.42578125" style="108" customWidth="1"/>
    <col min="1317" max="1539" width="13.85546875" style="108"/>
    <col min="1540" max="1540" width="7.85546875" style="108" customWidth="1"/>
    <col min="1541" max="1542" width="2.28515625" style="108" customWidth="1"/>
    <col min="1543" max="1543" width="31.42578125" style="108" customWidth="1"/>
    <col min="1544" max="1544" width="2.28515625" style="108" customWidth="1"/>
    <col min="1545" max="1545" width="2.140625" style="108" customWidth="1"/>
    <col min="1546" max="1546" width="12.28515625" style="108" customWidth="1"/>
    <col min="1547" max="1547" width="1.5703125" style="108" customWidth="1"/>
    <col min="1548" max="1548" width="12.28515625" style="108" customWidth="1"/>
    <col min="1549" max="1549" width="1.5703125" style="108" customWidth="1"/>
    <col min="1550" max="1550" width="12.28515625" style="108" customWidth="1"/>
    <col min="1551" max="1551" width="1.5703125" style="108" customWidth="1"/>
    <col min="1552" max="1552" width="13.5703125" style="108" customWidth="1"/>
    <col min="1553" max="1553" width="0.85546875" style="108" customWidth="1"/>
    <col min="1554" max="1554" width="12.28515625" style="108" customWidth="1"/>
    <col min="1555" max="1555" width="1.5703125" style="108" customWidth="1"/>
    <col min="1556" max="1556" width="12.28515625" style="108" customWidth="1"/>
    <col min="1557" max="1557" width="1.5703125" style="108" customWidth="1"/>
    <col min="1558" max="1558" width="12.28515625" style="108" customWidth="1"/>
    <col min="1559" max="1559" width="0.85546875" style="108" customWidth="1"/>
    <col min="1560" max="1560" width="12.28515625" style="108" customWidth="1"/>
    <col min="1561" max="1561" width="1.5703125" style="108" customWidth="1"/>
    <col min="1562" max="1562" width="12.28515625" style="108" customWidth="1"/>
    <col min="1563" max="1563" width="1.5703125" style="108" customWidth="1"/>
    <col min="1564" max="1564" width="12.28515625" style="108" customWidth="1"/>
    <col min="1565" max="1565" width="0.85546875" style="108" customWidth="1"/>
    <col min="1566" max="1566" width="12.28515625" style="108" customWidth="1"/>
    <col min="1567" max="1567" width="1.5703125" style="108" customWidth="1"/>
    <col min="1568" max="1568" width="12.28515625" style="108" customWidth="1"/>
    <col min="1569" max="1569" width="1.5703125" style="108" customWidth="1"/>
    <col min="1570" max="1570" width="12.28515625" style="108" customWidth="1"/>
    <col min="1571" max="1571" width="4.5703125" style="108" customWidth="1"/>
    <col min="1572" max="1572" width="1.42578125" style="108" customWidth="1"/>
    <col min="1573" max="1795" width="13.85546875" style="108"/>
    <col min="1796" max="1796" width="7.85546875" style="108" customWidth="1"/>
    <col min="1797" max="1798" width="2.28515625" style="108" customWidth="1"/>
    <col min="1799" max="1799" width="31.42578125" style="108" customWidth="1"/>
    <col min="1800" max="1800" width="2.28515625" style="108" customWidth="1"/>
    <col min="1801" max="1801" width="2.140625" style="108" customWidth="1"/>
    <col min="1802" max="1802" width="12.28515625" style="108" customWidth="1"/>
    <col min="1803" max="1803" width="1.5703125" style="108" customWidth="1"/>
    <col min="1804" max="1804" width="12.28515625" style="108" customWidth="1"/>
    <col min="1805" max="1805" width="1.5703125" style="108" customWidth="1"/>
    <col min="1806" max="1806" width="12.28515625" style="108" customWidth="1"/>
    <col min="1807" max="1807" width="1.5703125" style="108" customWidth="1"/>
    <col min="1808" max="1808" width="13.5703125" style="108" customWidth="1"/>
    <col min="1809" max="1809" width="0.85546875" style="108" customWidth="1"/>
    <col min="1810" max="1810" width="12.28515625" style="108" customWidth="1"/>
    <col min="1811" max="1811" width="1.5703125" style="108" customWidth="1"/>
    <col min="1812" max="1812" width="12.28515625" style="108" customWidth="1"/>
    <col min="1813" max="1813" width="1.5703125" style="108" customWidth="1"/>
    <col min="1814" max="1814" width="12.28515625" style="108" customWidth="1"/>
    <col min="1815" max="1815" width="0.85546875" style="108" customWidth="1"/>
    <col min="1816" max="1816" width="12.28515625" style="108" customWidth="1"/>
    <col min="1817" max="1817" width="1.5703125" style="108" customWidth="1"/>
    <col min="1818" max="1818" width="12.28515625" style="108" customWidth="1"/>
    <col min="1819" max="1819" width="1.5703125" style="108" customWidth="1"/>
    <col min="1820" max="1820" width="12.28515625" style="108" customWidth="1"/>
    <col min="1821" max="1821" width="0.85546875" style="108" customWidth="1"/>
    <col min="1822" max="1822" width="12.28515625" style="108" customWidth="1"/>
    <col min="1823" max="1823" width="1.5703125" style="108" customWidth="1"/>
    <col min="1824" max="1824" width="12.28515625" style="108" customWidth="1"/>
    <col min="1825" max="1825" width="1.5703125" style="108" customWidth="1"/>
    <col min="1826" max="1826" width="12.28515625" style="108" customWidth="1"/>
    <col min="1827" max="1827" width="4.5703125" style="108" customWidth="1"/>
    <col min="1828" max="1828" width="1.42578125" style="108" customWidth="1"/>
    <col min="1829" max="2051" width="13.85546875" style="108"/>
    <col min="2052" max="2052" width="7.85546875" style="108" customWidth="1"/>
    <col min="2053" max="2054" width="2.28515625" style="108" customWidth="1"/>
    <col min="2055" max="2055" width="31.42578125" style="108" customWidth="1"/>
    <col min="2056" max="2056" width="2.28515625" style="108" customWidth="1"/>
    <col min="2057" max="2057" width="2.140625" style="108" customWidth="1"/>
    <col min="2058" max="2058" width="12.28515625" style="108" customWidth="1"/>
    <col min="2059" max="2059" width="1.5703125" style="108" customWidth="1"/>
    <col min="2060" max="2060" width="12.28515625" style="108" customWidth="1"/>
    <col min="2061" max="2061" width="1.5703125" style="108" customWidth="1"/>
    <col min="2062" max="2062" width="12.28515625" style="108" customWidth="1"/>
    <col min="2063" max="2063" width="1.5703125" style="108" customWidth="1"/>
    <col min="2064" max="2064" width="13.5703125" style="108" customWidth="1"/>
    <col min="2065" max="2065" width="0.85546875" style="108" customWidth="1"/>
    <col min="2066" max="2066" width="12.28515625" style="108" customWidth="1"/>
    <col min="2067" max="2067" width="1.5703125" style="108" customWidth="1"/>
    <col min="2068" max="2068" width="12.28515625" style="108" customWidth="1"/>
    <col min="2069" max="2069" width="1.5703125" style="108" customWidth="1"/>
    <col min="2070" max="2070" width="12.28515625" style="108" customWidth="1"/>
    <col min="2071" max="2071" width="0.85546875" style="108" customWidth="1"/>
    <col min="2072" max="2072" width="12.28515625" style="108" customWidth="1"/>
    <col min="2073" max="2073" width="1.5703125" style="108" customWidth="1"/>
    <col min="2074" max="2074" width="12.28515625" style="108" customWidth="1"/>
    <col min="2075" max="2075" width="1.5703125" style="108" customWidth="1"/>
    <col min="2076" max="2076" width="12.28515625" style="108" customWidth="1"/>
    <col min="2077" max="2077" width="0.85546875" style="108" customWidth="1"/>
    <col min="2078" max="2078" width="12.28515625" style="108" customWidth="1"/>
    <col min="2079" max="2079" width="1.5703125" style="108" customWidth="1"/>
    <col min="2080" max="2080" width="12.28515625" style="108" customWidth="1"/>
    <col min="2081" max="2081" width="1.5703125" style="108" customWidth="1"/>
    <col min="2082" max="2082" width="12.28515625" style="108" customWidth="1"/>
    <col min="2083" max="2083" width="4.5703125" style="108" customWidth="1"/>
    <col min="2084" max="2084" width="1.42578125" style="108" customWidth="1"/>
    <col min="2085" max="2307" width="13.85546875" style="108"/>
    <col min="2308" max="2308" width="7.85546875" style="108" customWidth="1"/>
    <col min="2309" max="2310" width="2.28515625" style="108" customWidth="1"/>
    <col min="2311" max="2311" width="31.42578125" style="108" customWidth="1"/>
    <col min="2312" max="2312" width="2.28515625" style="108" customWidth="1"/>
    <col min="2313" max="2313" width="2.140625" style="108" customWidth="1"/>
    <col min="2314" max="2314" width="12.28515625" style="108" customWidth="1"/>
    <col min="2315" max="2315" width="1.5703125" style="108" customWidth="1"/>
    <col min="2316" max="2316" width="12.28515625" style="108" customWidth="1"/>
    <col min="2317" max="2317" width="1.5703125" style="108" customWidth="1"/>
    <col min="2318" max="2318" width="12.28515625" style="108" customWidth="1"/>
    <col min="2319" max="2319" width="1.5703125" style="108" customWidth="1"/>
    <col min="2320" max="2320" width="13.5703125" style="108" customWidth="1"/>
    <col min="2321" max="2321" width="0.85546875" style="108" customWidth="1"/>
    <col min="2322" max="2322" width="12.28515625" style="108" customWidth="1"/>
    <col min="2323" max="2323" width="1.5703125" style="108" customWidth="1"/>
    <col min="2324" max="2324" width="12.28515625" style="108" customWidth="1"/>
    <col min="2325" max="2325" width="1.5703125" style="108" customWidth="1"/>
    <col min="2326" max="2326" width="12.28515625" style="108" customWidth="1"/>
    <col min="2327" max="2327" width="0.85546875" style="108" customWidth="1"/>
    <col min="2328" max="2328" width="12.28515625" style="108" customWidth="1"/>
    <col min="2329" max="2329" width="1.5703125" style="108" customWidth="1"/>
    <col min="2330" max="2330" width="12.28515625" style="108" customWidth="1"/>
    <col min="2331" max="2331" width="1.5703125" style="108" customWidth="1"/>
    <col min="2332" max="2332" width="12.28515625" style="108" customWidth="1"/>
    <col min="2333" max="2333" width="0.85546875" style="108" customWidth="1"/>
    <col min="2334" max="2334" width="12.28515625" style="108" customWidth="1"/>
    <col min="2335" max="2335" width="1.5703125" style="108" customWidth="1"/>
    <col min="2336" max="2336" width="12.28515625" style="108" customWidth="1"/>
    <col min="2337" max="2337" width="1.5703125" style="108" customWidth="1"/>
    <col min="2338" max="2338" width="12.28515625" style="108" customWidth="1"/>
    <col min="2339" max="2339" width="4.5703125" style="108" customWidth="1"/>
    <col min="2340" max="2340" width="1.42578125" style="108" customWidth="1"/>
    <col min="2341" max="2563" width="13.85546875" style="108"/>
    <col min="2564" max="2564" width="7.85546875" style="108" customWidth="1"/>
    <col min="2565" max="2566" width="2.28515625" style="108" customWidth="1"/>
    <col min="2567" max="2567" width="31.42578125" style="108" customWidth="1"/>
    <col min="2568" max="2568" width="2.28515625" style="108" customWidth="1"/>
    <col min="2569" max="2569" width="2.140625" style="108" customWidth="1"/>
    <col min="2570" max="2570" width="12.28515625" style="108" customWidth="1"/>
    <col min="2571" max="2571" width="1.5703125" style="108" customWidth="1"/>
    <col min="2572" max="2572" width="12.28515625" style="108" customWidth="1"/>
    <col min="2573" max="2573" width="1.5703125" style="108" customWidth="1"/>
    <col min="2574" max="2574" width="12.28515625" style="108" customWidth="1"/>
    <col min="2575" max="2575" width="1.5703125" style="108" customWidth="1"/>
    <col min="2576" max="2576" width="13.5703125" style="108" customWidth="1"/>
    <col min="2577" max="2577" width="0.85546875" style="108" customWidth="1"/>
    <col min="2578" max="2578" width="12.28515625" style="108" customWidth="1"/>
    <col min="2579" max="2579" width="1.5703125" style="108" customWidth="1"/>
    <col min="2580" max="2580" width="12.28515625" style="108" customWidth="1"/>
    <col min="2581" max="2581" width="1.5703125" style="108" customWidth="1"/>
    <col min="2582" max="2582" width="12.28515625" style="108" customWidth="1"/>
    <col min="2583" max="2583" width="0.85546875" style="108" customWidth="1"/>
    <col min="2584" max="2584" width="12.28515625" style="108" customWidth="1"/>
    <col min="2585" max="2585" width="1.5703125" style="108" customWidth="1"/>
    <col min="2586" max="2586" width="12.28515625" style="108" customWidth="1"/>
    <col min="2587" max="2587" width="1.5703125" style="108" customWidth="1"/>
    <col min="2588" max="2588" width="12.28515625" style="108" customWidth="1"/>
    <col min="2589" max="2589" width="0.85546875" style="108" customWidth="1"/>
    <col min="2590" max="2590" width="12.28515625" style="108" customWidth="1"/>
    <col min="2591" max="2591" width="1.5703125" style="108" customWidth="1"/>
    <col min="2592" max="2592" width="12.28515625" style="108" customWidth="1"/>
    <col min="2593" max="2593" width="1.5703125" style="108" customWidth="1"/>
    <col min="2594" max="2594" width="12.28515625" style="108" customWidth="1"/>
    <col min="2595" max="2595" width="4.5703125" style="108" customWidth="1"/>
    <col min="2596" max="2596" width="1.42578125" style="108" customWidth="1"/>
    <col min="2597" max="2819" width="13.85546875" style="108"/>
    <col min="2820" max="2820" width="7.85546875" style="108" customWidth="1"/>
    <col min="2821" max="2822" width="2.28515625" style="108" customWidth="1"/>
    <col min="2823" max="2823" width="31.42578125" style="108" customWidth="1"/>
    <col min="2824" max="2824" width="2.28515625" style="108" customWidth="1"/>
    <col min="2825" max="2825" width="2.140625" style="108" customWidth="1"/>
    <col min="2826" max="2826" width="12.28515625" style="108" customWidth="1"/>
    <col min="2827" max="2827" width="1.5703125" style="108" customWidth="1"/>
    <col min="2828" max="2828" width="12.28515625" style="108" customWidth="1"/>
    <col min="2829" max="2829" width="1.5703125" style="108" customWidth="1"/>
    <col min="2830" max="2830" width="12.28515625" style="108" customWidth="1"/>
    <col min="2831" max="2831" width="1.5703125" style="108" customWidth="1"/>
    <col min="2832" max="2832" width="13.5703125" style="108" customWidth="1"/>
    <col min="2833" max="2833" width="0.85546875" style="108" customWidth="1"/>
    <col min="2834" max="2834" width="12.28515625" style="108" customWidth="1"/>
    <col min="2835" max="2835" width="1.5703125" style="108" customWidth="1"/>
    <col min="2836" max="2836" width="12.28515625" style="108" customWidth="1"/>
    <col min="2837" max="2837" width="1.5703125" style="108" customWidth="1"/>
    <col min="2838" max="2838" width="12.28515625" style="108" customWidth="1"/>
    <col min="2839" max="2839" width="0.85546875" style="108" customWidth="1"/>
    <col min="2840" max="2840" width="12.28515625" style="108" customWidth="1"/>
    <col min="2841" max="2841" width="1.5703125" style="108" customWidth="1"/>
    <col min="2842" max="2842" width="12.28515625" style="108" customWidth="1"/>
    <col min="2843" max="2843" width="1.5703125" style="108" customWidth="1"/>
    <col min="2844" max="2844" width="12.28515625" style="108" customWidth="1"/>
    <col min="2845" max="2845" width="0.85546875" style="108" customWidth="1"/>
    <col min="2846" max="2846" width="12.28515625" style="108" customWidth="1"/>
    <col min="2847" max="2847" width="1.5703125" style="108" customWidth="1"/>
    <col min="2848" max="2848" width="12.28515625" style="108" customWidth="1"/>
    <col min="2849" max="2849" width="1.5703125" style="108" customWidth="1"/>
    <col min="2850" max="2850" width="12.28515625" style="108" customWidth="1"/>
    <col min="2851" max="2851" width="4.5703125" style="108" customWidth="1"/>
    <col min="2852" max="2852" width="1.42578125" style="108" customWidth="1"/>
    <col min="2853" max="3075" width="13.85546875" style="108"/>
    <col min="3076" max="3076" width="7.85546875" style="108" customWidth="1"/>
    <col min="3077" max="3078" width="2.28515625" style="108" customWidth="1"/>
    <col min="3079" max="3079" width="31.42578125" style="108" customWidth="1"/>
    <col min="3080" max="3080" width="2.28515625" style="108" customWidth="1"/>
    <col min="3081" max="3081" width="2.140625" style="108" customWidth="1"/>
    <col min="3082" max="3082" width="12.28515625" style="108" customWidth="1"/>
    <col min="3083" max="3083" width="1.5703125" style="108" customWidth="1"/>
    <col min="3084" max="3084" width="12.28515625" style="108" customWidth="1"/>
    <col min="3085" max="3085" width="1.5703125" style="108" customWidth="1"/>
    <col min="3086" max="3086" width="12.28515625" style="108" customWidth="1"/>
    <col min="3087" max="3087" width="1.5703125" style="108" customWidth="1"/>
    <col min="3088" max="3088" width="13.5703125" style="108" customWidth="1"/>
    <col min="3089" max="3089" width="0.85546875" style="108" customWidth="1"/>
    <col min="3090" max="3090" width="12.28515625" style="108" customWidth="1"/>
    <col min="3091" max="3091" width="1.5703125" style="108" customWidth="1"/>
    <col min="3092" max="3092" width="12.28515625" style="108" customWidth="1"/>
    <col min="3093" max="3093" width="1.5703125" style="108" customWidth="1"/>
    <col min="3094" max="3094" width="12.28515625" style="108" customWidth="1"/>
    <col min="3095" max="3095" width="0.85546875" style="108" customWidth="1"/>
    <col min="3096" max="3096" width="12.28515625" style="108" customWidth="1"/>
    <col min="3097" max="3097" width="1.5703125" style="108" customWidth="1"/>
    <col min="3098" max="3098" width="12.28515625" style="108" customWidth="1"/>
    <col min="3099" max="3099" width="1.5703125" style="108" customWidth="1"/>
    <col min="3100" max="3100" width="12.28515625" style="108" customWidth="1"/>
    <col min="3101" max="3101" width="0.85546875" style="108" customWidth="1"/>
    <col min="3102" max="3102" width="12.28515625" style="108" customWidth="1"/>
    <col min="3103" max="3103" width="1.5703125" style="108" customWidth="1"/>
    <col min="3104" max="3104" width="12.28515625" style="108" customWidth="1"/>
    <col min="3105" max="3105" width="1.5703125" style="108" customWidth="1"/>
    <col min="3106" max="3106" width="12.28515625" style="108" customWidth="1"/>
    <col min="3107" max="3107" width="4.5703125" style="108" customWidth="1"/>
    <col min="3108" max="3108" width="1.42578125" style="108" customWidth="1"/>
    <col min="3109" max="3331" width="13.85546875" style="108"/>
    <col min="3332" max="3332" width="7.85546875" style="108" customWidth="1"/>
    <col min="3333" max="3334" width="2.28515625" style="108" customWidth="1"/>
    <col min="3335" max="3335" width="31.42578125" style="108" customWidth="1"/>
    <col min="3336" max="3336" width="2.28515625" style="108" customWidth="1"/>
    <col min="3337" max="3337" width="2.140625" style="108" customWidth="1"/>
    <col min="3338" max="3338" width="12.28515625" style="108" customWidth="1"/>
    <col min="3339" max="3339" width="1.5703125" style="108" customWidth="1"/>
    <col min="3340" max="3340" width="12.28515625" style="108" customWidth="1"/>
    <col min="3341" max="3341" width="1.5703125" style="108" customWidth="1"/>
    <col min="3342" max="3342" width="12.28515625" style="108" customWidth="1"/>
    <col min="3343" max="3343" width="1.5703125" style="108" customWidth="1"/>
    <col min="3344" max="3344" width="13.5703125" style="108" customWidth="1"/>
    <col min="3345" max="3345" width="0.85546875" style="108" customWidth="1"/>
    <col min="3346" max="3346" width="12.28515625" style="108" customWidth="1"/>
    <col min="3347" max="3347" width="1.5703125" style="108" customWidth="1"/>
    <col min="3348" max="3348" width="12.28515625" style="108" customWidth="1"/>
    <col min="3349" max="3349" width="1.5703125" style="108" customWidth="1"/>
    <col min="3350" max="3350" width="12.28515625" style="108" customWidth="1"/>
    <col min="3351" max="3351" width="0.85546875" style="108" customWidth="1"/>
    <col min="3352" max="3352" width="12.28515625" style="108" customWidth="1"/>
    <col min="3353" max="3353" width="1.5703125" style="108" customWidth="1"/>
    <col min="3354" max="3354" width="12.28515625" style="108" customWidth="1"/>
    <col min="3355" max="3355" width="1.5703125" style="108" customWidth="1"/>
    <col min="3356" max="3356" width="12.28515625" style="108" customWidth="1"/>
    <col min="3357" max="3357" width="0.85546875" style="108" customWidth="1"/>
    <col min="3358" max="3358" width="12.28515625" style="108" customWidth="1"/>
    <col min="3359" max="3359" width="1.5703125" style="108" customWidth="1"/>
    <col min="3360" max="3360" width="12.28515625" style="108" customWidth="1"/>
    <col min="3361" max="3361" width="1.5703125" style="108" customWidth="1"/>
    <col min="3362" max="3362" width="12.28515625" style="108" customWidth="1"/>
    <col min="3363" max="3363" width="4.5703125" style="108" customWidth="1"/>
    <col min="3364" max="3364" width="1.42578125" style="108" customWidth="1"/>
    <col min="3365" max="3587" width="13.85546875" style="108"/>
    <col min="3588" max="3588" width="7.85546875" style="108" customWidth="1"/>
    <col min="3589" max="3590" width="2.28515625" style="108" customWidth="1"/>
    <col min="3591" max="3591" width="31.42578125" style="108" customWidth="1"/>
    <col min="3592" max="3592" width="2.28515625" style="108" customWidth="1"/>
    <col min="3593" max="3593" width="2.140625" style="108" customWidth="1"/>
    <col min="3594" max="3594" width="12.28515625" style="108" customWidth="1"/>
    <col min="3595" max="3595" width="1.5703125" style="108" customWidth="1"/>
    <col min="3596" max="3596" width="12.28515625" style="108" customWidth="1"/>
    <col min="3597" max="3597" width="1.5703125" style="108" customWidth="1"/>
    <col min="3598" max="3598" width="12.28515625" style="108" customWidth="1"/>
    <col min="3599" max="3599" width="1.5703125" style="108" customWidth="1"/>
    <col min="3600" max="3600" width="13.5703125" style="108" customWidth="1"/>
    <col min="3601" max="3601" width="0.85546875" style="108" customWidth="1"/>
    <col min="3602" max="3602" width="12.28515625" style="108" customWidth="1"/>
    <col min="3603" max="3603" width="1.5703125" style="108" customWidth="1"/>
    <col min="3604" max="3604" width="12.28515625" style="108" customWidth="1"/>
    <col min="3605" max="3605" width="1.5703125" style="108" customWidth="1"/>
    <col min="3606" max="3606" width="12.28515625" style="108" customWidth="1"/>
    <col min="3607" max="3607" width="0.85546875" style="108" customWidth="1"/>
    <col min="3608" max="3608" width="12.28515625" style="108" customWidth="1"/>
    <col min="3609" max="3609" width="1.5703125" style="108" customWidth="1"/>
    <col min="3610" max="3610" width="12.28515625" style="108" customWidth="1"/>
    <col min="3611" max="3611" width="1.5703125" style="108" customWidth="1"/>
    <col min="3612" max="3612" width="12.28515625" style="108" customWidth="1"/>
    <col min="3613" max="3613" width="0.85546875" style="108" customWidth="1"/>
    <col min="3614" max="3614" width="12.28515625" style="108" customWidth="1"/>
    <col min="3615" max="3615" width="1.5703125" style="108" customWidth="1"/>
    <col min="3616" max="3616" width="12.28515625" style="108" customWidth="1"/>
    <col min="3617" max="3617" width="1.5703125" style="108" customWidth="1"/>
    <col min="3618" max="3618" width="12.28515625" style="108" customWidth="1"/>
    <col min="3619" max="3619" width="4.5703125" style="108" customWidth="1"/>
    <col min="3620" max="3620" width="1.42578125" style="108" customWidth="1"/>
    <col min="3621" max="3843" width="13.85546875" style="108"/>
    <col min="3844" max="3844" width="7.85546875" style="108" customWidth="1"/>
    <col min="3845" max="3846" width="2.28515625" style="108" customWidth="1"/>
    <col min="3847" max="3847" width="31.42578125" style="108" customWidth="1"/>
    <col min="3848" max="3848" width="2.28515625" style="108" customWidth="1"/>
    <col min="3849" max="3849" width="2.140625" style="108" customWidth="1"/>
    <col min="3850" max="3850" width="12.28515625" style="108" customWidth="1"/>
    <col min="3851" max="3851" width="1.5703125" style="108" customWidth="1"/>
    <col min="3852" max="3852" width="12.28515625" style="108" customWidth="1"/>
    <col min="3853" max="3853" width="1.5703125" style="108" customWidth="1"/>
    <col min="3854" max="3854" width="12.28515625" style="108" customWidth="1"/>
    <col min="3855" max="3855" width="1.5703125" style="108" customWidth="1"/>
    <col min="3856" max="3856" width="13.5703125" style="108" customWidth="1"/>
    <col min="3857" max="3857" width="0.85546875" style="108" customWidth="1"/>
    <col min="3858" max="3858" width="12.28515625" style="108" customWidth="1"/>
    <col min="3859" max="3859" width="1.5703125" style="108" customWidth="1"/>
    <col min="3860" max="3860" width="12.28515625" style="108" customWidth="1"/>
    <col min="3861" max="3861" width="1.5703125" style="108" customWidth="1"/>
    <col min="3862" max="3862" width="12.28515625" style="108" customWidth="1"/>
    <col min="3863" max="3863" width="0.85546875" style="108" customWidth="1"/>
    <col min="3864" max="3864" width="12.28515625" style="108" customWidth="1"/>
    <col min="3865" max="3865" width="1.5703125" style="108" customWidth="1"/>
    <col min="3866" max="3866" width="12.28515625" style="108" customWidth="1"/>
    <col min="3867" max="3867" width="1.5703125" style="108" customWidth="1"/>
    <col min="3868" max="3868" width="12.28515625" style="108" customWidth="1"/>
    <col min="3869" max="3869" width="0.85546875" style="108" customWidth="1"/>
    <col min="3870" max="3870" width="12.28515625" style="108" customWidth="1"/>
    <col min="3871" max="3871" width="1.5703125" style="108" customWidth="1"/>
    <col min="3872" max="3872" width="12.28515625" style="108" customWidth="1"/>
    <col min="3873" max="3873" width="1.5703125" style="108" customWidth="1"/>
    <col min="3874" max="3874" width="12.28515625" style="108" customWidth="1"/>
    <col min="3875" max="3875" width="4.5703125" style="108" customWidth="1"/>
    <col min="3876" max="3876" width="1.42578125" style="108" customWidth="1"/>
    <col min="3877" max="4099" width="13.85546875" style="108"/>
    <col min="4100" max="4100" width="7.85546875" style="108" customWidth="1"/>
    <col min="4101" max="4102" width="2.28515625" style="108" customWidth="1"/>
    <col min="4103" max="4103" width="31.42578125" style="108" customWidth="1"/>
    <col min="4104" max="4104" width="2.28515625" style="108" customWidth="1"/>
    <col min="4105" max="4105" width="2.140625" style="108" customWidth="1"/>
    <col min="4106" max="4106" width="12.28515625" style="108" customWidth="1"/>
    <col min="4107" max="4107" width="1.5703125" style="108" customWidth="1"/>
    <col min="4108" max="4108" width="12.28515625" style="108" customWidth="1"/>
    <col min="4109" max="4109" width="1.5703125" style="108" customWidth="1"/>
    <col min="4110" max="4110" width="12.28515625" style="108" customWidth="1"/>
    <col min="4111" max="4111" width="1.5703125" style="108" customWidth="1"/>
    <col min="4112" max="4112" width="13.5703125" style="108" customWidth="1"/>
    <col min="4113" max="4113" width="0.85546875" style="108" customWidth="1"/>
    <col min="4114" max="4114" width="12.28515625" style="108" customWidth="1"/>
    <col min="4115" max="4115" width="1.5703125" style="108" customWidth="1"/>
    <col min="4116" max="4116" width="12.28515625" style="108" customWidth="1"/>
    <col min="4117" max="4117" width="1.5703125" style="108" customWidth="1"/>
    <col min="4118" max="4118" width="12.28515625" style="108" customWidth="1"/>
    <col min="4119" max="4119" width="0.85546875" style="108" customWidth="1"/>
    <col min="4120" max="4120" width="12.28515625" style="108" customWidth="1"/>
    <col min="4121" max="4121" width="1.5703125" style="108" customWidth="1"/>
    <col min="4122" max="4122" width="12.28515625" style="108" customWidth="1"/>
    <col min="4123" max="4123" width="1.5703125" style="108" customWidth="1"/>
    <col min="4124" max="4124" width="12.28515625" style="108" customWidth="1"/>
    <col min="4125" max="4125" width="0.85546875" style="108" customWidth="1"/>
    <col min="4126" max="4126" width="12.28515625" style="108" customWidth="1"/>
    <col min="4127" max="4127" width="1.5703125" style="108" customWidth="1"/>
    <col min="4128" max="4128" width="12.28515625" style="108" customWidth="1"/>
    <col min="4129" max="4129" width="1.5703125" style="108" customWidth="1"/>
    <col min="4130" max="4130" width="12.28515625" style="108" customWidth="1"/>
    <col min="4131" max="4131" width="4.5703125" style="108" customWidth="1"/>
    <col min="4132" max="4132" width="1.42578125" style="108" customWidth="1"/>
    <col min="4133" max="4355" width="13.85546875" style="108"/>
    <col min="4356" max="4356" width="7.85546875" style="108" customWidth="1"/>
    <col min="4357" max="4358" width="2.28515625" style="108" customWidth="1"/>
    <col min="4359" max="4359" width="31.42578125" style="108" customWidth="1"/>
    <col min="4360" max="4360" width="2.28515625" style="108" customWidth="1"/>
    <col min="4361" max="4361" width="2.140625" style="108" customWidth="1"/>
    <col min="4362" max="4362" width="12.28515625" style="108" customWidth="1"/>
    <col min="4363" max="4363" width="1.5703125" style="108" customWidth="1"/>
    <col min="4364" max="4364" width="12.28515625" style="108" customWidth="1"/>
    <col min="4365" max="4365" width="1.5703125" style="108" customWidth="1"/>
    <col min="4366" max="4366" width="12.28515625" style="108" customWidth="1"/>
    <col min="4367" max="4367" width="1.5703125" style="108" customWidth="1"/>
    <col min="4368" max="4368" width="13.5703125" style="108" customWidth="1"/>
    <col min="4369" max="4369" width="0.85546875" style="108" customWidth="1"/>
    <col min="4370" max="4370" width="12.28515625" style="108" customWidth="1"/>
    <col min="4371" max="4371" width="1.5703125" style="108" customWidth="1"/>
    <col min="4372" max="4372" width="12.28515625" style="108" customWidth="1"/>
    <col min="4373" max="4373" width="1.5703125" style="108" customWidth="1"/>
    <col min="4374" max="4374" width="12.28515625" style="108" customWidth="1"/>
    <col min="4375" max="4375" width="0.85546875" style="108" customWidth="1"/>
    <col min="4376" max="4376" width="12.28515625" style="108" customWidth="1"/>
    <col min="4377" max="4377" width="1.5703125" style="108" customWidth="1"/>
    <col min="4378" max="4378" width="12.28515625" style="108" customWidth="1"/>
    <col min="4379" max="4379" width="1.5703125" style="108" customWidth="1"/>
    <col min="4380" max="4380" width="12.28515625" style="108" customWidth="1"/>
    <col min="4381" max="4381" width="0.85546875" style="108" customWidth="1"/>
    <col min="4382" max="4382" width="12.28515625" style="108" customWidth="1"/>
    <col min="4383" max="4383" width="1.5703125" style="108" customWidth="1"/>
    <col min="4384" max="4384" width="12.28515625" style="108" customWidth="1"/>
    <col min="4385" max="4385" width="1.5703125" style="108" customWidth="1"/>
    <col min="4386" max="4386" width="12.28515625" style="108" customWidth="1"/>
    <col min="4387" max="4387" width="4.5703125" style="108" customWidth="1"/>
    <col min="4388" max="4388" width="1.42578125" style="108" customWidth="1"/>
    <col min="4389" max="4611" width="13.85546875" style="108"/>
    <col min="4612" max="4612" width="7.85546875" style="108" customWidth="1"/>
    <col min="4613" max="4614" width="2.28515625" style="108" customWidth="1"/>
    <col min="4615" max="4615" width="31.42578125" style="108" customWidth="1"/>
    <col min="4616" max="4616" width="2.28515625" style="108" customWidth="1"/>
    <col min="4617" max="4617" width="2.140625" style="108" customWidth="1"/>
    <col min="4618" max="4618" width="12.28515625" style="108" customWidth="1"/>
    <col min="4619" max="4619" width="1.5703125" style="108" customWidth="1"/>
    <col min="4620" max="4620" width="12.28515625" style="108" customWidth="1"/>
    <col min="4621" max="4621" width="1.5703125" style="108" customWidth="1"/>
    <col min="4622" max="4622" width="12.28515625" style="108" customWidth="1"/>
    <col min="4623" max="4623" width="1.5703125" style="108" customWidth="1"/>
    <col min="4624" max="4624" width="13.5703125" style="108" customWidth="1"/>
    <col min="4625" max="4625" width="0.85546875" style="108" customWidth="1"/>
    <col min="4626" max="4626" width="12.28515625" style="108" customWidth="1"/>
    <col min="4627" max="4627" width="1.5703125" style="108" customWidth="1"/>
    <col min="4628" max="4628" width="12.28515625" style="108" customWidth="1"/>
    <col min="4629" max="4629" width="1.5703125" style="108" customWidth="1"/>
    <col min="4630" max="4630" width="12.28515625" style="108" customWidth="1"/>
    <col min="4631" max="4631" width="0.85546875" style="108" customWidth="1"/>
    <col min="4632" max="4632" width="12.28515625" style="108" customWidth="1"/>
    <col min="4633" max="4633" width="1.5703125" style="108" customWidth="1"/>
    <col min="4634" max="4634" width="12.28515625" style="108" customWidth="1"/>
    <col min="4635" max="4635" width="1.5703125" style="108" customWidth="1"/>
    <col min="4636" max="4636" width="12.28515625" style="108" customWidth="1"/>
    <col min="4637" max="4637" width="0.85546875" style="108" customWidth="1"/>
    <col min="4638" max="4638" width="12.28515625" style="108" customWidth="1"/>
    <col min="4639" max="4639" width="1.5703125" style="108" customWidth="1"/>
    <col min="4640" max="4640" width="12.28515625" style="108" customWidth="1"/>
    <col min="4641" max="4641" width="1.5703125" style="108" customWidth="1"/>
    <col min="4642" max="4642" width="12.28515625" style="108" customWidth="1"/>
    <col min="4643" max="4643" width="4.5703125" style="108" customWidth="1"/>
    <col min="4644" max="4644" width="1.42578125" style="108" customWidth="1"/>
    <col min="4645" max="4867" width="13.85546875" style="108"/>
    <col min="4868" max="4868" width="7.85546875" style="108" customWidth="1"/>
    <col min="4869" max="4870" width="2.28515625" style="108" customWidth="1"/>
    <col min="4871" max="4871" width="31.42578125" style="108" customWidth="1"/>
    <col min="4872" max="4872" width="2.28515625" style="108" customWidth="1"/>
    <col min="4873" max="4873" width="2.140625" style="108" customWidth="1"/>
    <col min="4874" max="4874" width="12.28515625" style="108" customWidth="1"/>
    <col min="4875" max="4875" width="1.5703125" style="108" customWidth="1"/>
    <col min="4876" max="4876" width="12.28515625" style="108" customWidth="1"/>
    <col min="4877" max="4877" width="1.5703125" style="108" customWidth="1"/>
    <col min="4878" max="4878" width="12.28515625" style="108" customWidth="1"/>
    <col min="4879" max="4879" width="1.5703125" style="108" customWidth="1"/>
    <col min="4880" max="4880" width="13.5703125" style="108" customWidth="1"/>
    <col min="4881" max="4881" width="0.85546875" style="108" customWidth="1"/>
    <col min="4882" max="4882" width="12.28515625" style="108" customWidth="1"/>
    <col min="4883" max="4883" width="1.5703125" style="108" customWidth="1"/>
    <col min="4884" max="4884" width="12.28515625" style="108" customWidth="1"/>
    <col min="4885" max="4885" width="1.5703125" style="108" customWidth="1"/>
    <col min="4886" max="4886" width="12.28515625" style="108" customWidth="1"/>
    <col min="4887" max="4887" width="0.85546875" style="108" customWidth="1"/>
    <col min="4888" max="4888" width="12.28515625" style="108" customWidth="1"/>
    <col min="4889" max="4889" width="1.5703125" style="108" customWidth="1"/>
    <col min="4890" max="4890" width="12.28515625" style="108" customWidth="1"/>
    <col min="4891" max="4891" width="1.5703125" style="108" customWidth="1"/>
    <col min="4892" max="4892" width="12.28515625" style="108" customWidth="1"/>
    <col min="4893" max="4893" width="0.85546875" style="108" customWidth="1"/>
    <col min="4894" max="4894" width="12.28515625" style="108" customWidth="1"/>
    <col min="4895" max="4895" width="1.5703125" style="108" customWidth="1"/>
    <col min="4896" max="4896" width="12.28515625" style="108" customWidth="1"/>
    <col min="4897" max="4897" width="1.5703125" style="108" customWidth="1"/>
    <col min="4898" max="4898" width="12.28515625" style="108" customWidth="1"/>
    <col min="4899" max="4899" width="4.5703125" style="108" customWidth="1"/>
    <col min="4900" max="4900" width="1.42578125" style="108" customWidth="1"/>
    <col min="4901" max="5123" width="13.85546875" style="108"/>
    <col min="5124" max="5124" width="7.85546875" style="108" customWidth="1"/>
    <col min="5125" max="5126" width="2.28515625" style="108" customWidth="1"/>
    <col min="5127" max="5127" width="31.42578125" style="108" customWidth="1"/>
    <col min="5128" max="5128" width="2.28515625" style="108" customWidth="1"/>
    <col min="5129" max="5129" width="2.140625" style="108" customWidth="1"/>
    <col min="5130" max="5130" width="12.28515625" style="108" customWidth="1"/>
    <col min="5131" max="5131" width="1.5703125" style="108" customWidth="1"/>
    <col min="5132" max="5132" width="12.28515625" style="108" customWidth="1"/>
    <col min="5133" max="5133" width="1.5703125" style="108" customWidth="1"/>
    <col min="5134" max="5134" width="12.28515625" style="108" customWidth="1"/>
    <col min="5135" max="5135" width="1.5703125" style="108" customWidth="1"/>
    <col min="5136" max="5136" width="13.5703125" style="108" customWidth="1"/>
    <col min="5137" max="5137" width="0.85546875" style="108" customWidth="1"/>
    <col min="5138" max="5138" width="12.28515625" style="108" customWidth="1"/>
    <col min="5139" max="5139" width="1.5703125" style="108" customWidth="1"/>
    <col min="5140" max="5140" width="12.28515625" style="108" customWidth="1"/>
    <col min="5141" max="5141" width="1.5703125" style="108" customWidth="1"/>
    <col min="5142" max="5142" width="12.28515625" style="108" customWidth="1"/>
    <col min="5143" max="5143" width="0.85546875" style="108" customWidth="1"/>
    <col min="5144" max="5144" width="12.28515625" style="108" customWidth="1"/>
    <col min="5145" max="5145" width="1.5703125" style="108" customWidth="1"/>
    <col min="5146" max="5146" width="12.28515625" style="108" customWidth="1"/>
    <col min="5147" max="5147" width="1.5703125" style="108" customWidth="1"/>
    <col min="5148" max="5148" width="12.28515625" style="108" customWidth="1"/>
    <col min="5149" max="5149" width="0.85546875" style="108" customWidth="1"/>
    <col min="5150" max="5150" width="12.28515625" style="108" customWidth="1"/>
    <col min="5151" max="5151" width="1.5703125" style="108" customWidth="1"/>
    <col min="5152" max="5152" width="12.28515625" style="108" customWidth="1"/>
    <col min="5153" max="5153" width="1.5703125" style="108" customWidth="1"/>
    <col min="5154" max="5154" width="12.28515625" style="108" customWidth="1"/>
    <col min="5155" max="5155" width="4.5703125" style="108" customWidth="1"/>
    <col min="5156" max="5156" width="1.42578125" style="108" customWidth="1"/>
    <col min="5157" max="5379" width="13.85546875" style="108"/>
    <col min="5380" max="5380" width="7.85546875" style="108" customWidth="1"/>
    <col min="5381" max="5382" width="2.28515625" style="108" customWidth="1"/>
    <col min="5383" max="5383" width="31.42578125" style="108" customWidth="1"/>
    <col min="5384" max="5384" width="2.28515625" style="108" customWidth="1"/>
    <col min="5385" max="5385" width="2.140625" style="108" customWidth="1"/>
    <col min="5386" max="5386" width="12.28515625" style="108" customWidth="1"/>
    <col min="5387" max="5387" width="1.5703125" style="108" customWidth="1"/>
    <col min="5388" max="5388" width="12.28515625" style="108" customWidth="1"/>
    <col min="5389" max="5389" width="1.5703125" style="108" customWidth="1"/>
    <col min="5390" max="5390" width="12.28515625" style="108" customWidth="1"/>
    <col min="5391" max="5391" width="1.5703125" style="108" customWidth="1"/>
    <col min="5392" max="5392" width="13.5703125" style="108" customWidth="1"/>
    <col min="5393" max="5393" width="0.85546875" style="108" customWidth="1"/>
    <col min="5394" max="5394" width="12.28515625" style="108" customWidth="1"/>
    <col min="5395" max="5395" width="1.5703125" style="108" customWidth="1"/>
    <col min="5396" max="5396" width="12.28515625" style="108" customWidth="1"/>
    <col min="5397" max="5397" width="1.5703125" style="108" customWidth="1"/>
    <col min="5398" max="5398" width="12.28515625" style="108" customWidth="1"/>
    <col min="5399" max="5399" width="0.85546875" style="108" customWidth="1"/>
    <col min="5400" max="5400" width="12.28515625" style="108" customWidth="1"/>
    <col min="5401" max="5401" width="1.5703125" style="108" customWidth="1"/>
    <col min="5402" max="5402" width="12.28515625" style="108" customWidth="1"/>
    <col min="5403" max="5403" width="1.5703125" style="108" customWidth="1"/>
    <col min="5404" max="5404" width="12.28515625" style="108" customWidth="1"/>
    <col min="5405" max="5405" width="0.85546875" style="108" customWidth="1"/>
    <col min="5406" max="5406" width="12.28515625" style="108" customWidth="1"/>
    <col min="5407" max="5407" width="1.5703125" style="108" customWidth="1"/>
    <col min="5408" max="5408" width="12.28515625" style="108" customWidth="1"/>
    <col min="5409" max="5409" width="1.5703125" style="108" customWidth="1"/>
    <col min="5410" max="5410" width="12.28515625" style="108" customWidth="1"/>
    <col min="5411" max="5411" width="4.5703125" style="108" customWidth="1"/>
    <col min="5412" max="5412" width="1.42578125" style="108" customWidth="1"/>
    <col min="5413" max="5635" width="13.85546875" style="108"/>
    <col min="5636" max="5636" width="7.85546875" style="108" customWidth="1"/>
    <col min="5637" max="5638" width="2.28515625" style="108" customWidth="1"/>
    <col min="5639" max="5639" width="31.42578125" style="108" customWidth="1"/>
    <col min="5640" max="5640" width="2.28515625" style="108" customWidth="1"/>
    <col min="5641" max="5641" width="2.140625" style="108" customWidth="1"/>
    <col min="5642" max="5642" width="12.28515625" style="108" customWidth="1"/>
    <col min="5643" max="5643" width="1.5703125" style="108" customWidth="1"/>
    <col min="5644" max="5644" width="12.28515625" style="108" customWidth="1"/>
    <col min="5645" max="5645" width="1.5703125" style="108" customWidth="1"/>
    <col min="5646" max="5646" width="12.28515625" style="108" customWidth="1"/>
    <col min="5647" max="5647" width="1.5703125" style="108" customWidth="1"/>
    <col min="5648" max="5648" width="13.5703125" style="108" customWidth="1"/>
    <col min="5649" max="5649" width="0.85546875" style="108" customWidth="1"/>
    <col min="5650" max="5650" width="12.28515625" style="108" customWidth="1"/>
    <col min="5651" max="5651" width="1.5703125" style="108" customWidth="1"/>
    <col min="5652" max="5652" width="12.28515625" style="108" customWidth="1"/>
    <col min="5653" max="5653" width="1.5703125" style="108" customWidth="1"/>
    <col min="5654" max="5654" width="12.28515625" style="108" customWidth="1"/>
    <col min="5655" max="5655" width="0.85546875" style="108" customWidth="1"/>
    <col min="5656" max="5656" width="12.28515625" style="108" customWidth="1"/>
    <col min="5657" max="5657" width="1.5703125" style="108" customWidth="1"/>
    <col min="5658" max="5658" width="12.28515625" style="108" customWidth="1"/>
    <col min="5659" max="5659" width="1.5703125" style="108" customWidth="1"/>
    <col min="5660" max="5660" width="12.28515625" style="108" customWidth="1"/>
    <col min="5661" max="5661" width="0.85546875" style="108" customWidth="1"/>
    <col min="5662" max="5662" width="12.28515625" style="108" customWidth="1"/>
    <col min="5663" max="5663" width="1.5703125" style="108" customWidth="1"/>
    <col min="5664" max="5664" width="12.28515625" style="108" customWidth="1"/>
    <col min="5665" max="5665" width="1.5703125" style="108" customWidth="1"/>
    <col min="5666" max="5666" width="12.28515625" style="108" customWidth="1"/>
    <col min="5667" max="5667" width="4.5703125" style="108" customWidth="1"/>
    <col min="5668" max="5668" width="1.42578125" style="108" customWidth="1"/>
    <col min="5669" max="5891" width="13.85546875" style="108"/>
    <col min="5892" max="5892" width="7.85546875" style="108" customWidth="1"/>
    <col min="5893" max="5894" width="2.28515625" style="108" customWidth="1"/>
    <col min="5895" max="5895" width="31.42578125" style="108" customWidth="1"/>
    <col min="5896" max="5896" width="2.28515625" style="108" customWidth="1"/>
    <col min="5897" max="5897" width="2.140625" style="108" customWidth="1"/>
    <col min="5898" max="5898" width="12.28515625" style="108" customWidth="1"/>
    <col min="5899" max="5899" width="1.5703125" style="108" customWidth="1"/>
    <col min="5900" max="5900" width="12.28515625" style="108" customWidth="1"/>
    <col min="5901" max="5901" width="1.5703125" style="108" customWidth="1"/>
    <col min="5902" max="5902" width="12.28515625" style="108" customWidth="1"/>
    <col min="5903" max="5903" width="1.5703125" style="108" customWidth="1"/>
    <col min="5904" max="5904" width="13.5703125" style="108" customWidth="1"/>
    <col min="5905" max="5905" width="0.85546875" style="108" customWidth="1"/>
    <col min="5906" max="5906" width="12.28515625" style="108" customWidth="1"/>
    <col min="5907" max="5907" width="1.5703125" style="108" customWidth="1"/>
    <col min="5908" max="5908" width="12.28515625" style="108" customWidth="1"/>
    <col min="5909" max="5909" width="1.5703125" style="108" customWidth="1"/>
    <col min="5910" max="5910" width="12.28515625" style="108" customWidth="1"/>
    <col min="5911" max="5911" width="0.85546875" style="108" customWidth="1"/>
    <col min="5912" max="5912" width="12.28515625" style="108" customWidth="1"/>
    <col min="5913" max="5913" width="1.5703125" style="108" customWidth="1"/>
    <col min="5914" max="5914" width="12.28515625" style="108" customWidth="1"/>
    <col min="5915" max="5915" width="1.5703125" style="108" customWidth="1"/>
    <col min="5916" max="5916" width="12.28515625" style="108" customWidth="1"/>
    <col min="5917" max="5917" width="0.85546875" style="108" customWidth="1"/>
    <col min="5918" max="5918" width="12.28515625" style="108" customWidth="1"/>
    <col min="5919" max="5919" width="1.5703125" style="108" customWidth="1"/>
    <col min="5920" max="5920" width="12.28515625" style="108" customWidth="1"/>
    <col min="5921" max="5921" width="1.5703125" style="108" customWidth="1"/>
    <col min="5922" max="5922" width="12.28515625" style="108" customWidth="1"/>
    <col min="5923" max="5923" width="4.5703125" style="108" customWidth="1"/>
    <col min="5924" max="5924" width="1.42578125" style="108" customWidth="1"/>
    <col min="5925" max="6147" width="13.85546875" style="108"/>
    <col min="6148" max="6148" width="7.85546875" style="108" customWidth="1"/>
    <col min="6149" max="6150" width="2.28515625" style="108" customWidth="1"/>
    <col min="6151" max="6151" width="31.42578125" style="108" customWidth="1"/>
    <col min="6152" max="6152" width="2.28515625" style="108" customWidth="1"/>
    <col min="6153" max="6153" width="2.140625" style="108" customWidth="1"/>
    <col min="6154" max="6154" width="12.28515625" style="108" customWidth="1"/>
    <col min="6155" max="6155" width="1.5703125" style="108" customWidth="1"/>
    <col min="6156" max="6156" width="12.28515625" style="108" customWidth="1"/>
    <col min="6157" max="6157" width="1.5703125" style="108" customWidth="1"/>
    <col min="6158" max="6158" width="12.28515625" style="108" customWidth="1"/>
    <col min="6159" max="6159" width="1.5703125" style="108" customWidth="1"/>
    <col min="6160" max="6160" width="13.5703125" style="108" customWidth="1"/>
    <col min="6161" max="6161" width="0.85546875" style="108" customWidth="1"/>
    <col min="6162" max="6162" width="12.28515625" style="108" customWidth="1"/>
    <col min="6163" max="6163" width="1.5703125" style="108" customWidth="1"/>
    <col min="6164" max="6164" width="12.28515625" style="108" customWidth="1"/>
    <col min="6165" max="6165" width="1.5703125" style="108" customWidth="1"/>
    <col min="6166" max="6166" width="12.28515625" style="108" customWidth="1"/>
    <col min="6167" max="6167" width="0.85546875" style="108" customWidth="1"/>
    <col min="6168" max="6168" width="12.28515625" style="108" customWidth="1"/>
    <col min="6169" max="6169" width="1.5703125" style="108" customWidth="1"/>
    <col min="6170" max="6170" width="12.28515625" style="108" customWidth="1"/>
    <col min="6171" max="6171" width="1.5703125" style="108" customWidth="1"/>
    <col min="6172" max="6172" width="12.28515625" style="108" customWidth="1"/>
    <col min="6173" max="6173" width="0.85546875" style="108" customWidth="1"/>
    <col min="6174" max="6174" width="12.28515625" style="108" customWidth="1"/>
    <col min="6175" max="6175" width="1.5703125" style="108" customWidth="1"/>
    <col min="6176" max="6176" width="12.28515625" style="108" customWidth="1"/>
    <col min="6177" max="6177" width="1.5703125" style="108" customWidth="1"/>
    <col min="6178" max="6178" width="12.28515625" style="108" customWidth="1"/>
    <col min="6179" max="6179" width="4.5703125" style="108" customWidth="1"/>
    <col min="6180" max="6180" width="1.42578125" style="108" customWidth="1"/>
    <col min="6181" max="6403" width="13.85546875" style="108"/>
    <col min="6404" max="6404" width="7.85546875" style="108" customWidth="1"/>
    <col min="6405" max="6406" width="2.28515625" style="108" customWidth="1"/>
    <col min="6407" max="6407" width="31.42578125" style="108" customWidth="1"/>
    <col min="6408" max="6408" width="2.28515625" style="108" customWidth="1"/>
    <col min="6409" max="6409" width="2.140625" style="108" customWidth="1"/>
    <col min="6410" max="6410" width="12.28515625" style="108" customWidth="1"/>
    <col min="6411" max="6411" width="1.5703125" style="108" customWidth="1"/>
    <col min="6412" max="6412" width="12.28515625" style="108" customWidth="1"/>
    <col min="6413" max="6413" width="1.5703125" style="108" customWidth="1"/>
    <col min="6414" max="6414" width="12.28515625" style="108" customWidth="1"/>
    <col min="6415" max="6415" width="1.5703125" style="108" customWidth="1"/>
    <col min="6416" max="6416" width="13.5703125" style="108" customWidth="1"/>
    <col min="6417" max="6417" width="0.85546875" style="108" customWidth="1"/>
    <col min="6418" max="6418" width="12.28515625" style="108" customWidth="1"/>
    <col min="6419" max="6419" width="1.5703125" style="108" customWidth="1"/>
    <col min="6420" max="6420" width="12.28515625" style="108" customWidth="1"/>
    <col min="6421" max="6421" width="1.5703125" style="108" customWidth="1"/>
    <col min="6422" max="6422" width="12.28515625" style="108" customWidth="1"/>
    <col min="6423" max="6423" width="0.85546875" style="108" customWidth="1"/>
    <col min="6424" max="6424" width="12.28515625" style="108" customWidth="1"/>
    <col min="6425" max="6425" width="1.5703125" style="108" customWidth="1"/>
    <col min="6426" max="6426" width="12.28515625" style="108" customWidth="1"/>
    <col min="6427" max="6427" width="1.5703125" style="108" customWidth="1"/>
    <col min="6428" max="6428" width="12.28515625" style="108" customWidth="1"/>
    <col min="6429" max="6429" width="0.85546875" style="108" customWidth="1"/>
    <col min="6430" max="6430" width="12.28515625" style="108" customWidth="1"/>
    <col min="6431" max="6431" width="1.5703125" style="108" customWidth="1"/>
    <col min="6432" max="6432" width="12.28515625" style="108" customWidth="1"/>
    <col min="6433" max="6433" width="1.5703125" style="108" customWidth="1"/>
    <col min="6434" max="6434" width="12.28515625" style="108" customWidth="1"/>
    <col min="6435" max="6435" width="4.5703125" style="108" customWidth="1"/>
    <col min="6436" max="6436" width="1.42578125" style="108" customWidth="1"/>
    <col min="6437" max="6659" width="13.85546875" style="108"/>
    <col min="6660" max="6660" width="7.85546875" style="108" customWidth="1"/>
    <col min="6661" max="6662" width="2.28515625" style="108" customWidth="1"/>
    <col min="6663" max="6663" width="31.42578125" style="108" customWidth="1"/>
    <col min="6664" max="6664" width="2.28515625" style="108" customWidth="1"/>
    <col min="6665" max="6665" width="2.140625" style="108" customWidth="1"/>
    <col min="6666" max="6666" width="12.28515625" style="108" customWidth="1"/>
    <col min="6667" max="6667" width="1.5703125" style="108" customWidth="1"/>
    <col min="6668" max="6668" width="12.28515625" style="108" customWidth="1"/>
    <col min="6669" max="6669" width="1.5703125" style="108" customWidth="1"/>
    <col min="6670" max="6670" width="12.28515625" style="108" customWidth="1"/>
    <col min="6671" max="6671" width="1.5703125" style="108" customWidth="1"/>
    <col min="6672" max="6672" width="13.5703125" style="108" customWidth="1"/>
    <col min="6673" max="6673" width="0.85546875" style="108" customWidth="1"/>
    <col min="6674" max="6674" width="12.28515625" style="108" customWidth="1"/>
    <col min="6675" max="6675" width="1.5703125" style="108" customWidth="1"/>
    <col min="6676" max="6676" width="12.28515625" style="108" customWidth="1"/>
    <col min="6677" max="6677" width="1.5703125" style="108" customWidth="1"/>
    <col min="6678" max="6678" width="12.28515625" style="108" customWidth="1"/>
    <col min="6679" max="6679" width="0.85546875" style="108" customWidth="1"/>
    <col min="6680" max="6680" width="12.28515625" style="108" customWidth="1"/>
    <col min="6681" max="6681" width="1.5703125" style="108" customWidth="1"/>
    <col min="6682" max="6682" width="12.28515625" style="108" customWidth="1"/>
    <col min="6683" max="6683" width="1.5703125" style="108" customWidth="1"/>
    <col min="6684" max="6684" width="12.28515625" style="108" customWidth="1"/>
    <col min="6685" max="6685" width="0.85546875" style="108" customWidth="1"/>
    <col min="6686" max="6686" width="12.28515625" style="108" customWidth="1"/>
    <col min="6687" max="6687" width="1.5703125" style="108" customWidth="1"/>
    <col min="6688" max="6688" width="12.28515625" style="108" customWidth="1"/>
    <col min="6689" max="6689" width="1.5703125" style="108" customWidth="1"/>
    <col min="6690" max="6690" width="12.28515625" style="108" customWidth="1"/>
    <col min="6691" max="6691" width="4.5703125" style="108" customWidth="1"/>
    <col min="6692" max="6692" width="1.42578125" style="108" customWidth="1"/>
    <col min="6693" max="6915" width="13.85546875" style="108"/>
    <col min="6916" max="6916" width="7.85546875" style="108" customWidth="1"/>
    <col min="6917" max="6918" width="2.28515625" style="108" customWidth="1"/>
    <col min="6919" max="6919" width="31.42578125" style="108" customWidth="1"/>
    <col min="6920" max="6920" width="2.28515625" style="108" customWidth="1"/>
    <col min="6921" max="6921" width="2.140625" style="108" customWidth="1"/>
    <col min="6922" max="6922" width="12.28515625" style="108" customWidth="1"/>
    <col min="6923" max="6923" width="1.5703125" style="108" customWidth="1"/>
    <col min="6924" max="6924" width="12.28515625" style="108" customWidth="1"/>
    <col min="6925" max="6925" width="1.5703125" style="108" customWidth="1"/>
    <col min="6926" max="6926" width="12.28515625" style="108" customWidth="1"/>
    <col min="6927" max="6927" width="1.5703125" style="108" customWidth="1"/>
    <col min="6928" max="6928" width="13.5703125" style="108" customWidth="1"/>
    <col min="6929" max="6929" width="0.85546875" style="108" customWidth="1"/>
    <col min="6930" max="6930" width="12.28515625" style="108" customWidth="1"/>
    <col min="6931" max="6931" width="1.5703125" style="108" customWidth="1"/>
    <col min="6932" max="6932" width="12.28515625" style="108" customWidth="1"/>
    <col min="6933" max="6933" width="1.5703125" style="108" customWidth="1"/>
    <col min="6934" max="6934" width="12.28515625" style="108" customWidth="1"/>
    <col min="6935" max="6935" width="0.85546875" style="108" customWidth="1"/>
    <col min="6936" max="6936" width="12.28515625" style="108" customWidth="1"/>
    <col min="6937" max="6937" width="1.5703125" style="108" customWidth="1"/>
    <col min="6938" max="6938" width="12.28515625" style="108" customWidth="1"/>
    <col min="6939" max="6939" width="1.5703125" style="108" customWidth="1"/>
    <col min="6940" max="6940" width="12.28515625" style="108" customWidth="1"/>
    <col min="6941" max="6941" width="0.85546875" style="108" customWidth="1"/>
    <col min="6942" max="6942" width="12.28515625" style="108" customWidth="1"/>
    <col min="6943" max="6943" width="1.5703125" style="108" customWidth="1"/>
    <col min="6944" max="6944" width="12.28515625" style="108" customWidth="1"/>
    <col min="6945" max="6945" width="1.5703125" style="108" customWidth="1"/>
    <col min="6946" max="6946" width="12.28515625" style="108" customWidth="1"/>
    <col min="6947" max="6947" width="4.5703125" style="108" customWidth="1"/>
    <col min="6948" max="6948" width="1.42578125" style="108" customWidth="1"/>
    <col min="6949" max="7171" width="13.85546875" style="108"/>
    <col min="7172" max="7172" width="7.85546875" style="108" customWidth="1"/>
    <col min="7173" max="7174" width="2.28515625" style="108" customWidth="1"/>
    <col min="7175" max="7175" width="31.42578125" style="108" customWidth="1"/>
    <col min="7176" max="7176" width="2.28515625" style="108" customWidth="1"/>
    <col min="7177" max="7177" width="2.140625" style="108" customWidth="1"/>
    <col min="7178" max="7178" width="12.28515625" style="108" customWidth="1"/>
    <col min="7179" max="7179" width="1.5703125" style="108" customWidth="1"/>
    <col min="7180" max="7180" width="12.28515625" style="108" customWidth="1"/>
    <col min="7181" max="7181" width="1.5703125" style="108" customWidth="1"/>
    <col min="7182" max="7182" width="12.28515625" style="108" customWidth="1"/>
    <col min="7183" max="7183" width="1.5703125" style="108" customWidth="1"/>
    <col min="7184" max="7184" width="13.5703125" style="108" customWidth="1"/>
    <col min="7185" max="7185" width="0.85546875" style="108" customWidth="1"/>
    <col min="7186" max="7186" width="12.28515625" style="108" customWidth="1"/>
    <col min="7187" max="7187" width="1.5703125" style="108" customWidth="1"/>
    <col min="7188" max="7188" width="12.28515625" style="108" customWidth="1"/>
    <col min="7189" max="7189" width="1.5703125" style="108" customWidth="1"/>
    <col min="7190" max="7190" width="12.28515625" style="108" customWidth="1"/>
    <col min="7191" max="7191" width="0.85546875" style="108" customWidth="1"/>
    <col min="7192" max="7192" width="12.28515625" style="108" customWidth="1"/>
    <col min="7193" max="7193" width="1.5703125" style="108" customWidth="1"/>
    <col min="7194" max="7194" width="12.28515625" style="108" customWidth="1"/>
    <col min="7195" max="7195" width="1.5703125" style="108" customWidth="1"/>
    <col min="7196" max="7196" width="12.28515625" style="108" customWidth="1"/>
    <col min="7197" max="7197" width="0.85546875" style="108" customWidth="1"/>
    <col min="7198" max="7198" width="12.28515625" style="108" customWidth="1"/>
    <col min="7199" max="7199" width="1.5703125" style="108" customWidth="1"/>
    <col min="7200" max="7200" width="12.28515625" style="108" customWidth="1"/>
    <col min="7201" max="7201" width="1.5703125" style="108" customWidth="1"/>
    <col min="7202" max="7202" width="12.28515625" style="108" customWidth="1"/>
    <col min="7203" max="7203" width="4.5703125" style="108" customWidth="1"/>
    <col min="7204" max="7204" width="1.42578125" style="108" customWidth="1"/>
    <col min="7205" max="7427" width="13.85546875" style="108"/>
    <col min="7428" max="7428" width="7.85546875" style="108" customWidth="1"/>
    <col min="7429" max="7430" width="2.28515625" style="108" customWidth="1"/>
    <col min="7431" max="7431" width="31.42578125" style="108" customWidth="1"/>
    <col min="7432" max="7432" width="2.28515625" style="108" customWidth="1"/>
    <col min="7433" max="7433" width="2.140625" style="108" customWidth="1"/>
    <col min="7434" max="7434" width="12.28515625" style="108" customWidth="1"/>
    <col min="7435" max="7435" width="1.5703125" style="108" customWidth="1"/>
    <col min="7436" max="7436" width="12.28515625" style="108" customWidth="1"/>
    <col min="7437" max="7437" width="1.5703125" style="108" customWidth="1"/>
    <col min="7438" max="7438" width="12.28515625" style="108" customWidth="1"/>
    <col min="7439" max="7439" width="1.5703125" style="108" customWidth="1"/>
    <col min="7440" max="7440" width="13.5703125" style="108" customWidth="1"/>
    <col min="7441" max="7441" width="0.85546875" style="108" customWidth="1"/>
    <col min="7442" max="7442" width="12.28515625" style="108" customWidth="1"/>
    <col min="7443" max="7443" width="1.5703125" style="108" customWidth="1"/>
    <col min="7444" max="7444" width="12.28515625" style="108" customWidth="1"/>
    <col min="7445" max="7445" width="1.5703125" style="108" customWidth="1"/>
    <col min="7446" max="7446" width="12.28515625" style="108" customWidth="1"/>
    <col min="7447" max="7447" width="0.85546875" style="108" customWidth="1"/>
    <col min="7448" max="7448" width="12.28515625" style="108" customWidth="1"/>
    <col min="7449" max="7449" width="1.5703125" style="108" customWidth="1"/>
    <col min="7450" max="7450" width="12.28515625" style="108" customWidth="1"/>
    <col min="7451" max="7451" width="1.5703125" style="108" customWidth="1"/>
    <col min="7452" max="7452" width="12.28515625" style="108" customWidth="1"/>
    <col min="7453" max="7453" width="0.85546875" style="108" customWidth="1"/>
    <col min="7454" max="7454" width="12.28515625" style="108" customWidth="1"/>
    <col min="7455" max="7455" width="1.5703125" style="108" customWidth="1"/>
    <col min="7456" max="7456" width="12.28515625" style="108" customWidth="1"/>
    <col min="7457" max="7457" width="1.5703125" style="108" customWidth="1"/>
    <col min="7458" max="7458" width="12.28515625" style="108" customWidth="1"/>
    <col min="7459" max="7459" width="4.5703125" style="108" customWidth="1"/>
    <col min="7460" max="7460" width="1.42578125" style="108" customWidth="1"/>
    <col min="7461" max="7683" width="13.85546875" style="108"/>
    <col min="7684" max="7684" width="7.85546875" style="108" customWidth="1"/>
    <col min="7685" max="7686" width="2.28515625" style="108" customWidth="1"/>
    <col min="7687" max="7687" width="31.42578125" style="108" customWidth="1"/>
    <col min="7688" max="7688" width="2.28515625" style="108" customWidth="1"/>
    <col min="7689" max="7689" width="2.140625" style="108" customWidth="1"/>
    <col min="7690" max="7690" width="12.28515625" style="108" customWidth="1"/>
    <col min="7691" max="7691" width="1.5703125" style="108" customWidth="1"/>
    <col min="7692" max="7692" width="12.28515625" style="108" customWidth="1"/>
    <col min="7693" max="7693" width="1.5703125" style="108" customWidth="1"/>
    <col min="7694" max="7694" width="12.28515625" style="108" customWidth="1"/>
    <col min="7695" max="7695" width="1.5703125" style="108" customWidth="1"/>
    <col min="7696" max="7696" width="13.5703125" style="108" customWidth="1"/>
    <col min="7697" max="7697" width="0.85546875" style="108" customWidth="1"/>
    <col min="7698" max="7698" width="12.28515625" style="108" customWidth="1"/>
    <col min="7699" max="7699" width="1.5703125" style="108" customWidth="1"/>
    <col min="7700" max="7700" width="12.28515625" style="108" customWidth="1"/>
    <col min="7701" max="7701" width="1.5703125" style="108" customWidth="1"/>
    <col min="7702" max="7702" width="12.28515625" style="108" customWidth="1"/>
    <col min="7703" max="7703" width="0.85546875" style="108" customWidth="1"/>
    <col min="7704" max="7704" width="12.28515625" style="108" customWidth="1"/>
    <col min="7705" max="7705" width="1.5703125" style="108" customWidth="1"/>
    <col min="7706" max="7706" width="12.28515625" style="108" customWidth="1"/>
    <col min="7707" max="7707" width="1.5703125" style="108" customWidth="1"/>
    <col min="7708" max="7708" width="12.28515625" style="108" customWidth="1"/>
    <col min="7709" max="7709" width="0.85546875" style="108" customWidth="1"/>
    <col min="7710" max="7710" width="12.28515625" style="108" customWidth="1"/>
    <col min="7711" max="7711" width="1.5703125" style="108" customWidth="1"/>
    <col min="7712" max="7712" width="12.28515625" style="108" customWidth="1"/>
    <col min="7713" max="7713" width="1.5703125" style="108" customWidth="1"/>
    <col min="7714" max="7714" width="12.28515625" style="108" customWidth="1"/>
    <col min="7715" max="7715" width="4.5703125" style="108" customWidth="1"/>
    <col min="7716" max="7716" width="1.42578125" style="108" customWidth="1"/>
    <col min="7717" max="7939" width="13.85546875" style="108"/>
    <col min="7940" max="7940" width="7.85546875" style="108" customWidth="1"/>
    <col min="7941" max="7942" width="2.28515625" style="108" customWidth="1"/>
    <col min="7943" max="7943" width="31.42578125" style="108" customWidth="1"/>
    <col min="7944" max="7944" width="2.28515625" style="108" customWidth="1"/>
    <col min="7945" max="7945" width="2.140625" style="108" customWidth="1"/>
    <col min="7946" max="7946" width="12.28515625" style="108" customWidth="1"/>
    <col min="7947" max="7947" width="1.5703125" style="108" customWidth="1"/>
    <col min="7948" max="7948" width="12.28515625" style="108" customWidth="1"/>
    <col min="7949" max="7949" width="1.5703125" style="108" customWidth="1"/>
    <col min="7950" max="7950" width="12.28515625" style="108" customWidth="1"/>
    <col min="7951" max="7951" width="1.5703125" style="108" customWidth="1"/>
    <col min="7952" max="7952" width="13.5703125" style="108" customWidth="1"/>
    <col min="7953" max="7953" width="0.85546875" style="108" customWidth="1"/>
    <col min="7954" max="7954" width="12.28515625" style="108" customWidth="1"/>
    <col min="7955" max="7955" width="1.5703125" style="108" customWidth="1"/>
    <col min="7956" max="7956" width="12.28515625" style="108" customWidth="1"/>
    <col min="7957" max="7957" width="1.5703125" style="108" customWidth="1"/>
    <col min="7958" max="7958" width="12.28515625" style="108" customWidth="1"/>
    <col min="7959" max="7959" width="0.85546875" style="108" customWidth="1"/>
    <col min="7960" max="7960" width="12.28515625" style="108" customWidth="1"/>
    <col min="7961" max="7961" width="1.5703125" style="108" customWidth="1"/>
    <col min="7962" max="7962" width="12.28515625" style="108" customWidth="1"/>
    <col min="7963" max="7963" width="1.5703125" style="108" customWidth="1"/>
    <col min="7964" max="7964" width="12.28515625" style="108" customWidth="1"/>
    <col min="7965" max="7965" width="0.85546875" style="108" customWidth="1"/>
    <col min="7966" max="7966" width="12.28515625" style="108" customWidth="1"/>
    <col min="7967" max="7967" width="1.5703125" style="108" customWidth="1"/>
    <col min="7968" max="7968" width="12.28515625" style="108" customWidth="1"/>
    <col min="7969" max="7969" width="1.5703125" style="108" customWidth="1"/>
    <col min="7970" max="7970" width="12.28515625" style="108" customWidth="1"/>
    <col min="7971" max="7971" width="4.5703125" style="108" customWidth="1"/>
    <col min="7972" max="7972" width="1.42578125" style="108" customWidth="1"/>
    <col min="7973" max="8195" width="13.85546875" style="108"/>
    <col min="8196" max="8196" width="7.85546875" style="108" customWidth="1"/>
    <col min="8197" max="8198" width="2.28515625" style="108" customWidth="1"/>
    <col min="8199" max="8199" width="31.42578125" style="108" customWidth="1"/>
    <col min="8200" max="8200" width="2.28515625" style="108" customWidth="1"/>
    <col min="8201" max="8201" width="2.140625" style="108" customWidth="1"/>
    <col min="8202" max="8202" width="12.28515625" style="108" customWidth="1"/>
    <col min="8203" max="8203" width="1.5703125" style="108" customWidth="1"/>
    <col min="8204" max="8204" width="12.28515625" style="108" customWidth="1"/>
    <col min="8205" max="8205" width="1.5703125" style="108" customWidth="1"/>
    <col min="8206" max="8206" width="12.28515625" style="108" customWidth="1"/>
    <col min="8207" max="8207" width="1.5703125" style="108" customWidth="1"/>
    <col min="8208" max="8208" width="13.5703125" style="108" customWidth="1"/>
    <col min="8209" max="8209" width="0.85546875" style="108" customWidth="1"/>
    <col min="8210" max="8210" width="12.28515625" style="108" customWidth="1"/>
    <col min="8211" max="8211" width="1.5703125" style="108" customWidth="1"/>
    <col min="8212" max="8212" width="12.28515625" style="108" customWidth="1"/>
    <col min="8213" max="8213" width="1.5703125" style="108" customWidth="1"/>
    <col min="8214" max="8214" width="12.28515625" style="108" customWidth="1"/>
    <col min="8215" max="8215" width="0.85546875" style="108" customWidth="1"/>
    <col min="8216" max="8216" width="12.28515625" style="108" customWidth="1"/>
    <col min="8217" max="8217" width="1.5703125" style="108" customWidth="1"/>
    <col min="8218" max="8218" width="12.28515625" style="108" customWidth="1"/>
    <col min="8219" max="8219" width="1.5703125" style="108" customWidth="1"/>
    <col min="8220" max="8220" width="12.28515625" style="108" customWidth="1"/>
    <col min="8221" max="8221" width="0.85546875" style="108" customWidth="1"/>
    <col min="8222" max="8222" width="12.28515625" style="108" customWidth="1"/>
    <col min="8223" max="8223" width="1.5703125" style="108" customWidth="1"/>
    <col min="8224" max="8224" width="12.28515625" style="108" customWidth="1"/>
    <col min="8225" max="8225" width="1.5703125" style="108" customWidth="1"/>
    <col min="8226" max="8226" width="12.28515625" style="108" customWidth="1"/>
    <col min="8227" max="8227" width="4.5703125" style="108" customWidth="1"/>
    <col min="8228" max="8228" width="1.42578125" style="108" customWidth="1"/>
    <col min="8229" max="8451" width="13.85546875" style="108"/>
    <col min="8452" max="8452" width="7.85546875" style="108" customWidth="1"/>
    <col min="8453" max="8454" width="2.28515625" style="108" customWidth="1"/>
    <col min="8455" max="8455" width="31.42578125" style="108" customWidth="1"/>
    <col min="8456" max="8456" width="2.28515625" style="108" customWidth="1"/>
    <col min="8457" max="8457" width="2.140625" style="108" customWidth="1"/>
    <col min="8458" max="8458" width="12.28515625" style="108" customWidth="1"/>
    <col min="8459" max="8459" width="1.5703125" style="108" customWidth="1"/>
    <col min="8460" max="8460" width="12.28515625" style="108" customWidth="1"/>
    <col min="8461" max="8461" width="1.5703125" style="108" customWidth="1"/>
    <col min="8462" max="8462" width="12.28515625" style="108" customWidth="1"/>
    <col min="8463" max="8463" width="1.5703125" style="108" customWidth="1"/>
    <col min="8464" max="8464" width="13.5703125" style="108" customWidth="1"/>
    <col min="8465" max="8465" width="0.85546875" style="108" customWidth="1"/>
    <col min="8466" max="8466" width="12.28515625" style="108" customWidth="1"/>
    <col min="8467" max="8467" width="1.5703125" style="108" customWidth="1"/>
    <col min="8468" max="8468" width="12.28515625" style="108" customWidth="1"/>
    <col min="8469" max="8469" width="1.5703125" style="108" customWidth="1"/>
    <col min="8470" max="8470" width="12.28515625" style="108" customWidth="1"/>
    <col min="8471" max="8471" width="0.85546875" style="108" customWidth="1"/>
    <col min="8472" max="8472" width="12.28515625" style="108" customWidth="1"/>
    <col min="8473" max="8473" width="1.5703125" style="108" customWidth="1"/>
    <col min="8474" max="8474" width="12.28515625" style="108" customWidth="1"/>
    <col min="8475" max="8475" width="1.5703125" style="108" customWidth="1"/>
    <col min="8476" max="8476" width="12.28515625" style="108" customWidth="1"/>
    <col min="8477" max="8477" width="0.85546875" style="108" customWidth="1"/>
    <col min="8478" max="8478" width="12.28515625" style="108" customWidth="1"/>
    <col min="8479" max="8479" width="1.5703125" style="108" customWidth="1"/>
    <col min="8480" max="8480" width="12.28515625" style="108" customWidth="1"/>
    <col min="8481" max="8481" width="1.5703125" style="108" customWidth="1"/>
    <col min="8482" max="8482" width="12.28515625" style="108" customWidth="1"/>
    <col min="8483" max="8483" width="4.5703125" style="108" customWidth="1"/>
    <col min="8484" max="8484" width="1.42578125" style="108" customWidth="1"/>
    <col min="8485" max="8707" width="13.85546875" style="108"/>
    <col min="8708" max="8708" width="7.85546875" style="108" customWidth="1"/>
    <col min="8709" max="8710" width="2.28515625" style="108" customWidth="1"/>
    <col min="8711" max="8711" width="31.42578125" style="108" customWidth="1"/>
    <col min="8712" max="8712" width="2.28515625" style="108" customWidth="1"/>
    <col min="8713" max="8713" width="2.140625" style="108" customWidth="1"/>
    <col min="8714" max="8714" width="12.28515625" style="108" customWidth="1"/>
    <col min="8715" max="8715" width="1.5703125" style="108" customWidth="1"/>
    <col min="8716" max="8716" width="12.28515625" style="108" customWidth="1"/>
    <col min="8717" max="8717" width="1.5703125" style="108" customWidth="1"/>
    <col min="8718" max="8718" width="12.28515625" style="108" customWidth="1"/>
    <col min="8719" max="8719" width="1.5703125" style="108" customWidth="1"/>
    <col min="8720" max="8720" width="13.5703125" style="108" customWidth="1"/>
    <col min="8721" max="8721" width="0.85546875" style="108" customWidth="1"/>
    <col min="8722" max="8722" width="12.28515625" style="108" customWidth="1"/>
    <col min="8723" max="8723" width="1.5703125" style="108" customWidth="1"/>
    <col min="8724" max="8724" width="12.28515625" style="108" customWidth="1"/>
    <col min="8725" max="8725" width="1.5703125" style="108" customWidth="1"/>
    <col min="8726" max="8726" width="12.28515625" style="108" customWidth="1"/>
    <col min="8727" max="8727" width="0.85546875" style="108" customWidth="1"/>
    <col min="8728" max="8728" width="12.28515625" style="108" customWidth="1"/>
    <col min="8729" max="8729" width="1.5703125" style="108" customWidth="1"/>
    <col min="8730" max="8730" width="12.28515625" style="108" customWidth="1"/>
    <col min="8731" max="8731" width="1.5703125" style="108" customWidth="1"/>
    <col min="8732" max="8732" width="12.28515625" style="108" customWidth="1"/>
    <col min="8733" max="8733" width="0.85546875" style="108" customWidth="1"/>
    <col min="8734" max="8734" width="12.28515625" style="108" customWidth="1"/>
    <col min="8735" max="8735" width="1.5703125" style="108" customWidth="1"/>
    <col min="8736" max="8736" width="12.28515625" style="108" customWidth="1"/>
    <col min="8737" max="8737" width="1.5703125" style="108" customWidth="1"/>
    <col min="8738" max="8738" width="12.28515625" style="108" customWidth="1"/>
    <col min="8739" max="8739" width="4.5703125" style="108" customWidth="1"/>
    <col min="8740" max="8740" width="1.42578125" style="108" customWidth="1"/>
    <col min="8741" max="8963" width="13.85546875" style="108"/>
    <col min="8964" max="8964" width="7.85546875" style="108" customWidth="1"/>
    <col min="8965" max="8966" width="2.28515625" style="108" customWidth="1"/>
    <col min="8967" max="8967" width="31.42578125" style="108" customWidth="1"/>
    <col min="8968" max="8968" width="2.28515625" style="108" customWidth="1"/>
    <col min="8969" max="8969" width="2.140625" style="108" customWidth="1"/>
    <col min="8970" max="8970" width="12.28515625" style="108" customWidth="1"/>
    <col min="8971" max="8971" width="1.5703125" style="108" customWidth="1"/>
    <col min="8972" max="8972" width="12.28515625" style="108" customWidth="1"/>
    <col min="8973" max="8973" width="1.5703125" style="108" customWidth="1"/>
    <col min="8974" max="8974" width="12.28515625" style="108" customWidth="1"/>
    <col min="8975" max="8975" width="1.5703125" style="108" customWidth="1"/>
    <col min="8976" max="8976" width="13.5703125" style="108" customWidth="1"/>
    <col min="8977" max="8977" width="0.85546875" style="108" customWidth="1"/>
    <col min="8978" max="8978" width="12.28515625" style="108" customWidth="1"/>
    <col min="8979" max="8979" width="1.5703125" style="108" customWidth="1"/>
    <col min="8980" max="8980" width="12.28515625" style="108" customWidth="1"/>
    <col min="8981" max="8981" width="1.5703125" style="108" customWidth="1"/>
    <col min="8982" max="8982" width="12.28515625" style="108" customWidth="1"/>
    <col min="8983" max="8983" width="0.85546875" style="108" customWidth="1"/>
    <col min="8984" max="8984" width="12.28515625" style="108" customWidth="1"/>
    <col min="8985" max="8985" width="1.5703125" style="108" customWidth="1"/>
    <col min="8986" max="8986" width="12.28515625" style="108" customWidth="1"/>
    <col min="8987" max="8987" width="1.5703125" style="108" customWidth="1"/>
    <col min="8988" max="8988" width="12.28515625" style="108" customWidth="1"/>
    <col min="8989" max="8989" width="0.85546875" style="108" customWidth="1"/>
    <col min="8990" max="8990" width="12.28515625" style="108" customWidth="1"/>
    <col min="8991" max="8991" width="1.5703125" style="108" customWidth="1"/>
    <col min="8992" max="8992" width="12.28515625" style="108" customWidth="1"/>
    <col min="8993" max="8993" width="1.5703125" style="108" customWidth="1"/>
    <col min="8994" max="8994" width="12.28515625" style="108" customWidth="1"/>
    <col min="8995" max="8995" width="4.5703125" style="108" customWidth="1"/>
    <col min="8996" max="8996" width="1.42578125" style="108" customWidth="1"/>
    <col min="8997" max="9219" width="13.85546875" style="108"/>
    <col min="9220" max="9220" width="7.85546875" style="108" customWidth="1"/>
    <col min="9221" max="9222" width="2.28515625" style="108" customWidth="1"/>
    <col min="9223" max="9223" width="31.42578125" style="108" customWidth="1"/>
    <col min="9224" max="9224" width="2.28515625" style="108" customWidth="1"/>
    <col min="9225" max="9225" width="2.140625" style="108" customWidth="1"/>
    <col min="9226" max="9226" width="12.28515625" style="108" customWidth="1"/>
    <col min="9227" max="9227" width="1.5703125" style="108" customWidth="1"/>
    <col min="9228" max="9228" width="12.28515625" style="108" customWidth="1"/>
    <col min="9229" max="9229" width="1.5703125" style="108" customWidth="1"/>
    <col min="9230" max="9230" width="12.28515625" style="108" customWidth="1"/>
    <col min="9231" max="9231" width="1.5703125" style="108" customWidth="1"/>
    <col min="9232" max="9232" width="13.5703125" style="108" customWidth="1"/>
    <col min="9233" max="9233" width="0.85546875" style="108" customWidth="1"/>
    <col min="9234" max="9234" width="12.28515625" style="108" customWidth="1"/>
    <col min="9235" max="9235" width="1.5703125" style="108" customWidth="1"/>
    <col min="9236" max="9236" width="12.28515625" style="108" customWidth="1"/>
    <col min="9237" max="9237" width="1.5703125" style="108" customWidth="1"/>
    <col min="9238" max="9238" width="12.28515625" style="108" customWidth="1"/>
    <col min="9239" max="9239" width="0.85546875" style="108" customWidth="1"/>
    <col min="9240" max="9240" width="12.28515625" style="108" customWidth="1"/>
    <col min="9241" max="9241" width="1.5703125" style="108" customWidth="1"/>
    <col min="9242" max="9242" width="12.28515625" style="108" customWidth="1"/>
    <col min="9243" max="9243" width="1.5703125" style="108" customWidth="1"/>
    <col min="9244" max="9244" width="12.28515625" style="108" customWidth="1"/>
    <col min="9245" max="9245" width="0.85546875" style="108" customWidth="1"/>
    <col min="9246" max="9246" width="12.28515625" style="108" customWidth="1"/>
    <col min="9247" max="9247" width="1.5703125" style="108" customWidth="1"/>
    <col min="9248" max="9248" width="12.28515625" style="108" customWidth="1"/>
    <col min="9249" max="9249" width="1.5703125" style="108" customWidth="1"/>
    <col min="9250" max="9250" width="12.28515625" style="108" customWidth="1"/>
    <col min="9251" max="9251" width="4.5703125" style="108" customWidth="1"/>
    <col min="9252" max="9252" width="1.42578125" style="108" customWidth="1"/>
    <col min="9253" max="9475" width="13.85546875" style="108"/>
    <col min="9476" max="9476" width="7.85546875" style="108" customWidth="1"/>
    <col min="9477" max="9478" width="2.28515625" style="108" customWidth="1"/>
    <col min="9479" max="9479" width="31.42578125" style="108" customWidth="1"/>
    <col min="9480" max="9480" width="2.28515625" style="108" customWidth="1"/>
    <col min="9481" max="9481" width="2.140625" style="108" customWidth="1"/>
    <col min="9482" max="9482" width="12.28515625" style="108" customWidth="1"/>
    <col min="9483" max="9483" width="1.5703125" style="108" customWidth="1"/>
    <col min="9484" max="9484" width="12.28515625" style="108" customWidth="1"/>
    <col min="9485" max="9485" width="1.5703125" style="108" customWidth="1"/>
    <col min="9486" max="9486" width="12.28515625" style="108" customWidth="1"/>
    <col min="9487" max="9487" width="1.5703125" style="108" customWidth="1"/>
    <col min="9488" max="9488" width="13.5703125" style="108" customWidth="1"/>
    <col min="9489" max="9489" width="0.85546875" style="108" customWidth="1"/>
    <col min="9490" max="9490" width="12.28515625" style="108" customWidth="1"/>
    <col min="9491" max="9491" width="1.5703125" style="108" customWidth="1"/>
    <col min="9492" max="9492" width="12.28515625" style="108" customWidth="1"/>
    <col min="9493" max="9493" width="1.5703125" style="108" customWidth="1"/>
    <col min="9494" max="9494" width="12.28515625" style="108" customWidth="1"/>
    <col min="9495" max="9495" width="0.85546875" style="108" customWidth="1"/>
    <col min="9496" max="9496" width="12.28515625" style="108" customWidth="1"/>
    <col min="9497" max="9497" width="1.5703125" style="108" customWidth="1"/>
    <col min="9498" max="9498" width="12.28515625" style="108" customWidth="1"/>
    <col min="9499" max="9499" width="1.5703125" style="108" customWidth="1"/>
    <col min="9500" max="9500" width="12.28515625" style="108" customWidth="1"/>
    <col min="9501" max="9501" width="0.85546875" style="108" customWidth="1"/>
    <col min="9502" max="9502" width="12.28515625" style="108" customWidth="1"/>
    <col min="9503" max="9503" width="1.5703125" style="108" customWidth="1"/>
    <col min="9504" max="9504" width="12.28515625" style="108" customWidth="1"/>
    <col min="9505" max="9505" width="1.5703125" style="108" customWidth="1"/>
    <col min="9506" max="9506" width="12.28515625" style="108" customWidth="1"/>
    <col min="9507" max="9507" width="4.5703125" style="108" customWidth="1"/>
    <col min="9508" max="9508" width="1.42578125" style="108" customWidth="1"/>
    <col min="9509" max="9731" width="13.85546875" style="108"/>
    <col min="9732" max="9732" width="7.85546875" style="108" customWidth="1"/>
    <col min="9733" max="9734" width="2.28515625" style="108" customWidth="1"/>
    <col min="9735" max="9735" width="31.42578125" style="108" customWidth="1"/>
    <col min="9736" max="9736" width="2.28515625" style="108" customWidth="1"/>
    <col min="9737" max="9737" width="2.140625" style="108" customWidth="1"/>
    <col min="9738" max="9738" width="12.28515625" style="108" customWidth="1"/>
    <col min="9739" max="9739" width="1.5703125" style="108" customWidth="1"/>
    <col min="9740" max="9740" width="12.28515625" style="108" customWidth="1"/>
    <col min="9741" max="9741" width="1.5703125" style="108" customWidth="1"/>
    <col min="9742" max="9742" width="12.28515625" style="108" customWidth="1"/>
    <col min="9743" max="9743" width="1.5703125" style="108" customWidth="1"/>
    <col min="9744" max="9744" width="13.5703125" style="108" customWidth="1"/>
    <col min="9745" max="9745" width="0.85546875" style="108" customWidth="1"/>
    <col min="9746" max="9746" width="12.28515625" style="108" customWidth="1"/>
    <col min="9747" max="9747" width="1.5703125" style="108" customWidth="1"/>
    <col min="9748" max="9748" width="12.28515625" style="108" customWidth="1"/>
    <col min="9749" max="9749" width="1.5703125" style="108" customWidth="1"/>
    <col min="9750" max="9750" width="12.28515625" style="108" customWidth="1"/>
    <col min="9751" max="9751" width="0.85546875" style="108" customWidth="1"/>
    <col min="9752" max="9752" width="12.28515625" style="108" customWidth="1"/>
    <col min="9753" max="9753" width="1.5703125" style="108" customWidth="1"/>
    <col min="9754" max="9754" width="12.28515625" style="108" customWidth="1"/>
    <col min="9755" max="9755" width="1.5703125" style="108" customWidth="1"/>
    <col min="9756" max="9756" width="12.28515625" style="108" customWidth="1"/>
    <col min="9757" max="9757" width="0.85546875" style="108" customWidth="1"/>
    <col min="9758" max="9758" width="12.28515625" style="108" customWidth="1"/>
    <col min="9759" max="9759" width="1.5703125" style="108" customWidth="1"/>
    <col min="9760" max="9760" width="12.28515625" style="108" customWidth="1"/>
    <col min="9761" max="9761" width="1.5703125" style="108" customWidth="1"/>
    <col min="9762" max="9762" width="12.28515625" style="108" customWidth="1"/>
    <col min="9763" max="9763" width="4.5703125" style="108" customWidth="1"/>
    <col min="9764" max="9764" width="1.42578125" style="108" customWidth="1"/>
    <col min="9765" max="9987" width="13.85546875" style="108"/>
    <col min="9988" max="9988" width="7.85546875" style="108" customWidth="1"/>
    <col min="9989" max="9990" width="2.28515625" style="108" customWidth="1"/>
    <col min="9991" max="9991" width="31.42578125" style="108" customWidth="1"/>
    <col min="9992" max="9992" width="2.28515625" style="108" customWidth="1"/>
    <col min="9993" max="9993" width="2.140625" style="108" customWidth="1"/>
    <col min="9994" max="9994" width="12.28515625" style="108" customWidth="1"/>
    <col min="9995" max="9995" width="1.5703125" style="108" customWidth="1"/>
    <col min="9996" max="9996" width="12.28515625" style="108" customWidth="1"/>
    <col min="9997" max="9997" width="1.5703125" style="108" customWidth="1"/>
    <col min="9998" max="9998" width="12.28515625" style="108" customWidth="1"/>
    <col min="9999" max="9999" width="1.5703125" style="108" customWidth="1"/>
    <col min="10000" max="10000" width="13.5703125" style="108" customWidth="1"/>
    <col min="10001" max="10001" width="0.85546875" style="108" customWidth="1"/>
    <col min="10002" max="10002" width="12.28515625" style="108" customWidth="1"/>
    <col min="10003" max="10003" width="1.5703125" style="108" customWidth="1"/>
    <col min="10004" max="10004" width="12.28515625" style="108" customWidth="1"/>
    <col min="10005" max="10005" width="1.5703125" style="108" customWidth="1"/>
    <col min="10006" max="10006" width="12.28515625" style="108" customWidth="1"/>
    <col min="10007" max="10007" width="0.85546875" style="108" customWidth="1"/>
    <col min="10008" max="10008" width="12.28515625" style="108" customWidth="1"/>
    <col min="10009" max="10009" width="1.5703125" style="108" customWidth="1"/>
    <col min="10010" max="10010" width="12.28515625" style="108" customWidth="1"/>
    <col min="10011" max="10011" width="1.5703125" style="108" customWidth="1"/>
    <col min="10012" max="10012" width="12.28515625" style="108" customWidth="1"/>
    <col min="10013" max="10013" width="0.85546875" style="108" customWidth="1"/>
    <col min="10014" max="10014" width="12.28515625" style="108" customWidth="1"/>
    <col min="10015" max="10015" width="1.5703125" style="108" customWidth="1"/>
    <col min="10016" max="10016" width="12.28515625" style="108" customWidth="1"/>
    <col min="10017" max="10017" width="1.5703125" style="108" customWidth="1"/>
    <col min="10018" max="10018" width="12.28515625" style="108" customWidth="1"/>
    <col min="10019" max="10019" width="4.5703125" style="108" customWidth="1"/>
    <col min="10020" max="10020" width="1.42578125" style="108" customWidth="1"/>
    <col min="10021" max="10243" width="13.85546875" style="108"/>
    <col min="10244" max="10244" width="7.85546875" style="108" customWidth="1"/>
    <col min="10245" max="10246" width="2.28515625" style="108" customWidth="1"/>
    <col min="10247" max="10247" width="31.42578125" style="108" customWidth="1"/>
    <col min="10248" max="10248" width="2.28515625" style="108" customWidth="1"/>
    <col min="10249" max="10249" width="2.140625" style="108" customWidth="1"/>
    <col min="10250" max="10250" width="12.28515625" style="108" customWidth="1"/>
    <col min="10251" max="10251" width="1.5703125" style="108" customWidth="1"/>
    <col min="10252" max="10252" width="12.28515625" style="108" customWidth="1"/>
    <col min="10253" max="10253" width="1.5703125" style="108" customWidth="1"/>
    <col min="10254" max="10254" width="12.28515625" style="108" customWidth="1"/>
    <col min="10255" max="10255" width="1.5703125" style="108" customWidth="1"/>
    <col min="10256" max="10256" width="13.5703125" style="108" customWidth="1"/>
    <col min="10257" max="10257" width="0.85546875" style="108" customWidth="1"/>
    <col min="10258" max="10258" width="12.28515625" style="108" customWidth="1"/>
    <col min="10259" max="10259" width="1.5703125" style="108" customWidth="1"/>
    <col min="10260" max="10260" width="12.28515625" style="108" customWidth="1"/>
    <col min="10261" max="10261" width="1.5703125" style="108" customWidth="1"/>
    <col min="10262" max="10262" width="12.28515625" style="108" customWidth="1"/>
    <col min="10263" max="10263" width="0.85546875" style="108" customWidth="1"/>
    <col min="10264" max="10264" width="12.28515625" style="108" customWidth="1"/>
    <col min="10265" max="10265" width="1.5703125" style="108" customWidth="1"/>
    <col min="10266" max="10266" width="12.28515625" style="108" customWidth="1"/>
    <col min="10267" max="10267" width="1.5703125" style="108" customWidth="1"/>
    <col min="10268" max="10268" width="12.28515625" style="108" customWidth="1"/>
    <col min="10269" max="10269" width="0.85546875" style="108" customWidth="1"/>
    <col min="10270" max="10270" width="12.28515625" style="108" customWidth="1"/>
    <col min="10271" max="10271" width="1.5703125" style="108" customWidth="1"/>
    <col min="10272" max="10272" width="12.28515625" style="108" customWidth="1"/>
    <col min="10273" max="10273" width="1.5703125" style="108" customWidth="1"/>
    <col min="10274" max="10274" width="12.28515625" style="108" customWidth="1"/>
    <col min="10275" max="10275" width="4.5703125" style="108" customWidth="1"/>
    <col min="10276" max="10276" width="1.42578125" style="108" customWidth="1"/>
    <col min="10277" max="10499" width="13.85546875" style="108"/>
    <col min="10500" max="10500" width="7.85546875" style="108" customWidth="1"/>
    <col min="10501" max="10502" width="2.28515625" style="108" customWidth="1"/>
    <col min="10503" max="10503" width="31.42578125" style="108" customWidth="1"/>
    <col min="10504" max="10504" width="2.28515625" style="108" customWidth="1"/>
    <col min="10505" max="10505" width="2.140625" style="108" customWidth="1"/>
    <col min="10506" max="10506" width="12.28515625" style="108" customWidth="1"/>
    <col min="10507" max="10507" width="1.5703125" style="108" customWidth="1"/>
    <col min="10508" max="10508" width="12.28515625" style="108" customWidth="1"/>
    <col min="10509" max="10509" width="1.5703125" style="108" customWidth="1"/>
    <col min="10510" max="10510" width="12.28515625" style="108" customWidth="1"/>
    <col min="10511" max="10511" width="1.5703125" style="108" customWidth="1"/>
    <col min="10512" max="10512" width="13.5703125" style="108" customWidth="1"/>
    <col min="10513" max="10513" width="0.85546875" style="108" customWidth="1"/>
    <col min="10514" max="10514" width="12.28515625" style="108" customWidth="1"/>
    <col min="10515" max="10515" width="1.5703125" style="108" customWidth="1"/>
    <col min="10516" max="10516" width="12.28515625" style="108" customWidth="1"/>
    <col min="10517" max="10517" width="1.5703125" style="108" customWidth="1"/>
    <col min="10518" max="10518" width="12.28515625" style="108" customWidth="1"/>
    <col min="10519" max="10519" width="0.85546875" style="108" customWidth="1"/>
    <col min="10520" max="10520" width="12.28515625" style="108" customWidth="1"/>
    <col min="10521" max="10521" width="1.5703125" style="108" customWidth="1"/>
    <col min="10522" max="10522" width="12.28515625" style="108" customWidth="1"/>
    <col min="10523" max="10523" width="1.5703125" style="108" customWidth="1"/>
    <col min="10524" max="10524" width="12.28515625" style="108" customWidth="1"/>
    <col min="10525" max="10525" width="0.85546875" style="108" customWidth="1"/>
    <col min="10526" max="10526" width="12.28515625" style="108" customWidth="1"/>
    <col min="10527" max="10527" width="1.5703125" style="108" customWidth="1"/>
    <col min="10528" max="10528" width="12.28515625" style="108" customWidth="1"/>
    <col min="10529" max="10529" width="1.5703125" style="108" customWidth="1"/>
    <col min="10530" max="10530" width="12.28515625" style="108" customWidth="1"/>
    <col min="10531" max="10531" width="4.5703125" style="108" customWidth="1"/>
    <col min="10532" max="10532" width="1.42578125" style="108" customWidth="1"/>
    <col min="10533" max="10755" width="13.85546875" style="108"/>
    <col min="10756" max="10756" width="7.85546875" style="108" customWidth="1"/>
    <col min="10757" max="10758" width="2.28515625" style="108" customWidth="1"/>
    <col min="10759" max="10759" width="31.42578125" style="108" customWidth="1"/>
    <col min="10760" max="10760" width="2.28515625" style="108" customWidth="1"/>
    <col min="10761" max="10761" width="2.140625" style="108" customWidth="1"/>
    <col min="10762" max="10762" width="12.28515625" style="108" customWidth="1"/>
    <col min="10763" max="10763" width="1.5703125" style="108" customWidth="1"/>
    <col min="10764" max="10764" width="12.28515625" style="108" customWidth="1"/>
    <col min="10765" max="10765" width="1.5703125" style="108" customWidth="1"/>
    <col min="10766" max="10766" width="12.28515625" style="108" customWidth="1"/>
    <col min="10767" max="10767" width="1.5703125" style="108" customWidth="1"/>
    <col min="10768" max="10768" width="13.5703125" style="108" customWidth="1"/>
    <col min="10769" max="10769" width="0.85546875" style="108" customWidth="1"/>
    <col min="10770" max="10770" width="12.28515625" style="108" customWidth="1"/>
    <col min="10771" max="10771" width="1.5703125" style="108" customWidth="1"/>
    <col min="10772" max="10772" width="12.28515625" style="108" customWidth="1"/>
    <col min="10773" max="10773" width="1.5703125" style="108" customWidth="1"/>
    <col min="10774" max="10774" width="12.28515625" style="108" customWidth="1"/>
    <col min="10775" max="10775" width="0.85546875" style="108" customWidth="1"/>
    <col min="10776" max="10776" width="12.28515625" style="108" customWidth="1"/>
    <col min="10777" max="10777" width="1.5703125" style="108" customWidth="1"/>
    <col min="10778" max="10778" width="12.28515625" style="108" customWidth="1"/>
    <col min="10779" max="10779" width="1.5703125" style="108" customWidth="1"/>
    <col min="10780" max="10780" width="12.28515625" style="108" customWidth="1"/>
    <col min="10781" max="10781" width="0.85546875" style="108" customWidth="1"/>
    <col min="10782" max="10782" width="12.28515625" style="108" customWidth="1"/>
    <col min="10783" max="10783" width="1.5703125" style="108" customWidth="1"/>
    <col min="10784" max="10784" width="12.28515625" style="108" customWidth="1"/>
    <col min="10785" max="10785" width="1.5703125" style="108" customWidth="1"/>
    <col min="10786" max="10786" width="12.28515625" style="108" customWidth="1"/>
    <col min="10787" max="10787" width="4.5703125" style="108" customWidth="1"/>
    <col min="10788" max="10788" width="1.42578125" style="108" customWidth="1"/>
    <col min="10789" max="11011" width="13.85546875" style="108"/>
    <col min="11012" max="11012" width="7.85546875" style="108" customWidth="1"/>
    <col min="11013" max="11014" width="2.28515625" style="108" customWidth="1"/>
    <col min="11015" max="11015" width="31.42578125" style="108" customWidth="1"/>
    <col min="11016" max="11016" width="2.28515625" style="108" customWidth="1"/>
    <col min="11017" max="11017" width="2.140625" style="108" customWidth="1"/>
    <col min="11018" max="11018" width="12.28515625" style="108" customWidth="1"/>
    <col min="11019" max="11019" width="1.5703125" style="108" customWidth="1"/>
    <col min="11020" max="11020" width="12.28515625" style="108" customWidth="1"/>
    <col min="11021" max="11021" width="1.5703125" style="108" customWidth="1"/>
    <col min="11022" max="11022" width="12.28515625" style="108" customWidth="1"/>
    <col min="11023" max="11023" width="1.5703125" style="108" customWidth="1"/>
    <col min="11024" max="11024" width="13.5703125" style="108" customWidth="1"/>
    <col min="11025" max="11025" width="0.85546875" style="108" customWidth="1"/>
    <col min="11026" max="11026" width="12.28515625" style="108" customWidth="1"/>
    <col min="11027" max="11027" width="1.5703125" style="108" customWidth="1"/>
    <col min="11028" max="11028" width="12.28515625" style="108" customWidth="1"/>
    <col min="11029" max="11029" width="1.5703125" style="108" customWidth="1"/>
    <col min="11030" max="11030" width="12.28515625" style="108" customWidth="1"/>
    <col min="11031" max="11031" width="0.85546875" style="108" customWidth="1"/>
    <col min="11032" max="11032" width="12.28515625" style="108" customWidth="1"/>
    <col min="11033" max="11033" width="1.5703125" style="108" customWidth="1"/>
    <col min="11034" max="11034" width="12.28515625" style="108" customWidth="1"/>
    <col min="11035" max="11035" width="1.5703125" style="108" customWidth="1"/>
    <col min="11036" max="11036" width="12.28515625" style="108" customWidth="1"/>
    <col min="11037" max="11037" width="0.85546875" style="108" customWidth="1"/>
    <col min="11038" max="11038" width="12.28515625" style="108" customWidth="1"/>
    <col min="11039" max="11039" width="1.5703125" style="108" customWidth="1"/>
    <col min="11040" max="11040" width="12.28515625" style="108" customWidth="1"/>
    <col min="11041" max="11041" width="1.5703125" style="108" customWidth="1"/>
    <col min="11042" max="11042" width="12.28515625" style="108" customWidth="1"/>
    <col min="11043" max="11043" width="4.5703125" style="108" customWidth="1"/>
    <col min="11044" max="11044" width="1.42578125" style="108" customWidth="1"/>
    <col min="11045" max="11267" width="13.85546875" style="108"/>
    <col min="11268" max="11268" width="7.85546875" style="108" customWidth="1"/>
    <col min="11269" max="11270" width="2.28515625" style="108" customWidth="1"/>
    <col min="11271" max="11271" width="31.42578125" style="108" customWidth="1"/>
    <col min="11272" max="11272" width="2.28515625" style="108" customWidth="1"/>
    <col min="11273" max="11273" width="2.140625" style="108" customWidth="1"/>
    <col min="11274" max="11274" width="12.28515625" style="108" customWidth="1"/>
    <col min="11275" max="11275" width="1.5703125" style="108" customWidth="1"/>
    <col min="11276" max="11276" width="12.28515625" style="108" customWidth="1"/>
    <col min="11277" max="11277" width="1.5703125" style="108" customWidth="1"/>
    <col min="11278" max="11278" width="12.28515625" style="108" customWidth="1"/>
    <col min="11279" max="11279" width="1.5703125" style="108" customWidth="1"/>
    <col min="11280" max="11280" width="13.5703125" style="108" customWidth="1"/>
    <col min="11281" max="11281" width="0.85546875" style="108" customWidth="1"/>
    <col min="11282" max="11282" width="12.28515625" style="108" customWidth="1"/>
    <col min="11283" max="11283" width="1.5703125" style="108" customWidth="1"/>
    <col min="11284" max="11284" width="12.28515625" style="108" customWidth="1"/>
    <col min="11285" max="11285" width="1.5703125" style="108" customWidth="1"/>
    <col min="11286" max="11286" width="12.28515625" style="108" customWidth="1"/>
    <col min="11287" max="11287" width="0.85546875" style="108" customWidth="1"/>
    <col min="11288" max="11288" width="12.28515625" style="108" customWidth="1"/>
    <col min="11289" max="11289" width="1.5703125" style="108" customWidth="1"/>
    <col min="11290" max="11290" width="12.28515625" style="108" customWidth="1"/>
    <col min="11291" max="11291" width="1.5703125" style="108" customWidth="1"/>
    <col min="11292" max="11292" width="12.28515625" style="108" customWidth="1"/>
    <col min="11293" max="11293" width="0.85546875" style="108" customWidth="1"/>
    <col min="11294" max="11294" width="12.28515625" style="108" customWidth="1"/>
    <col min="11295" max="11295" width="1.5703125" style="108" customWidth="1"/>
    <col min="11296" max="11296" width="12.28515625" style="108" customWidth="1"/>
    <col min="11297" max="11297" width="1.5703125" style="108" customWidth="1"/>
    <col min="11298" max="11298" width="12.28515625" style="108" customWidth="1"/>
    <col min="11299" max="11299" width="4.5703125" style="108" customWidth="1"/>
    <col min="11300" max="11300" width="1.42578125" style="108" customWidth="1"/>
    <col min="11301" max="11523" width="13.85546875" style="108"/>
    <col min="11524" max="11524" width="7.85546875" style="108" customWidth="1"/>
    <col min="11525" max="11526" width="2.28515625" style="108" customWidth="1"/>
    <col min="11527" max="11527" width="31.42578125" style="108" customWidth="1"/>
    <col min="11528" max="11528" width="2.28515625" style="108" customWidth="1"/>
    <col min="11529" max="11529" width="2.140625" style="108" customWidth="1"/>
    <col min="11530" max="11530" width="12.28515625" style="108" customWidth="1"/>
    <col min="11531" max="11531" width="1.5703125" style="108" customWidth="1"/>
    <col min="11532" max="11532" width="12.28515625" style="108" customWidth="1"/>
    <col min="11533" max="11533" width="1.5703125" style="108" customWidth="1"/>
    <col min="11534" max="11534" width="12.28515625" style="108" customWidth="1"/>
    <col min="11535" max="11535" width="1.5703125" style="108" customWidth="1"/>
    <col min="11536" max="11536" width="13.5703125" style="108" customWidth="1"/>
    <col min="11537" max="11537" width="0.85546875" style="108" customWidth="1"/>
    <col min="11538" max="11538" width="12.28515625" style="108" customWidth="1"/>
    <col min="11539" max="11539" width="1.5703125" style="108" customWidth="1"/>
    <col min="11540" max="11540" width="12.28515625" style="108" customWidth="1"/>
    <col min="11541" max="11541" width="1.5703125" style="108" customWidth="1"/>
    <col min="11542" max="11542" width="12.28515625" style="108" customWidth="1"/>
    <col min="11543" max="11543" width="0.85546875" style="108" customWidth="1"/>
    <col min="11544" max="11544" width="12.28515625" style="108" customWidth="1"/>
    <col min="11545" max="11545" width="1.5703125" style="108" customWidth="1"/>
    <col min="11546" max="11546" width="12.28515625" style="108" customWidth="1"/>
    <col min="11547" max="11547" width="1.5703125" style="108" customWidth="1"/>
    <col min="11548" max="11548" width="12.28515625" style="108" customWidth="1"/>
    <col min="11549" max="11549" width="0.85546875" style="108" customWidth="1"/>
    <col min="11550" max="11550" width="12.28515625" style="108" customWidth="1"/>
    <col min="11551" max="11551" width="1.5703125" style="108" customWidth="1"/>
    <col min="11552" max="11552" width="12.28515625" style="108" customWidth="1"/>
    <col min="11553" max="11553" width="1.5703125" style="108" customWidth="1"/>
    <col min="11554" max="11554" width="12.28515625" style="108" customWidth="1"/>
    <col min="11555" max="11555" width="4.5703125" style="108" customWidth="1"/>
    <col min="11556" max="11556" width="1.42578125" style="108" customWidth="1"/>
    <col min="11557" max="11779" width="13.85546875" style="108"/>
    <col min="11780" max="11780" width="7.85546875" style="108" customWidth="1"/>
    <col min="11781" max="11782" width="2.28515625" style="108" customWidth="1"/>
    <col min="11783" max="11783" width="31.42578125" style="108" customWidth="1"/>
    <col min="11784" max="11784" width="2.28515625" style="108" customWidth="1"/>
    <col min="11785" max="11785" width="2.140625" style="108" customWidth="1"/>
    <col min="11786" max="11786" width="12.28515625" style="108" customWidth="1"/>
    <col min="11787" max="11787" width="1.5703125" style="108" customWidth="1"/>
    <col min="11788" max="11788" width="12.28515625" style="108" customWidth="1"/>
    <col min="11789" max="11789" width="1.5703125" style="108" customWidth="1"/>
    <col min="11790" max="11790" width="12.28515625" style="108" customWidth="1"/>
    <col min="11791" max="11791" width="1.5703125" style="108" customWidth="1"/>
    <col min="11792" max="11792" width="13.5703125" style="108" customWidth="1"/>
    <col min="11793" max="11793" width="0.85546875" style="108" customWidth="1"/>
    <col min="11794" max="11794" width="12.28515625" style="108" customWidth="1"/>
    <col min="11795" max="11795" width="1.5703125" style="108" customWidth="1"/>
    <col min="11796" max="11796" width="12.28515625" style="108" customWidth="1"/>
    <col min="11797" max="11797" width="1.5703125" style="108" customWidth="1"/>
    <col min="11798" max="11798" width="12.28515625" style="108" customWidth="1"/>
    <col min="11799" max="11799" width="0.85546875" style="108" customWidth="1"/>
    <col min="11800" max="11800" width="12.28515625" style="108" customWidth="1"/>
    <col min="11801" max="11801" width="1.5703125" style="108" customWidth="1"/>
    <col min="11802" max="11802" width="12.28515625" style="108" customWidth="1"/>
    <col min="11803" max="11803" width="1.5703125" style="108" customWidth="1"/>
    <col min="11804" max="11804" width="12.28515625" style="108" customWidth="1"/>
    <col min="11805" max="11805" width="0.85546875" style="108" customWidth="1"/>
    <col min="11806" max="11806" width="12.28515625" style="108" customWidth="1"/>
    <col min="11807" max="11807" width="1.5703125" style="108" customWidth="1"/>
    <col min="11808" max="11808" width="12.28515625" style="108" customWidth="1"/>
    <col min="11809" max="11809" width="1.5703125" style="108" customWidth="1"/>
    <col min="11810" max="11810" width="12.28515625" style="108" customWidth="1"/>
    <col min="11811" max="11811" width="4.5703125" style="108" customWidth="1"/>
    <col min="11812" max="11812" width="1.42578125" style="108" customWidth="1"/>
    <col min="11813" max="12035" width="13.85546875" style="108"/>
    <col min="12036" max="12036" width="7.85546875" style="108" customWidth="1"/>
    <col min="12037" max="12038" width="2.28515625" style="108" customWidth="1"/>
    <col min="12039" max="12039" width="31.42578125" style="108" customWidth="1"/>
    <col min="12040" max="12040" width="2.28515625" style="108" customWidth="1"/>
    <col min="12041" max="12041" width="2.140625" style="108" customWidth="1"/>
    <col min="12042" max="12042" width="12.28515625" style="108" customWidth="1"/>
    <col min="12043" max="12043" width="1.5703125" style="108" customWidth="1"/>
    <col min="12044" max="12044" width="12.28515625" style="108" customWidth="1"/>
    <col min="12045" max="12045" width="1.5703125" style="108" customWidth="1"/>
    <col min="12046" max="12046" width="12.28515625" style="108" customWidth="1"/>
    <col min="12047" max="12047" width="1.5703125" style="108" customWidth="1"/>
    <col min="12048" max="12048" width="13.5703125" style="108" customWidth="1"/>
    <col min="12049" max="12049" width="0.85546875" style="108" customWidth="1"/>
    <col min="12050" max="12050" width="12.28515625" style="108" customWidth="1"/>
    <col min="12051" max="12051" width="1.5703125" style="108" customWidth="1"/>
    <col min="12052" max="12052" width="12.28515625" style="108" customWidth="1"/>
    <col min="12053" max="12053" width="1.5703125" style="108" customWidth="1"/>
    <col min="12054" max="12054" width="12.28515625" style="108" customWidth="1"/>
    <col min="12055" max="12055" width="0.85546875" style="108" customWidth="1"/>
    <col min="12056" max="12056" width="12.28515625" style="108" customWidth="1"/>
    <col min="12057" max="12057" width="1.5703125" style="108" customWidth="1"/>
    <col min="12058" max="12058" width="12.28515625" style="108" customWidth="1"/>
    <col min="12059" max="12059" width="1.5703125" style="108" customWidth="1"/>
    <col min="12060" max="12060" width="12.28515625" style="108" customWidth="1"/>
    <col min="12061" max="12061" width="0.85546875" style="108" customWidth="1"/>
    <col min="12062" max="12062" width="12.28515625" style="108" customWidth="1"/>
    <col min="12063" max="12063" width="1.5703125" style="108" customWidth="1"/>
    <col min="12064" max="12064" width="12.28515625" style="108" customWidth="1"/>
    <col min="12065" max="12065" width="1.5703125" style="108" customWidth="1"/>
    <col min="12066" max="12066" width="12.28515625" style="108" customWidth="1"/>
    <col min="12067" max="12067" width="4.5703125" style="108" customWidth="1"/>
    <col min="12068" max="12068" width="1.42578125" style="108" customWidth="1"/>
    <col min="12069" max="12291" width="13.85546875" style="108"/>
    <col min="12292" max="12292" width="7.85546875" style="108" customWidth="1"/>
    <col min="12293" max="12294" width="2.28515625" style="108" customWidth="1"/>
    <col min="12295" max="12295" width="31.42578125" style="108" customWidth="1"/>
    <col min="12296" max="12296" width="2.28515625" style="108" customWidth="1"/>
    <col min="12297" max="12297" width="2.140625" style="108" customWidth="1"/>
    <col min="12298" max="12298" width="12.28515625" style="108" customWidth="1"/>
    <col min="12299" max="12299" width="1.5703125" style="108" customWidth="1"/>
    <col min="12300" max="12300" width="12.28515625" style="108" customWidth="1"/>
    <col min="12301" max="12301" width="1.5703125" style="108" customWidth="1"/>
    <col min="12302" max="12302" width="12.28515625" style="108" customWidth="1"/>
    <col min="12303" max="12303" width="1.5703125" style="108" customWidth="1"/>
    <col min="12304" max="12304" width="13.5703125" style="108" customWidth="1"/>
    <col min="12305" max="12305" width="0.85546875" style="108" customWidth="1"/>
    <col min="12306" max="12306" width="12.28515625" style="108" customWidth="1"/>
    <col min="12307" max="12307" width="1.5703125" style="108" customWidth="1"/>
    <col min="12308" max="12308" width="12.28515625" style="108" customWidth="1"/>
    <col min="12309" max="12309" width="1.5703125" style="108" customWidth="1"/>
    <col min="12310" max="12310" width="12.28515625" style="108" customWidth="1"/>
    <col min="12311" max="12311" width="0.85546875" style="108" customWidth="1"/>
    <col min="12312" max="12312" width="12.28515625" style="108" customWidth="1"/>
    <col min="12313" max="12313" width="1.5703125" style="108" customWidth="1"/>
    <col min="12314" max="12314" width="12.28515625" style="108" customWidth="1"/>
    <col min="12315" max="12315" width="1.5703125" style="108" customWidth="1"/>
    <col min="12316" max="12316" width="12.28515625" style="108" customWidth="1"/>
    <col min="12317" max="12317" width="0.85546875" style="108" customWidth="1"/>
    <col min="12318" max="12318" width="12.28515625" style="108" customWidth="1"/>
    <col min="12319" max="12319" width="1.5703125" style="108" customWidth="1"/>
    <col min="12320" max="12320" width="12.28515625" style="108" customWidth="1"/>
    <col min="12321" max="12321" width="1.5703125" style="108" customWidth="1"/>
    <col min="12322" max="12322" width="12.28515625" style="108" customWidth="1"/>
    <col min="12323" max="12323" width="4.5703125" style="108" customWidth="1"/>
    <col min="12324" max="12324" width="1.42578125" style="108" customWidth="1"/>
    <col min="12325" max="12547" width="13.85546875" style="108"/>
    <col min="12548" max="12548" width="7.85546875" style="108" customWidth="1"/>
    <col min="12549" max="12550" width="2.28515625" style="108" customWidth="1"/>
    <col min="12551" max="12551" width="31.42578125" style="108" customWidth="1"/>
    <col min="12552" max="12552" width="2.28515625" style="108" customWidth="1"/>
    <col min="12553" max="12553" width="2.140625" style="108" customWidth="1"/>
    <col min="12554" max="12554" width="12.28515625" style="108" customWidth="1"/>
    <col min="12555" max="12555" width="1.5703125" style="108" customWidth="1"/>
    <col min="12556" max="12556" width="12.28515625" style="108" customWidth="1"/>
    <col min="12557" max="12557" width="1.5703125" style="108" customWidth="1"/>
    <col min="12558" max="12558" width="12.28515625" style="108" customWidth="1"/>
    <col min="12559" max="12559" width="1.5703125" style="108" customWidth="1"/>
    <col min="12560" max="12560" width="13.5703125" style="108" customWidth="1"/>
    <col min="12561" max="12561" width="0.85546875" style="108" customWidth="1"/>
    <col min="12562" max="12562" width="12.28515625" style="108" customWidth="1"/>
    <col min="12563" max="12563" width="1.5703125" style="108" customWidth="1"/>
    <col min="12564" max="12564" width="12.28515625" style="108" customWidth="1"/>
    <col min="12565" max="12565" width="1.5703125" style="108" customWidth="1"/>
    <col min="12566" max="12566" width="12.28515625" style="108" customWidth="1"/>
    <col min="12567" max="12567" width="0.85546875" style="108" customWidth="1"/>
    <col min="12568" max="12568" width="12.28515625" style="108" customWidth="1"/>
    <col min="12569" max="12569" width="1.5703125" style="108" customWidth="1"/>
    <col min="12570" max="12570" width="12.28515625" style="108" customWidth="1"/>
    <col min="12571" max="12571" width="1.5703125" style="108" customWidth="1"/>
    <col min="12572" max="12572" width="12.28515625" style="108" customWidth="1"/>
    <col min="12573" max="12573" width="0.85546875" style="108" customWidth="1"/>
    <col min="12574" max="12574" width="12.28515625" style="108" customWidth="1"/>
    <col min="12575" max="12575" width="1.5703125" style="108" customWidth="1"/>
    <col min="12576" max="12576" width="12.28515625" style="108" customWidth="1"/>
    <col min="12577" max="12577" width="1.5703125" style="108" customWidth="1"/>
    <col min="12578" max="12578" width="12.28515625" style="108" customWidth="1"/>
    <col min="12579" max="12579" width="4.5703125" style="108" customWidth="1"/>
    <col min="12580" max="12580" width="1.42578125" style="108" customWidth="1"/>
    <col min="12581" max="12803" width="13.85546875" style="108"/>
    <col min="12804" max="12804" width="7.85546875" style="108" customWidth="1"/>
    <col min="12805" max="12806" width="2.28515625" style="108" customWidth="1"/>
    <col min="12807" max="12807" width="31.42578125" style="108" customWidth="1"/>
    <col min="12808" max="12808" width="2.28515625" style="108" customWidth="1"/>
    <col min="12809" max="12809" width="2.140625" style="108" customWidth="1"/>
    <col min="12810" max="12810" width="12.28515625" style="108" customWidth="1"/>
    <col min="12811" max="12811" width="1.5703125" style="108" customWidth="1"/>
    <col min="12812" max="12812" width="12.28515625" style="108" customWidth="1"/>
    <col min="12813" max="12813" width="1.5703125" style="108" customWidth="1"/>
    <col min="12814" max="12814" width="12.28515625" style="108" customWidth="1"/>
    <col min="12815" max="12815" width="1.5703125" style="108" customWidth="1"/>
    <col min="12816" max="12816" width="13.5703125" style="108" customWidth="1"/>
    <col min="12817" max="12817" width="0.85546875" style="108" customWidth="1"/>
    <col min="12818" max="12818" width="12.28515625" style="108" customWidth="1"/>
    <col min="12819" max="12819" width="1.5703125" style="108" customWidth="1"/>
    <col min="12820" max="12820" width="12.28515625" style="108" customWidth="1"/>
    <col min="12821" max="12821" width="1.5703125" style="108" customWidth="1"/>
    <col min="12822" max="12822" width="12.28515625" style="108" customWidth="1"/>
    <col min="12823" max="12823" width="0.85546875" style="108" customWidth="1"/>
    <col min="12824" max="12824" width="12.28515625" style="108" customWidth="1"/>
    <col min="12825" max="12825" width="1.5703125" style="108" customWidth="1"/>
    <col min="12826" max="12826" width="12.28515625" style="108" customWidth="1"/>
    <col min="12827" max="12827" width="1.5703125" style="108" customWidth="1"/>
    <col min="12828" max="12828" width="12.28515625" style="108" customWidth="1"/>
    <col min="12829" max="12829" width="0.85546875" style="108" customWidth="1"/>
    <col min="12830" max="12830" width="12.28515625" style="108" customWidth="1"/>
    <col min="12831" max="12831" width="1.5703125" style="108" customWidth="1"/>
    <col min="12832" max="12832" width="12.28515625" style="108" customWidth="1"/>
    <col min="12833" max="12833" width="1.5703125" style="108" customWidth="1"/>
    <col min="12834" max="12834" width="12.28515625" style="108" customWidth="1"/>
    <col min="12835" max="12835" width="4.5703125" style="108" customWidth="1"/>
    <col min="12836" max="12836" width="1.42578125" style="108" customWidth="1"/>
    <col min="12837" max="13059" width="13.85546875" style="108"/>
    <col min="13060" max="13060" width="7.85546875" style="108" customWidth="1"/>
    <col min="13061" max="13062" width="2.28515625" style="108" customWidth="1"/>
    <col min="13063" max="13063" width="31.42578125" style="108" customWidth="1"/>
    <col min="13064" max="13064" width="2.28515625" style="108" customWidth="1"/>
    <col min="13065" max="13065" width="2.140625" style="108" customWidth="1"/>
    <col min="13066" max="13066" width="12.28515625" style="108" customWidth="1"/>
    <col min="13067" max="13067" width="1.5703125" style="108" customWidth="1"/>
    <col min="13068" max="13068" width="12.28515625" style="108" customWidth="1"/>
    <col min="13069" max="13069" width="1.5703125" style="108" customWidth="1"/>
    <col min="13070" max="13070" width="12.28515625" style="108" customWidth="1"/>
    <col min="13071" max="13071" width="1.5703125" style="108" customWidth="1"/>
    <col min="13072" max="13072" width="13.5703125" style="108" customWidth="1"/>
    <col min="13073" max="13073" width="0.85546875" style="108" customWidth="1"/>
    <col min="13074" max="13074" width="12.28515625" style="108" customWidth="1"/>
    <col min="13075" max="13075" width="1.5703125" style="108" customWidth="1"/>
    <col min="13076" max="13076" width="12.28515625" style="108" customWidth="1"/>
    <col min="13077" max="13077" width="1.5703125" style="108" customWidth="1"/>
    <col min="13078" max="13078" width="12.28515625" style="108" customWidth="1"/>
    <col min="13079" max="13079" width="0.85546875" style="108" customWidth="1"/>
    <col min="13080" max="13080" width="12.28515625" style="108" customWidth="1"/>
    <col min="13081" max="13081" width="1.5703125" style="108" customWidth="1"/>
    <col min="13082" max="13082" width="12.28515625" style="108" customWidth="1"/>
    <col min="13083" max="13083" width="1.5703125" style="108" customWidth="1"/>
    <col min="13084" max="13084" width="12.28515625" style="108" customWidth="1"/>
    <col min="13085" max="13085" width="0.85546875" style="108" customWidth="1"/>
    <col min="13086" max="13086" width="12.28515625" style="108" customWidth="1"/>
    <col min="13087" max="13087" width="1.5703125" style="108" customWidth="1"/>
    <col min="13088" max="13088" width="12.28515625" style="108" customWidth="1"/>
    <col min="13089" max="13089" width="1.5703125" style="108" customWidth="1"/>
    <col min="13090" max="13090" width="12.28515625" style="108" customWidth="1"/>
    <col min="13091" max="13091" width="4.5703125" style="108" customWidth="1"/>
    <col min="13092" max="13092" width="1.42578125" style="108" customWidth="1"/>
    <col min="13093" max="13315" width="13.85546875" style="108"/>
    <col min="13316" max="13316" width="7.85546875" style="108" customWidth="1"/>
    <col min="13317" max="13318" width="2.28515625" style="108" customWidth="1"/>
    <col min="13319" max="13319" width="31.42578125" style="108" customWidth="1"/>
    <col min="13320" max="13320" width="2.28515625" style="108" customWidth="1"/>
    <col min="13321" max="13321" width="2.140625" style="108" customWidth="1"/>
    <col min="13322" max="13322" width="12.28515625" style="108" customWidth="1"/>
    <col min="13323" max="13323" width="1.5703125" style="108" customWidth="1"/>
    <col min="13324" max="13324" width="12.28515625" style="108" customWidth="1"/>
    <col min="13325" max="13325" width="1.5703125" style="108" customWidth="1"/>
    <col min="13326" max="13326" width="12.28515625" style="108" customWidth="1"/>
    <col min="13327" max="13327" width="1.5703125" style="108" customWidth="1"/>
    <col min="13328" max="13328" width="13.5703125" style="108" customWidth="1"/>
    <col min="13329" max="13329" width="0.85546875" style="108" customWidth="1"/>
    <col min="13330" max="13330" width="12.28515625" style="108" customWidth="1"/>
    <col min="13331" max="13331" width="1.5703125" style="108" customWidth="1"/>
    <col min="13332" max="13332" width="12.28515625" style="108" customWidth="1"/>
    <col min="13333" max="13333" width="1.5703125" style="108" customWidth="1"/>
    <col min="13334" max="13334" width="12.28515625" style="108" customWidth="1"/>
    <col min="13335" max="13335" width="0.85546875" style="108" customWidth="1"/>
    <col min="13336" max="13336" width="12.28515625" style="108" customWidth="1"/>
    <col min="13337" max="13337" width="1.5703125" style="108" customWidth="1"/>
    <col min="13338" max="13338" width="12.28515625" style="108" customWidth="1"/>
    <col min="13339" max="13339" width="1.5703125" style="108" customWidth="1"/>
    <col min="13340" max="13340" width="12.28515625" style="108" customWidth="1"/>
    <col min="13341" max="13341" width="0.85546875" style="108" customWidth="1"/>
    <col min="13342" max="13342" width="12.28515625" style="108" customWidth="1"/>
    <col min="13343" max="13343" width="1.5703125" style="108" customWidth="1"/>
    <col min="13344" max="13344" width="12.28515625" style="108" customWidth="1"/>
    <col min="13345" max="13345" width="1.5703125" style="108" customWidth="1"/>
    <col min="13346" max="13346" width="12.28515625" style="108" customWidth="1"/>
    <col min="13347" max="13347" width="4.5703125" style="108" customWidth="1"/>
    <col min="13348" max="13348" width="1.42578125" style="108" customWidth="1"/>
    <col min="13349" max="13571" width="13.85546875" style="108"/>
    <col min="13572" max="13572" width="7.85546875" style="108" customWidth="1"/>
    <col min="13573" max="13574" width="2.28515625" style="108" customWidth="1"/>
    <col min="13575" max="13575" width="31.42578125" style="108" customWidth="1"/>
    <col min="13576" max="13576" width="2.28515625" style="108" customWidth="1"/>
    <col min="13577" max="13577" width="2.140625" style="108" customWidth="1"/>
    <col min="13578" max="13578" width="12.28515625" style="108" customWidth="1"/>
    <col min="13579" max="13579" width="1.5703125" style="108" customWidth="1"/>
    <col min="13580" max="13580" width="12.28515625" style="108" customWidth="1"/>
    <col min="13581" max="13581" width="1.5703125" style="108" customWidth="1"/>
    <col min="13582" max="13582" width="12.28515625" style="108" customWidth="1"/>
    <col min="13583" max="13583" width="1.5703125" style="108" customWidth="1"/>
    <col min="13584" max="13584" width="13.5703125" style="108" customWidth="1"/>
    <col min="13585" max="13585" width="0.85546875" style="108" customWidth="1"/>
    <col min="13586" max="13586" width="12.28515625" style="108" customWidth="1"/>
    <col min="13587" max="13587" width="1.5703125" style="108" customWidth="1"/>
    <col min="13588" max="13588" width="12.28515625" style="108" customWidth="1"/>
    <col min="13589" max="13589" width="1.5703125" style="108" customWidth="1"/>
    <col min="13590" max="13590" width="12.28515625" style="108" customWidth="1"/>
    <col min="13591" max="13591" width="0.85546875" style="108" customWidth="1"/>
    <col min="13592" max="13592" width="12.28515625" style="108" customWidth="1"/>
    <col min="13593" max="13593" width="1.5703125" style="108" customWidth="1"/>
    <col min="13594" max="13594" width="12.28515625" style="108" customWidth="1"/>
    <col min="13595" max="13595" width="1.5703125" style="108" customWidth="1"/>
    <col min="13596" max="13596" width="12.28515625" style="108" customWidth="1"/>
    <col min="13597" max="13597" width="0.85546875" style="108" customWidth="1"/>
    <col min="13598" max="13598" width="12.28515625" style="108" customWidth="1"/>
    <col min="13599" max="13599" width="1.5703125" style="108" customWidth="1"/>
    <col min="13600" max="13600" width="12.28515625" style="108" customWidth="1"/>
    <col min="13601" max="13601" width="1.5703125" style="108" customWidth="1"/>
    <col min="13602" max="13602" width="12.28515625" style="108" customWidth="1"/>
    <col min="13603" max="13603" width="4.5703125" style="108" customWidth="1"/>
    <col min="13604" max="13604" width="1.42578125" style="108" customWidth="1"/>
    <col min="13605" max="13827" width="13.85546875" style="108"/>
    <col min="13828" max="13828" width="7.85546875" style="108" customWidth="1"/>
    <col min="13829" max="13830" width="2.28515625" style="108" customWidth="1"/>
    <col min="13831" max="13831" width="31.42578125" style="108" customWidth="1"/>
    <col min="13832" max="13832" width="2.28515625" style="108" customWidth="1"/>
    <col min="13833" max="13833" width="2.140625" style="108" customWidth="1"/>
    <col min="13834" max="13834" width="12.28515625" style="108" customWidth="1"/>
    <col min="13835" max="13835" width="1.5703125" style="108" customWidth="1"/>
    <col min="13836" max="13836" width="12.28515625" style="108" customWidth="1"/>
    <col min="13837" max="13837" width="1.5703125" style="108" customWidth="1"/>
    <col min="13838" max="13838" width="12.28515625" style="108" customWidth="1"/>
    <col min="13839" max="13839" width="1.5703125" style="108" customWidth="1"/>
    <col min="13840" max="13840" width="13.5703125" style="108" customWidth="1"/>
    <col min="13841" max="13841" width="0.85546875" style="108" customWidth="1"/>
    <col min="13842" max="13842" width="12.28515625" style="108" customWidth="1"/>
    <col min="13843" max="13843" width="1.5703125" style="108" customWidth="1"/>
    <col min="13844" max="13844" width="12.28515625" style="108" customWidth="1"/>
    <col min="13845" max="13845" width="1.5703125" style="108" customWidth="1"/>
    <col min="13846" max="13846" width="12.28515625" style="108" customWidth="1"/>
    <col min="13847" max="13847" width="0.85546875" style="108" customWidth="1"/>
    <col min="13848" max="13848" width="12.28515625" style="108" customWidth="1"/>
    <col min="13849" max="13849" width="1.5703125" style="108" customWidth="1"/>
    <col min="13850" max="13850" width="12.28515625" style="108" customWidth="1"/>
    <col min="13851" max="13851" width="1.5703125" style="108" customWidth="1"/>
    <col min="13852" max="13852" width="12.28515625" style="108" customWidth="1"/>
    <col min="13853" max="13853" width="0.85546875" style="108" customWidth="1"/>
    <col min="13854" max="13854" width="12.28515625" style="108" customWidth="1"/>
    <col min="13855" max="13855" width="1.5703125" style="108" customWidth="1"/>
    <col min="13856" max="13856" width="12.28515625" style="108" customWidth="1"/>
    <col min="13857" max="13857" width="1.5703125" style="108" customWidth="1"/>
    <col min="13858" max="13858" width="12.28515625" style="108" customWidth="1"/>
    <col min="13859" max="13859" width="4.5703125" style="108" customWidth="1"/>
    <col min="13860" max="13860" width="1.42578125" style="108" customWidth="1"/>
    <col min="13861" max="14083" width="13.85546875" style="108"/>
    <col min="14084" max="14084" width="7.85546875" style="108" customWidth="1"/>
    <col min="14085" max="14086" width="2.28515625" style="108" customWidth="1"/>
    <col min="14087" max="14087" width="31.42578125" style="108" customWidth="1"/>
    <col min="14088" max="14088" width="2.28515625" style="108" customWidth="1"/>
    <col min="14089" max="14089" width="2.140625" style="108" customWidth="1"/>
    <col min="14090" max="14090" width="12.28515625" style="108" customWidth="1"/>
    <col min="14091" max="14091" width="1.5703125" style="108" customWidth="1"/>
    <col min="14092" max="14092" width="12.28515625" style="108" customWidth="1"/>
    <col min="14093" max="14093" width="1.5703125" style="108" customWidth="1"/>
    <col min="14094" max="14094" width="12.28515625" style="108" customWidth="1"/>
    <col min="14095" max="14095" width="1.5703125" style="108" customWidth="1"/>
    <col min="14096" max="14096" width="13.5703125" style="108" customWidth="1"/>
    <col min="14097" max="14097" width="0.85546875" style="108" customWidth="1"/>
    <col min="14098" max="14098" width="12.28515625" style="108" customWidth="1"/>
    <col min="14099" max="14099" width="1.5703125" style="108" customWidth="1"/>
    <col min="14100" max="14100" width="12.28515625" style="108" customWidth="1"/>
    <col min="14101" max="14101" width="1.5703125" style="108" customWidth="1"/>
    <col min="14102" max="14102" width="12.28515625" style="108" customWidth="1"/>
    <col min="14103" max="14103" width="0.85546875" style="108" customWidth="1"/>
    <col min="14104" max="14104" width="12.28515625" style="108" customWidth="1"/>
    <col min="14105" max="14105" width="1.5703125" style="108" customWidth="1"/>
    <col min="14106" max="14106" width="12.28515625" style="108" customWidth="1"/>
    <col min="14107" max="14107" width="1.5703125" style="108" customWidth="1"/>
    <col min="14108" max="14108" width="12.28515625" style="108" customWidth="1"/>
    <col min="14109" max="14109" width="0.85546875" style="108" customWidth="1"/>
    <col min="14110" max="14110" width="12.28515625" style="108" customWidth="1"/>
    <col min="14111" max="14111" width="1.5703125" style="108" customWidth="1"/>
    <col min="14112" max="14112" width="12.28515625" style="108" customWidth="1"/>
    <col min="14113" max="14113" width="1.5703125" style="108" customWidth="1"/>
    <col min="14114" max="14114" width="12.28515625" style="108" customWidth="1"/>
    <col min="14115" max="14115" width="4.5703125" style="108" customWidth="1"/>
    <col min="14116" max="14116" width="1.42578125" style="108" customWidth="1"/>
    <col min="14117" max="14339" width="13.85546875" style="108"/>
    <col min="14340" max="14340" width="7.85546875" style="108" customWidth="1"/>
    <col min="14341" max="14342" width="2.28515625" style="108" customWidth="1"/>
    <col min="14343" max="14343" width="31.42578125" style="108" customWidth="1"/>
    <col min="14344" max="14344" width="2.28515625" style="108" customWidth="1"/>
    <col min="14345" max="14345" width="2.140625" style="108" customWidth="1"/>
    <col min="14346" max="14346" width="12.28515625" style="108" customWidth="1"/>
    <col min="14347" max="14347" width="1.5703125" style="108" customWidth="1"/>
    <col min="14348" max="14348" width="12.28515625" style="108" customWidth="1"/>
    <col min="14349" max="14349" width="1.5703125" style="108" customWidth="1"/>
    <col min="14350" max="14350" width="12.28515625" style="108" customWidth="1"/>
    <col min="14351" max="14351" width="1.5703125" style="108" customWidth="1"/>
    <col min="14352" max="14352" width="13.5703125" style="108" customWidth="1"/>
    <col min="14353" max="14353" width="0.85546875" style="108" customWidth="1"/>
    <col min="14354" max="14354" width="12.28515625" style="108" customWidth="1"/>
    <col min="14355" max="14355" width="1.5703125" style="108" customWidth="1"/>
    <col min="14356" max="14356" width="12.28515625" style="108" customWidth="1"/>
    <col min="14357" max="14357" width="1.5703125" style="108" customWidth="1"/>
    <col min="14358" max="14358" width="12.28515625" style="108" customWidth="1"/>
    <col min="14359" max="14359" width="0.85546875" style="108" customWidth="1"/>
    <col min="14360" max="14360" width="12.28515625" style="108" customWidth="1"/>
    <col min="14361" max="14361" width="1.5703125" style="108" customWidth="1"/>
    <col min="14362" max="14362" width="12.28515625" style="108" customWidth="1"/>
    <col min="14363" max="14363" width="1.5703125" style="108" customWidth="1"/>
    <col min="14364" max="14364" width="12.28515625" style="108" customWidth="1"/>
    <col min="14365" max="14365" width="0.85546875" style="108" customWidth="1"/>
    <col min="14366" max="14366" width="12.28515625" style="108" customWidth="1"/>
    <col min="14367" max="14367" width="1.5703125" style="108" customWidth="1"/>
    <col min="14368" max="14368" width="12.28515625" style="108" customWidth="1"/>
    <col min="14369" max="14369" width="1.5703125" style="108" customWidth="1"/>
    <col min="14370" max="14370" width="12.28515625" style="108" customWidth="1"/>
    <col min="14371" max="14371" width="4.5703125" style="108" customWidth="1"/>
    <col min="14372" max="14372" width="1.42578125" style="108" customWidth="1"/>
    <col min="14373" max="14595" width="13.85546875" style="108"/>
    <col min="14596" max="14596" width="7.85546875" style="108" customWidth="1"/>
    <col min="14597" max="14598" width="2.28515625" style="108" customWidth="1"/>
    <col min="14599" max="14599" width="31.42578125" style="108" customWidth="1"/>
    <col min="14600" max="14600" width="2.28515625" style="108" customWidth="1"/>
    <col min="14601" max="14601" width="2.140625" style="108" customWidth="1"/>
    <col min="14602" max="14602" width="12.28515625" style="108" customWidth="1"/>
    <col min="14603" max="14603" width="1.5703125" style="108" customWidth="1"/>
    <col min="14604" max="14604" width="12.28515625" style="108" customWidth="1"/>
    <col min="14605" max="14605" width="1.5703125" style="108" customWidth="1"/>
    <col min="14606" max="14606" width="12.28515625" style="108" customWidth="1"/>
    <col min="14607" max="14607" width="1.5703125" style="108" customWidth="1"/>
    <col min="14608" max="14608" width="13.5703125" style="108" customWidth="1"/>
    <col min="14609" max="14609" width="0.85546875" style="108" customWidth="1"/>
    <col min="14610" max="14610" width="12.28515625" style="108" customWidth="1"/>
    <col min="14611" max="14611" width="1.5703125" style="108" customWidth="1"/>
    <col min="14612" max="14612" width="12.28515625" style="108" customWidth="1"/>
    <col min="14613" max="14613" width="1.5703125" style="108" customWidth="1"/>
    <col min="14614" max="14614" width="12.28515625" style="108" customWidth="1"/>
    <col min="14615" max="14615" width="0.85546875" style="108" customWidth="1"/>
    <col min="14616" max="14616" width="12.28515625" style="108" customWidth="1"/>
    <col min="14617" max="14617" width="1.5703125" style="108" customWidth="1"/>
    <col min="14618" max="14618" width="12.28515625" style="108" customWidth="1"/>
    <col min="14619" max="14619" width="1.5703125" style="108" customWidth="1"/>
    <col min="14620" max="14620" width="12.28515625" style="108" customWidth="1"/>
    <col min="14621" max="14621" width="0.85546875" style="108" customWidth="1"/>
    <col min="14622" max="14622" width="12.28515625" style="108" customWidth="1"/>
    <col min="14623" max="14623" width="1.5703125" style="108" customWidth="1"/>
    <col min="14624" max="14624" width="12.28515625" style="108" customWidth="1"/>
    <col min="14625" max="14625" width="1.5703125" style="108" customWidth="1"/>
    <col min="14626" max="14626" width="12.28515625" style="108" customWidth="1"/>
    <col min="14627" max="14627" width="4.5703125" style="108" customWidth="1"/>
    <col min="14628" max="14628" width="1.42578125" style="108" customWidth="1"/>
    <col min="14629" max="14851" width="13.85546875" style="108"/>
    <col min="14852" max="14852" width="7.85546875" style="108" customWidth="1"/>
    <col min="14853" max="14854" width="2.28515625" style="108" customWidth="1"/>
    <col min="14855" max="14855" width="31.42578125" style="108" customWidth="1"/>
    <col min="14856" max="14856" width="2.28515625" style="108" customWidth="1"/>
    <col min="14857" max="14857" width="2.140625" style="108" customWidth="1"/>
    <col min="14858" max="14858" width="12.28515625" style="108" customWidth="1"/>
    <col min="14859" max="14859" width="1.5703125" style="108" customWidth="1"/>
    <col min="14860" max="14860" width="12.28515625" style="108" customWidth="1"/>
    <col min="14861" max="14861" width="1.5703125" style="108" customWidth="1"/>
    <col min="14862" max="14862" width="12.28515625" style="108" customWidth="1"/>
    <col min="14863" max="14863" width="1.5703125" style="108" customWidth="1"/>
    <col min="14864" max="14864" width="13.5703125" style="108" customWidth="1"/>
    <col min="14865" max="14865" width="0.85546875" style="108" customWidth="1"/>
    <col min="14866" max="14866" width="12.28515625" style="108" customWidth="1"/>
    <col min="14867" max="14867" width="1.5703125" style="108" customWidth="1"/>
    <col min="14868" max="14868" width="12.28515625" style="108" customWidth="1"/>
    <col min="14869" max="14869" width="1.5703125" style="108" customWidth="1"/>
    <col min="14870" max="14870" width="12.28515625" style="108" customWidth="1"/>
    <col min="14871" max="14871" width="0.85546875" style="108" customWidth="1"/>
    <col min="14872" max="14872" width="12.28515625" style="108" customWidth="1"/>
    <col min="14873" max="14873" width="1.5703125" style="108" customWidth="1"/>
    <col min="14874" max="14874" width="12.28515625" style="108" customWidth="1"/>
    <col min="14875" max="14875" width="1.5703125" style="108" customWidth="1"/>
    <col min="14876" max="14876" width="12.28515625" style="108" customWidth="1"/>
    <col min="14877" max="14877" width="0.85546875" style="108" customWidth="1"/>
    <col min="14878" max="14878" width="12.28515625" style="108" customWidth="1"/>
    <col min="14879" max="14879" width="1.5703125" style="108" customWidth="1"/>
    <col min="14880" max="14880" width="12.28515625" style="108" customWidth="1"/>
    <col min="14881" max="14881" width="1.5703125" style="108" customWidth="1"/>
    <col min="14882" max="14882" width="12.28515625" style="108" customWidth="1"/>
    <col min="14883" max="14883" width="4.5703125" style="108" customWidth="1"/>
    <col min="14884" max="14884" width="1.42578125" style="108" customWidth="1"/>
    <col min="14885" max="15107" width="13.85546875" style="108"/>
    <col min="15108" max="15108" width="7.85546875" style="108" customWidth="1"/>
    <col min="15109" max="15110" width="2.28515625" style="108" customWidth="1"/>
    <col min="15111" max="15111" width="31.42578125" style="108" customWidth="1"/>
    <col min="15112" max="15112" width="2.28515625" style="108" customWidth="1"/>
    <col min="15113" max="15113" width="2.140625" style="108" customWidth="1"/>
    <col min="15114" max="15114" width="12.28515625" style="108" customWidth="1"/>
    <col min="15115" max="15115" width="1.5703125" style="108" customWidth="1"/>
    <col min="15116" max="15116" width="12.28515625" style="108" customWidth="1"/>
    <col min="15117" max="15117" width="1.5703125" style="108" customWidth="1"/>
    <col min="15118" max="15118" width="12.28515625" style="108" customWidth="1"/>
    <col min="15119" max="15119" width="1.5703125" style="108" customWidth="1"/>
    <col min="15120" max="15120" width="13.5703125" style="108" customWidth="1"/>
    <col min="15121" max="15121" width="0.85546875" style="108" customWidth="1"/>
    <col min="15122" max="15122" width="12.28515625" style="108" customWidth="1"/>
    <col min="15123" max="15123" width="1.5703125" style="108" customWidth="1"/>
    <col min="15124" max="15124" width="12.28515625" style="108" customWidth="1"/>
    <col min="15125" max="15125" width="1.5703125" style="108" customWidth="1"/>
    <col min="15126" max="15126" width="12.28515625" style="108" customWidth="1"/>
    <col min="15127" max="15127" width="0.85546875" style="108" customWidth="1"/>
    <col min="15128" max="15128" width="12.28515625" style="108" customWidth="1"/>
    <col min="15129" max="15129" width="1.5703125" style="108" customWidth="1"/>
    <col min="15130" max="15130" width="12.28515625" style="108" customWidth="1"/>
    <col min="15131" max="15131" width="1.5703125" style="108" customWidth="1"/>
    <col min="15132" max="15132" width="12.28515625" style="108" customWidth="1"/>
    <col min="15133" max="15133" width="0.85546875" style="108" customWidth="1"/>
    <col min="15134" max="15134" width="12.28515625" style="108" customWidth="1"/>
    <col min="15135" max="15135" width="1.5703125" style="108" customWidth="1"/>
    <col min="15136" max="15136" width="12.28515625" style="108" customWidth="1"/>
    <col min="15137" max="15137" width="1.5703125" style="108" customWidth="1"/>
    <col min="15138" max="15138" width="12.28515625" style="108" customWidth="1"/>
    <col min="15139" max="15139" width="4.5703125" style="108" customWidth="1"/>
    <col min="15140" max="15140" width="1.42578125" style="108" customWidth="1"/>
    <col min="15141" max="15363" width="13.85546875" style="108"/>
    <col min="15364" max="15364" width="7.85546875" style="108" customWidth="1"/>
    <col min="15365" max="15366" width="2.28515625" style="108" customWidth="1"/>
    <col min="15367" max="15367" width="31.42578125" style="108" customWidth="1"/>
    <col min="15368" max="15368" width="2.28515625" style="108" customWidth="1"/>
    <col min="15369" max="15369" width="2.140625" style="108" customWidth="1"/>
    <col min="15370" max="15370" width="12.28515625" style="108" customWidth="1"/>
    <col min="15371" max="15371" width="1.5703125" style="108" customWidth="1"/>
    <col min="15372" max="15372" width="12.28515625" style="108" customWidth="1"/>
    <col min="15373" max="15373" width="1.5703125" style="108" customWidth="1"/>
    <col min="15374" max="15374" width="12.28515625" style="108" customWidth="1"/>
    <col min="15375" max="15375" width="1.5703125" style="108" customWidth="1"/>
    <col min="15376" max="15376" width="13.5703125" style="108" customWidth="1"/>
    <col min="15377" max="15377" width="0.85546875" style="108" customWidth="1"/>
    <col min="15378" max="15378" width="12.28515625" style="108" customWidth="1"/>
    <col min="15379" max="15379" width="1.5703125" style="108" customWidth="1"/>
    <col min="15380" max="15380" width="12.28515625" style="108" customWidth="1"/>
    <col min="15381" max="15381" width="1.5703125" style="108" customWidth="1"/>
    <col min="15382" max="15382" width="12.28515625" style="108" customWidth="1"/>
    <col min="15383" max="15383" width="0.85546875" style="108" customWidth="1"/>
    <col min="15384" max="15384" width="12.28515625" style="108" customWidth="1"/>
    <col min="15385" max="15385" width="1.5703125" style="108" customWidth="1"/>
    <col min="15386" max="15386" width="12.28515625" style="108" customWidth="1"/>
    <col min="15387" max="15387" width="1.5703125" style="108" customWidth="1"/>
    <col min="15388" max="15388" width="12.28515625" style="108" customWidth="1"/>
    <col min="15389" max="15389" width="0.85546875" style="108" customWidth="1"/>
    <col min="15390" max="15390" width="12.28515625" style="108" customWidth="1"/>
    <col min="15391" max="15391" width="1.5703125" style="108" customWidth="1"/>
    <col min="15392" max="15392" width="12.28515625" style="108" customWidth="1"/>
    <col min="15393" max="15393" width="1.5703125" style="108" customWidth="1"/>
    <col min="15394" max="15394" width="12.28515625" style="108" customWidth="1"/>
    <col min="15395" max="15395" width="4.5703125" style="108" customWidth="1"/>
    <col min="15396" max="15396" width="1.42578125" style="108" customWidth="1"/>
    <col min="15397" max="15619" width="13.85546875" style="108"/>
    <col min="15620" max="15620" width="7.85546875" style="108" customWidth="1"/>
    <col min="15621" max="15622" width="2.28515625" style="108" customWidth="1"/>
    <col min="15623" max="15623" width="31.42578125" style="108" customWidth="1"/>
    <col min="15624" max="15624" width="2.28515625" style="108" customWidth="1"/>
    <col min="15625" max="15625" width="2.140625" style="108" customWidth="1"/>
    <col min="15626" max="15626" width="12.28515625" style="108" customWidth="1"/>
    <col min="15627" max="15627" width="1.5703125" style="108" customWidth="1"/>
    <col min="15628" max="15628" width="12.28515625" style="108" customWidth="1"/>
    <col min="15629" max="15629" width="1.5703125" style="108" customWidth="1"/>
    <col min="15630" max="15630" width="12.28515625" style="108" customWidth="1"/>
    <col min="15631" max="15631" width="1.5703125" style="108" customWidth="1"/>
    <col min="15632" max="15632" width="13.5703125" style="108" customWidth="1"/>
    <col min="15633" max="15633" width="0.85546875" style="108" customWidth="1"/>
    <col min="15634" max="15634" width="12.28515625" style="108" customWidth="1"/>
    <col min="15635" max="15635" width="1.5703125" style="108" customWidth="1"/>
    <col min="15636" max="15636" width="12.28515625" style="108" customWidth="1"/>
    <col min="15637" max="15637" width="1.5703125" style="108" customWidth="1"/>
    <col min="15638" max="15638" width="12.28515625" style="108" customWidth="1"/>
    <col min="15639" max="15639" width="0.85546875" style="108" customWidth="1"/>
    <col min="15640" max="15640" width="12.28515625" style="108" customWidth="1"/>
    <col min="15641" max="15641" width="1.5703125" style="108" customWidth="1"/>
    <col min="15642" max="15642" width="12.28515625" style="108" customWidth="1"/>
    <col min="15643" max="15643" width="1.5703125" style="108" customWidth="1"/>
    <col min="15644" max="15644" width="12.28515625" style="108" customWidth="1"/>
    <col min="15645" max="15645" width="0.85546875" style="108" customWidth="1"/>
    <col min="15646" max="15646" width="12.28515625" style="108" customWidth="1"/>
    <col min="15647" max="15647" width="1.5703125" style="108" customWidth="1"/>
    <col min="15648" max="15648" width="12.28515625" style="108" customWidth="1"/>
    <col min="15649" max="15649" width="1.5703125" style="108" customWidth="1"/>
    <col min="15650" max="15650" width="12.28515625" style="108" customWidth="1"/>
    <col min="15651" max="15651" width="4.5703125" style="108" customWidth="1"/>
    <col min="15652" max="15652" width="1.42578125" style="108" customWidth="1"/>
    <col min="15653" max="15875" width="13.85546875" style="108"/>
    <col min="15876" max="15876" width="7.85546875" style="108" customWidth="1"/>
    <col min="15877" max="15878" width="2.28515625" style="108" customWidth="1"/>
    <col min="15879" max="15879" width="31.42578125" style="108" customWidth="1"/>
    <col min="15880" max="15880" width="2.28515625" style="108" customWidth="1"/>
    <col min="15881" max="15881" width="2.140625" style="108" customWidth="1"/>
    <col min="15882" max="15882" width="12.28515625" style="108" customWidth="1"/>
    <col min="15883" max="15883" width="1.5703125" style="108" customWidth="1"/>
    <col min="15884" max="15884" width="12.28515625" style="108" customWidth="1"/>
    <col min="15885" max="15885" width="1.5703125" style="108" customWidth="1"/>
    <col min="15886" max="15886" width="12.28515625" style="108" customWidth="1"/>
    <col min="15887" max="15887" width="1.5703125" style="108" customWidth="1"/>
    <col min="15888" max="15888" width="13.5703125" style="108" customWidth="1"/>
    <col min="15889" max="15889" width="0.85546875" style="108" customWidth="1"/>
    <col min="15890" max="15890" width="12.28515625" style="108" customWidth="1"/>
    <col min="15891" max="15891" width="1.5703125" style="108" customWidth="1"/>
    <col min="15892" max="15892" width="12.28515625" style="108" customWidth="1"/>
    <col min="15893" max="15893" width="1.5703125" style="108" customWidth="1"/>
    <col min="15894" max="15894" width="12.28515625" style="108" customWidth="1"/>
    <col min="15895" max="15895" width="0.85546875" style="108" customWidth="1"/>
    <col min="15896" max="15896" width="12.28515625" style="108" customWidth="1"/>
    <col min="15897" max="15897" width="1.5703125" style="108" customWidth="1"/>
    <col min="15898" max="15898" width="12.28515625" style="108" customWidth="1"/>
    <col min="15899" max="15899" width="1.5703125" style="108" customWidth="1"/>
    <col min="15900" max="15900" width="12.28515625" style="108" customWidth="1"/>
    <col min="15901" max="15901" width="0.85546875" style="108" customWidth="1"/>
    <col min="15902" max="15902" width="12.28515625" style="108" customWidth="1"/>
    <col min="15903" max="15903" width="1.5703125" style="108" customWidth="1"/>
    <col min="15904" max="15904" width="12.28515625" style="108" customWidth="1"/>
    <col min="15905" max="15905" width="1.5703125" style="108" customWidth="1"/>
    <col min="15906" max="15906" width="12.28515625" style="108" customWidth="1"/>
    <col min="15907" max="15907" width="4.5703125" style="108" customWidth="1"/>
    <col min="15908" max="15908" width="1.42578125" style="108" customWidth="1"/>
    <col min="15909" max="16131" width="13.85546875" style="108"/>
    <col min="16132" max="16132" width="7.85546875" style="108" customWidth="1"/>
    <col min="16133" max="16134" width="2.28515625" style="108" customWidth="1"/>
    <col min="16135" max="16135" width="31.42578125" style="108" customWidth="1"/>
    <col min="16136" max="16136" width="2.28515625" style="108" customWidth="1"/>
    <col min="16137" max="16137" width="2.140625" style="108" customWidth="1"/>
    <col min="16138" max="16138" width="12.28515625" style="108" customWidth="1"/>
    <col min="16139" max="16139" width="1.5703125" style="108" customWidth="1"/>
    <col min="16140" max="16140" width="12.28515625" style="108" customWidth="1"/>
    <col min="16141" max="16141" width="1.5703125" style="108" customWidth="1"/>
    <col min="16142" max="16142" width="12.28515625" style="108" customWidth="1"/>
    <col min="16143" max="16143" width="1.5703125" style="108" customWidth="1"/>
    <col min="16144" max="16144" width="13.5703125" style="108" customWidth="1"/>
    <col min="16145" max="16145" width="0.85546875" style="108" customWidth="1"/>
    <col min="16146" max="16146" width="12.28515625" style="108" customWidth="1"/>
    <col min="16147" max="16147" width="1.5703125" style="108" customWidth="1"/>
    <col min="16148" max="16148" width="12.28515625" style="108" customWidth="1"/>
    <col min="16149" max="16149" width="1.5703125" style="108" customWidth="1"/>
    <col min="16150" max="16150" width="12.28515625" style="108" customWidth="1"/>
    <col min="16151" max="16151" width="0.85546875" style="108" customWidth="1"/>
    <col min="16152" max="16152" width="12.28515625" style="108" customWidth="1"/>
    <col min="16153" max="16153" width="1.5703125" style="108" customWidth="1"/>
    <col min="16154" max="16154" width="12.28515625" style="108" customWidth="1"/>
    <col min="16155" max="16155" width="1.5703125" style="108" customWidth="1"/>
    <col min="16156" max="16156" width="12.28515625" style="108" customWidth="1"/>
    <col min="16157" max="16157" width="0.85546875" style="108" customWidth="1"/>
    <col min="16158" max="16158" width="12.28515625" style="108" customWidth="1"/>
    <col min="16159" max="16159" width="1.5703125" style="108" customWidth="1"/>
    <col min="16160" max="16160" width="12.28515625" style="108" customWidth="1"/>
    <col min="16161" max="16161" width="1.5703125" style="108" customWidth="1"/>
    <col min="16162" max="16162" width="12.28515625" style="108" customWidth="1"/>
    <col min="16163" max="16163" width="4.5703125" style="108" customWidth="1"/>
    <col min="16164" max="16164" width="1.42578125" style="108" customWidth="1"/>
    <col min="16165" max="16384" width="13.85546875" style="108"/>
  </cols>
  <sheetData>
    <row r="1" spans="1:36" hidden="1">
      <c r="D1" s="108" t="s">
        <v>177</v>
      </c>
      <c r="E1" s="108" t="s">
        <v>178</v>
      </c>
      <c r="F1" s="109"/>
      <c r="G1" s="110"/>
      <c r="J1" s="108" t="s">
        <v>179</v>
      </c>
      <c r="L1" s="108" t="s">
        <v>180</v>
      </c>
      <c r="N1" s="108" t="s">
        <v>181</v>
      </c>
      <c r="P1" s="108" t="s">
        <v>182</v>
      </c>
      <c r="R1" s="108" t="s">
        <v>183</v>
      </c>
      <c r="T1" s="108" t="s">
        <v>184</v>
      </c>
      <c r="V1" s="108" t="s">
        <v>185</v>
      </c>
      <c r="X1" s="108" t="s">
        <v>186</v>
      </c>
      <c r="Z1" s="108" t="s">
        <v>187</v>
      </c>
      <c r="AB1" s="108" t="s">
        <v>188</v>
      </c>
      <c r="AD1" s="108" t="s">
        <v>189</v>
      </c>
      <c r="AF1" s="108" t="s">
        <v>190</v>
      </c>
      <c r="AH1" s="111"/>
    </row>
    <row r="2" spans="1:36" hidden="1" outlineLevel="1">
      <c r="B2" s="112"/>
      <c r="D2" s="113"/>
      <c r="E2" s="113"/>
      <c r="F2" s="114"/>
      <c r="G2" s="110"/>
      <c r="H2" s="115"/>
      <c r="I2" s="116"/>
      <c r="J2" s="117">
        <v>0</v>
      </c>
      <c r="K2" s="116"/>
      <c r="L2" s="117">
        <v>0</v>
      </c>
      <c r="M2" s="116"/>
      <c r="N2" s="117">
        <v>0</v>
      </c>
      <c r="O2" s="116"/>
      <c r="P2" s="117">
        <v>0</v>
      </c>
      <c r="Q2" s="116"/>
      <c r="R2" s="117">
        <v>0</v>
      </c>
      <c r="S2" s="116"/>
      <c r="T2" s="117">
        <v>0</v>
      </c>
      <c r="U2" s="116"/>
      <c r="V2" s="117">
        <v>0</v>
      </c>
      <c r="W2" s="116"/>
      <c r="X2" s="117">
        <v>0</v>
      </c>
      <c r="Y2" s="116"/>
      <c r="Z2" s="117">
        <v>0</v>
      </c>
      <c r="AA2" s="116"/>
      <c r="AB2" s="117">
        <v>0</v>
      </c>
      <c r="AC2" s="116"/>
      <c r="AD2" s="117">
        <v>0</v>
      </c>
      <c r="AE2" s="116"/>
      <c r="AF2" s="117">
        <v>0</v>
      </c>
      <c r="AG2" s="116"/>
      <c r="AH2" s="117">
        <f>AF2+AD2+AB2+Z2+X2+V2+T2+R2+P2+N2+L2+J2</f>
        <v>0</v>
      </c>
      <c r="AI2" s="118">
        <f>IF(AH$52=0,0,AH2/AH$52)</f>
        <v>0</v>
      </c>
      <c r="AJ2" s="119"/>
    </row>
    <row r="3" spans="1:36" hidden="1">
      <c r="D3" s="120"/>
      <c r="E3" s="120"/>
      <c r="F3" s="120"/>
      <c r="G3" s="120"/>
      <c r="H3" s="120"/>
      <c r="I3" s="120"/>
      <c r="J3" s="108" t="e">
        <f>TEXT(EDATE(DATEVALUE(RIGHT($D$8,2)&amp;"/1/"&amp;LEFT($D$8,4)),-11),"yyyy-mm")</f>
        <v>#VALUE!</v>
      </c>
      <c r="L3" s="108" t="e">
        <f>TEXT(EDATE(DATEVALUE(RIGHT($D$8,2)&amp;"/1/"&amp;LEFT($D$8,4)),-10),"yyyy-mm")</f>
        <v>#VALUE!</v>
      </c>
      <c r="N3" s="108" t="e">
        <f>TEXT(EDATE(DATEVALUE(RIGHT($D$8,2)&amp;"/1/"&amp;LEFT($D$8,4)),-9),"yyyy-mm")</f>
        <v>#VALUE!</v>
      </c>
      <c r="P3" s="108" t="e">
        <f>TEXT(EDATE(DATEVALUE(RIGHT($D$8,2)&amp;"/1/"&amp;LEFT($D$8,4)),-8),"yyyy-mm")</f>
        <v>#VALUE!</v>
      </c>
      <c r="R3" s="108" t="e">
        <f>TEXT(EDATE(DATEVALUE(RIGHT($D$8,2)&amp;"/1/"&amp;LEFT($D$8,4)),-7),"yyyy-mm")</f>
        <v>#VALUE!</v>
      </c>
      <c r="T3" s="108" t="e">
        <f>TEXT(EDATE(DATEVALUE(RIGHT($D$8,2)&amp;"/1/"&amp;LEFT($D$8,4)),-6),"yyyy-mm")</f>
        <v>#VALUE!</v>
      </c>
      <c r="V3" s="108" t="e">
        <f>TEXT(EDATE(DATEVALUE(RIGHT($D$8,2)&amp;"/1/"&amp;LEFT($D$8,4)),-5),"yyyy-mm")</f>
        <v>#VALUE!</v>
      </c>
      <c r="X3" s="108" t="e">
        <f>TEXT(EDATE(DATEVALUE(RIGHT($D$8,2)&amp;"/1/"&amp;LEFT($D$8,4)),-4),"yyyy-mm")</f>
        <v>#VALUE!</v>
      </c>
      <c r="Z3" s="108" t="e">
        <f>TEXT(EDATE(DATEVALUE(RIGHT($D$8,2)&amp;"/1/"&amp;LEFT($D$8,4)),-3),"yyyy-mm")</f>
        <v>#VALUE!</v>
      </c>
      <c r="AB3" s="108" t="e">
        <f>TEXT(EDATE(DATEVALUE(RIGHT($D$8,2)&amp;"/1/"&amp;LEFT($D$8,4)),-2),"yyyy-mm")</f>
        <v>#VALUE!</v>
      </c>
      <c r="AD3" s="108" t="e">
        <f>TEXT(EDATE(DATEVALUE(RIGHT($D$8,2)&amp;"/1/"&amp;LEFT($D$8,4)),-1),"yyyy-mm")</f>
        <v>#VALUE!</v>
      </c>
      <c r="AF3" s="108" t="str">
        <f>YearMonth</f>
        <v>Test Period Ending 12-31-2017</v>
      </c>
      <c r="AH3" s="108"/>
    </row>
    <row r="4" spans="1:36" ht="15" hidden="1">
      <c r="B4" s="121" t="str">
        <f ca="1">_xll.ReportVariable("WCN1",B13:B390,1:1,2:2,_xll.Param(D8,N6,"PL,98501",R7,"PL",R6,"AcctGrp1","ConsolSum","",""))</f>
        <v>OK!: ReportVariable Formula OK [jAction{}]</v>
      </c>
      <c r="G4" s="122"/>
      <c r="J4" s="108"/>
      <c r="L4" s="108"/>
      <c r="N4" s="108"/>
      <c r="P4" s="108"/>
      <c r="R4" s="108"/>
      <c r="T4" s="108"/>
      <c r="V4" s="108"/>
      <c r="X4" s="108"/>
      <c r="Z4" s="108"/>
      <c r="AB4" s="108"/>
      <c r="AD4" s="108"/>
      <c r="AF4" s="108"/>
      <c r="AH4" s="108"/>
    </row>
    <row r="5" spans="1:36" hidden="1">
      <c r="B5" s="121" t="e">
        <f ca="1">_xll.ReportDrill(,"JEQuery",D12:D288,J3:AJ3,"K7","G6",,,_xll.Param("","",N6))</f>
        <v>#VALUE!</v>
      </c>
      <c r="J5" s="108"/>
      <c r="L5" s="108"/>
      <c r="N5" s="108"/>
      <c r="P5" s="108"/>
      <c r="R5" s="108"/>
      <c r="T5" s="108"/>
      <c r="V5" s="108"/>
      <c r="X5" s="108"/>
      <c r="Z5" s="108"/>
      <c r="AB5" s="108"/>
      <c r="AD5" s="108"/>
      <c r="AF5" s="108"/>
      <c r="AH5" s="108"/>
    </row>
    <row r="6" spans="1:36" s="123" customFormat="1" ht="15.75">
      <c r="A6" s="108"/>
      <c r="B6" s="108"/>
      <c r="C6" s="108"/>
      <c r="D6" s="487" t="s">
        <v>404</v>
      </c>
      <c r="I6" s="1277"/>
      <c r="J6" s="1277"/>
      <c r="K6" s="1277"/>
      <c r="L6" s="1277"/>
      <c r="M6" s="1372"/>
      <c r="N6" s="1373"/>
      <c r="O6" s="1277"/>
      <c r="P6" s="1277"/>
      <c r="Q6" s="124"/>
      <c r="R6" s="126"/>
      <c r="S6" s="124"/>
      <c r="T6" s="125"/>
      <c r="Y6" s="124"/>
      <c r="Z6" s="125"/>
      <c r="AE6" s="124"/>
      <c r="AF6" s="125"/>
      <c r="AH6" s="127"/>
    </row>
    <row r="7" spans="1:36" s="123" customFormat="1" ht="15.75">
      <c r="A7" s="108"/>
      <c r="D7" s="487" t="s">
        <v>639</v>
      </c>
      <c r="I7" s="1277"/>
      <c r="J7" s="1277"/>
      <c r="K7" s="1277"/>
      <c r="L7" s="1277"/>
      <c r="M7" s="1277"/>
      <c r="N7" s="1374"/>
      <c r="O7" s="1277"/>
      <c r="P7" s="1277"/>
      <c r="Q7" s="124"/>
      <c r="R7" s="128"/>
      <c r="T7" s="128" t="s">
        <v>195</v>
      </c>
      <c r="Z7" s="128" t="s">
        <v>195</v>
      </c>
      <c r="AF7" s="128" t="s">
        <v>195</v>
      </c>
    </row>
    <row r="8" spans="1:36" s="123" customFormat="1" ht="15">
      <c r="A8" s="108"/>
      <c r="D8" s="487" t="s">
        <v>405</v>
      </c>
      <c r="I8" s="1277"/>
      <c r="J8" s="1277"/>
      <c r="K8" s="1277"/>
      <c r="L8" s="1277"/>
      <c r="M8" s="1277"/>
      <c r="N8" s="1277"/>
      <c r="O8" s="1277"/>
      <c r="P8" s="1277"/>
    </row>
    <row r="9" spans="1:36" s="123" customFormat="1" ht="4.5" customHeight="1">
      <c r="A9" s="108"/>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row>
    <row r="10" spans="1:36" s="123" customFormat="1" ht="4.5" customHeight="1">
      <c r="A10" s="108"/>
      <c r="D10" s="129"/>
    </row>
    <row r="11" spans="1:36" s="123" customFormat="1" ht="4.5" customHeight="1">
      <c r="A11" s="108"/>
      <c r="D11" s="130"/>
      <c r="E11" s="130"/>
      <c r="F11" s="130"/>
      <c r="G11" s="130"/>
      <c r="H11" s="130"/>
      <c r="I11" s="130"/>
      <c r="J11" s="131"/>
      <c r="K11" s="132"/>
      <c r="L11" s="131"/>
      <c r="M11" s="132"/>
      <c r="N11" s="133"/>
      <c r="O11" s="132"/>
      <c r="P11" s="131"/>
      <c r="Q11" s="132"/>
      <c r="R11" s="131"/>
      <c r="S11" s="132"/>
      <c r="T11" s="133"/>
      <c r="U11" s="132"/>
      <c r="V11" s="131"/>
      <c r="W11" s="132"/>
      <c r="X11" s="131"/>
      <c r="Y11" s="132"/>
      <c r="Z11" s="133"/>
      <c r="AA11" s="132"/>
      <c r="AB11" s="131"/>
      <c r="AC11" s="132"/>
      <c r="AD11" s="131"/>
      <c r="AE11" s="132"/>
      <c r="AF11" s="133"/>
      <c r="AG11" s="132"/>
      <c r="AH11" s="131"/>
      <c r="AI11" s="131"/>
    </row>
    <row r="12" spans="1:36" s="123" customFormat="1" ht="15.75" thickBot="1">
      <c r="A12" s="108"/>
      <c r="B12" s="134" t="s">
        <v>198</v>
      </c>
      <c r="D12" s="130"/>
      <c r="E12" s="130"/>
      <c r="F12" s="130"/>
      <c r="G12" s="130"/>
      <c r="H12" s="130"/>
      <c r="I12" s="130"/>
      <c r="J12" s="135">
        <v>42736</v>
      </c>
      <c r="K12" s="136"/>
      <c r="L12" s="135">
        <v>42768</v>
      </c>
      <c r="M12" s="136"/>
      <c r="N12" s="135">
        <v>42797</v>
      </c>
      <c r="O12" s="137"/>
      <c r="P12" s="135">
        <v>42829</v>
      </c>
      <c r="Q12" s="136"/>
      <c r="R12" s="135">
        <v>42860</v>
      </c>
      <c r="S12" s="136"/>
      <c r="T12" s="135">
        <v>42892</v>
      </c>
      <c r="U12" s="137"/>
      <c r="V12" s="135">
        <v>42923</v>
      </c>
      <c r="W12" s="136"/>
      <c r="X12" s="135">
        <v>42955</v>
      </c>
      <c r="Y12" s="136"/>
      <c r="Z12" s="135">
        <v>42987</v>
      </c>
      <c r="AA12" s="137"/>
      <c r="AB12" s="135">
        <v>43018</v>
      </c>
      <c r="AC12" s="136"/>
      <c r="AD12" s="135">
        <v>43050</v>
      </c>
      <c r="AE12" s="136"/>
      <c r="AF12" s="135">
        <v>43081</v>
      </c>
      <c r="AG12" s="137"/>
      <c r="AH12" s="138" t="s">
        <v>26</v>
      </c>
      <c r="AI12" s="139"/>
    </row>
    <row r="13" spans="1:36" s="1259" customFormat="1" outlineLevel="1">
      <c r="B13" s="1263" t="s">
        <v>199</v>
      </c>
      <c r="D13" s="1264">
        <v>98501</v>
      </c>
      <c r="E13" s="1264" t="s">
        <v>200</v>
      </c>
      <c r="F13" s="1265"/>
      <c r="G13" s="1261"/>
      <c r="H13" s="1266"/>
      <c r="I13" s="1267"/>
      <c r="J13" s="1268">
        <v>22</v>
      </c>
      <c r="K13" s="1267"/>
      <c r="L13" s="1268">
        <v>0</v>
      </c>
      <c r="M13" s="1267"/>
      <c r="N13" s="1268">
        <v>0</v>
      </c>
      <c r="O13" s="1267"/>
      <c r="P13" s="1268">
        <v>0</v>
      </c>
      <c r="Q13" s="1267"/>
      <c r="R13" s="1268">
        <v>0</v>
      </c>
      <c r="S13" s="1267"/>
      <c r="T13" s="1268">
        <v>0</v>
      </c>
      <c r="U13" s="1267"/>
      <c r="V13" s="1268">
        <v>0</v>
      </c>
      <c r="W13" s="1267"/>
      <c r="X13" s="1268">
        <v>0</v>
      </c>
      <c r="Y13" s="1267"/>
      <c r="Z13" s="1268">
        <v>0</v>
      </c>
      <c r="AA13" s="1267"/>
      <c r="AB13" s="1268">
        <v>0</v>
      </c>
      <c r="AC13" s="1267"/>
      <c r="AD13" s="1268">
        <v>0</v>
      </c>
      <c r="AE13" s="1267"/>
      <c r="AF13" s="1268">
        <v>0</v>
      </c>
      <c r="AG13" s="1267"/>
      <c r="AH13" s="1268">
        <f>AF13+AD13+AB13+Z13+X13+V13+T13+R13+P13+N13+L13+J13</f>
        <v>22</v>
      </c>
      <c r="AI13" s="1269">
        <f>IF(AH$52=0,0,AH13/AH$52)</f>
        <v>6.6755542366008976E-6</v>
      </c>
      <c r="AJ13" s="1270"/>
    </row>
    <row r="14" spans="1:36" s="115" customFormat="1" ht="4.5" customHeight="1">
      <c r="J14" s="116"/>
      <c r="K14" s="123"/>
      <c r="L14" s="116"/>
      <c r="M14" s="123"/>
      <c r="N14" s="116"/>
      <c r="O14" s="123"/>
      <c r="P14" s="116"/>
      <c r="Q14" s="123"/>
      <c r="R14" s="116"/>
      <c r="S14" s="123"/>
      <c r="T14" s="116"/>
      <c r="U14" s="123"/>
      <c r="V14" s="116"/>
      <c r="W14" s="123"/>
      <c r="X14" s="116"/>
      <c r="Y14" s="123"/>
      <c r="Z14" s="116"/>
      <c r="AA14" s="123"/>
      <c r="AB14" s="116"/>
      <c r="AC14" s="123"/>
      <c r="AD14" s="116"/>
      <c r="AE14" s="123"/>
      <c r="AF14" s="116"/>
      <c r="AG14" s="123"/>
      <c r="AH14" s="116"/>
      <c r="AI14" s="140"/>
      <c r="AJ14" s="123"/>
    </row>
    <row r="15" spans="1:36" s="115" customFormat="1" ht="6.75" customHeight="1" outlineLevel="1">
      <c r="J15" s="116"/>
      <c r="K15" s="123"/>
      <c r="L15" s="116"/>
      <c r="M15" s="123"/>
      <c r="N15" s="116"/>
      <c r="O15" s="123"/>
      <c r="P15" s="116"/>
      <c r="Q15" s="123"/>
      <c r="R15" s="116"/>
      <c r="S15" s="123"/>
      <c r="T15" s="116"/>
      <c r="U15" s="123"/>
      <c r="V15" s="116"/>
      <c r="W15" s="123"/>
      <c r="X15" s="116"/>
      <c r="Y15" s="123"/>
      <c r="Z15" s="116"/>
      <c r="AA15" s="123"/>
      <c r="AB15" s="116"/>
      <c r="AC15" s="123"/>
      <c r="AD15" s="116"/>
      <c r="AE15" s="123"/>
      <c r="AF15" s="116"/>
      <c r="AG15" s="123"/>
      <c r="AH15" s="116"/>
      <c r="AI15" s="141"/>
      <c r="AJ15" s="123"/>
    </row>
    <row r="16" spans="1:36" s="1259" customFormat="1" outlineLevel="1">
      <c r="B16" s="1263" t="s">
        <v>201</v>
      </c>
      <c r="D16" s="1264">
        <v>31000</v>
      </c>
      <c r="E16" s="1264" t="s">
        <v>202</v>
      </c>
      <c r="F16" s="1265"/>
      <c r="G16" s="1261"/>
      <c r="H16" s="1266"/>
      <c r="I16" s="1267"/>
      <c r="J16" s="1268">
        <v>4086.26</v>
      </c>
      <c r="K16" s="1267"/>
      <c r="L16" s="1268">
        <v>3946.27</v>
      </c>
      <c r="M16" s="1267"/>
      <c r="N16" s="1268">
        <v>7614.52</v>
      </c>
      <c r="O16" s="1267"/>
      <c r="P16" s="1268">
        <v>6323.98</v>
      </c>
      <c r="Q16" s="1267"/>
      <c r="R16" s="1268">
        <v>9822.5300000000007</v>
      </c>
      <c r="S16" s="1267"/>
      <c r="T16" s="1268">
        <v>9811.14</v>
      </c>
      <c r="U16" s="1267"/>
      <c r="V16" s="1268">
        <v>9937.69</v>
      </c>
      <c r="W16" s="1267"/>
      <c r="X16" s="1268">
        <v>12627.99</v>
      </c>
      <c r="Y16" s="1267"/>
      <c r="Z16" s="1268">
        <v>12403.91</v>
      </c>
      <c r="AA16" s="1267"/>
      <c r="AB16" s="1268">
        <v>13239.14</v>
      </c>
      <c r="AC16" s="1267"/>
      <c r="AD16" s="1268">
        <v>8268.7999999999993</v>
      </c>
      <c r="AE16" s="1267"/>
      <c r="AF16" s="1268">
        <v>7441.54</v>
      </c>
      <c r="AG16" s="1267"/>
      <c r="AH16" s="1268">
        <f t="shared" ref="AH16:AH23" si="0">AF16+AD16+AB16+Z16+X16+V16+T16+R16+P16+N16+L16+J16</f>
        <v>105523.76999999999</v>
      </c>
      <c r="AI16" s="1269">
        <f t="shared" ref="AI16:AI23" si="1">IF(AH$52=0,0,AH16/AH$52)</f>
        <v>3.2019529540254485E-2</v>
      </c>
      <c r="AJ16" s="1270"/>
    </row>
    <row r="17" spans="2:36" s="1259" customFormat="1" outlineLevel="1">
      <c r="B17" s="1263" t="s">
        <v>203</v>
      </c>
      <c r="D17" s="1264">
        <v>31005</v>
      </c>
      <c r="E17" s="1264" t="s">
        <v>204</v>
      </c>
      <c r="F17" s="1265"/>
      <c r="G17" s="1261"/>
      <c r="H17" s="1266"/>
      <c r="I17" s="1267"/>
      <c r="J17" s="1268">
        <v>4746.21</v>
      </c>
      <c r="K17" s="1267"/>
      <c r="L17" s="1268">
        <v>2837.87</v>
      </c>
      <c r="M17" s="1267"/>
      <c r="N17" s="1268">
        <v>8235.27</v>
      </c>
      <c r="O17" s="1267"/>
      <c r="P17" s="1268">
        <v>9138.4599999999991</v>
      </c>
      <c r="Q17" s="1267"/>
      <c r="R17" s="1268">
        <v>9663.8799999999992</v>
      </c>
      <c r="S17" s="1267"/>
      <c r="T17" s="1268">
        <v>8507.16</v>
      </c>
      <c r="U17" s="1267"/>
      <c r="V17" s="1268">
        <v>11342.53</v>
      </c>
      <c r="W17" s="1267"/>
      <c r="X17" s="1268">
        <v>13997.07</v>
      </c>
      <c r="Y17" s="1267"/>
      <c r="Z17" s="1268">
        <v>12975.44</v>
      </c>
      <c r="AA17" s="1267"/>
      <c r="AB17" s="1268">
        <v>12944.46</v>
      </c>
      <c r="AC17" s="1267"/>
      <c r="AD17" s="1268">
        <v>9070.73</v>
      </c>
      <c r="AE17" s="1267"/>
      <c r="AF17" s="1268">
        <v>7518.55</v>
      </c>
      <c r="AG17" s="1267"/>
      <c r="AH17" s="1268">
        <f t="shared" si="0"/>
        <v>110977.63</v>
      </c>
      <c r="AI17" s="1269">
        <f t="shared" si="1"/>
        <v>3.3674417641564862E-2</v>
      </c>
      <c r="AJ17" s="1270"/>
    </row>
    <row r="18" spans="2:36" s="1259" customFormat="1" outlineLevel="1">
      <c r="B18" s="1263" t="s">
        <v>203</v>
      </c>
      <c r="D18" s="1264">
        <v>31010</v>
      </c>
      <c r="E18" s="1264" t="s">
        <v>205</v>
      </c>
      <c r="F18" s="1265"/>
      <c r="G18" s="1261"/>
      <c r="H18" s="1266"/>
      <c r="I18" s="1267"/>
      <c r="J18" s="1268">
        <v>1395.21</v>
      </c>
      <c r="K18" s="1267"/>
      <c r="L18" s="1268">
        <v>762.6</v>
      </c>
      <c r="M18" s="1267"/>
      <c r="N18" s="1268">
        <v>2108.17</v>
      </c>
      <c r="O18" s="1267"/>
      <c r="P18" s="1268">
        <v>2174.89</v>
      </c>
      <c r="Q18" s="1267"/>
      <c r="R18" s="1268">
        <v>4001.41</v>
      </c>
      <c r="S18" s="1267"/>
      <c r="T18" s="1268">
        <v>3474.63</v>
      </c>
      <c r="U18" s="1267"/>
      <c r="V18" s="1268">
        <v>4533.8500000000004</v>
      </c>
      <c r="W18" s="1267"/>
      <c r="X18" s="1268">
        <v>4305.46</v>
      </c>
      <c r="Y18" s="1267"/>
      <c r="Z18" s="1268">
        <v>5626.69</v>
      </c>
      <c r="AA18" s="1267"/>
      <c r="AB18" s="1268">
        <v>5902.47</v>
      </c>
      <c r="AC18" s="1267"/>
      <c r="AD18" s="1268">
        <v>2603.15</v>
      </c>
      <c r="AE18" s="1267"/>
      <c r="AF18" s="1268">
        <v>2503.2399999999998</v>
      </c>
      <c r="AG18" s="1267"/>
      <c r="AH18" s="1268">
        <f t="shared" si="0"/>
        <v>39391.769999999997</v>
      </c>
      <c r="AI18" s="1269">
        <f t="shared" si="1"/>
        <v>1.1952813505032188E-2</v>
      </c>
      <c r="AJ18" s="1270"/>
    </row>
    <row r="19" spans="2:36" s="1259" customFormat="1" outlineLevel="1">
      <c r="B19" s="1263" t="s">
        <v>203</v>
      </c>
      <c r="D19" s="1264">
        <v>32000</v>
      </c>
      <c r="E19" s="1264" t="s">
        <v>206</v>
      </c>
      <c r="F19" s="1265"/>
      <c r="G19" s="1261"/>
      <c r="H19" s="1266"/>
      <c r="I19" s="1267"/>
      <c r="J19" s="1268">
        <v>132832.34</v>
      </c>
      <c r="K19" s="1267"/>
      <c r="L19" s="1268">
        <v>133080.92000000001</v>
      </c>
      <c r="M19" s="1267"/>
      <c r="N19" s="1268">
        <v>133015.20000000001</v>
      </c>
      <c r="O19" s="1267"/>
      <c r="P19" s="1268">
        <v>134745.01</v>
      </c>
      <c r="Q19" s="1267"/>
      <c r="R19" s="1268">
        <v>135715.43</v>
      </c>
      <c r="S19" s="1267"/>
      <c r="T19" s="1268">
        <v>138191.75</v>
      </c>
      <c r="U19" s="1267"/>
      <c r="V19" s="1268">
        <v>135427.29999999999</v>
      </c>
      <c r="W19" s="1267"/>
      <c r="X19" s="1268">
        <v>138289.21</v>
      </c>
      <c r="Y19" s="1267"/>
      <c r="Z19" s="1268">
        <v>138170.37</v>
      </c>
      <c r="AA19" s="1267"/>
      <c r="AB19" s="1268">
        <v>139001.74</v>
      </c>
      <c r="AC19" s="1267"/>
      <c r="AD19" s="1268">
        <v>138343.26999999999</v>
      </c>
      <c r="AE19" s="1267"/>
      <c r="AF19" s="1268">
        <v>137819.31</v>
      </c>
      <c r="AG19" s="1267"/>
      <c r="AH19" s="1268">
        <f t="shared" si="0"/>
        <v>1634631.8499999999</v>
      </c>
      <c r="AI19" s="1269">
        <f t="shared" si="1"/>
        <v>0.49600334416137554</v>
      </c>
      <c r="AJ19" s="1270"/>
    </row>
    <row r="20" spans="2:36" s="1259" customFormat="1" outlineLevel="1">
      <c r="B20" s="1263" t="s">
        <v>203</v>
      </c>
      <c r="D20" s="1264">
        <v>32001</v>
      </c>
      <c r="E20" s="1264" t="s">
        <v>207</v>
      </c>
      <c r="F20" s="1265"/>
      <c r="G20" s="1261"/>
      <c r="H20" s="1266"/>
      <c r="I20" s="1267"/>
      <c r="J20" s="1268">
        <v>2468.39</v>
      </c>
      <c r="K20" s="1267"/>
      <c r="L20" s="1268">
        <v>1502.6</v>
      </c>
      <c r="M20" s="1267"/>
      <c r="N20" s="1268">
        <v>3433.87</v>
      </c>
      <c r="O20" s="1267"/>
      <c r="P20" s="1268">
        <v>2252.46</v>
      </c>
      <c r="Q20" s="1267"/>
      <c r="R20" s="1268">
        <v>4221.6400000000003</v>
      </c>
      <c r="S20" s="1267"/>
      <c r="T20" s="1268">
        <v>3889.01</v>
      </c>
      <c r="U20" s="1267"/>
      <c r="V20" s="1268">
        <v>4950.1400000000003</v>
      </c>
      <c r="W20" s="1267"/>
      <c r="X20" s="1268">
        <v>3816.95</v>
      </c>
      <c r="Y20" s="1267"/>
      <c r="Z20" s="1268">
        <v>3734.31</v>
      </c>
      <c r="AA20" s="1267"/>
      <c r="AB20" s="1268">
        <v>2811.23</v>
      </c>
      <c r="AC20" s="1267"/>
      <c r="AD20" s="1268">
        <v>3574.49</v>
      </c>
      <c r="AE20" s="1267"/>
      <c r="AF20" s="1268">
        <v>3013.19</v>
      </c>
      <c r="AG20" s="1267"/>
      <c r="AH20" s="1268">
        <f t="shared" si="0"/>
        <v>39668.28</v>
      </c>
      <c r="AI20" s="1269">
        <f t="shared" si="1"/>
        <v>1.2036716118757756E-2</v>
      </c>
      <c r="AJ20" s="1270"/>
    </row>
    <row r="21" spans="2:36" s="1259" customFormat="1" outlineLevel="1">
      <c r="B21" s="1263" t="s">
        <v>203</v>
      </c>
      <c r="D21" s="1264">
        <v>33000</v>
      </c>
      <c r="E21" s="1264" t="s">
        <v>208</v>
      </c>
      <c r="F21" s="1265"/>
      <c r="G21" s="1261"/>
      <c r="H21" s="1266"/>
      <c r="I21" s="1267"/>
      <c r="J21" s="1268">
        <v>101075.48</v>
      </c>
      <c r="K21" s="1267"/>
      <c r="L21" s="1268">
        <v>104168.85</v>
      </c>
      <c r="M21" s="1267"/>
      <c r="N21" s="1268">
        <v>105570.81</v>
      </c>
      <c r="O21" s="1267"/>
      <c r="P21" s="1268">
        <v>108125.77</v>
      </c>
      <c r="Q21" s="1267"/>
      <c r="R21" s="1268">
        <v>110939.78</v>
      </c>
      <c r="S21" s="1267"/>
      <c r="T21" s="1268">
        <v>113930.57</v>
      </c>
      <c r="U21" s="1267"/>
      <c r="V21" s="1268">
        <v>112956.56</v>
      </c>
      <c r="W21" s="1267"/>
      <c r="X21" s="1268">
        <v>113786.44</v>
      </c>
      <c r="Y21" s="1267"/>
      <c r="Z21" s="1268">
        <v>115596.58</v>
      </c>
      <c r="AA21" s="1267"/>
      <c r="AB21" s="1268">
        <v>113517.53</v>
      </c>
      <c r="AC21" s="1267"/>
      <c r="AD21" s="1268">
        <v>110932.13</v>
      </c>
      <c r="AE21" s="1267"/>
      <c r="AF21" s="1268">
        <v>108138.12</v>
      </c>
      <c r="AG21" s="1267"/>
      <c r="AH21" s="1268">
        <f t="shared" si="0"/>
        <v>1318738.6200000003</v>
      </c>
      <c r="AI21" s="1269">
        <f t="shared" si="1"/>
        <v>0.40015050825955562</v>
      </c>
      <c r="AJ21" s="1270"/>
    </row>
    <row r="22" spans="2:36" s="1259" customFormat="1" outlineLevel="1">
      <c r="B22" s="1263" t="s">
        <v>203</v>
      </c>
      <c r="D22" s="1264">
        <v>33001</v>
      </c>
      <c r="E22" s="1264" t="s">
        <v>209</v>
      </c>
      <c r="F22" s="1265"/>
      <c r="G22" s="1261"/>
      <c r="H22" s="1266"/>
      <c r="I22" s="1267"/>
      <c r="J22" s="1268">
        <v>48.79</v>
      </c>
      <c r="K22" s="1267"/>
      <c r="L22" s="1268">
        <v>48.79</v>
      </c>
      <c r="M22" s="1267"/>
      <c r="N22" s="1268">
        <v>48.79</v>
      </c>
      <c r="O22" s="1267"/>
      <c r="P22" s="1268">
        <v>48.79</v>
      </c>
      <c r="Q22" s="1267"/>
      <c r="R22" s="1268">
        <v>48.79</v>
      </c>
      <c r="S22" s="1267"/>
      <c r="T22" s="1268">
        <v>48.79</v>
      </c>
      <c r="U22" s="1267"/>
      <c r="V22" s="1268">
        <v>48.79</v>
      </c>
      <c r="W22" s="1267"/>
      <c r="X22" s="1268">
        <v>48.79</v>
      </c>
      <c r="Y22" s="1267"/>
      <c r="Z22" s="1268">
        <v>89.7</v>
      </c>
      <c r="AA22" s="1267"/>
      <c r="AB22" s="1268">
        <v>48.79</v>
      </c>
      <c r="AC22" s="1267"/>
      <c r="AD22" s="1268">
        <v>48.79</v>
      </c>
      <c r="AE22" s="1267"/>
      <c r="AF22" s="1268">
        <v>48.79</v>
      </c>
      <c r="AG22" s="1267"/>
      <c r="AH22" s="1268">
        <f t="shared" si="0"/>
        <v>626.39</v>
      </c>
      <c r="AI22" s="1269">
        <f t="shared" si="1"/>
        <v>1.9006820083020164E-4</v>
      </c>
      <c r="AJ22" s="1270"/>
    </row>
    <row r="23" spans="2:36" s="1259" customFormat="1" outlineLevel="1">
      <c r="B23" s="1263" t="s">
        <v>203</v>
      </c>
      <c r="D23" s="1264">
        <v>33011</v>
      </c>
      <c r="E23" s="1264" t="s">
        <v>210</v>
      </c>
      <c r="F23" s="1265"/>
      <c r="G23" s="1261"/>
      <c r="H23" s="1266"/>
      <c r="I23" s="1267"/>
      <c r="J23" s="1268">
        <v>1250.78</v>
      </c>
      <c r="K23" s="1267"/>
      <c r="L23" s="1268">
        <v>1286.3800000000001</v>
      </c>
      <c r="M23" s="1267"/>
      <c r="N23" s="1268">
        <v>1928.91</v>
      </c>
      <c r="O23" s="1267"/>
      <c r="P23" s="1268">
        <v>1866.54</v>
      </c>
      <c r="Q23" s="1267"/>
      <c r="R23" s="1268">
        <v>2616.23</v>
      </c>
      <c r="S23" s="1267"/>
      <c r="T23" s="1268">
        <v>3583.88</v>
      </c>
      <c r="U23" s="1267"/>
      <c r="V23" s="1268">
        <v>2853.41</v>
      </c>
      <c r="W23" s="1267"/>
      <c r="X23" s="1268">
        <v>3647.41</v>
      </c>
      <c r="Y23" s="1267"/>
      <c r="Z23" s="1268">
        <v>2914.33</v>
      </c>
      <c r="AA23" s="1267"/>
      <c r="AB23" s="1268">
        <v>2942.1</v>
      </c>
      <c r="AC23" s="1267"/>
      <c r="AD23" s="1268">
        <v>1945.05</v>
      </c>
      <c r="AE23" s="1267"/>
      <c r="AF23" s="1268">
        <v>1599.41</v>
      </c>
      <c r="AG23" s="1267"/>
      <c r="AH23" s="1268">
        <f t="shared" si="0"/>
        <v>28434.43</v>
      </c>
      <c r="AI23" s="1269">
        <f t="shared" si="1"/>
        <v>8.6279808932650751E-3</v>
      </c>
      <c r="AJ23" s="1270"/>
    </row>
    <row r="24" spans="2:36" s="115" customFormat="1" ht="5.25" customHeight="1" outlineLevel="1">
      <c r="B24" s="142" t="s">
        <v>195</v>
      </c>
      <c r="J24" s="143"/>
      <c r="K24" s="123"/>
      <c r="L24" s="143"/>
      <c r="M24" s="123"/>
      <c r="N24" s="143"/>
      <c r="O24" s="123"/>
      <c r="P24" s="143"/>
      <c r="Q24" s="123"/>
      <c r="R24" s="143"/>
      <c r="S24" s="123"/>
      <c r="T24" s="143"/>
      <c r="U24" s="123"/>
      <c r="V24" s="143"/>
      <c r="W24" s="123"/>
      <c r="X24" s="143"/>
      <c r="Y24" s="123"/>
      <c r="Z24" s="143"/>
      <c r="AA24" s="123"/>
      <c r="AB24" s="143"/>
      <c r="AC24" s="123"/>
      <c r="AD24" s="143"/>
      <c r="AE24" s="123"/>
      <c r="AF24" s="143"/>
      <c r="AG24" s="123"/>
      <c r="AH24" s="143"/>
      <c r="AI24" s="141"/>
      <c r="AJ24" s="123"/>
    </row>
    <row r="25" spans="2:36" s="115" customFormat="1" ht="15">
      <c r="B25" s="108" t="s">
        <v>195</v>
      </c>
      <c r="F25" s="115" t="s">
        <v>211</v>
      </c>
      <c r="J25" s="144">
        <f>SUM(J15:J24)</f>
        <v>247903.46000000002</v>
      </c>
      <c r="K25" s="145"/>
      <c r="L25" s="144">
        <f>SUM(L15:L24)</f>
        <v>247634.28000000003</v>
      </c>
      <c r="M25" s="145"/>
      <c r="N25" s="144">
        <f>SUM(N15:N24)</f>
        <v>261955.54</v>
      </c>
      <c r="O25" s="145"/>
      <c r="P25" s="144">
        <f>SUM(P15:P24)</f>
        <v>264675.89999999997</v>
      </c>
      <c r="Q25" s="145"/>
      <c r="R25" s="144">
        <f>SUM(R15:R24)</f>
        <v>277029.69</v>
      </c>
      <c r="S25" s="145"/>
      <c r="T25" s="144">
        <f>SUM(T15:T24)</f>
        <v>281436.93</v>
      </c>
      <c r="U25" s="145"/>
      <c r="V25" s="144">
        <f>SUM(V15:V24)</f>
        <v>282050.26999999996</v>
      </c>
      <c r="W25" s="145"/>
      <c r="X25" s="144">
        <f>SUM(X15:X24)</f>
        <v>290519.31999999995</v>
      </c>
      <c r="Y25" s="145"/>
      <c r="Z25" s="144">
        <f>SUM(Z15:Z24)</f>
        <v>291511.33</v>
      </c>
      <c r="AA25" s="145"/>
      <c r="AB25" s="144">
        <f>SUM(AB15:AB24)</f>
        <v>290407.45999999996</v>
      </c>
      <c r="AC25" s="145"/>
      <c r="AD25" s="144">
        <f>SUM(AD15:AD24)</f>
        <v>274786.40999999992</v>
      </c>
      <c r="AE25" s="145"/>
      <c r="AF25" s="144">
        <f>SUM(AF15:AF24)</f>
        <v>268082.14999999997</v>
      </c>
      <c r="AG25" s="145"/>
      <c r="AH25" s="144">
        <f>SUM(AH15:AH24)</f>
        <v>3277992.74</v>
      </c>
      <c r="AI25" s="118">
        <f>IF(AH$52=0,0,AH25/AH$52)</f>
        <v>0.99465537832063577</v>
      </c>
      <c r="AJ25" s="123"/>
    </row>
    <row r="26" spans="2:36" s="115" customFormat="1" ht="5.25" customHeight="1" outlineLevel="1">
      <c r="B26" s="142" t="s">
        <v>195</v>
      </c>
      <c r="J26" s="146"/>
      <c r="K26" s="145"/>
      <c r="L26" s="146"/>
      <c r="M26" s="145"/>
      <c r="N26" s="146"/>
      <c r="O26" s="145"/>
      <c r="P26" s="146"/>
      <c r="Q26" s="145"/>
      <c r="R26" s="146"/>
      <c r="S26" s="145"/>
      <c r="T26" s="146"/>
      <c r="U26" s="145"/>
      <c r="V26" s="146"/>
      <c r="W26" s="145"/>
      <c r="X26" s="146"/>
      <c r="Y26" s="145"/>
      <c r="Z26" s="146"/>
      <c r="AA26" s="145"/>
      <c r="AB26" s="146"/>
      <c r="AC26" s="145"/>
      <c r="AD26" s="146"/>
      <c r="AE26" s="145"/>
      <c r="AF26" s="146"/>
      <c r="AG26" s="145"/>
      <c r="AH26" s="146"/>
      <c r="AI26" s="141"/>
      <c r="AJ26" s="123"/>
    </row>
    <row r="27" spans="2:36" s="1259" customFormat="1" outlineLevel="1">
      <c r="B27" s="1263" t="s">
        <v>212</v>
      </c>
      <c r="D27" s="1264"/>
      <c r="E27" s="1264"/>
      <c r="F27" s="1265"/>
      <c r="G27" s="1261"/>
      <c r="H27" s="1266"/>
      <c r="I27" s="1267"/>
      <c r="J27" s="1268"/>
      <c r="K27" s="1267"/>
      <c r="L27" s="1268"/>
      <c r="M27" s="1267"/>
      <c r="N27" s="1268"/>
      <c r="O27" s="1267"/>
      <c r="P27" s="1268"/>
      <c r="Q27" s="1267"/>
      <c r="R27" s="1268"/>
      <c r="S27" s="1267"/>
      <c r="T27" s="1268"/>
      <c r="U27" s="1267"/>
      <c r="V27" s="1268"/>
      <c r="W27" s="1267"/>
      <c r="X27" s="1268"/>
      <c r="Y27" s="1267"/>
      <c r="Z27" s="1268"/>
      <c r="AA27" s="1267"/>
      <c r="AB27" s="1268"/>
      <c r="AC27" s="1267"/>
      <c r="AD27" s="1268"/>
      <c r="AE27" s="1267"/>
      <c r="AF27" s="1268"/>
      <c r="AG27" s="1267"/>
      <c r="AH27" s="1268">
        <f>AF27+AD27+AB27+Z27+X27+V27+T27+R27+P27+N27+L27+J27</f>
        <v>0</v>
      </c>
      <c r="AI27" s="1269">
        <f>IF(AH$52=0,0,AH27/AH$52)</f>
        <v>0</v>
      </c>
      <c r="AJ27" s="1270"/>
    </row>
    <row r="28" spans="2:36" s="115" customFormat="1" ht="5.0999999999999996" customHeight="1" outlineLevel="1">
      <c r="B28" s="142" t="s">
        <v>195</v>
      </c>
      <c r="D28" s="114"/>
      <c r="E28" s="114"/>
      <c r="F28" s="114"/>
      <c r="G28" s="114"/>
      <c r="J28" s="147"/>
      <c r="K28" s="145"/>
      <c r="L28" s="147"/>
      <c r="M28" s="145"/>
      <c r="N28" s="147"/>
      <c r="O28" s="145"/>
      <c r="P28" s="147"/>
      <c r="Q28" s="145"/>
      <c r="R28" s="147"/>
      <c r="S28" s="145"/>
      <c r="T28" s="147"/>
      <c r="U28" s="145"/>
      <c r="V28" s="147"/>
      <c r="W28" s="145"/>
      <c r="X28" s="147"/>
      <c r="Y28" s="145"/>
      <c r="Z28" s="147"/>
      <c r="AA28" s="145"/>
      <c r="AB28" s="147"/>
      <c r="AC28" s="145"/>
      <c r="AD28" s="147"/>
      <c r="AE28" s="145"/>
      <c r="AF28" s="147"/>
      <c r="AG28" s="145"/>
      <c r="AH28" s="147"/>
      <c r="AI28" s="141"/>
      <c r="AJ28" s="123"/>
    </row>
    <row r="29" spans="2:36" s="115" customFormat="1" ht="15">
      <c r="B29" s="108" t="s">
        <v>195</v>
      </c>
      <c r="F29" s="114" t="s">
        <v>213</v>
      </c>
      <c r="J29" s="144">
        <f>SUM(J27:J28)</f>
        <v>0</v>
      </c>
      <c r="K29" s="145"/>
      <c r="L29" s="144">
        <f>SUM(L27:L28)</f>
        <v>0</v>
      </c>
      <c r="M29" s="145"/>
      <c r="N29" s="144">
        <f>SUM(N27:N28)</f>
        <v>0</v>
      </c>
      <c r="O29" s="145"/>
      <c r="P29" s="144">
        <f>SUM(P27:P28)</f>
        <v>0</v>
      </c>
      <c r="Q29" s="145"/>
      <c r="R29" s="144">
        <f>SUM(R27:R28)</f>
        <v>0</v>
      </c>
      <c r="S29" s="145"/>
      <c r="T29" s="144">
        <f>SUM(T27:T28)</f>
        <v>0</v>
      </c>
      <c r="U29" s="145"/>
      <c r="V29" s="144">
        <f>SUM(V27:V28)</f>
        <v>0</v>
      </c>
      <c r="W29" s="145"/>
      <c r="X29" s="144">
        <f>SUM(X27:X28)</f>
        <v>0</v>
      </c>
      <c r="Y29" s="145"/>
      <c r="Z29" s="144">
        <f>SUM(Z27:Z28)</f>
        <v>0</v>
      </c>
      <c r="AA29" s="145"/>
      <c r="AB29" s="144">
        <f>SUM(AB27:AB28)</f>
        <v>0</v>
      </c>
      <c r="AC29" s="145"/>
      <c r="AD29" s="144">
        <f>SUM(AD27:AD28)</f>
        <v>0</v>
      </c>
      <c r="AE29" s="145"/>
      <c r="AF29" s="144">
        <f>SUM(AF27:AF28)</f>
        <v>0</v>
      </c>
      <c r="AG29" s="145"/>
      <c r="AH29" s="144">
        <f>SUM(AH27:AH28)</f>
        <v>0</v>
      </c>
      <c r="AI29" s="118">
        <f>IF(AH$52=0,0,AH29/AH$52)</f>
        <v>0</v>
      </c>
      <c r="AJ29" s="123"/>
    </row>
    <row r="30" spans="2:36" s="115" customFormat="1" ht="6.75" customHeight="1" outlineLevel="1">
      <c r="B30" s="108"/>
      <c r="J30" s="146"/>
      <c r="K30" s="145"/>
      <c r="L30" s="146"/>
      <c r="M30" s="145"/>
      <c r="N30" s="146"/>
      <c r="O30" s="145"/>
      <c r="P30" s="146"/>
      <c r="Q30" s="145"/>
      <c r="R30" s="146"/>
      <c r="S30" s="145"/>
      <c r="T30" s="146"/>
      <c r="U30" s="145"/>
      <c r="V30" s="146"/>
      <c r="W30" s="145"/>
      <c r="X30" s="146"/>
      <c r="Y30" s="145"/>
      <c r="Z30" s="146"/>
      <c r="AA30" s="145"/>
      <c r="AB30" s="146"/>
      <c r="AC30" s="145"/>
      <c r="AD30" s="146"/>
      <c r="AE30" s="145"/>
      <c r="AF30" s="146"/>
      <c r="AG30" s="145"/>
      <c r="AH30" s="146"/>
      <c r="AI30" s="141"/>
      <c r="AJ30" s="123"/>
    </row>
    <row r="31" spans="2:36" s="115" customFormat="1" ht="6.75" customHeight="1" outlineLevel="1">
      <c r="B31" s="108" t="s">
        <v>195</v>
      </c>
      <c r="J31" s="146"/>
      <c r="K31" s="145"/>
      <c r="L31" s="146"/>
      <c r="M31" s="145"/>
      <c r="N31" s="146"/>
      <c r="O31" s="145"/>
      <c r="P31" s="146"/>
      <c r="Q31" s="145"/>
      <c r="R31" s="146"/>
      <c r="S31" s="145"/>
      <c r="T31" s="146"/>
      <c r="U31" s="145"/>
      <c r="V31" s="146"/>
      <c r="W31" s="145"/>
      <c r="X31" s="146"/>
      <c r="Y31" s="145"/>
      <c r="Z31" s="146"/>
      <c r="AA31" s="145"/>
      <c r="AB31" s="146"/>
      <c r="AC31" s="145"/>
      <c r="AD31" s="146"/>
      <c r="AE31" s="145"/>
      <c r="AF31" s="146"/>
      <c r="AG31" s="145"/>
      <c r="AH31" s="146"/>
      <c r="AI31" s="141"/>
      <c r="AJ31" s="123"/>
    </row>
    <row r="32" spans="2:36" s="1259" customFormat="1" outlineLevel="1">
      <c r="B32" s="1263" t="s">
        <v>214</v>
      </c>
      <c r="D32" s="1264">
        <v>35514</v>
      </c>
      <c r="E32" s="1264" t="s">
        <v>215</v>
      </c>
      <c r="F32" s="1265"/>
      <c r="G32" s="1261"/>
      <c r="H32" s="1266"/>
      <c r="I32" s="1267"/>
      <c r="J32" s="1268">
        <v>0</v>
      </c>
      <c r="K32" s="1267"/>
      <c r="L32" s="1268">
        <v>0</v>
      </c>
      <c r="M32" s="1267"/>
      <c r="N32" s="1268">
        <v>0</v>
      </c>
      <c r="O32" s="1267"/>
      <c r="P32" s="1268">
        <v>0</v>
      </c>
      <c r="Q32" s="1267"/>
      <c r="R32" s="1268">
        <v>0</v>
      </c>
      <c r="S32" s="1267"/>
      <c r="T32" s="1268">
        <v>0</v>
      </c>
      <c r="U32" s="1267"/>
      <c r="V32" s="1268">
        <v>542.85</v>
      </c>
      <c r="W32" s="1267"/>
      <c r="X32" s="1268">
        <v>0</v>
      </c>
      <c r="Y32" s="1267"/>
      <c r="Z32" s="1268">
        <v>0</v>
      </c>
      <c r="AA32" s="1267"/>
      <c r="AB32" s="1268">
        <v>400</v>
      </c>
      <c r="AC32" s="1267"/>
      <c r="AD32" s="1268">
        <v>541.5</v>
      </c>
      <c r="AE32" s="1267"/>
      <c r="AF32" s="1268">
        <v>0</v>
      </c>
      <c r="AG32" s="1267"/>
      <c r="AH32" s="1268">
        <f t="shared" ref="AH32:AH33" si="2">AF32+AD32+AB32+Z32+X32+V32+T32+R32+P32+N32+L32+J32</f>
        <v>1484.35</v>
      </c>
      <c r="AI32" s="1269">
        <f t="shared" ref="AI32:AI33" si="3">IF(AH$52=0,0,AH32/AH$52)</f>
        <v>4.5040267868629735E-4</v>
      </c>
      <c r="AJ32" s="1270"/>
    </row>
    <row r="33" spans="2:36" s="1259" customFormat="1" outlineLevel="1">
      <c r="B33" s="1263" t="s">
        <v>203</v>
      </c>
      <c r="D33" s="1264">
        <v>35518</v>
      </c>
      <c r="E33" s="1264" t="s">
        <v>216</v>
      </c>
      <c r="F33" s="1265"/>
      <c r="G33" s="1261"/>
      <c r="H33" s="1266"/>
      <c r="I33" s="1267"/>
      <c r="J33" s="1268">
        <v>443.03</v>
      </c>
      <c r="K33" s="1267"/>
      <c r="L33" s="1268">
        <v>1279.1500000000001</v>
      </c>
      <c r="M33" s="1267"/>
      <c r="N33" s="1268">
        <v>182.42</v>
      </c>
      <c r="O33" s="1267"/>
      <c r="P33" s="1268">
        <v>1808.13</v>
      </c>
      <c r="Q33" s="1267"/>
      <c r="R33" s="1268">
        <v>0</v>
      </c>
      <c r="S33" s="1267"/>
      <c r="T33" s="1268">
        <v>0</v>
      </c>
      <c r="U33" s="1267"/>
      <c r="V33" s="1268">
        <v>709.2</v>
      </c>
      <c r="W33" s="1267"/>
      <c r="X33" s="1268">
        <v>2487.48</v>
      </c>
      <c r="Y33" s="1267"/>
      <c r="Z33" s="1268">
        <v>0</v>
      </c>
      <c r="AA33" s="1267"/>
      <c r="AB33" s="1268">
        <v>2483.17</v>
      </c>
      <c r="AC33" s="1267"/>
      <c r="AD33" s="1268">
        <v>0</v>
      </c>
      <c r="AE33" s="1267"/>
      <c r="AF33" s="1268">
        <v>0</v>
      </c>
      <c r="AG33" s="1267"/>
      <c r="AH33" s="1268">
        <f t="shared" si="2"/>
        <v>9392.58</v>
      </c>
      <c r="AI33" s="1269">
        <f t="shared" si="3"/>
        <v>2.850030782346039E-3</v>
      </c>
      <c r="AJ33" s="1270"/>
    </row>
    <row r="34" spans="2:36" s="115" customFormat="1" ht="5.0999999999999996" customHeight="1" outlineLevel="1">
      <c r="B34" s="142" t="s">
        <v>195</v>
      </c>
      <c r="D34" s="114"/>
      <c r="E34" s="114"/>
      <c r="F34" s="114"/>
      <c r="G34" s="114"/>
      <c r="J34" s="147"/>
      <c r="K34" s="145"/>
      <c r="L34" s="147"/>
      <c r="M34" s="145"/>
      <c r="N34" s="147"/>
      <c r="O34" s="145"/>
      <c r="P34" s="147"/>
      <c r="Q34" s="145"/>
      <c r="R34" s="147"/>
      <c r="S34" s="145"/>
      <c r="T34" s="147"/>
      <c r="U34" s="145"/>
      <c r="V34" s="147"/>
      <c r="W34" s="145"/>
      <c r="X34" s="147"/>
      <c r="Y34" s="145"/>
      <c r="Z34" s="147"/>
      <c r="AA34" s="145"/>
      <c r="AB34" s="147"/>
      <c r="AC34" s="145"/>
      <c r="AD34" s="147"/>
      <c r="AE34" s="145"/>
      <c r="AF34" s="147"/>
      <c r="AG34" s="145"/>
      <c r="AH34" s="147"/>
      <c r="AI34" s="141"/>
      <c r="AJ34" s="123"/>
    </row>
    <row r="35" spans="2:36" s="115" customFormat="1" ht="15">
      <c r="B35" s="108" t="s">
        <v>195</v>
      </c>
      <c r="F35" s="114" t="s">
        <v>217</v>
      </c>
      <c r="J35" s="144">
        <f>SUM(J31:J34)</f>
        <v>443.03</v>
      </c>
      <c r="K35" s="145"/>
      <c r="L35" s="144">
        <f>SUM(L31:L34)</f>
        <v>1279.1500000000001</v>
      </c>
      <c r="M35" s="145"/>
      <c r="N35" s="144">
        <f>SUM(N31:N34)</f>
        <v>182.42</v>
      </c>
      <c r="O35" s="145"/>
      <c r="P35" s="144">
        <f>SUM(P31:P34)</f>
        <v>1808.13</v>
      </c>
      <c r="Q35" s="145"/>
      <c r="R35" s="144">
        <f>SUM(R31:R34)</f>
        <v>0</v>
      </c>
      <c r="S35" s="145"/>
      <c r="T35" s="144">
        <f>SUM(T31:T34)</f>
        <v>0</v>
      </c>
      <c r="U35" s="145"/>
      <c r="V35" s="144">
        <f>SUM(V31:V34)</f>
        <v>1252.0500000000002</v>
      </c>
      <c r="W35" s="145"/>
      <c r="X35" s="144">
        <f>SUM(X31:X34)</f>
        <v>2487.48</v>
      </c>
      <c r="Y35" s="145"/>
      <c r="Z35" s="144">
        <f>SUM(Z31:Z34)</f>
        <v>0</v>
      </c>
      <c r="AA35" s="145"/>
      <c r="AB35" s="144">
        <f>SUM(AB31:AB34)</f>
        <v>2883.17</v>
      </c>
      <c r="AC35" s="145"/>
      <c r="AD35" s="144">
        <f>SUM(AD31:AD34)</f>
        <v>541.5</v>
      </c>
      <c r="AE35" s="145"/>
      <c r="AF35" s="144">
        <f>SUM(AF31:AF34)</f>
        <v>0</v>
      </c>
      <c r="AG35" s="145"/>
      <c r="AH35" s="144">
        <f>SUM(AH31:AH34)</f>
        <v>10876.93</v>
      </c>
      <c r="AI35" s="118">
        <f>IF(AH$52=0,0,AH35/AH$52)</f>
        <v>3.3004334610323366E-3</v>
      </c>
      <c r="AJ35" s="123"/>
    </row>
    <row r="36" spans="2:36" s="115" customFormat="1" ht="5.25" customHeight="1" outlineLevel="1">
      <c r="B36" s="108"/>
      <c r="D36" s="114"/>
      <c r="E36" s="114"/>
      <c r="F36" s="114"/>
      <c r="G36" s="114"/>
      <c r="J36" s="146"/>
      <c r="K36" s="145"/>
      <c r="L36" s="146"/>
      <c r="M36" s="145"/>
      <c r="N36" s="146"/>
      <c r="O36" s="145"/>
      <c r="P36" s="146"/>
      <c r="Q36" s="145"/>
      <c r="R36" s="146"/>
      <c r="S36" s="145"/>
      <c r="T36" s="146"/>
      <c r="U36" s="145"/>
      <c r="V36" s="146"/>
      <c r="W36" s="145"/>
      <c r="X36" s="146"/>
      <c r="Y36" s="145"/>
      <c r="Z36" s="146"/>
      <c r="AA36" s="145"/>
      <c r="AB36" s="146"/>
      <c r="AC36" s="145"/>
      <c r="AD36" s="146"/>
      <c r="AE36" s="145"/>
      <c r="AF36" s="146"/>
      <c r="AG36" s="145"/>
      <c r="AH36" s="146"/>
      <c r="AI36" s="141"/>
      <c r="AJ36" s="123"/>
    </row>
    <row r="37" spans="2:36" s="115" customFormat="1" ht="5.25" customHeight="1" outlineLevel="1">
      <c r="B37" s="108" t="s">
        <v>195</v>
      </c>
      <c r="J37" s="146"/>
      <c r="K37" s="145"/>
      <c r="L37" s="146"/>
      <c r="M37" s="145"/>
      <c r="N37" s="146"/>
      <c r="O37" s="145"/>
      <c r="P37" s="146"/>
      <c r="Q37" s="145"/>
      <c r="R37" s="146"/>
      <c r="S37" s="145"/>
      <c r="T37" s="146"/>
      <c r="U37" s="145"/>
      <c r="V37" s="146"/>
      <c r="W37" s="145"/>
      <c r="X37" s="146"/>
      <c r="Y37" s="145"/>
      <c r="Z37" s="146"/>
      <c r="AA37" s="145"/>
      <c r="AB37" s="146"/>
      <c r="AC37" s="145"/>
      <c r="AD37" s="146"/>
      <c r="AE37" s="145"/>
      <c r="AF37" s="146"/>
      <c r="AG37" s="145"/>
      <c r="AH37" s="146"/>
      <c r="AI37" s="141"/>
      <c r="AJ37" s="123"/>
    </row>
    <row r="38" spans="2:36" s="1259" customFormat="1" hidden="1" outlineLevel="1">
      <c r="B38" s="1263" t="s">
        <v>218</v>
      </c>
      <c r="D38" s="1264"/>
      <c r="E38" s="1264"/>
      <c r="F38" s="1265"/>
      <c r="G38" s="1261"/>
      <c r="H38" s="1266"/>
      <c r="I38" s="1267"/>
      <c r="J38" s="1268"/>
      <c r="K38" s="1267"/>
      <c r="L38" s="1268"/>
      <c r="M38" s="1267"/>
      <c r="N38" s="1268"/>
      <c r="O38" s="1267"/>
      <c r="P38" s="1268"/>
      <c r="Q38" s="1267"/>
      <c r="R38" s="1268"/>
      <c r="S38" s="1267"/>
      <c r="T38" s="1268"/>
      <c r="U38" s="1267"/>
      <c r="V38" s="1268"/>
      <c r="W38" s="1267"/>
      <c r="X38" s="1268"/>
      <c r="Y38" s="1267"/>
      <c r="Z38" s="1268"/>
      <c r="AA38" s="1267"/>
      <c r="AB38" s="1268"/>
      <c r="AC38" s="1267"/>
      <c r="AD38" s="1268"/>
      <c r="AE38" s="1267"/>
      <c r="AF38" s="1268"/>
      <c r="AG38" s="1267"/>
      <c r="AH38" s="1268">
        <f>AF38+AD38+AB38+Z38+X38+V38+T38+R38+P38+N38+L38+J38</f>
        <v>0</v>
      </c>
      <c r="AI38" s="1269">
        <f>IF(AH$52=0,0,AH38/AH$52)</f>
        <v>0</v>
      </c>
      <c r="AJ38" s="1270"/>
    </row>
    <row r="39" spans="2:36" s="115" customFormat="1" ht="3.75" hidden="1" customHeight="1" outlineLevel="1">
      <c r="B39" s="142" t="s">
        <v>195</v>
      </c>
      <c r="D39" s="114"/>
      <c r="E39" s="114"/>
      <c r="F39" s="114"/>
      <c r="G39" s="114"/>
      <c r="J39" s="147"/>
      <c r="K39" s="145"/>
      <c r="L39" s="147"/>
      <c r="M39" s="145"/>
      <c r="N39" s="147"/>
      <c r="O39" s="145"/>
      <c r="P39" s="147"/>
      <c r="Q39" s="145"/>
      <c r="R39" s="147"/>
      <c r="S39" s="145"/>
      <c r="T39" s="147"/>
      <c r="U39" s="145"/>
      <c r="V39" s="147"/>
      <c r="W39" s="145"/>
      <c r="X39" s="147"/>
      <c r="Y39" s="145"/>
      <c r="Z39" s="147"/>
      <c r="AA39" s="145"/>
      <c r="AB39" s="147"/>
      <c r="AC39" s="145"/>
      <c r="AD39" s="147"/>
      <c r="AE39" s="145"/>
      <c r="AF39" s="147"/>
      <c r="AG39" s="145"/>
      <c r="AH39" s="147"/>
      <c r="AI39" s="141"/>
      <c r="AJ39" s="123"/>
    </row>
    <row r="40" spans="2:36" s="115" customFormat="1" ht="15" hidden="1">
      <c r="B40" s="108" t="s">
        <v>195</v>
      </c>
      <c r="F40" s="114" t="s">
        <v>219</v>
      </c>
      <c r="J40" s="144">
        <f>SUM(J37:J39)</f>
        <v>0</v>
      </c>
      <c r="K40" s="145"/>
      <c r="L40" s="144">
        <f>SUM(L37:L39)</f>
        <v>0</v>
      </c>
      <c r="M40" s="145"/>
      <c r="N40" s="144">
        <f>SUM(N37:N39)</f>
        <v>0</v>
      </c>
      <c r="O40" s="145"/>
      <c r="P40" s="144">
        <f>SUM(P37:P39)</f>
        <v>0</v>
      </c>
      <c r="Q40" s="145"/>
      <c r="R40" s="144">
        <f>SUM(R37:R39)</f>
        <v>0</v>
      </c>
      <c r="S40" s="145"/>
      <c r="T40" s="144">
        <f>SUM(T37:T39)</f>
        <v>0</v>
      </c>
      <c r="U40" s="145"/>
      <c r="V40" s="144">
        <f>SUM(V37:V39)</f>
        <v>0</v>
      </c>
      <c r="W40" s="145"/>
      <c r="X40" s="144">
        <f>SUM(X37:X39)</f>
        <v>0</v>
      </c>
      <c r="Y40" s="145"/>
      <c r="Z40" s="144">
        <f>SUM(Z37:Z39)</f>
        <v>0</v>
      </c>
      <c r="AA40" s="145"/>
      <c r="AB40" s="144">
        <f>SUM(AB37:AB39)</f>
        <v>0</v>
      </c>
      <c r="AC40" s="145"/>
      <c r="AD40" s="144">
        <f>SUM(AD37:AD39)</f>
        <v>0</v>
      </c>
      <c r="AE40" s="145"/>
      <c r="AF40" s="144">
        <f>SUM(AF37:AF39)</f>
        <v>0</v>
      </c>
      <c r="AG40" s="145"/>
      <c r="AH40" s="144">
        <f>SUM(AH37:AH39)</f>
        <v>0</v>
      </c>
      <c r="AI40" s="118">
        <f>IF(AH$52=0,0,AH40/AH$52)</f>
        <v>0</v>
      </c>
      <c r="AJ40" s="123"/>
    </row>
    <row r="41" spans="2:36" s="115" customFormat="1" ht="15" hidden="1" outlineLevel="1">
      <c r="B41" s="142" t="s">
        <v>195</v>
      </c>
      <c r="J41" s="146"/>
      <c r="K41" s="145"/>
      <c r="L41" s="146"/>
      <c r="M41" s="145"/>
      <c r="N41" s="146"/>
      <c r="O41" s="145"/>
      <c r="P41" s="146"/>
      <c r="Q41" s="145"/>
      <c r="R41" s="146"/>
      <c r="S41" s="145"/>
      <c r="T41" s="146"/>
      <c r="U41" s="145"/>
      <c r="V41" s="146"/>
      <c r="W41" s="145"/>
      <c r="X41" s="146"/>
      <c r="Y41" s="145"/>
      <c r="Z41" s="146"/>
      <c r="AA41" s="145"/>
      <c r="AB41" s="146"/>
      <c r="AC41" s="145"/>
      <c r="AD41" s="146"/>
      <c r="AE41" s="145"/>
      <c r="AF41" s="146"/>
      <c r="AG41" s="145"/>
      <c r="AH41" s="146"/>
      <c r="AI41" s="141"/>
      <c r="AJ41" s="123"/>
    </row>
    <row r="42" spans="2:36" s="1259" customFormat="1" hidden="1" outlineLevel="1">
      <c r="B42" s="1263" t="s">
        <v>220</v>
      </c>
      <c r="D42" s="1264"/>
      <c r="E42" s="1264"/>
      <c r="F42" s="1265"/>
      <c r="G42" s="1261"/>
      <c r="H42" s="1266"/>
      <c r="I42" s="1267"/>
      <c r="J42" s="1268"/>
      <c r="K42" s="1267"/>
      <c r="L42" s="1268"/>
      <c r="M42" s="1267"/>
      <c r="N42" s="1268"/>
      <c r="O42" s="1267"/>
      <c r="P42" s="1268"/>
      <c r="Q42" s="1267"/>
      <c r="R42" s="1268"/>
      <c r="S42" s="1267"/>
      <c r="T42" s="1268"/>
      <c r="U42" s="1267"/>
      <c r="V42" s="1268"/>
      <c r="W42" s="1267"/>
      <c r="X42" s="1268"/>
      <c r="Y42" s="1267"/>
      <c r="Z42" s="1268"/>
      <c r="AA42" s="1267"/>
      <c r="AB42" s="1268"/>
      <c r="AC42" s="1267"/>
      <c r="AD42" s="1268"/>
      <c r="AE42" s="1267"/>
      <c r="AF42" s="1268"/>
      <c r="AG42" s="1267"/>
      <c r="AH42" s="1268">
        <f>AF42+AD42+AB42+Z42+X42+V42+T42+R42+P42+N42+L42+J42</f>
        <v>0</v>
      </c>
      <c r="AI42" s="1269">
        <f>IF(AH$52=0,0,AH42/AH$52)</f>
        <v>0</v>
      </c>
      <c r="AJ42" s="1270"/>
    </row>
    <row r="43" spans="2:36" s="115" customFormat="1" ht="3.75" hidden="1" customHeight="1" outlineLevel="1">
      <c r="B43" s="142" t="s">
        <v>195</v>
      </c>
      <c r="D43" s="114"/>
      <c r="E43" s="114"/>
      <c r="F43" s="114"/>
      <c r="G43" s="114"/>
      <c r="J43" s="147"/>
      <c r="K43" s="145"/>
      <c r="L43" s="147"/>
      <c r="M43" s="145"/>
      <c r="N43" s="147"/>
      <c r="O43" s="145"/>
      <c r="P43" s="147"/>
      <c r="Q43" s="145"/>
      <c r="R43" s="147"/>
      <c r="S43" s="145"/>
      <c r="T43" s="147"/>
      <c r="U43" s="145"/>
      <c r="V43" s="147"/>
      <c r="W43" s="145"/>
      <c r="X43" s="147"/>
      <c r="Y43" s="145"/>
      <c r="Z43" s="147"/>
      <c r="AA43" s="145"/>
      <c r="AB43" s="147"/>
      <c r="AC43" s="145"/>
      <c r="AD43" s="147"/>
      <c r="AE43" s="145"/>
      <c r="AF43" s="147"/>
      <c r="AG43" s="145"/>
      <c r="AH43" s="147"/>
      <c r="AI43" s="141"/>
      <c r="AJ43" s="123"/>
    </row>
    <row r="44" spans="2:36" s="115" customFormat="1" ht="15" hidden="1">
      <c r="B44" s="142"/>
      <c r="F44" s="114" t="s">
        <v>221</v>
      </c>
      <c r="J44" s="144">
        <f>SUM(J42:J43)</f>
        <v>0</v>
      </c>
      <c r="K44" s="145"/>
      <c r="L44" s="144">
        <f>SUM(L42:L43)</f>
        <v>0</v>
      </c>
      <c r="M44" s="145"/>
      <c r="N44" s="144">
        <f>SUM(N42:N43)</f>
        <v>0</v>
      </c>
      <c r="O44" s="145"/>
      <c r="P44" s="144">
        <f>SUM(P42:P43)</f>
        <v>0</v>
      </c>
      <c r="Q44" s="145"/>
      <c r="R44" s="144">
        <f>SUM(R42:R43)</f>
        <v>0</v>
      </c>
      <c r="S44" s="145"/>
      <c r="T44" s="144">
        <f>SUM(T42:T43)</f>
        <v>0</v>
      </c>
      <c r="U44" s="145"/>
      <c r="V44" s="144">
        <f>SUM(V42:V43)</f>
        <v>0</v>
      </c>
      <c r="W44" s="145"/>
      <c r="X44" s="144">
        <f>SUM(X42:X43)</f>
        <v>0</v>
      </c>
      <c r="Y44" s="145"/>
      <c r="Z44" s="144">
        <f>SUM(Z42:Z43)</f>
        <v>0</v>
      </c>
      <c r="AA44" s="145"/>
      <c r="AB44" s="144">
        <f>SUM(AB42:AB43)</f>
        <v>0</v>
      </c>
      <c r="AC44" s="145"/>
      <c r="AD44" s="144">
        <f>SUM(AD42:AD43)</f>
        <v>0</v>
      </c>
      <c r="AE44" s="145"/>
      <c r="AF44" s="144">
        <f>SUM(AF42:AF43)</f>
        <v>0</v>
      </c>
      <c r="AG44" s="145"/>
      <c r="AH44" s="144">
        <f>SUM(AH42:AH43)</f>
        <v>0</v>
      </c>
      <c r="AI44" s="118">
        <f>IF(AH$52=0,0,AH44/AH$52)</f>
        <v>0</v>
      </c>
      <c r="AJ44" s="123"/>
    </row>
    <row r="45" spans="2:36" s="115" customFormat="1" ht="8.25" hidden="1" customHeight="1" outlineLevel="1">
      <c r="B45" s="142"/>
      <c r="J45" s="146"/>
      <c r="K45" s="145"/>
      <c r="L45" s="146"/>
      <c r="M45" s="145"/>
      <c r="N45" s="146"/>
      <c r="O45" s="145"/>
      <c r="P45" s="146"/>
      <c r="Q45" s="145"/>
      <c r="R45" s="146"/>
      <c r="S45" s="145"/>
      <c r="T45" s="146"/>
      <c r="U45" s="145"/>
      <c r="V45" s="146"/>
      <c r="W45" s="145"/>
      <c r="X45" s="146"/>
      <c r="Y45" s="145"/>
      <c r="Z45" s="146"/>
      <c r="AA45" s="145"/>
      <c r="AB45" s="146"/>
      <c r="AC45" s="145"/>
      <c r="AD45" s="146"/>
      <c r="AE45" s="145"/>
      <c r="AF45" s="146"/>
      <c r="AG45" s="145"/>
      <c r="AH45" s="146"/>
      <c r="AI45" s="141"/>
      <c r="AJ45" s="123"/>
    </row>
    <row r="46" spans="2:36" s="115" customFormat="1" ht="8.25" hidden="1" customHeight="1" outlineLevel="1">
      <c r="B46" s="142" t="s">
        <v>195</v>
      </c>
      <c r="J46" s="146"/>
      <c r="K46" s="145"/>
      <c r="L46" s="146"/>
      <c r="M46" s="145"/>
      <c r="N46" s="146"/>
      <c r="O46" s="145"/>
      <c r="P46" s="146"/>
      <c r="Q46" s="145"/>
      <c r="R46" s="146"/>
      <c r="S46" s="145"/>
      <c r="T46" s="146"/>
      <c r="U46" s="145"/>
      <c r="V46" s="146"/>
      <c r="W46" s="145"/>
      <c r="X46" s="146"/>
      <c r="Y46" s="145"/>
      <c r="Z46" s="146"/>
      <c r="AA46" s="145"/>
      <c r="AB46" s="146"/>
      <c r="AC46" s="145"/>
      <c r="AD46" s="146"/>
      <c r="AE46" s="145"/>
      <c r="AF46" s="146"/>
      <c r="AG46" s="145"/>
      <c r="AH46" s="146"/>
      <c r="AI46" s="141"/>
      <c r="AJ46" s="123"/>
    </row>
    <row r="47" spans="2:36" s="1259" customFormat="1" outlineLevel="1">
      <c r="B47" s="1263" t="s">
        <v>222</v>
      </c>
      <c r="D47" s="1264">
        <v>38000</v>
      </c>
      <c r="E47" s="1264" t="s">
        <v>223</v>
      </c>
      <c r="F47" s="1265"/>
      <c r="G47" s="1261"/>
      <c r="H47" s="1266"/>
      <c r="I47" s="1267"/>
      <c r="J47" s="1268">
        <v>349.02</v>
      </c>
      <c r="K47" s="1267"/>
      <c r="L47" s="1268">
        <v>364.66</v>
      </c>
      <c r="M47" s="1267"/>
      <c r="N47" s="1268">
        <v>242.09</v>
      </c>
      <c r="O47" s="1267"/>
      <c r="P47" s="1268">
        <v>483.97</v>
      </c>
      <c r="Q47" s="1267"/>
      <c r="R47" s="1268">
        <v>415.84</v>
      </c>
      <c r="S47" s="1267"/>
      <c r="T47" s="1268">
        <v>286.97000000000003</v>
      </c>
      <c r="U47" s="1267"/>
      <c r="V47" s="1268">
        <v>273</v>
      </c>
      <c r="W47" s="1267"/>
      <c r="X47" s="1268">
        <v>313.70999999999998</v>
      </c>
      <c r="Y47" s="1267"/>
      <c r="Z47" s="1268">
        <v>165.93</v>
      </c>
      <c r="AA47" s="1267"/>
      <c r="AB47" s="1268">
        <v>533</v>
      </c>
      <c r="AC47" s="1267"/>
      <c r="AD47" s="1268">
        <v>341.2</v>
      </c>
      <c r="AE47" s="1267"/>
      <c r="AF47" s="1268">
        <v>302.31</v>
      </c>
      <c r="AG47" s="1267"/>
      <c r="AH47" s="1268">
        <f t="shared" ref="AH47:AH48" si="4">AF47+AD47+AB47+Z47+X47+V47+T47+R47+P47+N47+L47+J47</f>
        <v>4071.7000000000003</v>
      </c>
      <c r="AI47" s="1269">
        <f t="shared" ref="AI47:AI48" si="5">IF(AH$52=0,0,AH47/AH$52)</f>
        <v>1.2354933720530852E-3</v>
      </c>
      <c r="AJ47" s="1270"/>
    </row>
    <row r="48" spans="2:36" s="1259" customFormat="1" outlineLevel="1">
      <c r="B48" s="1263" t="s">
        <v>203</v>
      </c>
      <c r="D48" s="1264">
        <v>38001</v>
      </c>
      <c r="E48" s="1264" t="s">
        <v>224</v>
      </c>
      <c r="F48" s="1265"/>
      <c r="G48" s="1261"/>
      <c r="H48" s="1266"/>
      <c r="I48" s="1267"/>
      <c r="J48" s="1268">
        <v>156.46</v>
      </c>
      <c r="K48" s="1267"/>
      <c r="L48" s="1268">
        <v>192.23</v>
      </c>
      <c r="M48" s="1267"/>
      <c r="N48" s="1268">
        <v>264.83</v>
      </c>
      <c r="O48" s="1267"/>
      <c r="P48" s="1268">
        <v>114.69</v>
      </c>
      <c r="Q48" s="1267"/>
      <c r="R48" s="1268">
        <v>151.47</v>
      </c>
      <c r="S48" s="1267"/>
      <c r="T48" s="1268">
        <v>266.10000000000002</v>
      </c>
      <c r="U48" s="1267"/>
      <c r="V48" s="1268">
        <v>325</v>
      </c>
      <c r="W48" s="1267"/>
      <c r="X48" s="1268">
        <v>133.15</v>
      </c>
      <c r="Y48" s="1267"/>
      <c r="Z48" s="1268">
        <v>223.98</v>
      </c>
      <c r="AA48" s="1267"/>
      <c r="AB48" s="1268">
        <v>229.29</v>
      </c>
      <c r="AC48" s="1267"/>
      <c r="AD48" s="1268">
        <v>444.85</v>
      </c>
      <c r="AE48" s="1267"/>
      <c r="AF48" s="1268">
        <v>163.09</v>
      </c>
      <c r="AG48" s="1267"/>
      <c r="AH48" s="1268">
        <f t="shared" si="4"/>
        <v>2665.14</v>
      </c>
      <c r="AI48" s="1269">
        <f t="shared" si="5"/>
        <v>8.0869484627884159E-4</v>
      </c>
      <c r="AJ48" s="1270"/>
    </row>
    <row r="49" spans="2:36" s="115" customFormat="1" ht="4.5" customHeight="1" outlineLevel="1">
      <c r="B49" s="142" t="s">
        <v>195</v>
      </c>
      <c r="D49" s="148"/>
      <c r="J49" s="147"/>
      <c r="K49" s="145"/>
      <c r="L49" s="147"/>
      <c r="M49" s="145"/>
      <c r="N49" s="147"/>
      <c r="O49" s="145"/>
      <c r="P49" s="147"/>
      <c r="Q49" s="145"/>
      <c r="R49" s="147"/>
      <c r="S49" s="145"/>
      <c r="T49" s="147"/>
      <c r="U49" s="145"/>
      <c r="V49" s="147"/>
      <c r="W49" s="145"/>
      <c r="X49" s="147"/>
      <c r="Y49" s="145"/>
      <c r="Z49" s="147"/>
      <c r="AA49" s="145"/>
      <c r="AB49" s="147"/>
      <c r="AC49" s="145"/>
      <c r="AD49" s="147"/>
      <c r="AE49" s="145"/>
      <c r="AF49" s="147"/>
      <c r="AG49" s="145"/>
      <c r="AH49" s="147"/>
      <c r="AI49" s="141"/>
      <c r="AJ49" s="123"/>
    </row>
    <row r="50" spans="2:36" s="115" customFormat="1" ht="15">
      <c r="B50" s="142" t="s">
        <v>195</v>
      </c>
      <c r="F50" s="115" t="s">
        <v>223</v>
      </c>
      <c r="J50" s="144">
        <f>SUM(J46:J49)</f>
        <v>505.48</v>
      </c>
      <c r="K50" s="145"/>
      <c r="L50" s="144">
        <f>SUM(L46:L49)</f>
        <v>556.89</v>
      </c>
      <c r="M50" s="145"/>
      <c r="N50" s="144">
        <f>SUM(N46:N49)</f>
        <v>506.91999999999996</v>
      </c>
      <c r="O50" s="145"/>
      <c r="P50" s="144">
        <f>SUM(P46:P49)</f>
        <v>598.66000000000008</v>
      </c>
      <c r="Q50" s="145"/>
      <c r="R50" s="144">
        <f>SUM(R46:R49)</f>
        <v>567.30999999999995</v>
      </c>
      <c r="S50" s="145"/>
      <c r="T50" s="144">
        <f>SUM(T46:T49)</f>
        <v>553.07000000000005</v>
      </c>
      <c r="U50" s="145"/>
      <c r="V50" s="144">
        <f>SUM(V46:V49)</f>
        <v>598</v>
      </c>
      <c r="W50" s="145"/>
      <c r="X50" s="144">
        <f>SUM(X46:X49)</f>
        <v>446.86</v>
      </c>
      <c r="Y50" s="145"/>
      <c r="Z50" s="144">
        <f>SUM(Z46:Z49)</f>
        <v>389.90999999999997</v>
      </c>
      <c r="AA50" s="145"/>
      <c r="AB50" s="144">
        <f>SUM(AB46:AB49)</f>
        <v>762.29</v>
      </c>
      <c r="AC50" s="145"/>
      <c r="AD50" s="144">
        <f>SUM(AD46:AD49)</f>
        <v>786.05</v>
      </c>
      <c r="AE50" s="145"/>
      <c r="AF50" s="144">
        <f>SUM(AF46:AF49)</f>
        <v>465.4</v>
      </c>
      <c r="AG50" s="145"/>
      <c r="AH50" s="144">
        <f>SUM(AH46:AH49)</f>
        <v>6736.84</v>
      </c>
      <c r="AI50" s="118">
        <f>IF(AH$52=0,0,AH50/AH$52)</f>
        <v>2.0441882183319269E-3</v>
      </c>
      <c r="AJ50" s="123"/>
    </row>
    <row r="51" spans="2:36" s="115" customFormat="1" ht="7.5" customHeight="1">
      <c r="B51" s="142" t="s">
        <v>195</v>
      </c>
      <c r="J51" s="146"/>
      <c r="K51" s="145"/>
      <c r="L51" s="146"/>
      <c r="M51" s="145"/>
      <c r="N51" s="146"/>
      <c r="O51" s="145"/>
      <c r="P51" s="146"/>
      <c r="Q51" s="145"/>
      <c r="R51" s="146"/>
      <c r="S51" s="145"/>
      <c r="T51" s="146"/>
      <c r="U51" s="145"/>
      <c r="V51" s="146"/>
      <c r="W51" s="145"/>
      <c r="X51" s="146"/>
      <c r="Y51" s="145"/>
      <c r="Z51" s="146"/>
      <c r="AA51" s="145"/>
      <c r="AB51" s="146"/>
      <c r="AC51" s="145"/>
      <c r="AD51" s="146"/>
      <c r="AE51" s="145"/>
      <c r="AF51" s="146"/>
      <c r="AG51" s="145"/>
      <c r="AH51" s="146"/>
      <c r="AI51" s="141"/>
      <c r="AJ51" s="123"/>
    </row>
    <row r="52" spans="2:36" s="115" customFormat="1" ht="15">
      <c r="B52" s="142" t="s">
        <v>195</v>
      </c>
      <c r="E52" s="149" t="s">
        <v>87</v>
      </c>
      <c r="J52" s="150">
        <f>+J29+J35+J40+J50+J25+J44</f>
        <v>248851.97000000003</v>
      </c>
      <c r="K52" s="145"/>
      <c r="L52" s="150">
        <f>+L29+L35+L40+L50+L25+L44</f>
        <v>249470.32000000004</v>
      </c>
      <c r="M52" s="145"/>
      <c r="N52" s="150">
        <f>+N29+N35+N40+N50+N25+N44</f>
        <v>262644.88</v>
      </c>
      <c r="O52" s="145"/>
      <c r="P52" s="150">
        <f>+P29+P35+P40+P50+P25+P44</f>
        <v>267082.68999999994</v>
      </c>
      <c r="Q52" s="145"/>
      <c r="R52" s="150">
        <f>+R29+R35+R40+R50+R25+R44</f>
        <v>277597</v>
      </c>
      <c r="S52" s="145"/>
      <c r="T52" s="150">
        <f>+T29+T35+T40+T50+T25+T44</f>
        <v>281990</v>
      </c>
      <c r="U52" s="145"/>
      <c r="V52" s="150">
        <f>+V29+V35+V40+V50+V25+V44</f>
        <v>283900.31999999995</v>
      </c>
      <c r="W52" s="145"/>
      <c r="X52" s="150">
        <f>+X29+X35+X40+X50+X25+X44</f>
        <v>293453.65999999997</v>
      </c>
      <c r="Y52" s="145"/>
      <c r="Z52" s="150">
        <f>+Z29+Z35+Z40+Z50+Z25+Z44</f>
        <v>291901.24</v>
      </c>
      <c r="AA52" s="145"/>
      <c r="AB52" s="150">
        <f>+AB29+AB35+AB40+AB50+AB25+AB44</f>
        <v>294052.92</v>
      </c>
      <c r="AC52" s="145"/>
      <c r="AD52" s="150">
        <f>+AD29+AD35+AD40+AD50+AD25+AD44</f>
        <v>276113.9599999999</v>
      </c>
      <c r="AE52" s="145"/>
      <c r="AF52" s="150">
        <f>+AF29+AF35+AF40+AF50+AF25+AF44</f>
        <v>268547.55</v>
      </c>
      <c r="AG52" s="145"/>
      <c r="AH52" s="150">
        <f>+AH29+AH35+AH40+AH50+AH25+AH44</f>
        <v>3295606.5100000002</v>
      </c>
      <c r="AI52" s="118">
        <f>IF(AH$52=0,0,AH52/AH$52)</f>
        <v>1</v>
      </c>
      <c r="AJ52" s="123"/>
    </row>
    <row r="53" spans="2:36" s="115" customFormat="1" ht="7.5" customHeight="1">
      <c r="B53" s="142" t="s">
        <v>195</v>
      </c>
      <c r="J53" s="146"/>
      <c r="K53" s="145"/>
      <c r="L53" s="146"/>
      <c r="M53" s="145"/>
      <c r="N53" s="146"/>
      <c r="O53" s="145"/>
      <c r="P53" s="146"/>
      <c r="Q53" s="145"/>
      <c r="R53" s="146"/>
      <c r="S53" s="145"/>
      <c r="T53" s="146"/>
      <c r="U53" s="145"/>
      <c r="V53" s="146"/>
      <c r="W53" s="145"/>
      <c r="X53" s="146"/>
      <c r="Y53" s="145"/>
      <c r="Z53" s="146"/>
      <c r="AA53" s="145"/>
      <c r="AB53" s="146"/>
      <c r="AC53" s="145"/>
      <c r="AD53" s="146"/>
      <c r="AE53" s="145"/>
      <c r="AF53" s="146"/>
      <c r="AG53" s="145"/>
      <c r="AH53" s="146"/>
      <c r="AI53" s="141"/>
      <c r="AJ53" s="123"/>
    </row>
    <row r="54" spans="2:36" s="115" customFormat="1" ht="15" outlineLevel="1">
      <c r="B54" s="142"/>
      <c r="J54" s="146"/>
      <c r="K54" s="145"/>
      <c r="L54" s="146"/>
      <c r="M54" s="145"/>
      <c r="N54" s="146"/>
      <c r="O54" s="145"/>
      <c r="P54" s="146"/>
      <c r="Q54" s="145"/>
      <c r="R54" s="146"/>
      <c r="S54" s="145"/>
      <c r="T54" s="146"/>
      <c r="U54" s="145"/>
      <c r="V54" s="146"/>
      <c r="W54" s="145"/>
      <c r="X54" s="146"/>
      <c r="Y54" s="145"/>
      <c r="Z54" s="146"/>
      <c r="AA54" s="145"/>
      <c r="AB54" s="146"/>
      <c r="AC54" s="145"/>
      <c r="AD54" s="146"/>
      <c r="AE54" s="145"/>
      <c r="AF54" s="146"/>
      <c r="AG54" s="145"/>
      <c r="AH54" s="146"/>
      <c r="AI54" s="141"/>
      <c r="AJ54" s="123"/>
    </row>
    <row r="55" spans="2:36" s="1259" customFormat="1" outlineLevel="1">
      <c r="B55" s="1263" t="s">
        <v>225</v>
      </c>
      <c r="D55" s="1264">
        <v>40101</v>
      </c>
      <c r="E55" s="1264" t="s">
        <v>80</v>
      </c>
      <c r="F55" s="1265"/>
      <c r="G55" s="1261"/>
      <c r="H55" s="1266"/>
      <c r="I55" s="1267"/>
      <c r="J55" s="1268">
        <v>60513.33</v>
      </c>
      <c r="K55" s="1267"/>
      <c r="L55" s="1268">
        <v>57076.77</v>
      </c>
      <c r="M55" s="1267"/>
      <c r="N55" s="1268">
        <v>70587.490000000005</v>
      </c>
      <c r="O55" s="1267"/>
      <c r="P55" s="1268">
        <v>62201.79</v>
      </c>
      <c r="Q55" s="1267"/>
      <c r="R55" s="1268">
        <v>73228.600000000006</v>
      </c>
      <c r="S55" s="1267"/>
      <c r="T55" s="1268">
        <v>74135.55</v>
      </c>
      <c r="U55" s="1267"/>
      <c r="V55" s="1268">
        <v>69612.479999999996</v>
      </c>
      <c r="W55" s="1267"/>
      <c r="X55" s="1268">
        <v>78454.97</v>
      </c>
      <c r="Y55" s="1267"/>
      <c r="Z55" s="1268">
        <v>68159.25</v>
      </c>
      <c r="AA55" s="1267"/>
      <c r="AB55" s="1268">
        <v>73323.64</v>
      </c>
      <c r="AC55" s="1267"/>
      <c r="AD55" s="1268">
        <v>73929.02</v>
      </c>
      <c r="AE55" s="1267"/>
      <c r="AF55" s="1268">
        <v>59075.96</v>
      </c>
      <c r="AG55" s="1267"/>
      <c r="AH55" s="1268">
        <f t="shared" ref="AH55:AH57" si="6">AF55+AD55+AB55+Z55+X55+V55+T55+R55+P55+N55+L55+J55</f>
        <v>820298.85</v>
      </c>
      <c r="AI55" s="1269">
        <f t="shared" ref="AI55:AI57" si="7">IF(AH$52=0,0,AH55/AH$52)</f>
        <v>0.2489067937907429</v>
      </c>
      <c r="AJ55" s="1270"/>
    </row>
    <row r="56" spans="2:36" s="1259" customFormat="1" outlineLevel="1">
      <c r="B56" s="1263" t="s">
        <v>203</v>
      </c>
      <c r="D56" s="1264">
        <v>40121</v>
      </c>
      <c r="E56" s="1264" t="s">
        <v>226</v>
      </c>
      <c r="F56" s="1265"/>
      <c r="G56" s="1261"/>
      <c r="H56" s="1266"/>
      <c r="I56" s="1267"/>
      <c r="J56" s="1268">
        <v>3305.48</v>
      </c>
      <c r="K56" s="1267"/>
      <c r="L56" s="1268">
        <v>4772.21</v>
      </c>
      <c r="M56" s="1267"/>
      <c r="N56" s="1268">
        <v>6324.63</v>
      </c>
      <c r="O56" s="1267"/>
      <c r="P56" s="1268">
        <v>7169.15</v>
      </c>
      <c r="Q56" s="1267"/>
      <c r="R56" s="1268">
        <v>5058.41</v>
      </c>
      <c r="S56" s="1267"/>
      <c r="T56" s="1268">
        <v>6319.21</v>
      </c>
      <c r="U56" s="1267"/>
      <c r="V56" s="1268">
        <v>3212.19</v>
      </c>
      <c r="W56" s="1267"/>
      <c r="X56" s="1268">
        <v>6993.53</v>
      </c>
      <c r="Y56" s="1267"/>
      <c r="Z56" s="1268">
        <v>6657.45</v>
      </c>
      <c r="AA56" s="1267"/>
      <c r="AB56" s="1268">
        <v>8236.99</v>
      </c>
      <c r="AC56" s="1267"/>
      <c r="AD56" s="1268">
        <v>6242.23</v>
      </c>
      <c r="AE56" s="1267"/>
      <c r="AF56" s="1268">
        <v>5510.49</v>
      </c>
      <c r="AG56" s="1267"/>
      <c r="AH56" s="1268">
        <f t="shared" si="6"/>
        <v>69801.97</v>
      </c>
      <c r="AI56" s="1269">
        <f t="shared" si="7"/>
        <v>2.1180310752572217E-2</v>
      </c>
      <c r="AJ56" s="1270"/>
    </row>
    <row r="57" spans="2:36" s="1259" customFormat="1" outlineLevel="1">
      <c r="B57" s="1263" t="s">
        <v>203</v>
      </c>
      <c r="D57" s="1264">
        <v>40131</v>
      </c>
      <c r="E57" s="1264" t="s">
        <v>227</v>
      </c>
      <c r="F57" s="1265"/>
      <c r="G57" s="1261"/>
      <c r="H57" s="1266"/>
      <c r="I57" s="1267"/>
      <c r="J57" s="1268">
        <v>11409.37</v>
      </c>
      <c r="K57" s="1267"/>
      <c r="L57" s="1268">
        <v>11073.69</v>
      </c>
      <c r="M57" s="1267"/>
      <c r="N57" s="1268">
        <v>13622.99</v>
      </c>
      <c r="O57" s="1267"/>
      <c r="P57" s="1268">
        <v>14778.78</v>
      </c>
      <c r="Q57" s="1267"/>
      <c r="R57" s="1268">
        <v>13408.4</v>
      </c>
      <c r="S57" s="1267"/>
      <c r="T57" s="1268">
        <v>14902.61</v>
      </c>
      <c r="U57" s="1267"/>
      <c r="V57" s="1268">
        <v>11748.31</v>
      </c>
      <c r="W57" s="1267"/>
      <c r="X57" s="1268">
        <v>13805.61</v>
      </c>
      <c r="Y57" s="1267"/>
      <c r="Z57" s="1268">
        <v>12355.1</v>
      </c>
      <c r="AA57" s="1267"/>
      <c r="AB57" s="1268">
        <v>13860.28</v>
      </c>
      <c r="AC57" s="1267"/>
      <c r="AD57" s="1268">
        <v>14631.73</v>
      </c>
      <c r="AE57" s="1267"/>
      <c r="AF57" s="1268">
        <v>11822.39</v>
      </c>
      <c r="AG57" s="1267"/>
      <c r="AH57" s="1268">
        <f t="shared" si="6"/>
        <v>157419.25999999998</v>
      </c>
      <c r="AI57" s="1269">
        <f t="shared" si="7"/>
        <v>4.7766400364344458E-2</v>
      </c>
      <c r="AJ57" s="1270"/>
    </row>
    <row r="58" spans="2:36" s="115" customFormat="1" ht="5.0999999999999996" customHeight="1" outlineLevel="1">
      <c r="B58" s="142" t="s">
        <v>195</v>
      </c>
      <c r="D58" s="114"/>
      <c r="E58" s="114"/>
      <c r="F58" s="114"/>
      <c r="G58" s="114"/>
      <c r="J58" s="147"/>
      <c r="K58" s="145"/>
      <c r="L58" s="147"/>
      <c r="M58" s="145"/>
      <c r="N58" s="147"/>
      <c r="O58" s="145"/>
      <c r="P58" s="147"/>
      <c r="Q58" s="145"/>
      <c r="R58" s="147"/>
      <c r="S58" s="145"/>
      <c r="T58" s="147"/>
      <c r="U58" s="145"/>
      <c r="V58" s="147"/>
      <c r="W58" s="145"/>
      <c r="X58" s="147"/>
      <c r="Y58" s="145"/>
      <c r="Z58" s="147"/>
      <c r="AA58" s="145"/>
      <c r="AB58" s="147"/>
      <c r="AC58" s="145"/>
      <c r="AD58" s="147"/>
      <c r="AE58" s="145"/>
      <c r="AF58" s="147"/>
      <c r="AG58" s="145"/>
      <c r="AH58" s="147"/>
      <c r="AI58" s="141"/>
      <c r="AJ58" s="123"/>
    </row>
    <row r="59" spans="2:36" s="115" customFormat="1" ht="15">
      <c r="B59" s="142" t="s">
        <v>195</v>
      </c>
      <c r="F59" s="114" t="s">
        <v>228</v>
      </c>
      <c r="J59" s="144">
        <f>SUM(J54:J58)</f>
        <v>75228.180000000008</v>
      </c>
      <c r="K59" s="145"/>
      <c r="L59" s="144">
        <f>SUM(L54:L58)</f>
        <v>72922.67</v>
      </c>
      <c r="M59" s="145"/>
      <c r="N59" s="144">
        <f>SUM(N54:N58)</f>
        <v>90535.110000000015</v>
      </c>
      <c r="O59" s="145"/>
      <c r="P59" s="144">
        <f>SUM(P54:P58)</f>
        <v>84149.72</v>
      </c>
      <c r="Q59" s="145"/>
      <c r="R59" s="144">
        <f>SUM(R54:R58)</f>
        <v>91695.41</v>
      </c>
      <c r="S59" s="145"/>
      <c r="T59" s="144">
        <f>SUM(T54:T58)</f>
        <v>95357.37000000001</v>
      </c>
      <c r="U59" s="145"/>
      <c r="V59" s="144">
        <f>SUM(V54:V58)</f>
        <v>84572.98</v>
      </c>
      <c r="W59" s="145"/>
      <c r="X59" s="144">
        <f>SUM(X54:X58)</f>
        <v>99254.11</v>
      </c>
      <c r="Y59" s="145"/>
      <c r="Z59" s="144">
        <f>SUM(Z54:Z58)</f>
        <v>87171.8</v>
      </c>
      <c r="AA59" s="145"/>
      <c r="AB59" s="144">
        <f>SUM(AB54:AB58)</f>
        <v>95420.91</v>
      </c>
      <c r="AC59" s="145"/>
      <c r="AD59" s="144">
        <f>SUM(AD54:AD58)</f>
        <v>94802.98</v>
      </c>
      <c r="AE59" s="145"/>
      <c r="AF59" s="144">
        <f>SUM(AF54:AF58)</f>
        <v>76408.84</v>
      </c>
      <c r="AG59" s="145"/>
      <c r="AH59" s="144">
        <f>SUM(AH54:AH58)</f>
        <v>1047520.08</v>
      </c>
      <c r="AI59" s="118">
        <f>IF(AH$52=0,0,AH59/AH$52)</f>
        <v>0.31785350490765957</v>
      </c>
      <c r="AJ59" s="123"/>
    </row>
    <row r="60" spans="2:36" s="115" customFormat="1" ht="9" customHeight="1" outlineLevel="1">
      <c r="B60" s="142"/>
      <c r="J60" s="146"/>
      <c r="K60" s="145"/>
      <c r="L60" s="146"/>
      <c r="M60" s="145"/>
      <c r="N60" s="146"/>
      <c r="O60" s="145"/>
      <c r="P60" s="146"/>
      <c r="Q60" s="145"/>
      <c r="R60" s="146"/>
      <c r="S60" s="145"/>
      <c r="T60" s="146"/>
      <c r="U60" s="145"/>
      <c r="V60" s="146"/>
      <c r="W60" s="145"/>
      <c r="X60" s="146"/>
      <c r="Y60" s="145"/>
      <c r="Z60" s="146"/>
      <c r="AA60" s="145"/>
      <c r="AB60" s="146"/>
      <c r="AC60" s="145"/>
      <c r="AD60" s="146"/>
      <c r="AE60" s="145"/>
      <c r="AF60" s="146"/>
      <c r="AG60" s="145"/>
      <c r="AH60" s="146"/>
      <c r="AI60" s="141"/>
      <c r="AJ60" s="123"/>
    </row>
    <row r="61" spans="2:36" s="1259" customFormat="1" hidden="1" outlineLevel="1">
      <c r="B61" s="1263" t="s">
        <v>229</v>
      </c>
      <c r="D61" s="1264"/>
      <c r="E61" s="1264"/>
      <c r="F61" s="1265"/>
      <c r="G61" s="1261"/>
      <c r="H61" s="1266"/>
      <c r="I61" s="1267"/>
      <c r="J61" s="1268"/>
      <c r="K61" s="1267"/>
      <c r="L61" s="1268"/>
      <c r="M61" s="1267"/>
      <c r="N61" s="1268"/>
      <c r="O61" s="1267"/>
      <c r="P61" s="1268"/>
      <c r="Q61" s="1267"/>
      <c r="R61" s="1268"/>
      <c r="S61" s="1267"/>
      <c r="T61" s="1268"/>
      <c r="U61" s="1267"/>
      <c r="V61" s="1268"/>
      <c r="W61" s="1267"/>
      <c r="X61" s="1268"/>
      <c r="Y61" s="1267"/>
      <c r="Z61" s="1268"/>
      <c r="AA61" s="1267"/>
      <c r="AB61" s="1268"/>
      <c r="AC61" s="1267"/>
      <c r="AD61" s="1268"/>
      <c r="AE61" s="1267"/>
      <c r="AF61" s="1268"/>
      <c r="AG61" s="1267"/>
      <c r="AH61" s="1268">
        <f>AF61+AD61+AB61+Z61+X61+V61+T61+R61+P61+N61+L61+J61</f>
        <v>0</v>
      </c>
      <c r="AI61" s="1269">
        <f>IF(AH$52=0,0,AH61/AH$52)</f>
        <v>0</v>
      </c>
      <c r="AJ61" s="1270"/>
    </row>
    <row r="62" spans="2:36" s="115" customFormat="1" ht="4.5" hidden="1" customHeight="1" outlineLevel="1">
      <c r="B62" s="115" t="s">
        <v>195</v>
      </c>
      <c r="D62" s="148"/>
      <c r="J62" s="147"/>
      <c r="K62" s="145"/>
      <c r="L62" s="147"/>
      <c r="M62" s="145"/>
      <c r="N62" s="147"/>
      <c r="O62" s="145"/>
      <c r="P62" s="147"/>
      <c r="Q62" s="145"/>
      <c r="R62" s="147"/>
      <c r="S62" s="145"/>
      <c r="T62" s="147"/>
      <c r="U62" s="145"/>
      <c r="V62" s="147"/>
      <c r="W62" s="145"/>
      <c r="X62" s="147"/>
      <c r="Y62" s="145"/>
      <c r="Z62" s="147"/>
      <c r="AA62" s="145"/>
      <c r="AB62" s="147"/>
      <c r="AC62" s="145"/>
      <c r="AD62" s="147"/>
      <c r="AE62" s="145"/>
      <c r="AF62" s="147"/>
      <c r="AG62" s="145"/>
      <c r="AH62" s="147"/>
      <c r="AI62" s="141"/>
      <c r="AJ62" s="123"/>
    </row>
    <row r="63" spans="2:36" s="115" customFormat="1" ht="15" hidden="1">
      <c r="B63" s="142" t="s">
        <v>195</v>
      </c>
      <c r="F63" s="115" t="s">
        <v>230</v>
      </c>
      <c r="J63" s="144">
        <f>SUM(J61:J62)</f>
        <v>0</v>
      </c>
      <c r="K63" s="145"/>
      <c r="L63" s="144">
        <f>SUM(L61:L62)</f>
        <v>0</v>
      </c>
      <c r="M63" s="145"/>
      <c r="N63" s="144">
        <f>SUM(N61:N62)</f>
        <v>0</v>
      </c>
      <c r="O63" s="145"/>
      <c r="P63" s="144">
        <f>SUM(P61:P62)</f>
        <v>0</v>
      </c>
      <c r="Q63" s="145"/>
      <c r="R63" s="144">
        <f>SUM(R61:R62)</f>
        <v>0</v>
      </c>
      <c r="S63" s="145"/>
      <c r="T63" s="144">
        <f>SUM(T61:T62)</f>
        <v>0</v>
      </c>
      <c r="U63" s="145"/>
      <c r="V63" s="144">
        <f>SUM(V61:V62)</f>
        <v>0</v>
      </c>
      <c r="W63" s="145"/>
      <c r="X63" s="144">
        <f>SUM(X61:X62)</f>
        <v>0</v>
      </c>
      <c r="Y63" s="145"/>
      <c r="Z63" s="144">
        <f>SUM(Z61:Z62)</f>
        <v>0</v>
      </c>
      <c r="AA63" s="145"/>
      <c r="AB63" s="144">
        <f>SUM(AB61:AB62)</f>
        <v>0</v>
      </c>
      <c r="AC63" s="145"/>
      <c r="AD63" s="144">
        <f>SUM(AD61:AD62)</f>
        <v>0</v>
      </c>
      <c r="AE63" s="145"/>
      <c r="AF63" s="144">
        <f>SUM(AF61:AF62)</f>
        <v>0</v>
      </c>
      <c r="AG63" s="145"/>
      <c r="AH63" s="144">
        <f>SUM(AH61:AH62)</f>
        <v>0</v>
      </c>
      <c r="AI63" s="118">
        <f>IF(AH$52=0,0,AH63/AH$52)</f>
        <v>0</v>
      </c>
      <c r="AJ63" s="123"/>
    </row>
    <row r="64" spans="2:36" s="115" customFormat="1" ht="5.25" hidden="1" customHeight="1" outlineLevel="1">
      <c r="B64" s="142"/>
      <c r="J64" s="146"/>
      <c r="K64" s="145"/>
      <c r="L64" s="146"/>
      <c r="M64" s="145"/>
      <c r="N64" s="146"/>
      <c r="O64" s="145"/>
      <c r="P64" s="146"/>
      <c r="Q64" s="145"/>
      <c r="R64" s="146"/>
      <c r="S64" s="145"/>
      <c r="T64" s="146"/>
      <c r="U64" s="145"/>
      <c r="V64" s="146"/>
      <c r="W64" s="145"/>
      <c r="X64" s="146"/>
      <c r="Y64" s="145"/>
      <c r="Z64" s="146"/>
      <c r="AA64" s="145"/>
      <c r="AB64" s="146"/>
      <c r="AC64" s="145"/>
      <c r="AD64" s="146"/>
      <c r="AE64" s="145"/>
      <c r="AF64" s="146"/>
      <c r="AG64" s="145"/>
      <c r="AH64" s="146"/>
      <c r="AI64" s="141"/>
      <c r="AJ64" s="123"/>
    </row>
    <row r="65" spans="2:36" s="115" customFormat="1" ht="5.25" hidden="1" customHeight="1" outlineLevel="1">
      <c r="B65" s="142" t="s">
        <v>195</v>
      </c>
      <c r="J65" s="146"/>
      <c r="K65" s="145"/>
      <c r="L65" s="146"/>
      <c r="M65" s="145"/>
      <c r="N65" s="146"/>
      <c r="O65" s="145"/>
      <c r="P65" s="146"/>
      <c r="Q65" s="145"/>
      <c r="R65" s="146"/>
      <c r="S65" s="145"/>
      <c r="T65" s="146"/>
      <c r="U65" s="145"/>
      <c r="V65" s="146"/>
      <c r="W65" s="145"/>
      <c r="X65" s="146"/>
      <c r="Y65" s="145"/>
      <c r="Z65" s="146"/>
      <c r="AA65" s="145"/>
      <c r="AB65" s="146"/>
      <c r="AC65" s="145"/>
      <c r="AD65" s="146"/>
      <c r="AE65" s="145"/>
      <c r="AF65" s="146"/>
      <c r="AG65" s="145"/>
      <c r="AH65" s="146"/>
      <c r="AI65" s="141"/>
      <c r="AJ65" s="123"/>
    </row>
    <row r="66" spans="2:36" s="1259" customFormat="1" outlineLevel="1">
      <c r="B66" s="1263" t="s">
        <v>231</v>
      </c>
      <c r="D66" s="1264">
        <v>41201</v>
      </c>
      <c r="E66" s="1264" t="s">
        <v>232</v>
      </c>
      <c r="F66" s="1265"/>
      <c r="G66" s="1261"/>
      <c r="H66" s="1266"/>
      <c r="I66" s="1267"/>
      <c r="J66" s="1268">
        <v>2464.66</v>
      </c>
      <c r="K66" s="1267"/>
      <c r="L66" s="1268">
        <v>2468.9899999999998</v>
      </c>
      <c r="M66" s="1267"/>
      <c r="N66" s="1268">
        <v>2454.86</v>
      </c>
      <c r="O66" s="1267"/>
      <c r="P66" s="1268">
        <v>2502.7800000000002</v>
      </c>
      <c r="Q66" s="1267"/>
      <c r="R66" s="1268">
        <v>2048.1999999999998</v>
      </c>
      <c r="S66" s="1267"/>
      <c r="T66" s="1268">
        <v>2620.9</v>
      </c>
      <c r="U66" s="1267"/>
      <c r="V66" s="1268">
        <v>2569.5300000000002</v>
      </c>
      <c r="W66" s="1267"/>
      <c r="X66" s="1268">
        <v>2621.02</v>
      </c>
      <c r="Y66" s="1267"/>
      <c r="Z66" s="1268">
        <v>2548.1999999999998</v>
      </c>
      <c r="AA66" s="1267"/>
      <c r="AB66" s="1268">
        <v>2540.4299999999998</v>
      </c>
      <c r="AC66" s="1267"/>
      <c r="AD66" s="1268">
        <v>2507.31</v>
      </c>
      <c r="AE66" s="1267"/>
      <c r="AF66" s="1268">
        <v>2459.04</v>
      </c>
      <c r="AG66" s="1267"/>
      <c r="AH66" s="1268">
        <f t="shared" ref="AH66:AH68" si="8">AF66+AD66+AB66+Z66+X66+V66+T66+R66+P66+N66+L66+J66</f>
        <v>29805.920000000002</v>
      </c>
      <c r="AI66" s="1269">
        <f t="shared" ref="AI66:AI68" si="9">IF(AH$52=0,0,AH66/AH$52)</f>
        <v>9.0441379787176111E-3</v>
      </c>
      <c r="AJ66" s="1270"/>
    </row>
    <row r="67" spans="2:36" s="1259" customFormat="1" outlineLevel="1">
      <c r="B67" s="1263" t="s">
        <v>203</v>
      </c>
      <c r="D67" s="1264">
        <v>43001</v>
      </c>
      <c r="E67" s="1264" t="s">
        <v>233</v>
      </c>
      <c r="F67" s="1265"/>
      <c r="G67" s="1261"/>
      <c r="H67" s="1266"/>
      <c r="I67" s="1267"/>
      <c r="J67" s="1268">
        <v>3442.24</v>
      </c>
      <c r="K67" s="1267"/>
      <c r="L67" s="1268">
        <v>3761.41</v>
      </c>
      <c r="M67" s="1267"/>
      <c r="N67" s="1268">
        <v>3981.28</v>
      </c>
      <c r="O67" s="1267"/>
      <c r="P67" s="1268">
        <v>4048.86</v>
      </c>
      <c r="Q67" s="1267"/>
      <c r="R67" s="1268">
        <v>4200.63</v>
      </c>
      <c r="S67" s="1267"/>
      <c r="T67" s="1268">
        <v>4278.9399999999996</v>
      </c>
      <c r="U67" s="1267"/>
      <c r="V67" s="1268">
        <v>4292.3999999999996</v>
      </c>
      <c r="W67" s="1267"/>
      <c r="X67" s="1268">
        <v>4442.87</v>
      </c>
      <c r="Y67" s="1267"/>
      <c r="Z67" s="1268">
        <v>4404.33</v>
      </c>
      <c r="AA67" s="1267"/>
      <c r="AB67" s="1268">
        <v>4431.83</v>
      </c>
      <c r="AC67" s="1267"/>
      <c r="AD67" s="1268">
        <v>4135.09</v>
      </c>
      <c r="AE67" s="1267"/>
      <c r="AF67" s="1268">
        <v>4043.73</v>
      </c>
      <c r="AG67" s="1267"/>
      <c r="AH67" s="1268">
        <f t="shared" si="8"/>
        <v>49463.609999999993</v>
      </c>
      <c r="AI67" s="1269">
        <f t="shared" si="9"/>
        <v>1.5008955058776113E-2</v>
      </c>
      <c r="AJ67" s="1270"/>
    </row>
    <row r="68" spans="2:36" s="1259" customFormat="1" outlineLevel="1">
      <c r="B68" s="1263" t="s">
        <v>203</v>
      </c>
      <c r="D68" s="1264">
        <v>43002</v>
      </c>
      <c r="E68" s="1264" t="s">
        <v>234</v>
      </c>
      <c r="F68" s="1265"/>
      <c r="G68" s="1261"/>
      <c r="H68" s="1266"/>
      <c r="I68" s="1267"/>
      <c r="J68" s="1268">
        <v>1288</v>
      </c>
      <c r="K68" s="1267"/>
      <c r="L68" s="1268">
        <v>3313</v>
      </c>
      <c r="M68" s="1267"/>
      <c r="N68" s="1268">
        <v>1430</v>
      </c>
      <c r="O68" s="1267"/>
      <c r="P68" s="1268">
        <v>951</v>
      </c>
      <c r="Q68" s="1267"/>
      <c r="R68" s="1268">
        <v>1501</v>
      </c>
      <c r="S68" s="1267"/>
      <c r="T68" s="1268">
        <v>1011</v>
      </c>
      <c r="U68" s="1267"/>
      <c r="V68" s="1268">
        <v>1530</v>
      </c>
      <c r="W68" s="1267"/>
      <c r="X68" s="1268">
        <v>1072</v>
      </c>
      <c r="Y68" s="1267"/>
      <c r="Z68" s="1268">
        <v>1570</v>
      </c>
      <c r="AA68" s="1267"/>
      <c r="AB68" s="1268">
        <v>1082</v>
      </c>
      <c r="AC68" s="1267"/>
      <c r="AD68" s="1268">
        <v>1493</v>
      </c>
      <c r="AE68" s="1267"/>
      <c r="AF68" s="1268">
        <v>790</v>
      </c>
      <c r="AG68" s="1267"/>
      <c r="AH68" s="1268">
        <f t="shared" si="8"/>
        <v>17031</v>
      </c>
      <c r="AI68" s="1269">
        <f t="shared" si="9"/>
        <v>5.1677892819795403E-3</v>
      </c>
      <c r="AJ68" s="1270"/>
    </row>
    <row r="69" spans="2:36" s="115" customFormat="1" ht="5.0999999999999996" customHeight="1" outlineLevel="1">
      <c r="B69" s="108" t="s">
        <v>195</v>
      </c>
      <c r="D69" s="114"/>
      <c r="E69" s="114"/>
      <c r="F69" s="114"/>
      <c r="G69" s="114"/>
      <c r="J69" s="147"/>
      <c r="K69" s="145"/>
      <c r="L69" s="147"/>
      <c r="M69" s="145"/>
      <c r="N69" s="147"/>
      <c r="O69" s="145"/>
      <c r="P69" s="147"/>
      <c r="Q69" s="145"/>
      <c r="R69" s="147"/>
      <c r="S69" s="145"/>
      <c r="T69" s="147"/>
      <c r="U69" s="145"/>
      <c r="V69" s="147"/>
      <c r="W69" s="145"/>
      <c r="X69" s="147"/>
      <c r="Y69" s="145"/>
      <c r="Z69" s="147"/>
      <c r="AA69" s="145"/>
      <c r="AB69" s="147"/>
      <c r="AC69" s="145"/>
      <c r="AD69" s="147"/>
      <c r="AE69" s="145"/>
      <c r="AF69" s="147"/>
      <c r="AG69" s="145"/>
      <c r="AH69" s="147"/>
      <c r="AI69" s="141"/>
      <c r="AJ69" s="123"/>
    </row>
    <row r="70" spans="2:36" s="115" customFormat="1" ht="15">
      <c r="B70" s="142" t="s">
        <v>195</v>
      </c>
      <c r="F70" s="114" t="s">
        <v>235</v>
      </c>
      <c r="G70" s="151"/>
      <c r="H70" s="151"/>
      <c r="I70" s="151"/>
      <c r="J70" s="144">
        <f>SUM(J65:J69)</f>
        <v>7194.9</v>
      </c>
      <c r="K70" s="145"/>
      <c r="L70" s="144">
        <f>SUM(L65:L69)</f>
        <v>9543.4</v>
      </c>
      <c r="M70" s="145"/>
      <c r="N70" s="144">
        <f>SUM(N65:N69)</f>
        <v>7866.14</v>
      </c>
      <c r="O70" s="145"/>
      <c r="P70" s="144">
        <f>SUM(P65:P69)</f>
        <v>7502.64</v>
      </c>
      <c r="Q70" s="145"/>
      <c r="R70" s="144">
        <f>SUM(R65:R69)</f>
        <v>7749.83</v>
      </c>
      <c r="S70" s="145"/>
      <c r="T70" s="144">
        <f>SUM(T65:T69)</f>
        <v>7910.84</v>
      </c>
      <c r="U70" s="145"/>
      <c r="V70" s="144">
        <f>SUM(V65:V69)</f>
        <v>8391.93</v>
      </c>
      <c r="W70" s="145"/>
      <c r="X70" s="144">
        <f>SUM(X65:X69)</f>
        <v>8135.8899999999994</v>
      </c>
      <c r="Y70" s="145"/>
      <c r="Z70" s="144">
        <f>SUM(Z65:Z69)</f>
        <v>8522.5299999999988</v>
      </c>
      <c r="AA70" s="145"/>
      <c r="AB70" s="144">
        <f>SUM(AB65:AB69)</f>
        <v>8054.26</v>
      </c>
      <c r="AC70" s="145"/>
      <c r="AD70" s="144">
        <f>SUM(AD65:AD69)</f>
        <v>8135.4</v>
      </c>
      <c r="AE70" s="145"/>
      <c r="AF70" s="144">
        <f>SUM(AF65:AF69)</f>
        <v>7292.77</v>
      </c>
      <c r="AG70" s="145"/>
      <c r="AH70" s="144">
        <f>SUM(AH65:AH69)</f>
        <v>96300.53</v>
      </c>
      <c r="AI70" s="118">
        <f>IF(AH$52=0,0,AH70/AH$52)</f>
        <v>2.9220882319473264E-2</v>
      </c>
      <c r="AJ70" s="123"/>
    </row>
    <row r="71" spans="2:36" s="115" customFormat="1" ht="6" customHeight="1" outlineLevel="1">
      <c r="B71" s="142"/>
      <c r="J71" s="146"/>
      <c r="K71" s="145"/>
      <c r="L71" s="146"/>
      <c r="M71" s="145"/>
      <c r="N71" s="146"/>
      <c r="O71" s="145"/>
      <c r="P71" s="146"/>
      <c r="Q71" s="145"/>
      <c r="R71" s="146"/>
      <c r="S71" s="145"/>
      <c r="T71" s="146"/>
      <c r="U71" s="145"/>
      <c r="V71" s="146"/>
      <c r="W71" s="145"/>
      <c r="X71" s="146"/>
      <c r="Y71" s="145"/>
      <c r="Z71" s="146"/>
      <c r="AA71" s="145"/>
      <c r="AB71" s="146"/>
      <c r="AC71" s="145"/>
      <c r="AD71" s="146"/>
      <c r="AE71" s="145"/>
      <c r="AF71" s="146"/>
      <c r="AG71" s="145"/>
      <c r="AH71" s="146"/>
      <c r="AI71" s="141"/>
      <c r="AJ71" s="123"/>
    </row>
    <row r="72" spans="2:36" s="115" customFormat="1" ht="6" customHeight="1" outlineLevel="1">
      <c r="B72" s="142" t="s">
        <v>195</v>
      </c>
      <c r="J72" s="146"/>
      <c r="K72" s="145"/>
      <c r="L72" s="146"/>
      <c r="M72" s="145"/>
      <c r="N72" s="146"/>
      <c r="O72" s="145"/>
      <c r="P72" s="146"/>
      <c r="Q72" s="145"/>
      <c r="R72" s="146"/>
      <c r="S72" s="145"/>
      <c r="T72" s="146"/>
      <c r="U72" s="145"/>
      <c r="V72" s="146"/>
      <c r="W72" s="145"/>
      <c r="X72" s="146"/>
      <c r="Y72" s="145"/>
      <c r="Z72" s="146"/>
      <c r="AA72" s="145"/>
      <c r="AB72" s="146"/>
      <c r="AC72" s="145"/>
      <c r="AD72" s="146"/>
      <c r="AE72" s="145"/>
      <c r="AF72" s="146"/>
      <c r="AG72" s="145"/>
      <c r="AH72" s="146"/>
      <c r="AI72" s="141"/>
      <c r="AJ72" s="123"/>
    </row>
    <row r="73" spans="2:36" s="1259" customFormat="1" outlineLevel="1">
      <c r="B73" s="1263" t="s">
        <v>236</v>
      </c>
      <c r="D73" s="1264">
        <v>44161</v>
      </c>
      <c r="E73" s="1264" t="s">
        <v>237</v>
      </c>
      <c r="F73" s="1265"/>
      <c r="G73" s="1261"/>
      <c r="H73" s="1266"/>
      <c r="I73" s="1267"/>
      <c r="J73" s="1268">
        <v>398.8</v>
      </c>
      <c r="K73" s="1267"/>
      <c r="L73" s="1268">
        <v>416.6</v>
      </c>
      <c r="M73" s="1267"/>
      <c r="N73" s="1268">
        <v>856.8</v>
      </c>
      <c r="O73" s="1267"/>
      <c r="P73" s="1268">
        <v>599.70000000000005</v>
      </c>
      <c r="Q73" s="1267"/>
      <c r="R73" s="1268">
        <v>786.9</v>
      </c>
      <c r="S73" s="1267"/>
      <c r="T73" s="1268">
        <v>655.5</v>
      </c>
      <c r="U73" s="1267"/>
      <c r="V73" s="1268">
        <v>591.29999999999995</v>
      </c>
      <c r="W73" s="1267"/>
      <c r="X73" s="1268">
        <v>793.8</v>
      </c>
      <c r="Y73" s="1267"/>
      <c r="Z73" s="1268">
        <v>462</v>
      </c>
      <c r="AA73" s="1267"/>
      <c r="AB73" s="1268">
        <v>595.79999999999995</v>
      </c>
      <c r="AC73" s="1267"/>
      <c r="AD73" s="1268">
        <v>516</v>
      </c>
      <c r="AE73" s="1267"/>
      <c r="AF73" s="1268">
        <v>589.5</v>
      </c>
      <c r="AG73" s="1267"/>
      <c r="AH73" s="1268">
        <f t="shared" ref="AH73:AH74" si="10">AF73+AD73+AB73+Z73+X73+V73+T73+R73+P73+N73+L73+J73</f>
        <v>7262.7000000000007</v>
      </c>
      <c r="AI73" s="1269">
        <f t="shared" ref="AI73:AI74" si="11">IF(AH$52=0,0,AH73/AH$52)</f>
        <v>2.2037521706436973E-3</v>
      </c>
      <c r="AJ73" s="1270"/>
    </row>
    <row r="74" spans="2:36" s="1259" customFormat="1" outlineLevel="1">
      <c r="B74" s="1263" t="s">
        <v>203</v>
      </c>
      <c r="D74" s="1264">
        <v>44168</v>
      </c>
      <c r="E74" s="1264" t="s">
        <v>238</v>
      </c>
      <c r="F74" s="1265"/>
      <c r="G74" s="1261"/>
      <c r="H74" s="1266"/>
      <c r="I74" s="1267"/>
      <c r="J74" s="1268">
        <v>0</v>
      </c>
      <c r="K74" s="1267"/>
      <c r="L74" s="1268">
        <v>0</v>
      </c>
      <c r="M74" s="1267"/>
      <c r="N74" s="1268">
        <v>0</v>
      </c>
      <c r="O74" s="1267"/>
      <c r="P74" s="1268">
        <v>0</v>
      </c>
      <c r="Q74" s="1267"/>
      <c r="R74" s="1268">
        <v>126.44</v>
      </c>
      <c r="S74" s="1267"/>
      <c r="T74" s="1268">
        <v>0</v>
      </c>
      <c r="U74" s="1267"/>
      <c r="V74" s="1268">
        <v>218.11</v>
      </c>
      <c r="W74" s="1267"/>
      <c r="X74" s="1268">
        <v>0</v>
      </c>
      <c r="Y74" s="1267"/>
      <c r="Z74" s="1268">
        <v>0</v>
      </c>
      <c r="AA74" s="1267"/>
      <c r="AB74" s="1268">
        <v>0</v>
      </c>
      <c r="AC74" s="1267"/>
      <c r="AD74" s="1268">
        <v>526.64</v>
      </c>
      <c r="AE74" s="1267"/>
      <c r="AF74" s="1268">
        <v>354.23</v>
      </c>
      <c r="AG74" s="1267"/>
      <c r="AH74" s="1268">
        <f t="shared" si="10"/>
        <v>1225.42</v>
      </c>
      <c r="AI74" s="1269">
        <f t="shared" si="11"/>
        <v>3.7183443966433964E-4</v>
      </c>
      <c r="AJ74" s="1270"/>
    </row>
    <row r="75" spans="2:36" s="115" customFormat="1" ht="5.0999999999999996" customHeight="1" outlineLevel="1">
      <c r="B75" s="108" t="s">
        <v>195</v>
      </c>
      <c r="D75" s="114"/>
      <c r="E75" s="114"/>
      <c r="F75" s="114"/>
      <c r="G75" s="114"/>
      <c r="J75" s="147"/>
      <c r="K75" s="145"/>
      <c r="L75" s="147"/>
      <c r="M75" s="145"/>
      <c r="N75" s="147"/>
      <c r="O75" s="145"/>
      <c r="P75" s="147"/>
      <c r="Q75" s="145"/>
      <c r="R75" s="147"/>
      <c r="S75" s="145"/>
      <c r="T75" s="147"/>
      <c r="U75" s="145"/>
      <c r="V75" s="147"/>
      <c r="W75" s="145"/>
      <c r="X75" s="147"/>
      <c r="Y75" s="145"/>
      <c r="Z75" s="147"/>
      <c r="AA75" s="145"/>
      <c r="AB75" s="147"/>
      <c r="AC75" s="145"/>
      <c r="AD75" s="147"/>
      <c r="AE75" s="145"/>
      <c r="AF75" s="147"/>
      <c r="AG75" s="145"/>
      <c r="AH75" s="147"/>
      <c r="AI75" s="141"/>
      <c r="AJ75" s="123"/>
    </row>
    <row r="76" spans="2:36" s="115" customFormat="1" ht="15">
      <c r="B76" s="108" t="s">
        <v>195</v>
      </c>
      <c r="F76" s="114" t="s">
        <v>239</v>
      </c>
      <c r="G76" s="151"/>
      <c r="H76" s="151"/>
      <c r="I76" s="151"/>
      <c r="J76" s="144">
        <f>SUM(J72:J75)</f>
        <v>398.8</v>
      </c>
      <c r="K76" s="145"/>
      <c r="L76" s="144">
        <f>SUM(L72:L75)</f>
        <v>416.6</v>
      </c>
      <c r="M76" s="145"/>
      <c r="N76" s="144">
        <f>SUM(N72:N75)</f>
        <v>856.8</v>
      </c>
      <c r="O76" s="145"/>
      <c r="P76" s="144">
        <f>SUM(P72:P75)</f>
        <v>599.70000000000005</v>
      </c>
      <c r="Q76" s="145"/>
      <c r="R76" s="144">
        <f>SUM(R72:R75)</f>
        <v>913.33999999999992</v>
      </c>
      <c r="S76" s="145"/>
      <c r="T76" s="144">
        <f>SUM(T72:T75)</f>
        <v>655.5</v>
      </c>
      <c r="U76" s="145"/>
      <c r="V76" s="144">
        <f>SUM(V72:V75)</f>
        <v>809.41</v>
      </c>
      <c r="W76" s="145"/>
      <c r="X76" s="144">
        <f>SUM(X72:X75)</f>
        <v>793.8</v>
      </c>
      <c r="Y76" s="145"/>
      <c r="Z76" s="144">
        <f>SUM(Z72:Z75)</f>
        <v>462</v>
      </c>
      <c r="AA76" s="145"/>
      <c r="AB76" s="144">
        <f>SUM(AB72:AB75)</f>
        <v>595.79999999999995</v>
      </c>
      <c r="AC76" s="145"/>
      <c r="AD76" s="144">
        <f>SUM(AD72:AD75)</f>
        <v>1042.6399999999999</v>
      </c>
      <c r="AE76" s="145"/>
      <c r="AF76" s="144">
        <f>SUM(AF72:AF75)</f>
        <v>943.73</v>
      </c>
      <c r="AG76" s="145"/>
      <c r="AH76" s="144">
        <f>SUM(AH72:AH75)</f>
        <v>8488.1200000000008</v>
      </c>
      <c r="AI76" s="118">
        <f>IF(AH$52=0,0,AH76/AH$52)</f>
        <v>2.5755866103080371E-3</v>
      </c>
      <c r="AJ76" s="123"/>
    </row>
    <row r="77" spans="2:36" s="115" customFormat="1" ht="9" customHeight="1" outlineLevel="1">
      <c r="B77" s="142" t="s">
        <v>195</v>
      </c>
      <c r="J77" s="146"/>
      <c r="K77" s="145"/>
      <c r="L77" s="146"/>
      <c r="M77" s="145"/>
      <c r="N77" s="146"/>
      <c r="O77" s="145"/>
      <c r="P77" s="146"/>
      <c r="Q77" s="145"/>
      <c r="R77" s="146"/>
      <c r="S77" s="145"/>
      <c r="T77" s="146"/>
      <c r="U77" s="145"/>
      <c r="V77" s="146"/>
      <c r="W77" s="145"/>
      <c r="X77" s="146"/>
      <c r="Y77" s="145"/>
      <c r="Z77" s="146"/>
      <c r="AA77" s="145"/>
      <c r="AB77" s="146"/>
      <c r="AC77" s="145"/>
      <c r="AD77" s="146"/>
      <c r="AE77" s="145"/>
      <c r="AF77" s="146"/>
      <c r="AG77" s="145"/>
      <c r="AH77" s="146"/>
      <c r="AI77" s="141"/>
      <c r="AJ77" s="123"/>
    </row>
    <row r="78" spans="2:36" s="1259" customFormat="1" outlineLevel="1">
      <c r="B78" s="1263" t="s">
        <v>240</v>
      </c>
      <c r="D78" s="1264"/>
      <c r="E78" s="1264"/>
      <c r="F78" s="1265"/>
      <c r="G78" s="1261"/>
      <c r="H78" s="1266"/>
      <c r="I78" s="1267"/>
      <c r="J78" s="1268"/>
      <c r="K78" s="1267"/>
      <c r="L78" s="1268"/>
      <c r="M78" s="1267"/>
      <c r="N78" s="1268"/>
      <c r="O78" s="1267"/>
      <c r="P78" s="1268"/>
      <c r="Q78" s="1267"/>
      <c r="R78" s="1268"/>
      <c r="S78" s="1267"/>
      <c r="T78" s="1268"/>
      <c r="U78" s="1267"/>
      <c r="V78" s="1268"/>
      <c r="W78" s="1267"/>
      <c r="X78" s="1268"/>
      <c r="Y78" s="1267"/>
      <c r="Z78" s="1268"/>
      <c r="AA78" s="1267"/>
      <c r="AB78" s="1268"/>
      <c r="AC78" s="1267"/>
      <c r="AD78" s="1268"/>
      <c r="AE78" s="1267"/>
      <c r="AF78" s="1268"/>
      <c r="AG78" s="1267"/>
      <c r="AH78" s="1268">
        <f>AF78+AD78+AB78+Z78+X78+V78+T78+R78+P78+N78+L78+J78</f>
        <v>0</v>
      </c>
      <c r="AI78" s="1269">
        <f>IF(AH$52=0,0,AH78/AH$52)</f>
        <v>0</v>
      </c>
      <c r="AJ78" s="1270"/>
    </row>
    <row r="79" spans="2:36" s="115" customFormat="1" ht="4.5" customHeight="1" outlineLevel="1">
      <c r="B79" s="115" t="s">
        <v>195</v>
      </c>
      <c r="D79" s="148"/>
      <c r="J79" s="147"/>
      <c r="K79" s="145"/>
      <c r="L79" s="147"/>
      <c r="M79" s="145"/>
      <c r="N79" s="147"/>
      <c r="O79" s="145"/>
      <c r="P79" s="147"/>
      <c r="Q79" s="145"/>
      <c r="R79" s="147"/>
      <c r="S79" s="145"/>
      <c r="T79" s="147"/>
      <c r="U79" s="145"/>
      <c r="V79" s="147"/>
      <c r="W79" s="145"/>
      <c r="X79" s="147"/>
      <c r="Y79" s="145"/>
      <c r="Z79" s="147"/>
      <c r="AA79" s="145"/>
      <c r="AB79" s="147"/>
      <c r="AC79" s="145"/>
      <c r="AD79" s="147"/>
      <c r="AE79" s="145"/>
      <c r="AF79" s="147"/>
      <c r="AG79" s="145"/>
      <c r="AH79" s="147"/>
      <c r="AI79" s="141"/>
      <c r="AJ79" s="123"/>
    </row>
    <row r="80" spans="2:36" s="115" customFormat="1" ht="15">
      <c r="B80" s="142" t="s">
        <v>195</v>
      </c>
      <c r="F80" s="115" t="s">
        <v>241</v>
      </c>
      <c r="J80" s="144">
        <f>SUM(J78:J79)</f>
        <v>0</v>
      </c>
      <c r="K80" s="145"/>
      <c r="L80" s="144">
        <f>SUM(L78:L79)</f>
        <v>0</v>
      </c>
      <c r="M80" s="145"/>
      <c r="N80" s="144">
        <f>SUM(N78:N79)</f>
        <v>0</v>
      </c>
      <c r="O80" s="145"/>
      <c r="P80" s="144">
        <f>SUM(P78:P79)</f>
        <v>0</v>
      </c>
      <c r="Q80" s="145"/>
      <c r="R80" s="144">
        <f>SUM(R78:R79)</f>
        <v>0</v>
      </c>
      <c r="S80" s="145"/>
      <c r="T80" s="144">
        <f>SUM(T78:T79)</f>
        <v>0</v>
      </c>
      <c r="U80" s="145"/>
      <c r="V80" s="144">
        <f>SUM(V78:V79)</f>
        <v>0</v>
      </c>
      <c r="W80" s="145"/>
      <c r="X80" s="144">
        <f>SUM(X78:X79)</f>
        <v>0</v>
      </c>
      <c r="Y80" s="145"/>
      <c r="Z80" s="144">
        <f>SUM(Z78:Z79)</f>
        <v>0</v>
      </c>
      <c r="AA80" s="145"/>
      <c r="AB80" s="144">
        <f>SUM(AB78:AB79)</f>
        <v>0</v>
      </c>
      <c r="AC80" s="145"/>
      <c r="AD80" s="144">
        <f>SUM(AD78:AD79)</f>
        <v>0</v>
      </c>
      <c r="AE80" s="145"/>
      <c r="AF80" s="144">
        <f>SUM(AF78:AF79)</f>
        <v>0</v>
      </c>
      <c r="AG80" s="145"/>
      <c r="AH80" s="144">
        <f>SUM(AH78:AH79)</f>
        <v>0</v>
      </c>
      <c r="AI80" s="118">
        <f>IF(AH$52=0,0,AH80/AH$52)</f>
        <v>0</v>
      </c>
      <c r="AJ80" s="123"/>
    </row>
    <row r="81" spans="2:36" s="115" customFormat="1" ht="7.5" customHeight="1">
      <c r="B81" s="108" t="s">
        <v>195</v>
      </c>
      <c r="J81" s="146"/>
      <c r="K81" s="145"/>
      <c r="L81" s="146"/>
      <c r="M81" s="145"/>
      <c r="N81" s="146"/>
      <c r="O81" s="145"/>
      <c r="P81" s="146"/>
      <c r="Q81" s="145"/>
      <c r="R81" s="146"/>
      <c r="S81" s="145"/>
      <c r="T81" s="146"/>
      <c r="U81" s="145"/>
      <c r="V81" s="146"/>
      <c r="W81" s="145"/>
      <c r="X81" s="146"/>
      <c r="Y81" s="145"/>
      <c r="Z81" s="146"/>
      <c r="AA81" s="145"/>
      <c r="AB81" s="146"/>
      <c r="AC81" s="145"/>
      <c r="AD81" s="146"/>
      <c r="AE81" s="145"/>
      <c r="AF81" s="146"/>
      <c r="AG81" s="145"/>
      <c r="AH81" s="146"/>
      <c r="AI81" s="141"/>
      <c r="AJ81" s="123"/>
    </row>
    <row r="82" spans="2:36" s="115" customFormat="1" ht="15">
      <c r="B82" s="108" t="s">
        <v>195</v>
      </c>
      <c r="E82" s="149" t="s">
        <v>242</v>
      </c>
      <c r="J82" s="150">
        <f>+J59+J70+J76+J63+J80</f>
        <v>82821.88</v>
      </c>
      <c r="K82" s="145"/>
      <c r="L82" s="150">
        <f>+L59+L70+L76+L63+L80</f>
        <v>82882.67</v>
      </c>
      <c r="M82" s="145"/>
      <c r="N82" s="150">
        <f>+N59+N70+N76+N63+N80</f>
        <v>99258.050000000017</v>
      </c>
      <c r="O82" s="145"/>
      <c r="P82" s="150">
        <f>+P59+P70+P76+P63+P80</f>
        <v>92252.06</v>
      </c>
      <c r="Q82" s="145"/>
      <c r="R82" s="150">
        <f>+R59+R70+R76+R63+R80</f>
        <v>100358.58</v>
      </c>
      <c r="S82" s="145"/>
      <c r="T82" s="150">
        <f>+T59+T70+T76+T63+T80</f>
        <v>103923.71</v>
      </c>
      <c r="U82" s="145"/>
      <c r="V82" s="150">
        <f>+V59+V70+V76+V63+V80</f>
        <v>93774.32</v>
      </c>
      <c r="W82" s="145"/>
      <c r="X82" s="150">
        <f>+X59+X70+X76+X63+X80</f>
        <v>108183.8</v>
      </c>
      <c r="Y82" s="145"/>
      <c r="Z82" s="150">
        <f>+Z59+Z70+Z76+Z63+Z80</f>
        <v>96156.33</v>
      </c>
      <c r="AA82" s="145"/>
      <c r="AB82" s="150">
        <f>+AB59+AB70+AB76+AB63+AB80</f>
        <v>104070.97</v>
      </c>
      <c r="AC82" s="145"/>
      <c r="AD82" s="150">
        <f>+AD59+AD70+AD76+AD63+AD80</f>
        <v>103981.01999999999</v>
      </c>
      <c r="AE82" s="145"/>
      <c r="AF82" s="150">
        <f>+AF59+AF70+AF76+AF63+AF80</f>
        <v>84645.34</v>
      </c>
      <c r="AG82" s="145"/>
      <c r="AH82" s="150">
        <f>+AH59+AH70+AH76+AH63+AH80</f>
        <v>1152308.73</v>
      </c>
      <c r="AI82" s="118">
        <f>IF(AH$52=0,0,AH82/AH$52)</f>
        <v>0.3496499738374409</v>
      </c>
      <c r="AJ82" s="123"/>
    </row>
    <row r="83" spans="2:36" s="115" customFormat="1" ht="7.5" customHeight="1">
      <c r="B83" s="108" t="s">
        <v>195</v>
      </c>
      <c r="J83" s="146"/>
      <c r="K83" s="145"/>
      <c r="L83" s="146"/>
      <c r="M83" s="145"/>
      <c r="N83" s="146"/>
      <c r="O83" s="145"/>
      <c r="P83" s="146"/>
      <c r="Q83" s="145"/>
      <c r="R83" s="146"/>
      <c r="S83" s="145"/>
      <c r="T83" s="146"/>
      <c r="U83" s="145"/>
      <c r="V83" s="146"/>
      <c r="W83" s="145"/>
      <c r="X83" s="146"/>
      <c r="Y83" s="145"/>
      <c r="Z83" s="146"/>
      <c r="AA83" s="145"/>
      <c r="AB83" s="146"/>
      <c r="AC83" s="145"/>
      <c r="AD83" s="146"/>
      <c r="AE83" s="145"/>
      <c r="AF83" s="146"/>
      <c r="AG83" s="145"/>
      <c r="AH83" s="146"/>
      <c r="AI83" s="141"/>
      <c r="AJ83" s="123"/>
    </row>
    <row r="84" spans="2:36" s="115" customFormat="1" ht="15">
      <c r="B84" s="108" t="s">
        <v>195</v>
      </c>
      <c r="E84" s="152" t="s">
        <v>243</v>
      </c>
      <c r="J84" s="150">
        <f>J52-J82</f>
        <v>166030.09000000003</v>
      </c>
      <c r="K84" s="145"/>
      <c r="L84" s="150">
        <f>L52-L82</f>
        <v>166587.65000000002</v>
      </c>
      <c r="M84" s="145"/>
      <c r="N84" s="150">
        <f>N52-N82</f>
        <v>163386.82999999999</v>
      </c>
      <c r="O84" s="145"/>
      <c r="P84" s="150">
        <f>P52-P82</f>
        <v>174830.62999999995</v>
      </c>
      <c r="Q84" s="145"/>
      <c r="R84" s="150">
        <f>R52-R82</f>
        <v>177238.41999999998</v>
      </c>
      <c r="S84" s="145"/>
      <c r="T84" s="150">
        <f>T52-T82</f>
        <v>178066.28999999998</v>
      </c>
      <c r="U84" s="145"/>
      <c r="V84" s="150">
        <f>V52-V82</f>
        <v>190125.99999999994</v>
      </c>
      <c r="W84" s="145"/>
      <c r="X84" s="150">
        <f>X52-X82</f>
        <v>185269.86</v>
      </c>
      <c r="Y84" s="145"/>
      <c r="Z84" s="150">
        <f>Z52-Z82</f>
        <v>195744.90999999997</v>
      </c>
      <c r="AA84" s="145"/>
      <c r="AB84" s="150">
        <f>AB52-AB82</f>
        <v>189981.94999999998</v>
      </c>
      <c r="AC84" s="145"/>
      <c r="AD84" s="150">
        <f>AD52-AD82</f>
        <v>172132.93999999992</v>
      </c>
      <c r="AE84" s="145"/>
      <c r="AF84" s="150">
        <f>AF52-AF82</f>
        <v>183902.21</v>
      </c>
      <c r="AG84" s="145"/>
      <c r="AH84" s="150">
        <f>AH52-AH82</f>
        <v>2143297.7800000003</v>
      </c>
      <c r="AI84" s="118">
        <f>IF(AH$52=0,0,AH84/AH$52)</f>
        <v>0.6503500261625591</v>
      </c>
      <c r="AJ84" s="123"/>
    </row>
    <row r="85" spans="2:36" s="115" customFormat="1" ht="7.5" customHeight="1">
      <c r="B85" s="108" t="s">
        <v>195</v>
      </c>
      <c r="J85" s="146"/>
      <c r="K85" s="145"/>
      <c r="L85" s="146"/>
      <c r="M85" s="145"/>
      <c r="N85" s="146"/>
      <c r="O85" s="145"/>
      <c r="P85" s="146"/>
      <c r="Q85" s="145"/>
      <c r="R85" s="146"/>
      <c r="S85" s="145"/>
      <c r="T85" s="146"/>
      <c r="U85" s="145"/>
      <c r="V85" s="146"/>
      <c r="W85" s="145"/>
      <c r="X85" s="146"/>
      <c r="Y85" s="145"/>
      <c r="Z85" s="146"/>
      <c r="AA85" s="145"/>
      <c r="AB85" s="146"/>
      <c r="AC85" s="145"/>
      <c r="AD85" s="146"/>
      <c r="AE85" s="145"/>
      <c r="AF85" s="146"/>
      <c r="AG85" s="145"/>
      <c r="AH85" s="146"/>
      <c r="AI85" s="141"/>
      <c r="AJ85" s="123"/>
    </row>
    <row r="86" spans="2:36" s="115" customFormat="1" ht="6.75" customHeight="1" outlineLevel="1">
      <c r="B86" s="108"/>
      <c r="J86" s="146"/>
      <c r="K86" s="145"/>
      <c r="L86" s="146"/>
      <c r="M86" s="145"/>
      <c r="N86" s="146"/>
      <c r="O86" s="145"/>
      <c r="P86" s="146"/>
      <c r="Q86" s="145"/>
      <c r="R86" s="146"/>
      <c r="S86" s="145"/>
      <c r="T86" s="146"/>
      <c r="U86" s="145"/>
      <c r="V86" s="146"/>
      <c r="W86" s="145"/>
      <c r="X86" s="146"/>
      <c r="Y86" s="145"/>
      <c r="Z86" s="146"/>
      <c r="AA86" s="145"/>
      <c r="AB86" s="146"/>
      <c r="AC86" s="145"/>
      <c r="AD86" s="146"/>
      <c r="AE86" s="145"/>
      <c r="AF86" s="146"/>
      <c r="AG86" s="145"/>
      <c r="AH86" s="146"/>
      <c r="AI86" s="141"/>
      <c r="AJ86" s="123"/>
    </row>
    <row r="87" spans="2:36" s="1259" customFormat="1" outlineLevel="1">
      <c r="B87" s="1263" t="s">
        <v>244</v>
      </c>
      <c r="D87" s="1264">
        <v>50020</v>
      </c>
      <c r="E87" s="1264" t="s">
        <v>40</v>
      </c>
      <c r="F87" s="1265"/>
      <c r="G87" s="1261"/>
      <c r="H87" s="1266"/>
      <c r="I87" s="1267"/>
      <c r="J87" s="1268">
        <v>35242.370000000003</v>
      </c>
      <c r="K87" s="1267"/>
      <c r="L87" s="1268">
        <v>28918.47</v>
      </c>
      <c r="M87" s="1267"/>
      <c r="N87" s="1268">
        <v>32065.19</v>
      </c>
      <c r="O87" s="1267"/>
      <c r="P87" s="1268">
        <v>31613.67</v>
      </c>
      <c r="Q87" s="1267"/>
      <c r="R87" s="1268">
        <v>32803.68</v>
      </c>
      <c r="S87" s="1267"/>
      <c r="T87" s="1268">
        <v>30437.83</v>
      </c>
      <c r="U87" s="1267"/>
      <c r="V87" s="1268">
        <v>32464.080000000002</v>
      </c>
      <c r="W87" s="1267"/>
      <c r="X87" s="1268">
        <v>34280.93</v>
      </c>
      <c r="Y87" s="1267"/>
      <c r="Z87" s="1268">
        <v>34048</v>
      </c>
      <c r="AA87" s="1267"/>
      <c r="AB87" s="1268">
        <v>32961.51</v>
      </c>
      <c r="AC87" s="1267"/>
      <c r="AD87" s="1268">
        <v>34636.04</v>
      </c>
      <c r="AE87" s="1267"/>
      <c r="AF87" s="1268">
        <v>33492.42</v>
      </c>
      <c r="AG87" s="1267"/>
      <c r="AH87" s="1268">
        <f t="shared" ref="AH87:AH96" si="12">AF87+AD87+AB87+Z87+X87+V87+T87+R87+P87+N87+L87+J87</f>
        <v>392964.18999999994</v>
      </c>
      <c r="AI87" s="1269">
        <f t="shared" ref="AI87:AI96" si="13">IF(AH$52=0,0,AH87/AH$52)</f>
        <v>0.11923880742667908</v>
      </c>
      <c r="AJ87" s="1270"/>
    </row>
    <row r="88" spans="2:36" s="1259" customFormat="1" outlineLevel="1">
      <c r="B88" s="1263" t="s">
        <v>203</v>
      </c>
      <c r="D88" s="1264">
        <v>50025</v>
      </c>
      <c r="E88" s="1264" t="s">
        <v>41</v>
      </c>
      <c r="F88" s="1265"/>
      <c r="G88" s="1261"/>
      <c r="H88" s="1266"/>
      <c r="I88" s="1267"/>
      <c r="J88" s="1268">
        <v>6965.61</v>
      </c>
      <c r="K88" s="1267"/>
      <c r="L88" s="1268">
        <v>5577.71</v>
      </c>
      <c r="M88" s="1267"/>
      <c r="N88" s="1268">
        <v>3248.78</v>
      </c>
      <c r="O88" s="1267"/>
      <c r="P88" s="1268">
        <v>2970.12</v>
      </c>
      <c r="Q88" s="1267"/>
      <c r="R88" s="1268">
        <v>2020.74</v>
      </c>
      <c r="S88" s="1267"/>
      <c r="T88" s="1268">
        <v>3188.78</v>
      </c>
      <c r="U88" s="1267"/>
      <c r="V88" s="1268">
        <v>3001.15</v>
      </c>
      <c r="W88" s="1267"/>
      <c r="X88" s="1268">
        <v>3936.15</v>
      </c>
      <c r="Y88" s="1267"/>
      <c r="Z88" s="1268">
        <v>3163.72</v>
      </c>
      <c r="AA88" s="1267"/>
      <c r="AB88" s="1268">
        <v>2714.91</v>
      </c>
      <c r="AC88" s="1267"/>
      <c r="AD88" s="1268">
        <v>2668.25</v>
      </c>
      <c r="AE88" s="1267"/>
      <c r="AF88" s="1268">
        <v>3317.55</v>
      </c>
      <c r="AG88" s="1267"/>
      <c r="AH88" s="1268">
        <f t="shared" si="12"/>
        <v>42773.47</v>
      </c>
      <c r="AI88" s="1269">
        <f t="shared" si="13"/>
        <v>1.2978937221482792E-2</v>
      </c>
      <c r="AJ88" s="1270"/>
    </row>
    <row r="89" spans="2:36" s="1259" customFormat="1" outlineLevel="1">
      <c r="B89" s="1263" t="s">
        <v>203</v>
      </c>
      <c r="D89" s="1264">
        <v>50035</v>
      </c>
      <c r="E89" s="1264" t="s">
        <v>42</v>
      </c>
      <c r="F89" s="1265"/>
      <c r="G89" s="1261"/>
      <c r="H89" s="1266"/>
      <c r="I89" s="1267"/>
      <c r="J89" s="1268">
        <v>1205</v>
      </c>
      <c r="K89" s="1267"/>
      <c r="L89" s="1268">
        <v>1249</v>
      </c>
      <c r="M89" s="1267"/>
      <c r="N89" s="1268">
        <v>1168</v>
      </c>
      <c r="O89" s="1267"/>
      <c r="P89" s="1268">
        <v>1000</v>
      </c>
      <c r="Q89" s="1267"/>
      <c r="R89" s="1268">
        <v>1568</v>
      </c>
      <c r="S89" s="1267"/>
      <c r="T89" s="1268">
        <v>1157</v>
      </c>
      <c r="U89" s="1267"/>
      <c r="V89" s="1268">
        <v>851</v>
      </c>
      <c r="W89" s="1267"/>
      <c r="X89" s="1268">
        <v>1250</v>
      </c>
      <c r="Y89" s="1267"/>
      <c r="Z89" s="1268">
        <v>725</v>
      </c>
      <c r="AA89" s="1267"/>
      <c r="AB89" s="1268">
        <v>1500</v>
      </c>
      <c r="AC89" s="1267"/>
      <c r="AD89" s="1268">
        <v>1330</v>
      </c>
      <c r="AE89" s="1267"/>
      <c r="AF89" s="1268">
        <v>1330</v>
      </c>
      <c r="AG89" s="1267"/>
      <c r="AH89" s="1268">
        <f t="shared" si="12"/>
        <v>14333</v>
      </c>
      <c r="AI89" s="1269">
        <f t="shared" si="13"/>
        <v>4.3491235851454849E-3</v>
      </c>
      <c r="AJ89" s="1270"/>
    </row>
    <row r="90" spans="2:36" s="1259" customFormat="1" outlineLevel="1">
      <c r="B90" s="1263" t="s">
        <v>203</v>
      </c>
      <c r="D90" s="1264">
        <v>50050</v>
      </c>
      <c r="E90" s="1264" t="s">
        <v>168</v>
      </c>
      <c r="F90" s="1265"/>
      <c r="G90" s="1261"/>
      <c r="H90" s="1266"/>
      <c r="I90" s="1267"/>
      <c r="J90" s="1268">
        <v>4111.88</v>
      </c>
      <c r="K90" s="1267"/>
      <c r="L90" s="1268">
        <v>2939.02</v>
      </c>
      <c r="M90" s="1267"/>
      <c r="N90" s="1268">
        <v>3201.67</v>
      </c>
      <c r="O90" s="1267"/>
      <c r="P90" s="1268">
        <v>2813.24</v>
      </c>
      <c r="Q90" s="1267"/>
      <c r="R90" s="1268">
        <v>2998.87</v>
      </c>
      <c r="S90" s="1267"/>
      <c r="T90" s="1268">
        <v>2887.71</v>
      </c>
      <c r="U90" s="1267"/>
      <c r="V90" s="1268">
        <v>3003.5</v>
      </c>
      <c r="W90" s="1267"/>
      <c r="X90" s="1268">
        <v>3352.68</v>
      </c>
      <c r="Y90" s="1267"/>
      <c r="Z90" s="1268">
        <v>3112.74</v>
      </c>
      <c r="AA90" s="1267"/>
      <c r="AB90" s="1268">
        <v>3067.78</v>
      </c>
      <c r="AC90" s="1267"/>
      <c r="AD90" s="1268">
        <v>3263.91</v>
      </c>
      <c r="AE90" s="1267"/>
      <c r="AF90" s="1268">
        <v>3824.61</v>
      </c>
      <c r="AG90" s="1267"/>
      <c r="AH90" s="1268">
        <f t="shared" si="12"/>
        <v>38577.609999999993</v>
      </c>
      <c r="AI90" s="1269">
        <f t="shared" si="13"/>
        <v>1.1705769448792596E-2</v>
      </c>
      <c r="AJ90" s="1270"/>
    </row>
    <row r="91" spans="2:36" s="1259" customFormat="1" outlineLevel="1">
      <c r="B91" s="1263" t="s">
        <v>203</v>
      </c>
      <c r="D91" s="1264">
        <v>50060</v>
      </c>
      <c r="E91" s="1264" t="s">
        <v>125</v>
      </c>
      <c r="F91" s="1265"/>
      <c r="G91" s="1261"/>
      <c r="H91" s="1266"/>
      <c r="I91" s="1267"/>
      <c r="J91" s="1268">
        <v>7614.74</v>
      </c>
      <c r="K91" s="1267"/>
      <c r="L91" s="1268">
        <v>7614.74</v>
      </c>
      <c r="M91" s="1267"/>
      <c r="N91" s="1268">
        <v>6614.74</v>
      </c>
      <c r="O91" s="1267"/>
      <c r="P91" s="1268">
        <v>7815.98</v>
      </c>
      <c r="Q91" s="1267"/>
      <c r="R91" s="1268">
        <v>5723.97</v>
      </c>
      <c r="S91" s="1267"/>
      <c r="T91" s="1268">
        <v>6710.64</v>
      </c>
      <c r="U91" s="1267"/>
      <c r="V91" s="1268">
        <v>7790.38</v>
      </c>
      <c r="W91" s="1267"/>
      <c r="X91" s="1268">
        <v>7790.94</v>
      </c>
      <c r="Y91" s="1267"/>
      <c r="Z91" s="1268">
        <v>7790.94</v>
      </c>
      <c r="AA91" s="1267"/>
      <c r="AB91" s="1268">
        <v>6305.16</v>
      </c>
      <c r="AC91" s="1267"/>
      <c r="AD91" s="1268">
        <v>7538.39</v>
      </c>
      <c r="AE91" s="1267"/>
      <c r="AF91" s="1268">
        <v>7539.82</v>
      </c>
      <c r="AG91" s="1267"/>
      <c r="AH91" s="1268">
        <f t="shared" si="12"/>
        <v>86850.440000000017</v>
      </c>
      <c r="AI91" s="1269">
        <f t="shared" si="13"/>
        <v>2.6353401031484189E-2</v>
      </c>
      <c r="AJ91" s="1270"/>
    </row>
    <row r="92" spans="2:36" s="1259" customFormat="1" outlineLevel="1">
      <c r="B92" s="1263" t="s">
        <v>203</v>
      </c>
      <c r="D92" s="1264">
        <v>50065</v>
      </c>
      <c r="E92" s="1264" t="s">
        <v>37</v>
      </c>
      <c r="F92" s="1265"/>
      <c r="G92" s="1261"/>
      <c r="H92" s="1266"/>
      <c r="I92" s="1267"/>
      <c r="J92" s="1268">
        <v>2607.16</v>
      </c>
      <c r="K92" s="1267"/>
      <c r="L92" s="1268">
        <v>1925.51</v>
      </c>
      <c r="M92" s="1267"/>
      <c r="N92" s="1268">
        <v>2825.58</v>
      </c>
      <c r="O92" s="1267"/>
      <c r="P92" s="1268">
        <v>340.22</v>
      </c>
      <c r="Q92" s="1267"/>
      <c r="R92" s="1268">
        <v>1519.93</v>
      </c>
      <c r="S92" s="1267"/>
      <c r="T92" s="1268">
        <v>1208.33</v>
      </c>
      <c r="U92" s="1267"/>
      <c r="V92" s="1268">
        <v>2874.07</v>
      </c>
      <c r="W92" s="1267"/>
      <c r="X92" s="1268">
        <v>2419</v>
      </c>
      <c r="Y92" s="1267"/>
      <c r="Z92" s="1268">
        <v>-729.29</v>
      </c>
      <c r="AA92" s="1267"/>
      <c r="AB92" s="1268">
        <v>3643.75</v>
      </c>
      <c r="AC92" s="1267"/>
      <c r="AD92" s="1268">
        <v>1886.54</v>
      </c>
      <c r="AE92" s="1267"/>
      <c r="AF92" s="1268">
        <v>2609.5100000000002</v>
      </c>
      <c r="AG92" s="1267"/>
      <c r="AH92" s="1268">
        <f t="shared" si="12"/>
        <v>23130.309999999998</v>
      </c>
      <c r="AI92" s="1269">
        <f t="shared" si="13"/>
        <v>7.018529041563277E-3</v>
      </c>
      <c r="AJ92" s="1270"/>
    </row>
    <row r="93" spans="2:36" s="1259" customFormat="1" outlineLevel="1">
      <c r="B93" s="1263" t="s">
        <v>203</v>
      </c>
      <c r="D93" s="1264">
        <v>50070</v>
      </c>
      <c r="E93" s="1264" t="s">
        <v>38</v>
      </c>
      <c r="F93" s="1265"/>
      <c r="G93" s="1261"/>
      <c r="H93" s="1266"/>
      <c r="I93" s="1267"/>
      <c r="J93" s="1268">
        <v>2921.65</v>
      </c>
      <c r="K93" s="1267"/>
      <c r="L93" s="1268">
        <v>1724.77</v>
      </c>
      <c r="M93" s="1267"/>
      <c r="N93" s="1268">
        <v>-168.69</v>
      </c>
      <c r="O93" s="1267"/>
      <c r="P93" s="1268">
        <v>202.9</v>
      </c>
      <c r="Q93" s="1267"/>
      <c r="R93" s="1268">
        <v>1834.55</v>
      </c>
      <c r="S93" s="1267"/>
      <c r="T93" s="1268">
        <v>459.07</v>
      </c>
      <c r="U93" s="1267"/>
      <c r="V93" s="1268">
        <v>438.24</v>
      </c>
      <c r="W93" s="1267"/>
      <c r="X93" s="1268">
        <v>284.06</v>
      </c>
      <c r="Y93" s="1267"/>
      <c r="Z93" s="1268">
        <v>0</v>
      </c>
      <c r="AA93" s="1267"/>
      <c r="AB93" s="1268">
        <v>0</v>
      </c>
      <c r="AC93" s="1267"/>
      <c r="AD93" s="1268">
        <v>0</v>
      </c>
      <c r="AE93" s="1267"/>
      <c r="AF93" s="1268">
        <v>779.3</v>
      </c>
      <c r="AG93" s="1267"/>
      <c r="AH93" s="1268">
        <f t="shared" si="12"/>
        <v>8475.85</v>
      </c>
      <c r="AI93" s="1269">
        <f t="shared" si="13"/>
        <v>2.5718634716497147E-3</v>
      </c>
      <c r="AJ93" s="1270"/>
    </row>
    <row r="94" spans="2:36" s="1259" customFormat="1" outlineLevel="1">
      <c r="B94" s="1263" t="s">
        <v>203</v>
      </c>
      <c r="D94" s="1264">
        <v>50086</v>
      </c>
      <c r="E94" s="1264" t="s">
        <v>245</v>
      </c>
      <c r="F94" s="1265"/>
      <c r="G94" s="1261"/>
      <c r="H94" s="1266"/>
      <c r="I94" s="1267"/>
      <c r="J94" s="1268">
        <v>1191.3800000000001</v>
      </c>
      <c r="K94" s="1267"/>
      <c r="L94" s="1268">
        <v>755.5</v>
      </c>
      <c r="M94" s="1267"/>
      <c r="N94" s="1268">
        <v>148.75</v>
      </c>
      <c r="O94" s="1267"/>
      <c r="P94" s="1268">
        <v>2040.25</v>
      </c>
      <c r="Q94" s="1267"/>
      <c r="R94" s="1268">
        <v>1038.56</v>
      </c>
      <c r="S94" s="1267"/>
      <c r="T94" s="1268">
        <v>428.8</v>
      </c>
      <c r="U94" s="1267"/>
      <c r="V94" s="1268">
        <v>176.13</v>
      </c>
      <c r="W94" s="1267"/>
      <c r="X94" s="1268">
        <v>0</v>
      </c>
      <c r="Y94" s="1267"/>
      <c r="Z94" s="1268">
        <v>634.25</v>
      </c>
      <c r="AA94" s="1267"/>
      <c r="AB94" s="1268">
        <v>194.25</v>
      </c>
      <c r="AC94" s="1267"/>
      <c r="AD94" s="1268">
        <v>194.25</v>
      </c>
      <c r="AE94" s="1267"/>
      <c r="AF94" s="1268">
        <v>211.77</v>
      </c>
      <c r="AG94" s="1267"/>
      <c r="AH94" s="1268">
        <f t="shared" si="12"/>
        <v>7013.89</v>
      </c>
      <c r="AI94" s="1269">
        <f t="shared" si="13"/>
        <v>2.128254686570576E-3</v>
      </c>
      <c r="AJ94" s="1270"/>
    </row>
    <row r="95" spans="2:36" s="1259" customFormat="1" outlineLevel="1">
      <c r="B95" s="1263" t="s">
        <v>203</v>
      </c>
      <c r="D95" s="1264">
        <v>50090</v>
      </c>
      <c r="E95" s="1264" t="s">
        <v>55</v>
      </c>
      <c r="F95" s="1265"/>
      <c r="G95" s="1261"/>
      <c r="H95" s="1266"/>
      <c r="I95" s="1267"/>
      <c r="J95" s="1268">
        <v>809.55</v>
      </c>
      <c r="K95" s="1267"/>
      <c r="L95" s="1268">
        <v>405.87</v>
      </c>
      <c r="M95" s="1267"/>
      <c r="N95" s="1268">
        <v>1693.1</v>
      </c>
      <c r="O95" s="1267"/>
      <c r="P95" s="1268">
        <v>847.7</v>
      </c>
      <c r="Q95" s="1267"/>
      <c r="R95" s="1268">
        <v>1651.68</v>
      </c>
      <c r="S95" s="1267"/>
      <c r="T95" s="1268">
        <v>983.96</v>
      </c>
      <c r="U95" s="1267"/>
      <c r="V95" s="1268">
        <v>1348.21</v>
      </c>
      <c r="W95" s="1267"/>
      <c r="X95" s="1268">
        <v>487.09</v>
      </c>
      <c r="Y95" s="1267"/>
      <c r="Z95" s="1268">
        <v>606.88</v>
      </c>
      <c r="AA95" s="1267"/>
      <c r="AB95" s="1268">
        <v>1058.94</v>
      </c>
      <c r="AC95" s="1267"/>
      <c r="AD95" s="1268">
        <v>1986.71</v>
      </c>
      <c r="AE95" s="1267"/>
      <c r="AF95" s="1268">
        <v>731.14</v>
      </c>
      <c r="AG95" s="1267"/>
      <c r="AH95" s="1268">
        <f t="shared" si="12"/>
        <v>12610.830000000002</v>
      </c>
      <c r="AI95" s="1269">
        <f t="shared" si="13"/>
        <v>3.8265581651615323E-3</v>
      </c>
      <c r="AJ95" s="1270"/>
    </row>
    <row r="96" spans="2:36" s="1259" customFormat="1" outlineLevel="1">
      <c r="B96" s="1263" t="s">
        <v>203</v>
      </c>
      <c r="D96" s="1264">
        <v>50115</v>
      </c>
      <c r="E96" s="1264" t="s">
        <v>246</v>
      </c>
      <c r="F96" s="1265"/>
      <c r="G96" s="1261"/>
      <c r="H96" s="1266"/>
      <c r="I96" s="1267"/>
      <c r="J96" s="1268">
        <v>413.52</v>
      </c>
      <c r="K96" s="1267"/>
      <c r="L96" s="1268">
        <v>361.55</v>
      </c>
      <c r="M96" s="1267"/>
      <c r="N96" s="1268">
        <v>346.68</v>
      </c>
      <c r="O96" s="1267"/>
      <c r="P96" s="1268">
        <v>351.09</v>
      </c>
      <c r="Q96" s="1267"/>
      <c r="R96" s="1268">
        <v>514.82000000000005</v>
      </c>
      <c r="S96" s="1267"/>
      <c r="T96" s="1268">
        <v>356.59</v>
      </c>
      <c r="U96" s="1267"/>
      <c r="V96" s="1268">
        <v>434.13</v>
      </c>
      <c r="W96" s="1267"/>
      <c r="X96" s="1268">
        <v>417.79</v>
      </c>
      <c r="Y96" s="1267"/>
      <c r="Z96" s="1268">
        <v>447.32</v>
      </c>
      <c r="AA96" s="1267"/>
      <c r="AB96" s="1268">
        <v>582.29</v>
      </c>
      <c r="AC96" s="1267"/>
      <c r="AD96" s="1268">
        <v>377.97</v>
      </c>
      <c r="AE96" s="1267"/>
      <c r="AF96" s="1268">
        <v>480.78</v>
      </c>
      <c r="AG96" s="1267"/>
      <c r="AH96" s="1268">
        <f t="shared" si="12"/>
        <v>5084.5300000000007</v>
      </c>
      <c r="AI96" s="1269">
        <f t="shared" si="13"/>
        <v>1.5428207173920168E-3</v>
      </c>
      <c r="AJ96" s="1270"/>
    </row>
    <row r="97" spans="2:36" s="115" customFormat="1" ht="5.0999999999999996" customHeight="1" outlineLevel="1">
      <c r="B97" s="142" t="s">
        <v>195</v>
      </c>
      <c r="D97" s="114"/>
      <c r="E97" s="114"/>
      <c r="F97" s="114"/>
      <c r="G97" s="114"/>
      <c r="J97" s="147"/>
      <c r="K97" s="145"/>
      <c r="L97" s="147"/>
      <c r="M97" s="145"/>
      <c r="N97" s="147"/>
      <c r="O97" s="145"/>
      <c r="P97" s="147"/>
      <c r="Q97" s="145"/>
      <c r="R97" s="147"/>
      <c r="S97" s="145"/>
      <c r="T97" s="147"/>
      <c r="U97" s="145"/>
      <c r="V97" s="147"/>
      <c r="W97" s="145"/>
      <c r="X97" s="147"/>
      <c r="Y97" s="145"/>
      <c r="Z97" s="147"/>
      <c r="AA97" s="145"/>
      <c r="AB97" s="147"/>
      <c r="AC97" s="145"/>
      <c r="AD97" s="147"/>
      <c r="AE97" s="145"/>
      <c r="AF97" s="147"/>
      <c r="AG97" s="145"/>
      <c r="AH97" s="147"/>
      <c r="AI97" s="141"/>
      <c r="AJ97" s="123"/>
    </row>
    <row r="98" spans="2:36" s="115" customFormat="1" ht="15">
      <c r="B98" s="142" t="s">
        <v>195</v>
      </c>
      <c r="F98" s="114" t="s">
        <v>247</v>
      </c>
      <c r="J98" s="144">
        <f>SUM(J86:J97)</f>
        <v>63082.859999999993</v>
      </c>
      <c r="K98" s="145"/>
      <c r="L98" s="144">
        <f>SUM(L86:L97)</f>
        <v>51472.14</v>
      </c>
      <c r="M98" s="145"/>
      <c r="N98" s="144">
        <f>SUM(N86:N97)</f>
        <v>51143.799999999996</v>
      </c>
      <c r="O98" s="145"/>
      <c r="P98" s="144">
        <f>SUM(P86:P97)</f>
        <v>49995.169999999991</v>
      </c>
      <c r="Q98" s="145"/>
      <c r="R98" s="144">
        <f>SUM(R86:R97)</f>
        <v>51674.8</v>
      </c>
      <c r="S98" s="145"/>
      <c r="T98" s="144">
        <f>SUM(T86:T97)</f>
        <v>47818.71</v>
      </c>
      <c r="U98" s="145"/>
      <c r="V98" s="144">
        <f>SUM(V86:V97)</f>
        <v>52380.889999999992</v>
      </c>
      <c r="W98" s="145"/>
      <c r="X98" s="144">
        <f>SUM(X86:X97)</f>
        <v>54218.64</v>
      </c>
      <c r="Y98" s="145"/>
      <c r="Z98" s="144">
        <f>SUM(Z86:Z97)</f>
        <v>49799.56</v>
      </c>
      <c r="AA98" s="145"/>
      <c r="AB98" s="144">
        <f>SUM(AB86:AB97)</f>
        <v>52028.590000000004</v>
      </c>
      <c r="AC98" s="145"/>
      <c r="AD98" s="144">
        <f>SUM(AD86:AD97)</f>
        <v>53882.06</v>
      </c>
      <c r="AE98" s="145"/>
      <c r="AF98" s="144">
        <f>SUM(AF86:AF97)</f>
        <v>54316.9</v>
      </c>
      <c r="AG98" s="145"/>
      <c r="AH98" s="144">
        <f>SUM(AH86:AH97)</f>
        <v>631814.12</v>
      </c>
      <c r="AI98" s="118">
        <f>IF(AH$52=0,0,AH98/AH$52)</f>
        <v>0.19171406479592126</v>
      </c>
      <c r="AJ98" s="123"/>
    </row>
    <row r="99" spans="2:36" s="115" customFormat="1" ht="15" outlineLevel="1">
      <c r="J99" s="146"/>
      <c r="K99" s="145"/>
      <c r="L99" s="146"/>
      <c r="M99" s="145"/>
      <c r="N99" s="146"/>
      <c r="O99" s="145"/>
      <c r="P99" s="146"/>
      <c r="Q99" s="145"/>
      <c r="R99" s="146"/>
      <c r="S99" s="145"/>
      <c r="T99" s="146"/>
      <c r="U99" s="145"/>
      <c r="V99" s="146"/>
      <c r="W99" s="145"/>
      <c r="X99" s="146"/>
      <c r="Y99" s="145"/>
      <c r="Z99" s="146"/>
      <c r="AA99" s="145"/>
      <c r="AB99" s="146"/>
      <c r="AC99" s="145"/>
      <c r="AD99" s="146"/>
      <c r="AE99" s="145"/>
      <c r="AF99" s="146"/>
      <c r="AG99" s="145"/>
      <c r="AH99" s="146"/>
      <c r="AI99" s="141"/>
      <c r="AJ99" s="123"/>
    </row>
    <row r="100" spans="2:36" s="1259" customFormat="1" outlineLevel="1">
      <c r="B100" s="1263" t="s">
        <v>248</v>
      </c>
      <c r="D100" s="1264">
        <v>51295</v>
      </c>
      <c r="E100" s="1264" t="s">
        <v>166</v>
      </c>
      <c r="F100" s="1265"/>
      <c r="G100" s="1261"/>
      <c r="H100" s="1266"/>
      <c r="I100" s="1267"/>
      <c r="J100" s="1268">
        <v>852.62</v>
      </c>
      <c r="K100" s="1267"/>
      <c r="L100" s="1268">
        <v>897.37</v>
      </c>
      <c r="M100" s="1267"/>
      <c r="N100" s="1268">
        <v>852.62</v>
      </c>
      <c r="O100" s="1267"/>
      <c r="P100" s="1268">
        <v>852.62</v>
      </c>
      <c r="Q100" s="1267"/>
      <c r="R100" s="1268">
        <v>852.62</v>
      </c>
      <c r="S100" s="1267"/>
      <c r="T100" s="1268">
        <v>852.62</v>
      </c>
      <c r="U100" s="1267"/>
      <c r="V100" s="1268">
        <v>852.62</v>
      </c>
      <c r="W100" s="1267"/>
      <c r="X100" s="1268">
        <v>852.62</v>
      </c>
      <c r="Y100" s="1267"/>
      <c r="Z100" s="1268">
        <v>2362.39</v>
      </c>
      <c r="AA100" s="1267"/>
      <c r="AB100" s="1268">
        <v>-516.62</v>
      </c>
      <c r="AC100" s="1267"/>
      <c r="AD100" s="1268">
        <v>1162.6199999999999</v>
      </c>
      <c r="AE100" s="1267"/>
      <c r="AF100" s="1268">
        <v>852.62</v>
      </c>
      <c r="AG100" s="1267"/>
      <c r="AH100" s="1268">
        <f>AF100+AD100+AB100+Z100+X100+V100+T100+R100+P100+N100+L100+J100</f>
        <v>10726.720000000001</v>
      </c>
      <c r="AI100" s="1269">
        <f>IF(AH$52=0,0,AH100/AH$52)</f>
        <v>3.2548545973105267E-3</v>
      </c>
      <c r="AJ100" s="1270"/>
    </row>
    <row r="101" spans="2:36" s="115" customFormat="1" ht="5.0999999999999996" customHeight="1" outlineLevel="1">
      <c r="B101" s="108" t="s">
        <v>195</v>
      </c>
      <c r="D101" s="114"/>
      <c r="E101" s="114"/>
      <c r="F101" s="114"/>
      <c r="G101" s="114"/>
      <c r="J101" s="147"/>
      <c r="K101" s="145"/>
      <c r="L101" s="147"/>
      <c r="M101" s="145"/>
      <c r="N101" s="147"/>
      <c r="O101" s="145"/>
      <c r="P101" s="147"/>
      <c r="Q101" s="145"/>
      <c r="R101" s="147"/>
      <c r="S101" s="145"/>
      <c r="T101" s="147"/>
      <c r="U101" s="145"/>
      <c r="V101" s="147"/>
      <c r="W101" s="145"/>
      <c r="X101" s="147"/>
      <c r="Y101" s="145"/>
      <c r="Z101" s="147"/>
      <c r="AA101" s="145"/>
      <c r="AB101" s="147"/>
      <c r="AC101" s="145"/>
      <c r="AD101" s="147"/>
      <c r="AE101" s="145"/>
      <c r="AF101" s="147"/>
      <c r="AG101" s="145"/>
      <c r="AH101" s="147"/>
      <c r="AI101" s="141"/>
      <c r="AJ101" s="123"/>
    </row>
    <row r="102" spans="2:36" s="115" customFormat="1" ht="15">
      <c r="B102" s="108"/>
      <c r="F102" s="114" t="s">
        <v>249</v>
      </c>
      <c r="J102" s="144">
        <f>SUM(J100:J101)</f>
        <v>852.62</v>
      </c>
      <c r="K102" s="145"/>
      <c r="L102" s="144">
        <f>SUM(L100:L101)</f>
        <v>897.37</v>
      </c>
      <c r="M102" s="145"/>
      <c r="N102" s="144">
        <f>SUM(N100:N101)</f>
        <v>852.62</v>
      </c>
      <c r="O102" s="145"/>
      <c r="P102" s="144">
        <f>SUM(P100:P101)</f>
        <v>852.62</v>
      </c>
      <c r="Q102" s="145"/>
      <c r="R102" s="144">
        <f>SUM(R100:R101)</f>
        <v>852.62</v>
      </c>
      <c r="S102" s="145"/>
      <c r="T102" s="144">
        <f>SUM(T100:T101)</f>
        <v>852.62</v>
      </c>
      <c r="U102" s="145"/>
      <c r="V102" s="144">
        <f>SUM(V100:V101)</f>
        <v>852.62</v>
      </c>
      <c r="W102" s="145"/>
      <c r="X102" s="144">
        <f>SUM(X100:X101)</f>
        <v>852.62</v>
      </c>
      <c r="Y102" s="145"/>
      <c r="Z102" s="144">
        <f>SUM(Z100:Z101)</f>
        <v>2362.39</v>
      </c>
      <c r="AA102" s="145"/>
      <c r="AB102" s="144">
        <f>SUM(AB100:AB101)</f>
        <v>-516.62</v>
      </c>
      <c r="AC102" s="145"/>
      <c r="AD102" s="144">
        <f>SUM(AD100:AD101)</f>
        <v>1162.6199999999999</v>
      </c>
      <c r="AE102" s="145"/>
      <c r="AF102" s="144">
        <f>SUM(AF100:AF101)</f>
        <v>852.62</v>
      </c>
      <c r="AG102" s="145"/>
      <c r="AH102" s="144">
        <f>SUM(AH100:AH101)</f>
        <v>10726.720000000001</v>
      </c>
      <c r="AI102" s="118">
        <f>IF(AH$52=0,0,AH102/AH$52)</f>
        <v>3.2548545973105267E-3</v>
      </c>
      <c r="AJ102" s="123"/>
    </row>
    <row r="103" spans="2:36" s="115" customFormat="1" ht="6" customHeight="1" outlineLevel="1">
      <c r="B103" s="108"/>
      <c r="J103" s="146"/>
      <c r="K103" s="145"/>
      <c r="L103" s="146"/>
      <c r="M103" s="145"/>
      <c r="N103" s="146"/>
      <c r="O103" s="145"/>
      <c r="P103" s="146"/>
      <c r="Q103" s="145"/>
      <c r="R103" s="146"/>
      <c r="S103" s="145"/>
      <c r="T103" s="146"/>
      <c r="U103" s="145"/>
      <c r="V103" s="146"/>
      <c r="W103" s="145"/>
      <c r="X103" s="146"/>
      <c r="Y103" s="145"/>
      <c r="Z103" s="146"/>
      <c r="AA103" s="145"/>
      <c r="AB103" s="146"/>
      <c r="AC103" s="145"/>
      <c r="AD103" s="146"/>
      <c r="AE103" s="145"/>
      <c r="AF103" s="146"/>
      <c r="AG103" s="145"/>
      <c r="AH103" s="146"/>
      <c r="AI103" s="141"/>
      <c r="AJ103" s="123"/>
    </row>
    <row r="104" spans="2:36" s="115" customFormat="1" ht="6" customHeight="1" outlineLevel="1">
      <c r="B104" s="108"/>
      <c r="J104" s="146"/>
      <c r="K104" s="145"/>
      <c r="L104" s="146"/>
      <c r="M104" s="145"/>
      <c r="N104" s="146"/>
      <c r="O104" s="145"/>
      <c r="P104" s="146"/>
      <c r="Q104" s="145"/>
      <c r="R104" s="146"/>
      <c r="S104" s="145"/>
      <c r="T104" s="146"/>
      <c r="U104" s="145"/>
      <c r="V104" s="146"/>
      <c r="W104" s="145"/>
      <c r="X104" s="146"/>
      <c r="Y104" s="145"/>
      <c r="Z104" s="146"/>
      <c r="AA104" s="145"/>
      <c r="AB104" s="146"/>
      <c r="AC104" s="145"/>
      <c r="AD104" s="146"/>
      <c r="AE104" s="145"/>
      <c r="AF104" s="146"/>
      <c r="AG104" s="145"/>
      <c r="AH104" s="146"/>
      <c r="AI104" s="141"/>
      <c r="AJ104" s="123"/>
    </row>
    <row r="105" spans="2:36" s="1259" customFormat="1" outlineLevel="1">
      <c r="B105" s="1263" t="s">
        <v>250</v>
      </c>
      <c r="D105" s="1264">
        <v>52010</v>
      </c>
      <c r="E105" s="1264" t="s">
        <v>31</v>
      </c>
      <c r="F105" s="1265"/>
      <c r="G105" s="1261"/>
      <c r="H105" s="1266"/>
      <c r="I105" s="1267"/>
      <c r="J105" s="1268">
        <v>4183.7700000000004</v>
      </c>
      <c r="K105" s="1267"/>
      <c r="L105" s="1268">
        <v>3818.58</v>
      </c>
      <c r="M105" s="1267"/>
      <c r="N105" s="1268">
        <v>4366.37</v>
      </c>
      <c r="O105" s="1267"/>
      <c r="P105" s="1268">
        <v>3818.58</v>
      </c>
      <c r="Q105" s="1267"/>
      <c r="R105" s="1268">
        <v>4366.37</v>
      </c>
      <c r="S105" s="1267"/>
      <c r="T105" s="1268">
        <v>4183.7700000000004</v>
      </c>
      <c r="U105" s="1267"/>
      <c r="V105" s="1268">
        <v>4001.18</v>
      </c>
      <c r="W105" s="1267"/>
      <c r="X105" s="1268">
        <v>4366.3599999999997</v>
      </c>
      <c r="Y105" s="1267"/>
      <c r="Z105" s="1268">
        <v>4001.18</v>
      </c>
      <c r="AA105" s="1267"/>
      <c r="AB105" s="1268">
        <v>4183.7700000000004</v>
      </c>
      <c r="AC105" s="1267"/>
      <c r="AD105" s="1268">
        <v>4183.78</v>
      </c>
      <c r="AE105" s="1267"/>
      <c r="AF105" s="1268">
        <v>4001.17</v>
      </c>
      <c r="AG105" s="1267"/>
      <c r="AH105" s="1268">
        <f t="shared" ref="AH105:AH124" si="14">AF105+AD105+AB105+Z105+X105+V105+T105+R105+P105+N105+L105+J105</f>
        <v>49474.880000000005</v>
      </c>
      <c r="AI105" s="1269">
        <f t="shared" ref="AI105:AI124" si="15">IF(AH$52=0,0,AH105/AH$52)</f>
        <v>1.5012374763150958E-2</v>
      </c>
      <c r="AJ105" s="1270"/>
    </row>
    <row r="106" spans="2:36" s="1259" customFormat="1" outlineLevel="1">
      <c r="B106" s="1263" t="s">
        <v>203</v>
      </c>
      <c r="D106" s="1264">
        <v>52020</v>
      </c>
      <c r="E106" s="1264" t="s">
        <v>40</v>
      </c>
      <c r="F106" s="1265"/>
      <c r="G106" s="1261"/>
      <c r="H106" s="1266"/>
      <c r="I106" s="1267"/>
      <c r="J106" s="1268">
        <v>-38.39</v>
      </c>
      <c r="K106" s="1267"/>
      <c r="L106" s="1268">
        <v>2811.75</v>
      </c>
      <c r="M106" s="1267"/>
      <c r="N106" s="1268">
        <v>4390.8599999999997</v>
      </c>
      <c r="O106" s="1267"/>
      <c r="P106" s="1268">
        <v>2857.6</v>
      </c>
      <c r="Q106" s="1267"/>
      <c r="R106" s="1268">
        <v>3312.14</v>
      </c>
      <c r="S106" s="1267"/>
      <c r="T106" s="1268">
        <v>3074.91</v>
      </c>
      <c r="U106" s="1267"/>
      <c r="V106" s="1268">
        <v>3146.68</v>
      </c>
      <c r="W106" s="1267"/>
      <c r="X106" s="1268">
        <v>2737.47</v>
      </c>
      <c r="Y106" s="1267"/>
      <c r="Z106" s="1268">
        <v>3102.02</v>
      </c>
      <c r="AA106" s="1267"/>
      <c r="AB106" s="1268">
        <v>3312.37</v>
      </c>
      <c r="AC106" s="1267"/>
      <c r="AD106" s="1268">
        <v>3100.9</v>
      </c>
      <c r="AE106" s="1267"/>
      <c r="AF106" s="1268">
        <v>3255.21</v>
      </c>
      <c r="AG106" s="1267"/>
      <c r="AH106" s="1268">
        <f t="shared" si="14"/>
        <v>35063.519999999997</v>
      </c>
      <c r="AI106" s="1269">
        <f t="shared" si="15"/>
        <v>1.0639474067551832E-2</v>
      </c>
      <c r="AJ106" s="1270"/>
    </row>
    <row r="107" spans="2:36" s="1259" customFormat="1" outlineLevel="1">
      <c r="B107" s="1263" t="s">
        <v>203</v>
      </c>
      <c r="D107" s="1264">
        <v>52025</v>
      </c>
      <c r="E107" s="1264" t="s">
        <v>41</v>
      </c>
      <c r="F107" s="1265"/>
      <c r="G107" s="1261"/>
      <c r="H107" s="1266"/>
      <c r="I107" s="1267"/>
      <c r="J107" s="1268">
        <v>-3.47</v>
      </c>
      <c r="K107" s="1267"/>
      <c r="L107" s="1268">
        <v>120.15</v>
      </c>
      <c r="M107" s="1267"/>
      <c r="N107" s="1268">
        <v>264.81</v>
      </c>
      <c r="O107" s="1267"/>
      <c r="P107" s="1268">
        <v>189.82</v>
      </c>
      <c r="Q107" s="1267"/>
      <c r="R107" s="1268">
        <v>148.28</v>
      </c>
      <c r="S107" s="1267"/>
      <c r="T107" s="1268">
        <v>55.84</v>
      </c>
      <c r="U107" s="1267"/>
      <c r="V107" s="1268">
        <v>52.72</v>
      </c>
      <c r="W107" s="1267"/>
      <c r="X107" s="1268">
        <v>122.34</v>
      </c>
      <c r="Y107" s="1267"/>
      <c r="Z107" s="1268">
        <v>163.86</v>
      </c>
      <c r="AA107" s="1267"/>
      <c r="AB107" s="1268">
        <v>534.96</v>
      </c>
      <c r="AC107" s="1267"/>
      <c r="AD107" s="1268">
        <v>121.37</v>
      </c>
      <c r="AE107" s="1267"/>
      <c r="AF107" s="1268">
        <v>210.22</v>
      </c>
      <c r="AG107" s="1267"/>
      <c r="AH107" s="1268">
        <f t="shared" si="14"/>
        <v>1980.8999999999999</v>
      </c>
      <c r="AI107" s="1269">
        <f t="shared" si="15"/>
        <v>6.0107297214921445E-4</v>
      </c>
      <c r="AJ107" s="1270"/>
    </row>
    <row r="108" spans="2:36" s="1259" customFormat="1" outlineLevel="1">
      <c r="B108" s="1263" t="s">
        <v>203</v>
      </c>
      <c r="D108" s="1264">
        <v>52035</v>
      </c>
      <c r="E108" s="1264" t="s">
        <v>42</v>
      </c>
      <c r="F108" s="1265"/>
      <c r="G108" s="1261"/>
      <c r="H108" s="1266"/>
      <c r="I108" s="1267"/>
      <c r="J108" s="1268">
        <v>0</v>
      </c>
      <c r="K108" s="1267"/>
      <c r="L108" s="1268">
        <v>0</v>
      </c>
      <c r="M108" s="1267"/>
      <c r="N108" s="1268">
        <v>0</v>
      </c>
      <c r="O108" s="1267"/>
      <c r="P108" s="1268">
        <v>0</v>
      </c>
      <c r="Q108" s="1267"/>
      <c r="R108" s="1268">
        <v>0</v>
      </c>
      <c r="S108" s="1267"/>
      <c r="T108" s="1268">
        <v>0</v>
      </c>
      <c r="U108" s="1267"/>
      <c r="V108" s="1268">
        <v>0</v>
      </c>
      <c r="W108" s="1267"/>
      <c r="X108" s="1268">
        <v>0</v>
      </c>
      <c r="Y108" s="1267"/>
      <c r="Z108" s="1268">
        <v>0</v>
      </c>
      <c r="AA108" s="1267"/>
      <c r="AB108" s="1268">
        <v>0</v>
      </c>
      <c r="AC108" s="1267"/>
      <c r="AD108" s="1268">
        <v>0</v>
      </c>
      <c r="AE108" s="1267"/>
      <c r="AF108" s="1268">
        <v>0</v>
      </c>
      <c r="AG108" s="1267"/>
      <c r="AH108" s="1268">
        <f t="shared" si="14"/>
        <v>0</v>
      </c>
      <c r="AI108" s="1269">
        <f t="shared" si="15"/>
        <v>0</v>
      </c>
      <c r="AJ108" s="1270"/>
    </row>
    <row r="109" spans="2:36" s="1259" customFormat="1" outlineLevel="1">
      <c r="B109" s="1263" t="s">
        <v>203</v>
      </c>
      <c r="D109" s="1264">
        <v>52050</v>
      </c>
      <c r="E109" s="1264" t="s">
        <v>168</v>
      </c>
      <c r="F109" s="1265"/>
      <c r="G109" s="1261"/>
      <c r="H109" s="1266"/>
      <c r="I109" s="1267"/>
      <c r="J109" s="1268">
        <v>311.08</v>
      </c>
      <c r="K109" s="1267"/>
      <c r="L109" s="1268">
        <v>582.08000000000004</v>
      </c>
      <c r="M109" s="1267"/>
      <c r="N109" s="1268">
        <v>749.46</v>
      </c>
      <c r="O109" s="1267"/>
      <c r="P109" s="1268">
        <v>550.71</v>
      </c>
      <c r="Q109" s="1267"/>
      <c r="R109" s="1268">
        <v>605.34</v>
      </c>
      <c r="S109" s="1267"/>
      <c r="T109" s="1268">
        <v>572.49</v>
      </c>
      <c r="U109" s="1267"/>
      <c r="V109" s="1268">
        <v>543.15</v>
      </c>
      <c r="W109" s="1267"/>
      <c r="X109" s="1268">
        <v>614.29999999999995</v>
      </c>
      <c r="Y109" s="1267"/>
      <c r="Z109" s="1268">
        <v>557.64</v>
      </c>
      <c r="AA109" s="1267"/>
      <c r="AB109" s="1268">
        <v>624.21</v>
      </c>
      <c r="AC109" s="1267"/>
      <c r="AD109" s="1268">
        <v>583.63</v>
      </c>
      <c r="AE109" s="1267"/>
      <c r="AF109" s="1268">
        <v>674.62</v>
      </c>
      <c r="AG109" s="1267"/>
      <c r="AH109" s="1268">
        <f t="shared" si="14"/>
        <v>6968.71</v>
      </c>
      <c r="AI109" s="1269">
        <f t="shared" si="15"/>
        <v>2.1145455256428654E-3</v>
      </c>
      <c r="AJ109" s="1270"/>
    </row>
    <row r="110" spans="2:36" s="1259" customFormat="1" outlineLevel="1">
      <c r="B110" s="1263" t="s">
        <v>203</v>
      </c>
      <c r="D110" s="1264">
        <v>52060</v>
      </c>
      <c r="E110" s="1264" t="s">
        <v>125</v>
      </c>
      <c r="F110" s="1265"/>
      <c r="G110" s="1261"/>
      <c r="H110" s="1266"/>
      <c r="I110" s="1267"/>
      <c r="J110" s="1268">
        <v>1845.84</v>
      </c>
      <c r="K110" s="1267"/>
      <c r="L110" s="1268">
        <v>1845.84</v>
      </c>
      <c r="M110" s="1267"/>
      <c r="N110" s="1268">
        <v>1845.84</v>
      </c>
      <c r="O110" s="1267"/>
      <c r="P110" s="1268">
        <v>1552.96</v>
      </c>
      <c r="Q110" s="1267"/>
      <c r="R110" s="1268">
        <v>1329.44</v>
      </c>
      <c r="S110" s="1267"/>
      <c r="T110" s="1268">
        <v>1530.82</v>
      </c>
      <c r="U110" s="1267"/>
      <c r="V110" s="1268">
        <v>1548.86</v>
      </c>
      <c r="W110" s="1267"/>
      <c r="X110" s="1268">
        <v>1548.86</v>
      </c>
      <c r="Y110" s="1267"/>
      <c r="Z110" s="1268">
        <v>1548.86</v>
      </c>
      <c r="AA110" s="1267"/>
      <c r="AB110" s="1268">
        <v>1323.29</v>
      </c>
      <c r="AC110" s="1267"/>
      <c r="AD110" s="1268">
        <v>1548.86</v>
      </c>
      <c r="AE110" s="1267"/>
      <c r="AF110" s="1268">
        <v>1549.28</v>
      </c>
      <c r="AG110" s="1267"/>
      <c r="AH110" s="1268">
        <f t="shared" si="14"/>
        <v>19018.75</v>
      </c>
      <c r="AI110" s="1269">
        <f t="shared" si="15"/>
        <v>5.7709407789706055E-3</v>
      </c>
      <c r="AJ110" s="1270"/>
    </row>
    <row r="111" spans="2:36" s="1259" customFormat="1" outlineLevel="1">
      <c r="B111" s="1263" t="s">
        <v>203</v>
      </c>
      <c r="D111" s="1264">
        <v>52065</v>
      </c>
      <c r="E111" s="1264" t="s">
        <v>37</v>
      </c>
      <c r="F111" s="1265"/>
      <c r="G111" s="1261"/>
      <c r="H111" s="1266"/>
      <c r="I111" s="1267"/>
      <c r="J111" s="1268">
        <v>-662.61</v>
      </c>
      <c r="K111" s="1267"/>
      <c r="L111" s="1268">
        <v>209.79</v>
      </c>
      <c r="M111" s="1267"/>
      <c r="N111" s="1268">
        <v>232.26</v>
      </c>
      <c r="O111" s="1267"/>
      <c r="P111" s="1268">
        <v>224.77</v>
      </c>
      <c r="Q111" s="1267"/>
      <c r="R111" s="1268">
        <v>232.26</v>
      </c>
      <c r="S111" s="1267"/>
      <c r="T111" s="1268">
        <v>224.77</v>
      </c>
      <c r="U111" s="1267"/>
      <c r="V111" s="1268">
        <v>232.26</v>
      </c>
      <c r="W111" s="1267"/>
      <c r="X111" s="1268">
        <v>-536.79</v>
      </c>
      <c r="Y111" s="1267"/>
      <c r="Z111" s="1268">
        <v>971.57</v>
      </c>
      <c r="AA111" s="1267"/>
      <c r="AB111" s="1268">
        <v>223.57</v>
      </c>
      <c r="AC111" s="1267"/>
      <c r="AD111" s="1268">
        <v>224.97</v>
      </c>
      <c r="AE111" s="1267"/>
      <c r="AF111" s="1268">
        <v>236.58</v>
      </c>
      <c r="AG111" s="1267"/>
      <c r="AH111" s="1268">
        <f t="shared" si="14"/>
        <v>1813.4</v>
      </c>
      <c r="AI111" s="1269">
        <f t="shared" si="15"/>
        <v>5.5024772966600309E-4</v>
      </c>
      <c r="AJ111" s="1270"/>
    </row>
    <row r="112" spans="2:36" s="1259" customFormat="1" outlineLevel="1">
      <c r="B112" s="1263" t="s">
        <v>203</v>
      </c>
      <c r="D112" s="1264">
        <v>52070</v>
      </c>
      <c r="E112" s="1264" t="s">
        <v>38</v>
      </c>
      <c r="F112" s="1265"/>
      <c r="G112" s="1261"/>
      <c r="H112" s="1266"/>
      <c r="I112" s="1267"/>
      <c r="J112" s="1268">
        <v>0</v>
      </c>
      <c r="K112" s="1267"/>
      <c r="L112" s="1268">
        <v>0</v>
      </c>
      <c r="M112" s="1267"/>
      <c r="N112" s="1268">
        <v>0</v>
      </c>
      <c r="O112" s="1267"/>
      <c r="P112" s="1268">
        <v>0</v>
      </c>
      <c r="Q112" s="1267"/>
      <c r="R112" s="1268">
        <v>0</v>
      </c>
      <c r="S112" s="1267"/>
      <c r="T112" s="1268">
        <v>0</v>
      </c>
      <c r="U112" s="1267"/>
      <c r="V112" s="1268">
        <v>0</v>
      </c>
      <c r="W112" s="1267"/>
      <c r="X112" s="1268">
        <v>0</v>
      </c>
      <c r="Y112" s="1267"/>
      <c r="Z112" s="1268">
        <v>0</v>
      </c>
      <c r="AA112" s="1267"/>
      <c r="AB112" s="1268">
        <v>0</v>
      </c>
      <c r="AC112" s="1267"/>
      <c r="AD112" s="1268">
        <v>298.72000000000003</v>
      </c>
      <c r="AE112" s="1267"/>
      <c r="AF112" s="1268">
        <v>0</v>
      </c>
      <c r="AG112" s="1267"/>
      <c r="AH112" s="1268">
        <f t="shared" si="14"/>
        <v>298.72000000000003</v>
      </c>
      <c r="AI112" s="1269">
        <f t="shared" si="15"/>
        <v>9.0641889161700921E-5</v>
      </c>
      <c r="AJ112" s="1270"/>
    </row>
    <row r="113" spans="2:36" s="1259" customFormat="1" outlineLevel="1">
      <c r="B113" s="1263" t="s">
        <v>203</v>
      </c>
      <c r="D113" s="1264">
        <v>52087</v>
      </c>
      <c r="E113" s="1264" t="s">
        <v>76</v>
      </c>
      <c r="F113" s="1265"/>
      <c r="G113" s="1261"/>
      <c r="H113" s="1266"/>
      <c r="I113" s="1267"/>
      <c r="J113" s="1268">
        <v>0</v>
      </c>
      <c r="K113" s="1267"/>
      <c r="L113" s="1268">
        <v>300</v>
      </c>
      <c r="M113" s="1267"/>
      <c r="N113" s="1268">
        <v>0</v>
      </c>
      <c r="O113" s="1267"/>
      <c r="P113" s="1268">
        <v>0</v>
      </c>
      <c r="Q113" s="1267"/>
      <c r="R113" s="1268">
        <v>0</v>
      </c>
      <c r="S113" s="1267"/>
      <c r="T113" s="1268">
        <v>0</v>
      </c>
      <c r="U113" s="1267"/>
      <c r="V113" s="1268">
        <v>0</v>
      </c>
      <c r="W113" s="1267"/>
      <c r="X113" s="1268">
        <v>0</v>
      </c>
      <c r="Y113" s="1267"/>
      <c r="Z113" s="1268">
        <v>0</v>
      </c>
      <c r="AA113" s="1267"/>
      <c r="AB113" s="1268">
        <v>0</v>
      </c>
      <c r="AC113" s="1267"/>
      <c r="AD113" s="1268">
        <v>300</v>
      </c>
      <c r="AE113" s="1267"/>
      <c r="AF113" s="1268">
        <v>0</v>
      </c>
      <c r="AG113" s="1267"/>
      <c r="AH113" s="1268">
        <f t="shared" si="14"/>
        <v>600</v>
      </c>
      <c r="AI113" s="1269">
        <f t="shared" si="15"/>
        <v>1.820605700891154E-4</v>
      </c>
      <c r="AJ113" s="1270"/>
    </row>
    <row r="114" spans="2:36" s="1259" customFormat="1" outlineLevel="1">
      <c r="B114" s="1263" t="s">
        <v>203</v>
      </c>
      <c r="D114" s="1264">
        <v>52115</v>
      </c>
      <c r="E114" s="1264" t="s">
        <v>246</v>
      </c>
      <c r="F114" s="1265"/>
      <c r="G114" s="1261"/>
      <c r="H114" s="1266"/>
      <c r="I114" s="1267"/>
      <c r="J114" s="1268">
        <v>91.3</v>
      </c>
      <c r="K114" s="1267"/>
      <c r="L114" s="1268">
        <v>91.3</v>
      </c>
      <c r="M114" s="1267"/>
      <c r="N114" s="1268">
        <v>83.57</v>
      </c>
      <c r="O114" s="1267"/>
      <c r="P114" s="1268">
        <v>91.3</v>
      </c>
      <c r="Q114" s="1267"/>
      <c r="R114" s="1268">
        <v>136.94999999999999</v>
      </c>
      <c r="S114" s="1267"/>
      <c r="T114" s="1268">
        <v>91.3</v>
      </c>
      <c r="U114" s="1267"/>
      <c r="V114" s="1268">
        <v>91.3</v>
      </c>
      <c r="W114" s="1267"/>
      <c r="X114" s="1268">
        <v>91.3</v>
      </c>
      <c r="Y114" s="1267"/>
      <c r="Z114" s="1268">
        <v>91.3</v>
      </c>
      <c r="AA114" s="1267"/>
      <c r="AB114" s="1268">
        <v>136.94999999999999</v>
      </c>
      <c r="AC114" s="1267"/>
      <c r="AD114" s="1268">
        <v>91.3</v>
      </c>
      <c r="AE114" s="1267"/>
      <c r="AF114" s="1268">
        <v>91.3</v>
      </c>
      <c r="AG114" s="1267"/>
      <c r="AH114" s="1268">
        <f t="shared" si="14"/>
        <v>1179.1699999999996</v>
      </c>
      <c r="AI114" s="1269">
        <f t="shared" si="15"/>
        <v>3.5780060405330355E-4</v>
      </c>
      <c r="AJ114" s="1270"/>
    </row>
    <row r="115" spans="2:36" s="1259" customFormat="1" outlineLevel="1">
      <c r="B115" s="1263" t="s">
        <v>203</v>
      </c>
      <c r="D115" s="1264">
        <v>52120</v>
      </c>
      <c r="E115" s="1264" t="s">
        <v>251</v>
      </c>
      <c r="F115" s="1265"/>
      <c r="G115" s="1261"/>
      <c r="H115" s="1266"/>
      <c r="I115" s="1267"/>
      <c r="J115" s="1268">
        <v>5292.32</v>
      </c>
      <c r="K115" s="1267"/>
      <c r="L115" s="1268">
        <v>4424.7700000000004</v>
      </c>
      <c r="M115" s="1267"/>
      <c r="N115" s="1268">
        <v>5346.48</v>
      </c>
      <c r="O115" s="1267"/>
      <c r="P115" s="1268">
        <v>3374.44</v>
      </c>
      <c r="Q115" s="1267"/>
      <c r="R115" s="1268">
        <v>6636.96</v>
      </c>
      <c r="S115" s="1267"/>
      <c r="T115" s="1268">
        <v>6859.42</v>
      </c>
      <c r="U115" s="1267"/>
      <c r="V115" s="1268">
        <v>3762.35</v>
      </c>
      <c r="W115" s="1267"/>
      <c r="X115" s="1268">
        <v>5736.19</v>
      </c>
      <c r="Y115" s="1267"/>
      <c r="Z115" s="1268">
        <v>14445.29</v>
      </c>
      <c r="AA115" s="1267"/>
      <c r="AB115" s="1268">
        <v>5909.5</v>
      </c>
      <c r="AC115" s="1267"/>
      <c r="AD115" s="1268">
        <v>8077.23</v>
      </c>
      <c r="AE115" s="1267"/>
      <c r="AF115" s="1268">
        <v>5195.58</v>
      </c>
      <c r="AG115" s="1267"/>
      <c r="AH115" s="1268">
        <f t="shared" si="14"/>
        <v>75060.53</v>
      </c>
      <c r="AI115" s="1269">
        <f t="shared" si="15"/>
        <v>2.2775938138318581E-2</v>
      </c>
      <c r="AJ115" s="1270"/>
    </row>
    <row r="116" spans="2:36" s="1259" customFormat="1" outlineLevel="1">
      <c r="B116" s="1263" t="s">
        <v>203</v>
      </c>
      <c r="D116" s="1264">
        <v>52125</v>
      </c>
      <c r="E116" s="1264" t="s">
        <v>46</v>
      </c>
      <c r="F116" s="1265"/>
      <c r="G116" s="1261"/>
      <c r="H116" s="1266"/>
      <c r="I116" s="1267"/>
      <c r="J116" s="1268">
        <v>260.02</v>
      </c>
      <c r="K116" s="1267"/>
      <c r="L116" s="1268">
        <v>346.38</v>
      </c>
      <c r="M116" s="1267"/>
      <c r="N116" s="1268">
        <v>285.93</v>
      </c>
      <c r="O116" s="1267"/>
      <c r="P116" s="1268">
        <v>288.3</v>
      </c>
      <c r="Q116" s="1267"/>
      <c r="R116" s="1268">
        <v>290.70999999999998</v>
      </c>
      <c r="S116" s="1267"/>
      <c r="T116" s="1268">
        <v>364.88</v>
      </c>
      <c r="U116" s="1267"/>
      <c r="V116" s="1268">
        <v>291.85000000000002</v>
      </c>
      <c r="W116" s="1267"/>
      <c r="X116" s="1268">
        <v>364.85</v>
      </c>
      <c r="Y116" s="1267"/>
      <c r="Z116" s="1268">
        <v>291.88</v>
      </c>
      <c r="AA116" s="1267"/>
      <c r="AB116" s="1268">
        <v>291.88</v>
      </c>
      <c r="AC116" s="1267"/>
      <c r="AD116" s="1268">
        <v>364.85</v>
      </c>
      <c r="AE116" s="1267"/>
      <c r="AF116" s="1268">
        <v>304.88</v>
      </c>
      <c r="AG116" s="1267"/>
      <c r="AH116" s="1268">
        <f t="shared" si="14"/>
        <v>3746.4100000000003</v>
      </c>
      <c r="AI116" s="1269">
        <f t="shared" si="15"/>
        <v>1.1367892339792713E-3</v>
      </c>
      <c r="AJ116" s="1270"/>
    </row>
    <row r="117" spans="2:36" s="1259" customFormat="1" outlineLevel="1">
      <c r="B117" s="1263" t="s">
        <v>203</v>
      </c>
      <c r="D117" s="1264">
        <v>52140</v>
      </c>
      <c r="E117" s="1264" t="s">
        <v>252</v>
      </c>
      <c r="F117" s="1265"/>
      <c r="G117" s="1261"/>
      <c r="H117" s="1266"/>
      <c r="I117" s="1267"/>
      <c r="J117" s="1268">
        <v>1977.72</v>
      </c>
      <c r="K117" s="1267"/>
      <c r="L117" s="1268">
        <v>1096.48</v>
      </c>
      <c r="M117" s="1267"/>
      <c r="N117" s="1268">
        <v>2548.21</v>
      </c>
      <c r="O117" s="1267"/>
      <c r="P117" s="1268">
        <v>2869.05</v>
      </c>
      <c r="Q117" s="1267"/>
      <c r="R117" s="1268">
        <v>1570.15</v>
      </c>
      <c r="S117" s="1267"/>
      <c r="T117" s="1268">
        <v>1885.76</v>
      </c>
      <c r="U117" s="1267"/>
      <c r="V117" s="1268">
        <v>1243.8599999999999</v>
      </c>
      <c r="W117" s="1267"/>
      <c r="X117" s="1268">
        <v>2662.37</v>
      </c>
      <c r="Y117" s="1267"/>
      <c r="Z117" s="1268">
        <v>6554.17</v>
      </c>
      <c r="AA117" s="1267"/>
      <c r="AB117" s="1268">
        <v>7270.16</v>
      </c>
      <c r="AC117" s="1267"/>
      <c r="AD117" s="1268">
        <v>4207.29</v>
      </c>
      <c r="AE117" s="1267"/>
      <c r="AF117" s="1268">
        <v>3731.8</v>
      </c>
      <c r="AG117" s="1267"/>
      <c r="AH117" s="1268">
        <f t="shared" si="14"/>
        <v>37617.020000000004</v>
      </c>
      <c r="AI117" s="1269">
        <f t="shared" si="15"/>
        <v>1.141429351042276E-2</v>
      </c>
      <c r="AJ117" s="1270"/>
    </row>
    <row r="118" spans="2:36" s="1259" customFormat="1" outlineLevel="1">
      <c r="B118" s="1263" t="s">
        <v>203</v>
      </c>
      <c r="D118" s="1264">
        <v>52142</v>
      </c>
      <c r="E118" s="1264" t="s">
        <v>72</v>
      </c>
      <c r="F118" s="1265"/>
      <c r="G118" s="1261"/>
      <c r="H118" s="1266"/>
      <c r="I118" s="1267"/>
      <c r="J118" s="1268">
        <v>14032.16</v>
      </c>
      <c r="K118" s="1267"/>
      <c r="L118" s="1268">
        <v>13230.42</v>
      </c>
      <c r="M118" s="1267"/>
      <c r="N118" s="1268">
        <v>14843.22</v>
      </c>
      <c r="O118" s="1267"/>
      <c r="P118" s="1268">
        <v>14052.56</v>
      </c>
      <c r="Q118" s="1267"/>
      <c r="R118" s="1268">
        <v>14299.23</v>
      </c>
      <c r="S118" s="1267"/>
      <c r="T118" s="1268">
        <v>13965.36</v>
      </c>
      <c r="U118" s="1267"/>
      <c r="V118" s="1268">
        <v>13908.47</v>
      </c>
      <c r="W118" s="1267"/>
      <c r="X118" s="1268">
        <v>17272.02</v>
      </c>
      <c r="Y118" s="1267"/>
      <c r="Z118" s="1268">
        <v>15723.67</v>
      </c>
      <c r="AA118" s="1267"/>
      <c r="AB118" s="1268">
        <v>16348.2</v>
      </c>
      <c r="AC118" s="1267"/>
      <c r="AD118" s="1268">
        <v>17629.04</v>
      </c>
      <c r="AE118" s="1267"/>
      <c r="AF118" s="1268">
        <v>15419.17</v>
      </c>
      <c r="AG118" s="1267"/>
      <c r="AH118" s="1268">
        <f t="shared" si="14"/>
        <v>180723.52000000002</v>
      </c>
      <c r="AI118" s="1269">
        <f t="shared" si="15"/>
        <v>5.483771179951942E-2</v>
      </c>
      <c r="AJ118" s="1270"/>
    </row>
    <row r="119" spans="2:36" s="1259" customFormat="1" outlineLevel="1">
      <c r="B119" s="1263" t="s">
        <v>203</v>
      </c>
      <c r="D119" s="1264">
        <v>52146</v>
      </c>
      <c r="E119" s="1264" t="s">
        <v>73</v>
      </c>
      <c r="F119" s="1265"/>
      <c r="G119" s="1261"/>
      <c r="H119" s="1266"/>
      <c r="I119" s="1267"/>
      <c r="J119" s="1268">
        <v>202.3</v>
      </c>
      <c r="K119" s="1267"/>
      <c r="L119" s="1268">
        <v>62.12</v>
      </c>
      <c r="M119" s="1267"/>
      <c r="N119" s="1268">
        <v>1086.3900000000001</v>
      </c>
      <c r="O119" s="1267"/>
      <c r="P119" s="1268">
        <v>702.4</v>
      </c>
      <c r="Q119" s="1267"/>
      <c r="R119" s="1268">
        <v>2386.65</v>
      </c>
      <c r="S119" s="1267"/>
      <c r="T119" s="1268">
        <v>989.92</v>
      </c>
      <c r="U119" s="1267"/>
      <c r="V119" s="1268">
        <v>81.849999999999994</v>
      </c>
      <c r="W119" s="1267"/>
      <c r="X119" s="1268">
        <v>1724.13</v>
      </c>
      <c r="Y119" s="1267"/>
      <c r="Z119" s="1268">
        <v>2870.04</v>
      </c>
      <c r="AA119" s="1267"/>
      <c r="AB119" s="1268">
        <v>186.15</v>
      </c>
      <c r="AC119" s="1267"/>
      <c r="AD119" s="1268">
        <v>126.24</v>
      </c>
      <c r="AE119" s="1267"/>
      <c r="AF119" s="1268">
        <v>84.96</v>
      </c>
      <c r="AG119" s="1267"/>
      <c r="AH119" s="1268">
        <f t="shared" si="14"/>
        <v>10503.15</v>
      </c>
      <c r="AI119" s="1269">
        <f t="shared" si="15"/>
        <v>3.1870157945524872E-3</v>
      </c>
      <c r="AJ119" s="1270"/>
    </row>
    <row r="120" spans="2:36" s="1259" customFormat="1" outlineLevel="1">
      <c r="B120" s="1263" t="s">
        <v>203</v>
      </c>
      <c r="D120" s="1264">
        <v>52147</v>
      </c>
      <c r="E120" s="1264" t="s">
        <v>62</v>
      </c>
      <c r="F120" s="1265"/>
      <c r="G120" s="1261"/>
      <c r="H120" s="1266"/>
      <c r="I120" s="1267"/>
      <c r="J120" s="1268">
        <v>945.35</v>
      </c>
      <c r="K120" s="1267"/>
      <c r="L120" s="1268">
        <v>1027.49</v>
      </c>
      <c r="M120" s="1267"/>
      <c r="N120" s="1268">
        <v>3243.33</v>
      </c>
      <c r="O120" s="1267"/>
      <c r="P120" s="1268">
        <v>17557.79</v>
      </c>
      <c r="Q120" s="1267"/>
      <c r="R120" s="1268">
        <v>320.38</v>
      </c>
      <c r="S120" s="1267"/>
      <c r="T120" s="1268">
        <v>2988.33</v>
      </c>
      <c r="U120" s="1267"/>
      <c r="V120" s="1268">
        <v>2067.1999999999998</v>
      </c>
      <c r="W120" s="1267"/>
      <c r="X120" s="1268">
        <v>0</v>
      </c>
      <c r="Y120" s="1267"/>
      <c r="Z120" s="1268">
        <v>940.19</v>
      </c>
      <c r="AA120" s="1267"/>
      <c r="AB120" s="1268">
        <v>0</v>
      </c>
      <c r="AC120" s="1267"/>
      <c r="AD120" s="1268">
        <v>0</v>
      </c>
      <c r="AE120" s="1267"/>
      <c r="AF120" s="1268">
        <v>0</v>
      </c>
      <c r="AG120" s="1267"/>
      <c r="AH120" s="1268">
        <f t="shared" si="14"/>
        <v>29090.06</v>
      </c>
      <c r="AI120" s="1269">
        <f t="shared" si="15"/>
        <v>8.8269215125442863E-3</v>
      </c>
      <c r="AJ120" s="1270"/>
    </row>
    <row r="121" spans="2:36" s="1259" customFormat="1" outlineLevel="1">
      <c r="B121" s="1263" t="s">
        <v>203</v>
      </c>
      <c r="D121" s="1264">
        <v>52150</v>
      </c>
      <c r="E121" s="1264" t="s">
        <v>122</v>
      </c>
      <c r="F121" s="1265"/>
      <c r="G121" s="1261"/>
      <c r="H121" s="1266"/>
      <c r="I121" s="1267"/>
      <c r="J121" s="1268">
        <v>119.17</v>
      </c>
      <c r="K121" s="1267"/>
      <c r="L121" s="1268">
        <v>122.71</v>
      </c>
      <c r="M121" s="1267"/>
      <c r="N121" s="1268">
        <v>122.71</v>
      </c>
      <c r="O121" s="1267"/>
      <c r="P121" s="1268">
        <v>133.46</v>
      </c>
      <c r="Q121" s="1267"/>
      <c r="R121" s="1268">
        <v>126.85</v>
      </c>
      <c r="S121" s="1267"/>
      <c r="T121" s="1268">
        <v>126.85</v>
      </c>
      <c r="U121" s="1267"/>
      <c r="V121" s="1268">
        <v>125.2</v>
      </c>
      <c r="W121" s="1267"/>
      <c r="X121" s="1268">
        <v>126.85</v>
      </c>
      <c r="Y121" s="1267"/>
      <c r="Z121" s="1268">
        <v>126.02</v>
      </c>
      <c r="AA121" s="1267"/>
      <c r="AB121" s="1268">
        <v>250.4</v>
      </c>
      <c r="AC121" s="1267"/>
      <c r="AD121" s="1268">
        <v>0</v>
      </c>
      <c r="AE121" s="1267"/>
      <c r="AF121" s="1268">
        <v>125.2</v>
      </c>
      <c r="AG121" s="1267"/>
      <c r="AH121" s="1268">
        <f t="shared" si="14"/>
        <v>1505.4200000000003</v>
      </c>
      <c r="AI121" s="1269">
        <f t="shared" si="15"/>
        <v>4.5679603903926025E-4</v>
      </c>
      <c r="AJ121" s="1270"/>
    </row>
    <row r="122" spans="2:36" s="1259" customFormat="1" outlineLevel="1">
      <c r="B122" s="1263" t="s">
        <v>203</v>
      </c>
      <c r="D122" s="1264">
        <v>52175</v>
      </c>
      <c r="E122" s="1264" t="s">
        <v>57</v>
      </c>
      <c r="F122" s="1265"/>
      <c r="G122" s="1261"/>
      <c r="H122" s="1266"/>
      <c r="I122" s="1267"/>
      <c r="J122" s="1268">
        <v>0</v>
      </c>
      <c r="K122" s="1267"/>
      <c r="L122" s="1268">
        <v>0</v>
      </c>
      <c r="M122" s="1267"/>
      <c r="N122" s="1268">
        <v>0</v>
      </c>
      <c r="O122" s="1267"/>
      <c r="P122" s="1268">
        <v>0</v>
      </c>
      <c r="Q122" s="1267"/>
      <c r="R122" s="1268">
        <v>0</v>
      </c>
      <c r="S122" s="1267"/>
      <c r="T122" s="1268">
        <v>0</v>
      </c>
      <c r="U122" s="1267"/>
      <c r="V122" s="1268">
        <v>1250</v>
      </c>
      <c r="W122" s="1267"/>
      <c r="X122" s="1268">
        <v>-244.1</v>
      </c>
      <c r="Y122" s="1267"/>
      <c r="Z122" s="1268">
        <v>0</v>
      </c>
      <c r="AA122" s="1267"/>
      <c r="AB122" s="1268">
        <v>0</v>
      </c>
      <c r="AC122" s="1267"/>
      <c r="AD122" s="1268">
        <v>0</v>
      </c>
      <c r="AE122" s="1267"/>
      <c r="AF122" s="1268">
        <v>0</v>
      </c>
      <c r="AG122" s="1267"/>
      <c r="AH122" s="1268">
        <f t="shared" si="14"/>
        <v>1005.9</v>
      </c>
      <c r="AI122" s="1269">
        <f t="shared" si="15"/>
        <v>3.0522454575440195E-4</v>
      </c>
      <c r="AJ122" s="1270"/>
    </row>
    <row r="123" spans="2:36" s="1259" customFormat="1" outlineLevel="1">
      <c r="B123" s="1263" t="s">
        <v>203</v>
      </c>
      <c r="D123" s="1264">
        <v>52182</v>
      </c>
      <c r="E123" s="1264" t="s">
        <v>253</v>
      </c>
      <c r="F123" s="1265"/>
      <c r="G123" s="1261"/>
      <c r="H123" s="1266"/>
      <c r="I123" s="1267"/>
      <c r="J123" s="1268">
        <v>2490.9899999999998</v>
      </c>
      <c r="K123" s="1267"/>
      <c r="L123" s="1268">
        <v>1029.08</v>
      </c>
      <c r="M123" s="1267"/>
      <c r="N123" s="1268">
        <v>3086.56</v>
      </c>
      <c r="O123" s="1267"/>
      <c r="P123" s="1268">
        <v>645.19000000000005</v>
      </c>
      <c r="Q123" s="1267"/>
      <c r="R123" s="1268">
        <v>1212.75</v>
      </c>
      <c r="S123" s="1267"/>
      <c r="T123" s="1268">
        <v>0</v>
      </c>
      <c r="U123" s="1267"/>
      <c r="V123" s="1268">
        <v>1212.75</v>
      </c>
      <c r="W123" s="1267"/>
      <c r="X123" s="1268">
        <v>0</v>
      </c>
      <c r="Y123" s="1267"/>
      <c r="Z123" s="1268">
        <v>0</v>
      </c>
      <c r="AA123" s="1267"/>
      <c r="AB123" s="1268">
        <v>-10.23</v>
      </c>
      <c r="AC123" s="1267"/>
      <c r="AD123" s="1268">
        <v>0</v>
      </c>
      <c r="AE123" s="1267"/>
      <c r="AF123" s="1268">
        <v>522.4</v>
      </c>
      <c r="AG123" s="1267"/>
      <c r="AH123" s="1268">
        <f t="shared" si="14"/>
        <v>10189.49</v>
      </c>
      <c r="AI123" s="1269">
        <f t="shared" si="15"/>
        <v>3.0918405971955671E-3</v>
      </c>
      <c r="AJ123" s="1270"/>
    </row>
    <row r="124" spans="2:36" s="1259" customFormat="1" outlineLevel="1">
      <c r="B124" s="1263" t="s">
        <v>203</v>
      </c>
      <c r="D124" s="1264">
        <v>52901</v>
      </c>
      <c r="E124" s="1264" t="s">
        <v>60</v>
      </c>
      <c r="F124" s="1265"/>
      <c r="G124" s="1261"/>
      <c r="H124" s="1266"/>
      <c r="I124" s="1267"/>
      <c r="J124" s="1268">
        <v>0</v>
      </c>
      <c r="K124" s="1267"/>
      <c r="L124" s="1268">
        <v>0</v>
      </c>
      <c r="M124" s="1267"/>
      <c r="N124" s="1268">
        <v>0</v>
      </c>
      <c r="O124" s="1267"/>
      <c r="P124" s="1268">
        <v>0</v>
      </c>
      <c r="Q124" s="1267"/>
      <c r="R124" s="1268">
        <v>0</v>
      </c>
      <c r="S124" s="1267"/>
      <c r="T124" s="1268">
        <v>0</v>
      </c>
      <c r="U124" s="1267"/>
      <c r="V124" s="1268">
        <v>0</v>
      </c>
      <c r="W124" s="1267"/>
      <c r="X124" s="1268">
        <v>0</v>
      </c>
      <c r="Y124" s="1267"/>
      <c r="Z124" s="1268">
        <v>0</v>
      </c>
      <c r="AA124" s="1267"/>
      <c r="AB124" s="1268">
        <v>0</v>
      </c>
      <c r="AC124" s="1267"/>
      <c r="AD124" s="1268">
        <v>0</v>
      </c>
      <c r="AE124" s="1267"/>
      <c r="AF124" s="1268">
        <v>0</v>
      </c>
      <c r="AG124" s="1267"/>
      <c r="AH124" s="1268">
        <f t="shared" si="14"/>
        <v>0</v>
      </c>
      <c r="AI124" s="1269">
        <f t="shared" si="15"/>
        <v>0</v>
      </c>
      <c r="AJ124" s="1270"/>
    </row>
    <row r="125" spans="2:36" s="115" customFormat="1" ht="5.0999999999999996" customHeight="1" outlineLevel="1">
      <c r="B125" s="108" t="s">
        <v>195</v>
      </c>
      <c r="D125" s="114"/>
      <c r="E125" s="114"/>
      <c r="F125" s="114"/>
      <c r="G125" s="114"/>
      <c r="J125" s="147"/>
      <c r="K125" s="145"/>
      <c r="L125" s="147"/>
      <c r="M125" s="145"/>
      <c r="N125" s="147"/>
      <c r="O125" s="145"/>
      <c r="P125" s="147"/>
      <c r="Q125" s="145"/>
      <c r="R125" s="147"/>
      <c r="S125" s="145"/>
      <c r="T125" s="147"/>
      <c r="U125" s="145"/>
      <c r="V125" s="147"/>
      <c r="W125" s="145"/>
      <c r="X125" s="147"/>
      <c r="Y125" s="145"/>
      <c r="Z125" s="147"/>
      <c r="AA125" s="145"/>
      <c r="AB125" s="147"/>
      <c r="AC125" s="145"/>
      <c r="AD125" s="147"/>
      <c r="AE125" s="145"/>
      <c r="AF125" s="147"/>
      <c r="AG125" s="145"/>
      <c r="AH125" s="147"/>
      <c r="AI125" s="141"/>
      <c r="AJ125" s="123"/>
    </row>
    <row r="126" spans="2:36" s="115" customFormat="1" ht="15">
      <c r="B126" s="108" t="s">
        <v>195</v>
      </c>
      <c r="F126" s="114" t="s">
        <v>254</v>
      </c>
      <c r="J126" s="144">
        <f>SUM(J104:J125)</f>
        <v>31047.549999999996</v>
      </c>
      <c r="K126" s="145"/>
      <c r="L126" s="144">
        <f>SUM(L104:L125)</f>
        <v>31118.940000000002</v>
      </c>
      <c r="M126" s="145"/>
      <c r="N126" s="144">
        <f>SUM(N104:N125)</f>
        <v>42496</v>
      </c>
      <c r="O126" s="145"/>
      <c r="P126" s="144">
        <f>SUM(P104:P125)</f>
        <v>48908.93</v>
      </c>
      <c r="Q126" s="145"/>
      <c r="R126" s="144">
        <f>SUM(R104:R125)</f>
        <v>36974.46</v>
      </c>
      <c r="S126" s="145"/>
      <c r="T126" s="144">
        <f>SUM(T104:T125)</f>
        <v>36914.42</v>
      </c>
      <c r="U126" s="145"/>
      <c r="V126" s="144">
        <f>SUM(V104:V125)</f>
        <v>33559.68</v>
      </c>
      <c r="W126" s="145"/>
      <c r="X126" s="144">
        <f>SUM(X104:X125)</f>
        <v>36586.15</v>
      </c>
      <c r="Y126" s="145"/>
      <c r="Z126" s="144">
        <f>SUM(Z104:Z125)</f>
        <v>51387.69</v>
      </c>
      <c r="AA126" s="145"/>
      <c r="AB126" s="144">
        <f>SUM(AB104:AB125)</f>
        <v>40585.18</v>
      </c>
      <c r="AC126" s="145"/>
      <c r="AD126" s="144">
        <f>SUM(AD104:AD125)</f>
        <v>40858.18</v>
      </c>
      <c r="AE126" s="145"/>
      <c r="AF126" s="144">
        <f>SUM(AF104:AF125)</f>
        <v>35402.369999999995</v>
      </c>
      <c r="AG126" s="145"/>
      <c r="AH126" s="144">
        <f>SUM(AH104:AH125)</f>
        <v>465839.55000000005</v>
      </c>
      <c r="AI126" s="118">
        <f>IF(AH$52=0,0,AH126/AH$52)</f>
        <v>0.14135169007176163</v>
      </c>
      <c r="AJ126" s="123"/>
    </row>
    <row r="127" spans="2:36" s="115" customFormat="1" ht="3.75" customHeight="1" outlineLevel="1">
      <c r="B127" s="108" t="s">
        <v>195</v>
      </c>
      <c r="J127" s="146"/>
      <c r="K127" s="145"/>
      <c r="L127" s="146"/>
      <c r="M127" s="145"/>
      <c r="N127" s="146"/>
      <c r="O127" s="145"/>
      <c r="P127" s="146"/>
      <c r="Q127" s="145"/>
      <c r="R127" s="146"/>
      <c r="S127" s="145"/>
      <c r="T127" s="146"/>
      <c r="U127" s="145"/>
      <c r="V127" s="146"/>
      <c r="W127" s="145"/>
      <c r="X127" s="146"/>
      <c r="Y127" s="145"/>
      <c r="Z127" s="146"/>
      <c r="AA127" s="145"/>
      <c r="AB127" s="146"/>
      <c r="AC127" s="145"/>
      <c r="AD127" s="146"/>
      <c r="AE127" s="145"/>
      <c r="AF127" s="146"/>
      <c r="AG127" s="145"/>
      <c r="AH127" s="146"/>
      <c r="AI127" s="141"/>
      <c r="AJ127" s="123"/>
    </row>
    <row r="128" spans="2:36" s="115" customFormat="1" ht="3.75" customHeight="1" outlineLevel="1">
      <c r="J128" s="146"/>
      <c r="K128" s="145"/>
      <c r="L128" s="146"/>
      <c r="M128" s="145"/>
      <c r="N128" s="146"/>
      <c r="O128" s="145"/>
      <c r="P128" s="146"/>
      <c r="Q128" s="145"/>
      <c r="R128" s="146"/>
      <c r="S128" s="145"/>
      <c r="T128" s="146"/>
      <c r="U128" s="145"/>
      <c r="V128" s="146"/>
      <c r="W128" s="145"/>
      <c r="X128" s="146"/>
      <c r="Y128" s="145"/>
      <c r="Z128" s="146"/>
      <c r="AA128" s="145"/>
      <c r="AB128" s="146"/>
      <c r="AC128" s="145"/>
      <c r="AD128" s="146"/>
      <c r="AE128" s="145"/>
      <c r="AF128" s="146"/>
      <c r="AG128" s="145"/>
      <c r="AH128" s="146"/>
      <c r="AI128" s="141"/>
      <c r="AJ128" s="123"/>
    </row>
    <row r="129" spans="2:36" s="1259" customFormat="1" outlineLevel="1">
      <c r="B129" s="1263" t="s">
        <v>255</v>
      </c>
      <c r="D129" s="1264">
        <v>55120</v>
      </c>
      <c r="E129" s="1264" t="s">
        <v>251</v>
      </c>
      <c r="F129" s="1265"/>
      <c r="G129" s="1261"/>
      <c r="H129" s="1266"/>
      <c r="I129" s="1267"/>
      <c r="J129" s="1268">
        <v>0</v>
      </c>
      <c r="K129" s="1267"/>
      <c r="L129" s="1268">
        <v>0</v>
      </c>
      <c r="M129" s="1267"/>
      <c r="N129" s="1268">
        <v>0</v>
      </c>
      <c r="O129" s="1267"/>
      <c r="P129" s="1268">
        <v>0</v>
      </c>
      <c r="Q129" s="1267"/>
      <c r="R129" s="1268">
        <v>148.88999999999999</v>
      </c>
      <c r="S129" s="1267"/>
      <c r="T129" s="1268">
        <v>19.18</v>
      </c>
      <c r="U129" s="1267"/>
      <c r="V129" s="1268">
        <v>50.02</v>
      </c>
      <c r="W129" s="1267"/>
      <c r="X129" s="1268">
        <v>1029.82</v>
      </c>
      <c r="Y129" s="1267"/>
      <c r="Z129" s="1268">
        <v>-256.70999999999998</v>
      </c>
      <c r="AA129" s="1267"/>
      <c r="AB129" s="1268">
        <v>7378.65</v>
      </c>
      <c r="AC129" s="1267"/>
      <c r="AD129" s="1268">
        <v>2283.13</v>
      </c>
      <c r="AE129" s="1267"/>
      <c r="AF129" s="1268">
        <v>608.46</v>
      </c>
      <c r="AG129" s="1267"/>
      <c r="AH129" s="1268">
        <f t="shared" ref="AH129:AH130" si="16">AF129+AD129+AB129+Z129+X129+V129+T129+R129+P129+N129+L129+J129</f>
        <v>11261.44</v>
      </c>
      <c r="AI129" s="1269">
        <f t="shared" ref="AI129:AI130" si="17">IF(AH$52=0,0,AH129/AH$52)</f>
        <v>3.4171069773739461E-3</v>
      </c>
      <c r="AJ129" s="1270"/>
    </row>
    <row r="130" spans="2:36" s="1259" customFormat="1" outlineLevel="1">
      <c r="B130" s="1263" t="s">
        <v>203</v>
      </c>
      <c r="D130" s="1264">
        <v>55125</v>
      </c>
      <c r="E130" s="1264" t="s">
        <v>46</v>
      </c>
      <c r="F130" s="1265"/>
      <c r="G130" s="1261"/>
      <c r="H130" s="1266"/>
      <c r="I130" s="1267"/>
      <c r="J130" s="1268">
        <v>0</v>
      </c>
      <c r="K130" s="1267"/>
      <c r="L130" s="1268">
        <v>0</v>
      </c>
      <c r="M130" s="1267"/>
      <c r="N130" s="1268">
        <v>233.76</v>
      </c>
      <c r="O130" s="1267"/>
      <c r="P130" s="1268">
        <v>102.73</v>
      </c>
      <c r="Q130" s="1267"/>
      <c r="R130" s="1268">
        <v>0</v>
      </c>
      <c r="S130" s="1267"/>
      <c r="T130" s="1268">
        <v>75.8</v>
      </c>
      <c r="U130" s="1267"/>
      <c r="V130" s="1268">
        <v>34.479999999999997</v>
      </c>
      <c r="W130" s="1267"/>
      <c r="X130" s="1268">
        <v>201</v>
      </c>
      <c r="Y130" s="1267"/>
      <c r="Z130" s="1268">
        <v>321.58</v>
      </c>
      <c r="AA130" s="1267"/>
      <c r="AB130" s="1268">
        <v>-14.98</v>
      </c>
      <c r="AC130" s="1267"/>
      <c r="AD130" s="1268">
        <v>0</v>
      </c>
      <c r="AE130" s="1267"/>
      <c r="AF130" s="1268">
        <v>20.18</v>
      </c>
      <c r="AG130" s="1267"/>
      <c r="AH130" s="1268">
        <f t="shared" si="16"/>
        <v>974.55</v>
      </c>
      <c r="AI130" s="1269">
        <f t="shared" si="17"/>
        <v>2.9571188096724565E-4</v>
      </c>
      <c r="AJ130" s="1270"/>
    </row>
    <row r="131" spans="2:36" s="115" customFormat="1" ht="5.0999999999999996" customHeight="1" outlineLevel="1">
      <c r="B131" s="108" t="s">
        <v>195</v>
      </c>
      <c r="D131" s="114"/>
      <c r="E131" s="114"/>
      <c r="F131" s="114"/>
      <c r="G131" s="114"/>
      <c r="J131" s="147"/>
      <c r="K131" s="145"/>
      <c r="L131" s="147"/>
      <c r="M131" s="145"/>
      <c r="N131" s="147"/>
      <c r="O131" s="145"/>
      <c r="P131" s="147"/>
      <c r="Q131" s="145"/>
      <c r="R131" s="147"/>
      <c r="S131" s="145"/>
      <c r="T131" s="147"/>
      <c r="U131" s="145"/>
      <c r="V131" s="147"/>
      <c r="W131" s="145"/>
      <c r="X131" s="147"/>
      <c r="Y131" s="145"/>
      <c r="Z131" s="147"/>
      <c r="AA131" s="145"/>
      <c r="AB131" s="147"/>
      <c r="AC131" s="145"/>
      <c r="AD131" s="147"/>
      <c r="AE131" s="145"/>
      <c r="AF131" s="147"/>
      <c r="AG131" s="145"/>
      <c r="AH131" s="147"/>
      <c r="AI131" s="141"/>
      <c r="AJ131" s="123"/>
    </row>
    <row r="132" spans="2:36" s="115" customFormat="1" ht="15">
      <c r="B132" s="108"/>
      <c r="F132" s="114" t="s">
        <v>256</v>
      </c>
      <c r="J132" s="144">
        <f>SUM(J128:J131)</f>
        <v>0</v>
      </c>
      <c r="K132" s="145"/>
      <c r="L132" s="144">
        <f>SUM(L128:L131)</f>
        <v>0</v>
      </c>
      <c r="M132" s="145"/>
      <c r="N132" s="144">
        <f>SUM(N128:N131)</f>
        <v>233.76</v>
      </c>
      <c r="O132" s="145"/>
      <c r="P132" s="144">
        <f>SUM(P128:P131)</f>
        <v>102.73</v>
      </c>
      <c r="Q132" s="145"/>
      <c r="R132" s="144">
        <f>SUM(R128:R131)</f>
        <v>148.88999999999999</v>
      </c>
      <c r="S132" s="145"/>
      <c r="T132" s="144">
        <f>SUM(T128:T131)</f>
        <v>94.97999999999999</v>
      </c>
      <c r="U132" s="145"/>
      <c r="V132" s="144">
        <f>SUM(V128:V131)</f>
        <v>84.5</v>
      </c>
      <c r="W132" s="145"/>
      <c r="X132" s="144">
        <f>SUM(X128:X131)</f>
        <v>1230.82</v>
      </c>
      <c r="Y132" s="145"/>
      <c r="Z132" s="144">
        <f>SUM(Z128:Z131)</f>
        <v>64.87</v>
      </c>
      <c r="AA132" s="145"/>
      <c r="AB132" s="144">
        <f>SUM(AB128:AB131)</f>
        <v>7363.67</v>
      </c>
      <c r="AC132" s="145"/>
      <c r="AD132" s="144">
        <f>SUM(AD128:AD131)</f>
        <v>2283.13</v>
      </c>
      <c r="AE132" s="145"/>
      <c r="AF132" s="144">
        <f>SUM(AF128:AF131)</f>
        <v>628.64</v>
      </c>
      <c r="AG132" s="145"/>
      <c r="AH132" s="144">
        <f>SUM(AH128:AH131)</f>
        <v>12235.99</v>
      </c>
      <c r="AI132" s="118">
        <f>IF(AH$52=0,0,AH132/AH$52)</f>
        <v>3.7128188583411916E-3</v>
      </c>
      <c r="AJ132" s="123"/>
    </row>
    <row r="133" spans="2:36" s="115" customFormat="1" ht="6" customHeight="1" outlineLevel="1">
      <c r="B133" s="108"/>
      <c r="J133" s="146"/>
      <c r="K133" s="145"/>
      <c r="L133" s="146"/>
      <c r="M133" s="145"/>
      <c r="N133" s="146"/>
      <c r="O133" s="145"/>
      <c r="P133" s="146"/>
      <c r="Q133" s="145"/>
      <c r="R133" s="146"/>
      <c r="S133" s="145"/>
      <c r="T133" s="146"/>
      <c r="U133" s="145"/>
      <c r="V133" s="146"/>
      <c r="W133" s="145"/>
      <c r="X133" s="146"/>
      <c r="Y133" s="145"/>
      <c r="Z133" s="146"/>
      <c r="AA133" s="145"/>
      <c r="AB133" s="146"/>
      <c r="AC133" s="145"/>
      <c r="AD133" s="146"/>
      <c r="AE133" s="145"/>
      <c r="AF133" s="146"/>
      <c r="AG133" s="145"/>
      <c r="AH133" s="146"/>
      <c r="AI133" s="141"/>
      <c r="AJ133" s="123"/>
    </row>
    <row r="134" spans="2:36" s="115" customFormat="1" ht="6" customHeight="1" outlineLevel="1">
      <c r="B134" s="108" t="s">
        <v>195</v>
      </c>
      <c r="J134" s="146"/>
      <c r="K134" s="145"/>
      <c r="L134" s="146"/>
      <c r="M134" s="145"/>
      <c r="N134" s="146"/>
      <c r="O134" s="145"/>
      <c r="P134" s="146"/>
      <c r="Q134" s="145"/>
      <c r="R134" s="146"/>
      <c r="S134" s="145"/>
      <c r="T134" s="146"/>
      <c r="U134" s="145"/>
      <c r="V134" s="146"/>
      <c r="W134" s="145"/>
      <c r="X134" s="146"/>
      <c r="Y134" s="145"/>
      <c r="Z134" s="146"/>
      <c r="AA134" s="145"/>
      <c r="AB134" s="146"/>
      <c r="AC134" s="145"/>
      <c r="AD134" s="146"/>
      <c r="AE134" s="145"/>
      <c r="AF134" s="146"/>
      <c r="AG134" s="145"/>
      <c r="AH134" s="146"/>
      <c r="AI134" s="141"/>
      <c r="AJ134" s="123"/>
    </row>
    <row r="135" spans="2:36" s="1259" customFormat="1" outlineLevel="1">
      <c r="B135" s="1263" t="s">
        <v>257</v>
      </c>
      <c r="D135" s="1264">
        <v>56010</v>
      </c>
      <c r="E135" s="1264" t="s">
        <v>31</v>
      </c>
      <c r="F135" s="1265"/>
      <c r="G135" s="1261"/>
      <c r="H135" s="1266"/>
      <c r="I135" s="1267"/>
      <c r="J135" s="1268">
        <v>8663.6</v>
      </c>
      <c r="K135" s="1267"/>
      <c r="L135" s="1268">
        <v>8273.9500000000007</v>
      </c>
      <c r="M135" s="1267"/>
      <c r="N135" s="1268">
        <v>6158.96</v>
      </c>
      <c r="O135" s="1267"/>
      <c r="P135" s="1268">
        <v>-335.13</v>
      </c>
      <c r="Q135" s="1267"/>
      <c r="R135" s="1268">
        <v>6158.96</v>
      </c>
      <c r="S135" s="1267"/>
      <c r="T135" s="1268">
        <v>3882.39</v>
      </c>
      <c r="U135" s="1267"/>
      <c r="V135" s="1268">
        <v>6293</v>
      </c>
      <c r="W135" s="1267"/>
      <c r="X135" s="1268">
        <v>6158.96</v>
      </c>
      <c r="Y135" s="1267"/>
      <c r="Z135" s="1268">
        <v>0</v>
      </c>
      <c r="AA135" s="1267"/>
      <c r="AB135" s="1268">
        <v>0</v>
      </c>
      <c r="AC135" s="1267"/>
      <c r="AD135" s="1268">
        <v>0</v>
      </c>
      <c r="AE135" s="1267"/>
      <c r="AF135" s="1268">
        <v>0</v>
      </c>
      <c r="AG135" s="1267"/>
      <c r="AH135" s="1268">
        <f t="shared" ref="AH135:AH140" si="18">AF135+AD135+AB135+Z135+X135+V135+T135+R135+P135+N135+L135+J135</f>
        <v>45254.689999999995</v>
      </c>
      <c r="AI135" s="1269">
        <f t="shared" ref="AI135:AI140" si="19">IF(AH$52=0,0,AH135/AH$52)</f>
        <v>1.3731824434343648E-2</v>
      </c>
      <c r="AJ135" s="1270"/>
    </row>
    <row r="136" spans="2:36" s="1259" customFormat="1" outlineLevel="1">
      <c r="B136" s="1263" t="s">
        <v>203</v>
      </c>
      <c r="D136" s="1264">
        <v>56050</v>
      </c>
      <c r="E136" s="1264" t="s">
        <v>168</v>
      </c>
      <c r="F136" s="1265"/>
      <c r="G136" s="1261"/>
      <c r="H136" s="1266"/>
      <c r="I136" s="1267"/>
      <c r="J136" s="1268">
        <v>811.33</v>
      </c>
      <c r="K136" s="1267"/>
      <c r="L136" s="1268">
        <v>716.55</v>
      </c>
      <c r="M136" s="1267"/>
      <c r="N136" s="1268">
        <v>496.04</v>
      </c>
      <c r="O136" s="1267"/>
      <c r="P136" s="1268">
        <v>-137.26</v>
      </c>
      <c r="Q136" s="1267"/>
      <c r="R136" s="1268">
        <v>468.04</v>
      </c>
      <c r="S136" s="1267"/>
      <c r="T136" s="1268">
        <v>428.54</v>
      </c>
      <c r="U136" s="1267"/>
      <c r="V136" s="1268">
        <v>407.12</v>
      </c>
      <c r="W136" s="1267"/>
      <c r="X136" s="1268">
        <v>449.96</v>
      </c>
      <c r="Y136" s="1267"/>
      <c r="Z136" s="1268">
        <v>0</v>
      </c>
      <c r="AA136" s="1267"/>
      <c r="AB136" s="1268">
        <v>0</v>
      </c>
      <c r="AC136" s="1267"/>
      <c r="AD136" s="1268">
        <v>0</v>
      </c>
      <c r="AE136" s="1267"/>
      <c r="AF136" s="1268">
        <v>0</v>
      </c>
      <c r="AG136" s="1267"/>
      <c r="AH136" s="1268">
        <f t="shared" si="18"/>
        <v>3640.3199999999997</v>
      </c>
      <c r="AI136" s="1269">
        <f t="shared" si="19"/>
        <v>1.1045978908446807E-3</v>
      </c>
      <c r="AJ136" s="1270"/>
    </row>
    <row r="137" spans="2:36" s="1259" customFormat="1" outlineLevel="1">
      <c r="B137" s="1263" t="s">
        <v>203</v>
      </c>
      <c r="D137" s="1264">
        <v>56060</v>
      </c>
      <c r="E137" s="1264" t="s">
        <v>125</v>
      </c>
      <c r="F137" s="1265"/>
      <c r="G137" s="1261"/>
      <c r="H137" s="1266"/>
      <c r="I137" s="1267"/>
      <c r="J137" s="1268">
        <v>1096.3</v>
      </c>
      <c r="K137" s="1267"/>
      <c r="L137" s="1268">
        <v>1096.3</v>
      </c>
      <c r="M137" s="1267"/>
      <c r="N137" s="1268">
        <v>696.3</v>
      </c>
      <c r="O137" s="1267"/>
      <c r="P137" s="1268">
        <v>-96.04</v>
      </c>
      <c r="Q137" s="1267"/>
      <c r="R137" s="1268">
        <v>555.94000000000005</v>
      </c>
      <c r="S137" s="1267"/>
      <c r="T137" s="1268">
        <v>689.2</v>
      </c>
      <c r="U137" s="1267"/>
      <c r="V137" s="1268">
        <v>703.04</v>
      </c>
      <c r="W137" s="1267"/>
      <c r="X137" s="1268">
        <v>703.04</v>
      </c>
      <c r="Y137" s="1267"/>
      <c r="Z137" s="1268">
        <v>0</v>
      </c>
      <c r="AA137" s="1267"/>
      <c r="AB137" s="1268">
        <v>0</v>
      </c>
      <c r="AC137" s="1267"/>
      <c r="AD137" s="1268">
        <v>0</v>
      </c>
      <c r="AE137" s="1267"/>
      <c r="AF137" s="1268">
        <v>0</v>
      </c>
      <c r="AG137" s="1267"/>
      <c r="AH137" s="1268">
        <f t="shared" si="18"/>
        <v>5444.08</v>
      </c>
      <c r="AI137" s="1269">
        <f t="shared" si="19"/>
        <v>1.6519205140179188E-3</v>
      </c>
      <c r="AJ137" s="1270"/>
    </row>
    <row r="138" spans="2:36" s="1259" customFormat="1" outlineLevel="1">
      <c r="B138" s="1263" t="s">
        <v>203</v>
      </c>
      <c r="D138" s="1264">
        <v>56065</v>
      </c>
      <c r="E138" s="1264" t="s">
        <v>37</v>
      </c>
      <c r="F138" s="1265"/>
      <c r="G138" s="1261"/>
      <c r="H138" s="1266"/>
      <c r="I138" s="1267"/>
      <c r="J138" s="1268">
        <v>244.14</v>
      </c>
      <c r="K138" s="1267"/>
      <c r="L138" s="1268">
        <v>221.14</v>
      </c>
      <c r="M138" s="1267"/>
      <c r="N138" s="1268">
        <v>244.83</v>
      </c>
      <c r="O138" s="1267"/>
      <c r="P138" s="1268">
        <v>236.93</v>
      </c>
      <c r="Q138" s="1267"/>
      <c r="R138" s="1268">
        <v>244.83</v>
      </c>
      <c r="S138" s="1267"/>
      <c r="T138" s="1268">
        <v>804.4</v>
      </c>
      <c r="U138" s="1267"/>
      <c r="V138" s="1268">
        <v>-424.77</v>
      </c>
      <c r="W138" s="1267"/>
      <c r="X138" s="1268">
        <v>244.83</v>
      </c>
      <c r="Y138" s="1267"/>
      <c r="Z138" s="1268">
        <v>0</v>
      </c>
      <c r="AA138" s="1267"/>
      <c r="AB138" s="1268">
        <v>0</v>
      </c>
      <c r="AC138" s="1267"/>
      <c r="AD138" s="1268">
        <v>0</v>
      </c>
      <c r="AE138" s="1267"/>
      <c r="AF138" s="1268">
        <v>0</v>
      </c>
      <c r="AG138" s="1267"/>
      <c r="AH138" s="1268">
        <f t="shared" si="18"/>
        <v>1816.33</v>
      </c>
      <c r="AI138" s="1269">
        <f t="shared" si="19"/>
        <v>5.5113679211660487E-4</v>
      </c>
      <c r="AJ138" s="1270"/>
    </row>
    <row r="139" spans="2:36" s="1259" customFormat="1" outlineLevel="1">
      <c r="B139" s="1263" t="s">
        <v>203</v>
      </c>
      <c r="D139" s="1264">
        <v>56095</v>
      </c>
      <c r="E139" s="1264" t="s">
        <v>132</v>
      </c>
      <c r="F139" s="1265"/>
      <c r="G139" s="1261"/>
      <c r="H139" s="1266"/>
      <c r="I139" s="1267"/>
      <c r="J139" s="1268">
        <v>0</v>
      </c>
      <c r="K139" s="1267"/>
      <c r="L139" s="1268">
        <v>0</v>
      </c>
      <c r="M139" s="1267"/>
      <c r="N139" s="1268">
        <v>0</v>
      </c>
      <c r="O139" s="1267"/>
      <c r="P139" s="1268">
        <v>113.19</v>
      </c>
      <c r="Q139" s="1267"/>
      <c r="R139" s="1268">
        <v>0</v>
      </c>
      <c r="S139" s="1267"/>
      <c r="T139" s="1268">
        <v>0</v>
      </c>
      <c r="U139" s="1267"/>
      <c r="V139" s="1268">
        <v>98.1</v>
      </c>
      <c r="W139" s="1267"/>
      <c r="X139" s="1268">
        <v>0</v>
      </c>
      <c r="Y139" s="1267"/>
      <c r="Z139" s="1268">
        <v>0</v>
      </c>
      <c r="AA139" s="1267"/>
      <c r="AB139" s="1268">
        <v>0</v>
      </c>
      <c r="AC139" s="1267"/>
      <c r="AD139" s="1268">
        <v>0</v>
      </c>
      <c r="AE139" s="1267"/>
      <c r="AF139" s="1268">
        <v>0</v>
      </c>
      <c r="AG139" s="1267"/>
      <c r="AH139" s="1268">
        <f t="shared" si="18"/>
        <v>211.29</v>
      </c>
      <c r="AI139" s="1269">
        <f t="shared" si="19"/>
        <v>6.4112629756881976E-5</v>
      </c>
      <c r="AJ139" s="1270"/>
    </row>
    <row r="140" spans="2:36" s="1259" customFormat="1" outlineLevel="1">
      <c r="B140" s="1263" t="s">
        <v>203</v>
      </c>
      <c r="D140" s="1264">
        <v>56115</v>
      </c>
      <c r="E140" s="1264" t="s">
        <v>246</v>
      </c>
      <c r="F140" s="1265"/>
      <c r="G140" s="1261"/>
      <c r="H140" s="1266"/>
      <c r="I140" s="1267"/>
      <c r="J140" s="1268">
        <v>160.66</v>
      </c>
      <c r="K140" s="1267"/>
      <c r="L140" s="1268">
        <v>160.66</v>
      </c>
      <c r="M140" s="1267"/>
      <c r="N140" s="1268">
        <v>80.34</v>
      </c>
      <c r="O140" s="1267"/>
      <c r="P140" s="1268">
        <v>160.68</v>
      </c>
      <c r="Q140" s="1267"/>
      <c r="R140" s="1268">
        <v>241.02</v>
      </c>
      <c r="S140" s="1267"/>
      <c r="T140" s="1268">
        <v>160.68</v>
      </c>
      <c r="U140" s="1267"/>
      <c r="V140" s="1268">
        <v>160.68</v>
      </c>
      <c r="W140" s="1267"/>
      <c r="X140" s="1268">
        <v>160.68</v>
      </c>
      <c r="Y140" s="1267"/>
      <c r="Z140" s="1268">
        <v>0</v>
      </c>
      <c r="AA140" s="1267"/>
      <c r="AB140" s="1268">
        <v>0</v>
      </c>
      <c r="AC140" s="1267"/>
      <c r="AD140" s="1268">
        <v>0</v>
      </c>
      <c r="AE140" s="1267"/>
      <c r="AF140" s="1268">
        <v>0</v>
      </c>
      <c r="AG140" s="1267"/>
      <c r="AH140" s="1268">
        <f t="shared" si="18"/>
        <v>1285.4000000000001</v>
      </c>
      <c r="AI140" s="1269">
        <f t="shared" si="19"/>
        <v>3.9003442798758156E-4</v>
      </c>
      <c r="AJ140" s="1270"/>
    </row>
    <row r="141" spans="2:36" s="115" customFormat="1" ht="5.0999999999999996" customHeight="1" outlineLevel="1">
      <c r="B141" s="108" t="s">
        <v>195</v>
      </c>
      <c r="D141" s="114"/>
      <c r="E141" s="114"/>
      <c r="F141" s="114"/>
      <c r="G141" s="114"/>
      <c r="J141" s="147"/>
      <c r="K141" s="145"/>
      <c r="L141" s="147"/>
      <c r="M141" s="145"/>
      <c r="N141" s="147"/>
      <c r="O141" s="145"/>
      <c r="P141" s="147"/>
      <c r="Q141" s="145"/>
      <c r="R141" s="147"/>
      <c r="S141" s="145"/>
      <c r="T141" s="147"/>
      <c r="U141" s="145"/>
      <c r="V141" s="147"/>
      <c r="W141" s="145"/>
      <c r="X141" s="147"/>
      <c r="Y141" s="145"/>
      <c r="Z141" s="147"/>
      <c r="AA141" s="145"/>
      <c r="AB141" s="147"/>
      <c r="AC141" s="145"/>
      <c r="AD141" s="147"/>
      <c r="AE141" s="145"/>
      <c r="AF141" s="147"/>
      <c r="AG141" s="145"/>
      <c r="AH141" s="147"/>
      <c r="AI141" s="141"/>
      <c r="AJ141" s="123"/>
    </row>
    <row r="142" spans="2:36" s="115" customFormat="1" ht="15">
      <c r="B142" s="108" t="s">
        <v>195</v>
      </c>
      <c r="F142" s="114" t="s">
        <v>258</v>
      </c>
      <c r="J142" s="144">
        <f>SUM(J134:J141)</f>
        <v>10976.029999999999</v>
      </c>
      <c r="K142" s="145"/>
      <c r="L142" s="144">
        <f>SUM(L134:L141)</f>
        <v>10468.599999999999</v>
      </c>
      <c r="M142" s="145"/>
      <c r="N142" s="144">
        <f>SUM(N134:N141)</f>
        <v>7676.47</v>
      </c>
      <c r="O142" s="145"/>
      <c r="P142" s="144">
        <f>SUM(P134:P141)</f>
        <v>-57.629999999999939</v>
      </c>
      <c r="Q142" s="145"/>
      <c r="R142" s="144">
        <f>SUM(R134:R141)</f>
        <v>7668.7900000000009</v>
      </c>
      <c r="S142" s="145"/>
      <c r="T142" s="144">
        <f>SUM(T134:T141)</f>
        <v>5965.21</v>
      </c>
      <c r="U142" s="145"/>
      <c r="V142" s="144">
        <f>SUM(V134:V141)</f>
        <v>7237.17</v>
      </c>
      <c r="W142" s="145"/>
      <c r="X142" s="144">
        <f>SUM(X134:X141)</f>
        <v>7717.47</v>
      </c>
      <c r="Y142" s="145"/>
      <c r="Z142" s="144">
        <f>SUM(Z134:Z141)</f>
        <v>0</v>
      </c>
      <c r="AA142" s="145"/>
      <c r="AB142" s="144">
        <f>SUM(AB134:AB141)</f>
        <v>0</v>
      </c>
      <c r="AC142" s="145"/>
      <c r="AD142" s="144">
        <f>SUM(AD134:AD141)</f>
        <v>0</v>
      </c>
      <c r="AE142" s="145"/>
      <c r="AF142" s="144">
        <f>SUM(AF134:AF141)</f>
        <v>0</v>
      </c>
      <c r="AG142" s="145"/>
      <c r="AH142" s="144">
        <f>SUM(AH134:AH141)</f>
        <v>57652.11</v>
      </c>
      <c r="AI142" s="118">
        <f>IF(AH$52=0,0,AH142/AH$52)</f>
        <v>1.7493626689067319E-2</v>
      </c>
      <c r="AJ142" s="123"/>
    </row>
    <row r="143" spans="2:36" s="115" customFormat="1" ht="6.75" customHeight="1" outlineLevel="1">
      <c r="B143" s="108"/>
      <c r="J143" s="146"/>
      <c r="K143" s="145"/>
      <c r="L143" s="146"/>
      <c r="M143" s="145"/>
      <c r="N143" s="146"/>
      <c r="O143" s="145"/>
      <c r="P143" s="146"/>
      <c r="Q143" s="145"/>
      <c r="R143" s="146"/>
      <c r="S143" s="145"/>
      <c r="T143" s="146"/>
      <c r="U143" s="145"/>
      <c r="V143" s="146"/>
      <c r="W143" s="145"/>
      <c r="X143" s="146"/>
      <c r="Y143" s="145"/>
      <c r="Z143" s="146"/>
      <c r="AA143" s="145"/>
      <c r="AB143" s="146"/>
      <c r="AC143" s="145"/>
      <c r="AD143" s="146"/>
      <c r="AE143" s="145"/>
      <c r="AF143" s="146"/>
      <c r="AG143" s="145"/>
      <c r="AH143" s="146"/>
      <c r="AI143" s="141"/>
      <c r="AJ143" s="123"/>
    </row>
    <row r="144" spans="2:36" s="115" customFormat="1" ht="6.75" customHeight="1" outlineLevel="1">
      <c r="B144" s="108" t="s">
        <v>195</v>
      </c>
      <c r="J144" s="146"/>
      <c r="K144" s="145"/>
      <c r="L144" s="146"/>
      <c r="M144" s="145"/>
      <c r="N144" s="146"/>
      <c r="O144" s="145"/>
      <c r="P144" s="146"/>
      <c r="Q144" s="145"/>
      <c r="R144" s="146"/>
      <c r="S144" s="145"/>
      <c r="T144" s="146"/>
      <c r="U144" s="145"/>
      <c r="V144" s="146"/>
      <c r="W144" s="145"/>
      <c r="X144" s="146"/>
      <c r="Y144" s="145"/>
      <c r="Z144" s="146"/>
      <c r="AA144" s="145"/>
      <c r="AB144" s="146"/>
      <c r="AC144" s="145"/>
      <c r="AD144" s="146"/>
      <c r="AE144" s="145"/>
      <c r="AF144" s="146"/>
      <c r="AG144" s="145"/>
      <c r="AH144" s="146"/>
      <c r="AI144" s="141"/>
      <c r="AJ144" s="123"/>
    </row>
    <row r="145" spans="2:36" s="1259" customFormat="1" outlineLevel="1">
      <c r="B145" s="1263" t="s">
        <v>259</v>
      </c>
      <c r="D145" s="1264">
        <v>57147</v>
      </c>
      <c r="E145" s="1264" t="s">
        <v>260</v>
      </c>
      <c r="F145" s="1265"/>
      <c r="G145" s="1261"/>
      <c r="H145" s="1266"/>
      <c r="I145" s="1267"/>
      <c r="J145" s="1268">
        <v>239.23</v>
      </c>
      <c r="K145" s="1267"/>
      <c r="L145" s="1268">
        <v>267.33999999999997</v>
      </c>
      <c r="M145" s="1267"/>
      <c r="N145" s="1268">
        <v>2818.02</v>
      </c>
      <c r="O145" s="1267"/>
      <c r="P145" s="1268">
        <v>1810.08</v>
      </c>
      <c r="Q145" s="1267"/>
      <c r="R145" s="1268">
        <v>270.47000000000003</v>
      </c>
      <c r="S145" s="1267"/>
      <c r="T145" s="1268">
        <v>3424.97</v>
      </c>
      <c r="U145" s="1267"/>
      <c r="V145" s="1268">
        <v>1529.01</v>
      </c>
      <c r="W145" s="1267"/>
      <c r="X145" s="1268">
        <v>1875.33</v>
      </c>
      <c r="Y145" s="1267"/>
      <c r="Z145" s="1268">
        <v>-334.61</v>
      </c>
      <c r="AA145" s="1267"/>
      <c r="AB145" s="1268">
        <v>502.34</v>
      </c>
      <c r="AC145" s="1267"/>
      <c r="AD145" s="1268">
        <v>698.72</v>
      </c>
      <c r="AE145" s="1267"/>
      <c r="AF145" s="1268">
        <v>204.11</v>
      </c>
      <c r="AG145" s="1267"/>
      <c r="AH145" s="1268">
        <f t="shared" ref="AH145:AH153" si="20">AF145+AD145+AB145+Z145+X145+V145+T145+R145+P145+N145+L145+J145</f>
        <v>13305.009999999998</v>
      </c>
      <c r="AI145" s="1269">
        <f t="shared" ref="AI145:AI153" si="21">IF(AH$52=0,0,AH145/AH$52)</f>
        <v>4.0371961760689683E-3</v>
      </c>
      <c r="AJ145" s="1270"/>
    </row>
    <row r="146" spans="2:36" s="1259" customFormat="1" outlineLevel="1">
      <c r="B146" s="1263" t="s">
        <v>203</v>
      </c>
      <c r="D146" s="1264">
        <v>57165</v>
      </c>
      <c r="E146" s="1264" t="s">
        <v>56</v>
      </c>
      <c r="F146" s="1265"/>
      <c r="G146" s="1261"/>
      <c r="H146" s="1266"/>
      <c r="I146" s="1267"/>
      <c r="J146" s="1268">
        <v>141.83000000000001</v>
      </c>
      <c r="K146" s="1267"/>
      <c r="L146" s="1268">
        <v>164.58</v>
      </c>
      <c r="M146" s="1267"/>
      <c r="N146" s="1268">
        <v>164.58</v>
      </c>
      <c r="O146" s="1267"/>
      <c r="P146" s="1268">
        <v>164.58</v>
      </c>
      <c r="Q146" s="1267"/>
      <c r="R146" s="1268">
        <v>164.58</v>
      </c>
      <c r="S146" s="1267"/>
      <c r="T146" s="1268">
        <v>164.58</v>
      </c>
      <c r="U146" s="1267"/>
      <c r="V146" s="1268">
        <v>164.58</v>
      </c>
      <c r="W146" s="1267"/>
      <c r="X146" s="1268">
        <v>164.58</v>
      </c>
      <c r="Y146" s="1267"/>
      <c r="Z146" s="1268">
        <v>164.58</v>
      </c>
      <c r="AA146" s="1267"/>
      <c r="AB146" s="1268">
        <v>164.58</v>
      </c>
      <c r="AC146" s="1267"/>
      <c r="AD146" s="1268">
        <v>141.83000000000001</v>
      </c>
      <c r="AE146" s="1267"/>
      <c r="AF146" s="1268">
        <v>164.97</v>
      </c>
      <c r="AG146" s="1267"/>
      <c r="AH146" s="1268">
        <f t="shared" si="20"/>
        <v>1929.8499999999997</v>
      </c>
      <c r="AI146" s="1269">
        <f t="shared" si="21"/>
        <v>5.8558265197746547E-4</v>
      </c>
      <c r="AJ146" s="1270"/>
    </row>
    <row r="147" spans="2:36" s="1259" customFormat="1" outlineLevel="1">
      <c r="B147" s="1263" t="s">
        <v>203</v>
      </c>
      <c r="D147" s="1264">
        <v>57170</v>
      </c>
      <c r="E147" s="1264" t="s">
        <v>261</v>
      </c>
      <c r="F147" s="1265"/>
      <c r="G147" s="1261"/>
      <c r="H147" s="1266"/>
      <c r="I147" s="1267"/>
      <c r="J147" s="1268">
        <v>475</v>
      </c>
      <c r="K147" s="1267"/>
      <c r="L147" s="1268">
        <v>475</v>
      </c>
      <c r="M147" s="1267"/>
      <c r="N147" s="1268">
        <v>475</v>
      </c>
      <c r="O147" s="1267"/>
      <c r="P147" s="1268">
        <v>475</v>
      </c>
      <c r="Q147" s="1267"/>
      <c r="R147" s="1268">
        <v>475</v>
      </c>
      <c r="S147" s="1267"/>
      <c r="T147" s="1268">
        <v>475</v>
      </c>
      <c r="U147" s="1267"/>
      <c r="V147" s="1268">
        <v>475</v>
      </c>
      <c r="W147" s="1267"/>
      <c r="X147" s="1268">
        <v>475</v>
      </c>
      <c r="Y147" s="1267"/>
      <c r="Z147" s="1268">
        <v>475</v>
      </c>
      <c r="AA147" s="1267"/>
      <c r="AB147" s="1268">
        <v>475</v>
      </c>
      <c r="AC147" s="1267"/>
      <c r="AD147" s="1268">
        <v>0</v>
      </c>
      <c r="AE147" s="1267"/>
      <c r="AF147" s="1268">
        <v>950</v>
      </c>
      <c r="AG147" s="1267"/>
      <c r="AH147" s="1268">
        <f t="shared" si="20"/>
        <v>5700</v>
      </c>
      <c r="AI147" s="1269">
        <f t="shared" si="21"/>
        <v>1.7295754158465962E-3</v>
      </c>
      <c r="AJ147" s="1270"/>
    </row>
    <row r="148" spans="2:36" s="1259" customFormat="1" outlineLevel="1">
      <c r="B148" s="1263" t="s">
        <v>203</v>
      </c>
      <c r="D148" s="1264">
        <v>57254</v>
      </c>
      <c r="E148" s="1264" t="s">
        <v>262</v>
      </c>
      <c r="F148" s="1265"/>
      <c r="G148" s="1261"/>
      <c r="H148" s="1266"/>
      <c r="I148" s="1267"/>
      <c r="J148" s="1268">
        <v>901.21</v>
      </c>
      <c r="K148" s="1267"/>
      <c r="L148" s="1268">
        <v>1002.53</v>
      </c>
      <c r="M148" s="1267"/>
      <c r="N148" s="1268">
        <v>597.25</v>
      </c>
      <c r="O148" s="1267"/>
      <c r="P148" s="1268">
        <v>951.85</v>
      </c>
      <c r="Q148" s="1267"/>
      <c r="R148" s="1268">
        <v>742.78</v>
      </c>
      <c r="S148" s="1267"/>
      <c r="T148" s="1268">
        <v>1100.6199999999999</v>
      </c>
      <c r="U148" s="1267"/>
      <c r="V148" s="1268">
        <v>1151.3</v>
      </c>
      <c r="W148" s="1267"/>
      <c r="X148" s="1268">
        <v>855.65</v>
      </c>
      <c r="Y148" s="1267"/>
      <c r="Z148" s="1268">
        <v>919.07</v>
      </c>
      <c r="AA148" s="1267"/>
      <c r="AB148" s="1268">
        <v>739.36</v>
      </c>
      <c r="AC148" s="1267"/>
      <c r="AD148" s="1268">
        <v>738.65</v>
      </c>
      <c r="AE148" s="1267"/>
      <c r="AF148" s="1268">
        <v>301.66000000000003</v>
      </c>
      <c r="AG148" s="1267"/>
      <c r="AH148" s="1268">
        <f t="shared" si="20"/>
        <v>10001.93</v>
      </c>
      <c r="AI148" s="1269">
        <f t="shared" si="21"/>
        <v>3.0349284629857098E-3</v>
      </c>
      <c r="AJ148" s="1270"/>
    </row>
    <row r="149" spans="2:36" s="1259" customFormat="1" outlineLevel="1">
      <c r="B149" s="1263" t="s">
        <v>203</v>
      </c>
      <c r="D149" s="1264">
        <v>57255</v>
      </c>
      <c r="E149" s="1264" t="s">
        <v>77</v>
      </c>
      <c r="F149" s="1265"/>
      <c r="G149" s="1261"/>
      <c r="H149" s="1266"/>
      <c r="I149" s="1267"/>
      <c r="J149" s="1268">
        <v>143.75</v>
      </c>
      <c r="K149" s="1267"/>
      <c r="L149" s="1268">
        <v>1613.75</v>
      </c>
      <c r="M149" s="1267"/>
      <c r="N149" s="1268">
        <v>2439.17</v>
      </c>
      <c r="O149" s="1267"/>
      <c r="P149" s="1268">
        <v>3830.76</v>
      </c>
      <c r="Q149" s="1267"/>
      <c r="R149" s="1268">
        <v>1329.36</v>
      </c>
      <c r="S149" s="1267"/>
      <c r="T149" s="1268">
        <v>1012.09</v>
      </c>
      <c r="U149" s="1267"/>
      <c r="V149" s="1268">
        <v>183.37</v>
      </c>
      <c r="W149" s="1267"/>
      <c r="X149" s="1268">
        <v>-236.63</v>
      </c>
      <c r="Y149" s="1267"/>
      <c r="Z149" s="1268">
        <v>3318.37</v>
      </c>
      <c r="AA149" s="1267"/>
      <c r="AB149" s="1268">
        <v>-576.63</v>
      </c>
      <c r="AC149" s="1267"/>
      <c r="AD149" s="1268">
        <v>2315.66</v>
      </c>
      <c r="AE149" s="1267"/>
      <c r="AF149" s="1268">
        <v>707.77</v>
      </c>
      <c r="AG149" s="1267"/>
      <c r="AH149" s="1268">
        <f t="shared" si="20"/>
        <v>16080.789999999999</v>
      </c>
      <c r="AI149" s="1269">
        <f t="shared" si="21"/>
        <v>4.8794629914722431E-3</v>
      </c>
      <c r="AJ149" s="1270"/>
    </row>
    <row r="150" spans="2:36" s="1259" customFormat="1" outlineLevel="1">
      <c r="B150" s="1263" t="s">
        <v>203</v>
      </c>
      <c r="D150" s="1264">
        <v>57275</v>
      </c>
      <c r="E150" s="1264" t="s">
        <v>263</v>
      </c>
      <c r="F150" s="1265"/>
      <c r="G150" s="1261"/>
      <c r="H150" s="1266"/>
      <c r="I150" s="1267"/>
      <c r="J150" s="1268">
        <v>1011.84</v>
      </c>
      <c r="K150" s="1267"/>
      <c r="L150" s="1268">
        <v>250</v>
      </c>
      <c r="M150" s="1267"/>
      <c r="N150" s="1268">
        <v>635.07000000000005</v>
      </c>
      <c r="O150" s="1267"/>
      <c r="P150" s="1268">
        <v>270.70999999999998</v>
      </c>
      <c r="Q150" s="1267"/>
      <c r="R150" s="1268">
        <v>351.45</v>
      </c>
      <c r="S150" s="1267"/>
      <c r="T150" s="1268">
        <v>351.45</v>
      </c>
      <c r="U150" s="1267"/>
      <c r="V150" s="1268">
        <v>351.45</v>
      </c>
      <c r="W150" s="1267"/>
      <c r="X150" s="1268">
        <v>351.45</v>
      </c>
      <c r="Y150" s="1267"/>
      <c r="Z150" s="1268">
        <v>351.45</v>
      </c>
      <c r="AA150" s="1267"/>
      <c r="AB150" s="1268">
        <v>351.45</v>
      </c>
      <c r="AC150" s="1267"/>
      <c r="AD150" s="1268">
        <v>351.45</v>
      </c>
      <c r="AE150" s="1267"/>
      <c r="AF150" s="1268">
        <v>351.41</v>
      </c>
      <c r="AG150" s="1267"/>
      <c r="AH150" s="1268">
        <f t="shared" si="20"/>
        <v>4979.1799999999994</v>
      </c>
      <c r="AI150" s="1269">
        <f t="shared" si="21"/>
        <v>1.5108539156272025E-3</v>
      </c>
      <c r="AJ150" s="1270"/>
    </row>
    <row r="151" spans="2:36" s="1259" customFormat="1" outlineLevel="1">
      <c r="B151" s="1263" t="s">
        <v>203</v>
      </c>
      <c r="D151" s="1264">
        <v>57324</v>
      </c>
      <c r="E151" s="1264" t="s">
        <v>264</v>
      </c>
      <c r="F151" s="1265"/>
      <c r="G151" s="1261"/>
      <c r="H151" s="1266"/>
      <c r="I151" s="1267"/>
      <c r="J151" s="1268">
        <v>0</v>
      </c>
      <c r="K151" s="1267"/>
      <c r="L151" s="1268">
        <v>2767.5</v>
      </c>
      <c r="M151" s="1267"/>
      <c r="N151" s="1268">
        <v>0</v>
      </c>
      <c r="O151" s="1267"/>
      <c r="P151" s="1268">
        <v>0</v>
      </c>
      <c r="Q151" s="1267"/>
      <c r="R151" s="1268">
        <v>0</v>
      </c>
      <c r="S151" s="1267"/>
      <c r="T151" s="1268">
        <v>0</v>
      </c>
      <c r="U151" s="1267"/>
      <c r="V151" s="1268">
        <v>0</v>
      </c>
      <c r="W151" s="1267"/>
      <c r="X151" s="1268">
        <v>0</v>
      </c>
      <c r="Y151" s="1267"/>
      <c r="Z151" s="1268">
        <v>0</v>
      </c>
      <c r="AA151" s="1267"/>
      <c r="AB151" s="1268">
        <v>0</v>
      </c>
      <c r="AC151" s="1267"/>
      <c r="AD151" s="1268">
        <v>0</v>
      </c>
      <c r="AE151" s="1267"/>
      <c r="AF151" s="1268">
        <v>0</v>
      </c>
      <c r="AG151" s="1267"/>
      <c r="AH151" s="1268">
        <f t="shared" si="20"/>
        <v>2767.5</v>
      </c>
      <c r="AI151" s="1269">
        <f t="shared" si="21"/>
        <v>8.3975437953604469E-4</v>
      </c>
      <c r="AJ151" s="1270"/>
    </row>
    <row r="152" spans="2:36" s="1259" customFormat="1" outlineLevel="1">
      <c r="B152" s="1263" t="s">
        <v>203</v>
      </c>
      <c r="D152" s="1264">
        <v>57357</v>
      </c>
      <c r="E152" s="1264" t="s">
        <v>149</v>
      </c>
      <c r="F152" s="1265"/>
      <c r="G152" s="1261"/>
      <c r="H152" s="1266"/>
      <c r="I152" s="1267"/>
      <c r="J152" s="1268">
        <v>0</v>
      </c>
      <c r="K152" s="1267"/>
      <c r="L152" s="1268">
        <v>0</v>
      </c>
      <c r="M152" s="1267"/>
      <c r="N152" s="1268">
        <v>0</v>
      </c>
      <c r="O152" s="1267"/>
      <c r="P152" s="1268">
        <v>0</v>
      </c>
      <c r="Q152" s="1267"/>
      <c r="R152" s="1268">
        <v>0</v>
      </c>
      <c r="S152" s="1267"/>
      <c r="T152" s="1268">
        <v>50</v>
      </c>
      <c r="U152" s="1267"/>
      <c r="V152" s="1268">
        <v>0</v>
      </c>
      <c r="W152" s="1267"/>
      <c r="X152" s="1268">
        <v>0</v>
      </c>
      <c r="Y152" s="1267"/>
      <c r="Z152" s="1268">
        <v>356.76</v>
      </c>
      <c r="AA152" s="1267"/>
      <c r="AB152" s="1268">
        <v>169.47</v>
      </c>
      <c r="AC152" s="1267"/>
      <c r="AD152" s="1268">
        <v>118.92</v>
      </c>
      <c r="AE152" s="1267"/>
      <c r="AF152" s="1268">
        <v>118.92</v>
      </c>
      <c r="AG152" s="1267"/>
      <c r="AH152" s="1268">
        <f t="shared" si="20"/>
        <v>814.06999999999994</v>
      </c>
      <c r="AI152" s="1269">
        <f t="shared" si="21"/>
        <v>2.4701674715407691E-4</v>
      </c>
      <c r="AJ152" s="1270"/>
    </row>
    <row r="153" spans="2:36" s="1259" customFormat="1" outlineLevel="1">
      <c r="B153" s="1263" t="s">
        <v>203</v>
      </c>
      <c r="D153" s="1264">
        <v>57370</v>
      </c>
      <c r="E153" s="1264" t="s">
        <v>265</v>
      </c>
      <c r="F153" s="1265"/>
      <c r="G153" s="1261"/>
      <c r="H153" s="1266"/>
      <c r="I153" s="1267"/>
      <c r="J153" s="1268">
        <v>11.43</v>
      </c>
      <c r="K153" s="1267"/>
      <c r="L153" s="1268">
        <v>11.43</v>
      </c>
      <c r="M153" s="1267"/>
      <c r="N153" s="1268">
        <v>11.43</v>
      </c>
      <c r="O153" s="1267"/>
      <c r="P153" s="1268">
        <v>11.43</v>
      </c>
      <c r="Q153" s="1267"/>
      <c r="R153" s="1268">
        <v>11.43</v>
      </c>
      <c r="S153" s="1267"/>
      <c r="T153" s="1268">
        <v>4.92</v>
      </c>
      <c r="U153" s="1267"/>
      <c r="V153" s="1268">
        <v>8.59</v>
      </c>
      <c r="W153" s="1267"/>
      <c r="X153" s="1268">
        <v>8.59</v>
      </c>
      <c r="Y153" s="1267"/>
      <c r="Z153" s="1268">
        <v>8.59</v>
      </c>
      <c r="AA153" s="1267"/>
      <c r="AB153" s="1268">
        <v>8.59</v>
      </c>
      <c r="AC153" s="1267"/>
      <c r="AD153" s="1268">
        <v>8.59</v>
      </c>
      <c r="AE153" s="1267"/>
      <c r="AF153" s="1268">
        <v>8.59</v>
      </c>
      <c r="AG153" s="1267"/>
      <c r="AH153" s="1268">
        <f t="shared" si="20"/>
        <v>113.61000000000004</v>
      </c>
      <c r="AI153" s="1269">
        <f t="shared" si="21"/>
        <v>3.4473168946374015E-5</v>
      </c>
      <c r="AJ153" s="1270"/>
    </row>
    <row r="154" spans="2:36" s="115" customFormat="1" ht="5.0999999999999996" customHeight="1" outlineLevel="1">
      <c r="B154" s="142" t="s">
        <v>195</v>
      </c>
      <c r="D154" s="114"/>
      <c r="E154" s="114"/>
      <c r="F154" s="114"/>
      <c r="G154" s="114"/>
      <c r="J154" s="147"/>
      <c r="K154" s="145"/>
      <c r="L154" s="147"/>
      <c r="M154" s="145"/>
      <c r="N154" s="147"/>
      <c r="O154" s="145"/>
      <c r="P154" s="147"/>
      <c r="Q154" s="145"/>
      <c r="R154" s="147"/>
      <c r="S154" s="145"/>
      <c r="T154" s="147"/>
      <c r="U154" s="145"/>
      <c r="V154" s="147"/>
      <c r="W154" s="145"/>
      <c r="X154" s="147"/>
      <c r="Y154" s="145"/>
      <c r="Z154" s="147"/>
      <c r="AA154" s="145"/>
      <c r="AB154" s="147"/>
      <c r="AC154" s="145"/>
      <c r="AD154" s="147"/>
      <c r="AE154" s="145"/>
      <c r="AF154" s="147"/>
      <c r="AG154" s="145"/>
      <c r="AH154" s="147"/>
      <c r="AI154" s="141"/>
      <c r="AJ154" s="123"/>
    </row>
    <row r="155" spans="2:36" s="115" customFormat="1" ht="15">
      <c r="B155" s="142" t="s">
        <v>195</v>
      </c>
      <c r="F155" s="114" t="s">
        <v>266</v>
      </c>
      <c r="J155" s="144">
        <f>SUM(J144:J154)</f>
        <v>2924.29</v>
      </c>
      <c r="K155" s="145"/>
      <c r="L155" s="144">
        <f>SUM(L144:L154)</f>
        <v>6552.13</v>
      </c>
      <c r="M155" s="145"/>
      <c r="N155" s="144">
        <f>SUM(N144:N154)</f>
        <v>7140.52</v>
      </c>
      <c r="O155" s="145"/>
      <c r="P155" s="144">
        <f>SUM(P144:P154)</f>
        <v>7514.4100000000008</v>
      </c>
      <c r="Q155" s="145"/>
      <c r="R155" s="144">
        <f>SUM(R144:R154)</f>
        <v>3345.0699999999993</v>
      </c>
      <c r="S155" s="145"/>
      <c r="T155" s="144">
        <f>SUM(T144:T154)</f>
        <v>6583.63</v>
      </c>
      <c r="U155" s="145"/>
      <c r="V155" s="144">
        <f>SUM(V144:V154)</f>
        <v>3863.3</v>
      </c>
      <c r="W155" s="145"/>
      <c r="X155" s="144">
        <f>SUM(X144:X154)</f>
        <v>3493.97</v>
      </c>
      <c r="Y155" s="145"/>
      <c r="Z155" s="144">
        <f>SUM(Z144:Z154)</f>
        <v>5259.21</v>
      </c>
      <c r="AA155" s="145"/>
      <c r="AB155" s="144">
        <f>SUM(AB144:AB154)</f>
        <v>1834.16</v>
      </c>
      <c r="AC155" s="145"/>
      <c r="AD155" s="144">
        <f>SUM(AD144:AD154)</f>
        <v>4373.82</v>
      </c>
      <c r="AE155" s="145"/>
      <c r="AF155" s="144">
        <f>SUM(AF144:AF154)</f>
        <v>2807.4300000000003</v>
      </c>
      <c r="AG155" s="145"/>
      <c r="AH155" s="144">
        <f>SUM(AH144:AH154)</f>
        <v>55691.94</v>
      </c>
      <c r="AI155" s="118">
        <f>IF(AH$52=0,0,AH155/AH$52)</f>
        <v>1.6898843909614682E-2</v>
      </c>
      <c r="AJ155" s="123"/>
    </row>
    <row r="156" spans="2:36" s="115" customFormat="1" ht="8.25" hidden="1" customHeight="1" outlineLevel="1">
      <c r="B156" s="142"/>
      <c r="J156" s="146"/>
      <c r="K156" s="145"/>
      <c r="L156" s="146"/>
      <c r="M156" s="145"/>
      <c r="N156" s="146"/>
      <c r="O156" s="145"/>
      <c r="P156" s="146"/>
      <c r="Q156" s="145"/>
      <c r="R156" s="146"/>
      <c r="S156" s="145"/>
      <c r="T156" s="146"/>
      <c r="U156" s="145"/>
      <c r="V156" s="146"/>
      <c r="W156" s="145"/>
      <c r="X156" s="146"/>
      <c r="Y156" s="145"/>
      <c r="Z156" s="146"/>
      <c r="AA156" s="145"/>
      <c r="AB156" s="146"/>
      <c r="AC156" s="145"/>
      <c r="AD156" s="146"/>
      <c r="AE156" s="145"/>
      <c r="AF156" s="146"/>
      <c r="AG156" s="145"/>
      <c r="AH156" s="146"/>
      <c r="AI156" s="141"/>
      <c r="AJ156" s="123"/>
    </row>
    <row r="157" spans="2:36" s="115" customFormat="1" ht="8.25" hidden="1" customHeight="1" outlineLevel="1">
      <c r="B157" s="142"/>
      <c r="D157" s="153"/>
      <c r="E157" s="153"/>
      <c r="F157" s="153"/>
      <c r="G157" s="153"/>
      <c r="H157" s="153"/>
      <c r="I157" s="153"/>
      <c r="J157" s="154"/>
      <c r="K157" s="155"/>
      <c r="L157" s="154"/>
      <c r="M157" s="155"/>
      <c r="N157" s="154"/>
      <c r="O157" s="155"/>
      <c r="P157" s="154"/>
      <c r="Q157" s="155"/>
      <c r="R157" s="154"/>
      <c r="S157" s="155"/>
      <c r="T157" s="154"/>
      <c r="U157" s="155"/>
      <c r="V157" s="154"/>
      <c r="W157" s="155"/>
      <c r="X157" s="154"/>
      <c r="Y157" s="155"/>
      <c r="Z157" s="154"/>
      <c r="AA157" s="155"/>
      <c r="AB157" s="154"/>
      <c r="AC157" s="155"/>
      <c r="AD157" s="154"/>
      <c r="AE157" s="155"/>
      <c r="AF157" s="154"/>
      <c r="AG157" s="155"/>
      <c r="AH157" s="154"/>
      <c r="AI157" s="153"/>
      <c r="AJ157" s="153"/>
    </row>
    <row r="158" spans="2:36" s="115" customFormat="1" ht="4.5" customHeight="1" outlineLevel="1">
      <c r="B158" s="142"/>
      <c r="D158" s="148"/>
      <c r="J158" s="147"/>
      <c r="K158" s="145"/>
      <c r="L158" s="147"/>
      <c r="M158" s="145"/>
      <c r="N158" s="147"/>
      <c r="O158" s="145"/>
      <c r="P158" s="147"/>
      <c r="Q158" s="145"/>
      <c r="R158" s="147"/>
      <c r="S158" s="145"/>
      <c r="T158" s="147"/>
      <c r="U158" s="145"/>
      <c r="V158" s="147"/>
      <c r="W158" s="145"/>
      <c r="X158" s="147"/>
      <c r="Y158" s="145"/>
      <c r="Z158" s="147"/>
      <c r="AA158" s="145"/>
      <c r="AB158" s="147"/>
      <c r="AC158" s="145"/>
      <c r="AD158" s="147"/>
      <c r="AE158" s="145"/>
      <c r="AF158" s="147"/>
      <c r="AG158" s="145"/>
      <c r="AH158" s="147"/>
      <c r="AI158" s="141"/>
      <c r="AJ158" s="123"/>
    </row>
    <row r="159" spans="2:36" s="115" customFormat="1" ht="15" hidden="1">
      <c r="B159" s="142"/>
      <c r="F159" s="115" t="s">
        <v>267</v>
      </c>
      <c r="J159" s="144">
        <f>SUM(J157:J158)</f>
        <v>0</v>
      </c>
      <c r="K159" s="145"/>
      <c r="L159" s="144">
        <f>SUM(L157:L158)</f>
        <v>0</v>
      </c>
      <c r="M159" s="145"/>
      <c r="N159" s="144">
        <f>SUM(N157:N158)</f>
        <v>0</v>
      </c>
      <c r="O159" s="145"/>
      <c r="P159" s="144">
        <f>SUM(P157:P158)</f>
        <v>0</v>
      </c>
      <c r="Q159" s="145"/>
      <c r="R159" s="144">
        <f>SUM(R157:R158)</f>
        <v>0</v>
      </c>
      <c r="S159" s="145"/>
      <c r="T159" s="144">
        <f>SUM(T157:T158)</f>
        <v>0</v>
      </c>
      <c r="U159" s="145"/>
      <c r="V159" s="144">
        <f>SUM(V157:V158)</f>
        <v>0</v>
      </c>
      <c r="W159" s="145"/>
      <c r="X159" s="144">
        <f>SUM(X157:X158)</f>
        <v>0</v>
      </c>
      <c r="Y159" s="145"/>
      <c r="Z159" s="144">
        <f>SUM(Z157:Z158)</f>
        <v>0</v>
      </c>
      <c r="AA159" s="145"/>
      <c r="AB159" s="144">
        <f>SUM(AB157:AB158)</f>
        <v>0</v>
      </c>
      <c r="AC159" s="145"/>
      <c r="AD159" s="144">
        <f>SUM(AD157:AD158)</f>
        <v>0</v>
      </c>
      <c r="AE159" s="145"/>
      <c r="AF159" s="144">
        <f>SUM(AF157:AF158)</f>
        <v>0</v>
      </c>
      <c r="AG159" s="145"/>
      <c r="AH159" s="144">
        <f>SUM(AH157:AH158)</f>
        <v>0</v>
      </c>
      <c r="AI159" s="118">
        <f>IF(AH$52=0,0,AH159/AH$52)</f>
        <v>0</v>
      </c>
      <c r="AJ159" s="123"/>
    </row>
    <row r="160" spans="2:36" s="115" customFormat="1" ht="6" customHeight="1" outlineLevel="1">
      <c r="B160" s="142"/>
      <c r="J160" s="146"/>
      <c r="K160" s="145"/>
      <c r="L160" s="146"/>
      <c r="M160" s="145"/>
      <c r="N160" s="146"/>
      <c r="O160" s="145"/>
      <c r="P160" s="146"/>
      <c r="Q160" s="145"/>
      <c r="R160" s="146"/>
      <c r="S160" s="145"/>
      <c r="T160" s="146"/>
      <c r="U160" s="145"/>
      <c r="V160" s="146"/>
      <c r="W160" s="145"/>
      <c r="X160" s="146"/>
      <c r="Y160" s="145"/>
      <c r="Z160" s="146"/>
      <c r="AA160" s="145"/>
      <c r="AB160" s="146"/>
      <c r="AC160" s="145"/>
      <c r="AD160" s="146"/>
      <c r="AE160" s="145"/>
      <c r="AF160" s="146"/>
      <c r="AG160" s="145"/>
      <c r="AH160" s="146"/>
      <c r="AI160" s="141"/>
      <c r="AJ160" s="123"/>
    </row>
    <row r="161" spans="2:36" s="115" customFormat="1" ht="6" customHeight="1" outlineLevel="1">
      <c r="B161" s="142"/>
      <c r="J161" s="146"/>
      <c r="K161" s="145"/>
      <c r="L161" s="146"/>
      <c r="M161" s="145"/>
      <c r="N161" s="146"/>
      <c r="O161" s="145"/>
      <c r="P161" s="146"/>
      <c r="Q161" s="145"/>
      <c r="R161" s="146"/>
      <c r="S161" s="145"/>
      <c r="T161" s="146"/>
      <c r="U161" s="145"/>
      <c r="V161" s="146"/>
      <c r="W161" s="145"/>
      <c r="X161" s="146"/>
      <c r="Y161" s="145"/>
      <c r="Z161" s="146"/>
      <c r="AA161" s="145"/>
      <c r="AB161" s="146"/>
      <c r="AC161" s="145"/>
      <c r="AD161" s="146"/>
      <c r="AE161" s="145"/>
      <c r="AF161" s="146"/>
      <c r="AG161" s="145"/>
      <c r="AH161" s="146"/>
      <c r="AI161" s="141"/>
      <c r="AJ161" s="123"/>
    </row>
    <row r="162" spans="2:36" s="1259" customFormat="1" outlineLevel="1">
      <c r="B162" s="1263" t="s">
        <v>268</v>
      </c>
      <c r="D162" s="1264">
        <v>59340</v>
      </c>
      <c r="E162" s="1264" t="s">
        <v>92</v>
      </c>
      <c r="F162" s="1265"/>
      <c r="G162" s="1261"/>
      <c r="H162" s="1266"/>
      <c r="I162" s="1267"/>
      <c r="J162" s="1268">
        <v>1421.8</v>
      </c>
      <c r="K162" s="1267"/>
      <c r="L162" s="1268">
        <v>1421.8</v>
      </c>
      <c r="M162" s="1267"/>
      <c r="N162" s="1268">
        <v>1421.8</v>
      </c>
      <c r="O162" s="1267"/>
      <c r="P162" s="1268">
        <v>1421.8</v>
      </c>
      <c r="Q162" s="1267"/>
      <c r="R162" s="1268">
        <v>1421.8</v>
      </c>
      <c r="S162" s="1267"/>
      <c r="T162" s="1268">
        <v>1421.8</v>
      </c>
      <c r="U162" s="1267"/>
      <c r="V162" s="1268">
        <v>1421.8</v>
      </c>
      <c r="W162" s="1267"/>
      <c r="X162" s="1268">
        <v>1421.8</v>
      </c>
      <c r="Y162" s="1267"/>
      <c r="Z162" s="1268">
        <v>1421.8</v>
      </c>
      <c r="AA162" s="1267"/>
      <c r="AB162" s="1268">
        <v>1421.8</v>
      </c>
      <c r="AC162" s="1267"/>
      <c r="AD162" s="1268">
        <v>1421.8</v>
      </c>
      <c r="AE162" s="1267"/>
      <c r="AF162" s="1268">
        <v>1421.8</v>
      </c>
      <c r="AG162" s="1267"/>
      <c r="AH162" s="1268">
        <f t="shared" ref="AH162:AH166" si="22">AF162+AD162+AB162+Z162+X162+V162+T162+R162+P162+N162+L162+J162</f>
        <v>17061.599999999995</v>
      </c>
      <c r="AI162" s="1269">
        <f t="shared" ref="AI162:AI166" si="23">IF(AH$52=0,0,AH162/AH$52)</f>
        <v>5.1770743710540836E-3</v>
      </c>
      <c r="AJ162" s="1270"/>
    </row>
    <row r="163" spans="2:36" s="1259" customFormat="1" outlineLevel="1">
      <c r="B163" s="1263" t="s">
        <v>203</v>
      </c>
      <c r="D163" s="1264">
        <v>59341</v>
      </c>
      <c r="E163" s="1264" t="s">
        <v>269</v>
      </c>
      <c r="F163" s="1265"/>
      <c r="G163" s="1261"/>
      <c r="H163" s="1266"/>
      <c r="I163" s="1267"/>
      <c r="J163" s="1268">
        <v>0</v>
      </c>
      <c r="K163" s="1267"/>
      <c r="L163" s="1268">
        <v>0</v>
      </c>
      <c r="M163" s="1267"/>
      <c r="N163" s="1268">
        <v>0</v>
      </c>
      <c r="O163" s="1267"/>
      <c r="P163" s="1268">
        <v>2515.33</v>
      </c>
      <c r="Q163" s="1267"/>
      <c r="R163" s="1268">
        <v>0</v>
      </c>
      <c r="S163" s="1267"/>
      <c r="T163" s="1268">
        <v>0</v>
      </c>
      <c r="U163" s="1267"/>
      <c r="V163" s="1268">
        <v>0</v>
      </c>
      <c r="W163" s="1267"/>
      <c r="X163" s="1268">
        <v>0</v>
      </c>
      <c r="Y163" s="1267"/>
      <c r="Z163" s="1268">
        <v>0</v>
      </c>
      <c r="AA163" s="1267"/>
      <c r="AB163" s="1268">
        <v>0</v>
      </c>
      <c r="AC163" s="1267"/>
      <c r="AD163" s="1268">
        <v>0</v>
      </c>
      <c r="AE163" s="1267"/>
      <c r="AF163" s="1268">
        <v>0</v>
      </c>
      <c r="AG163" s="1267"/>
      <c r="AH163" s="1268">
        <f t="shared" si="22"/>
        <v>2515.33</v>
      </c>
      <c r="AI163" s="1269">
        <f t="shared" si="23"/>
        <v>7.6323735627042435E-4</v>
      </c>
      <c r="AJ163" s="1270"/>
    </row>
    <row r="164" spans="2:36" s="1259" customFormat="1" outlineLevel="1">
      <c r="B164" s="1263" t="s">
        <v>203</v>
      </c>
      <c r="D164" s="1264">
        <v>59343</v>
      </c>
      <c r="E164" s="1264" t="s">
        <v>270</v>
      </c>
      <c r="F164" s="1265"/>
      <c r="G164" s="1261"/>
      <c r="H164" s="1266"/>
      <c r="I164" s="1267"/>
      <c r="J164" s="1268">
        <v>0</v>
      </c>
      <c r="K164" s="1267"/>
      <c r="L164" s="1268">
        <v>2800</v>
      </c>
      <c r="M164" s="1267"/>
      <c r="N164" s="1268">
        <v>70</v>
      </c>
      <c r="O164" s="1267"/>
      <c r="P164" s="1268">
        <v>0</v>
      </c>
      <c r="Q164" s="1267"/>
      <c r="R164" s="1268">
        <v>-2211.4899999999998</v>
      </c>
      <c r="S164" s="1267"/>
      <c r="T164" s="1268">
        <v>0</v>
      </c>
      <c r="U164" s="1267"/>
      <c r="V164" s="1268">
        <v>0</v>
      </c>
      <c r="W164" s="1267"/>
      <c r="X164" s="1268">
        <v>0</v>
      </c>
      <c r="Y164" s="1267"/>
      <c r="Z164" s="1268">
        <v>0</v>
      </c>
      <c r="AA164" s="1267"/>
      <c r="AB164" s="1268">
        <v>0</v>
      </c>
      <c r="AC164" s="1267"/>
      <c r="AD164" s="1268">
        <v>0</v>
      </c>
      <c r="AE164" s="1267"/>
      <c r="AF164" s="1268">
        <v>0</v>
      </c>
      <c r="AG164" s="1267"/>
      <c r="AH164" s="1268">
        <f t="shared" si="22"/>
        <v>658.51000000000022</v>
      </c>
      <c r="AI164" s="1269">
        <f t="shared" si="23"/>
        <v>1.9981451001563902E-4</v>
      </c>
      <c r="AJ164" s="1270"/>
    </row>
    <row r="165" spans="2:36" s="1259" customFormat="1" outlineLevel="1">
      <c r="B165" s="1263" t="s">
        <v>203</v>
      </c>
      <c r="D165" s="1264">
        <v>59344</v>
      </c>
      <c r="E165" s="1264" t="s">
        <v>271</v>
      </c>
      <c r="F165" s="1265"/>
      <c r="G165" s="1261"/>
      <c r="H165" s="1266"/>
      <c r="I165" s="1267"/>
      <c r="J165" s="1268">
        <v>0</v>
      </c>
      <c r="K165" s="1267"/>
      <c r="L165" s="1268">
        <v>0</v>
      </c>
      <c r="M165" s="1267"/>
      <c r="N165" s="1268">
        <v>33420</v>
      </c>
      <c r="O165" s="1267"/>
      <c r="P165" s="1268">
        <v>0</v>
      </c>
      <c r="Q165" s="1267"/>
      <c r="R165" s="1268">
        <v>0</v>
      </c>
      <c r="S165" s="1267"/>
      <c r="T165" s="1268">
        <v>24834</v>
      </c>
      <c r="U165" s="1267"/>
      <c r="V165" s="1268">
        <v>-3738.96</v>
      </c>
      <c r="W165" s="1267"/>
      <c r="X165" s="1268">
        <v>0</v>
      </c>
      <c r="Y165" s="1267"/>
      <c r="Z165" s="1268">
        <v>0</v>
      </c>
      <c r="AA165" s="1267"/>
      <c r="AB165" s="1268">
        <v>0</v>
      </c>
      <c r="AC165" s="1267"/>
      <c r="AD165" s="1268">
        <v>0</v>
      </c>
      <c r="AE165" s="1267"/>
      <c r="AF165" s="1268">
        <v>0</v>
      </c>
      <c r="AG165" s="1267"/>
      <c r="AH165" s="1268">
        <f t="shared" si="22"/>
        <v>54515.040000000001</v>
      </c>
      <c r="AI165" s="1269">
        <f t="shared" si="23"/>
        <v>1.6541732101384883E-2</v>
      </c>
      <c r="AJ165" s="1270"/>
    </row>
    <row r="166" spans="2:36" s="1259" customFormat="1" outlineLevel="1">
      <c r="B166" s="1263" t="s">
        <v>203</v>
      </c>
      <c r="D166" s="1264">
        <v>59500</v>
      </c>
      <c r="E166" s="1264" t="s">
        <v>272</v>
      </c>
      <c r="F166" s="1265"/>
      <c r="G166" s="1261"/>
      <c r="H166" s="1266"/>
      <c r="I166" s="1267"/>
      <c r="J166" s="1268">
        <v>100</v>
      </c>
      <c r="K166" s="1267"/>
      <c r="L166" s="1268">
        <v>250</v>
      </c>
      <c r="M166" s="1267"/>
      <c r="N166" s="1268">
        <v>125</v>
      </c>
      <c r="O166" s="1267"/>
      <c r="P166" s="1268">
        <v>125</v>
      </c>
      <c r="Q166" s="1267"/>
      <c r="R166" s="1268">
        <v>300</v>
      </c>
      <c r="S166" s="1267"/>
      <c r="T166" s="1268">
        <v>125</v>
      </c>
      <c r="U166" s="1267"/>
      <c r="V166" s="1268">
        <v>125</v>
      </c>
      <c r="W166" s="1267"/>
      <c r="X166" s="1268">
        <v>4600</v>
      </c>
      <c r="Y166" s="1267"/>
      <c r="Z166" s="1268">
        <v>200</v>
      </c>
      <c r="AA166" s="1267"/>
      <c r="AB166" s="1268">
        <v>200</v>
      </c>
      <c r="AC166" s="1267"/>
      <c r="AD166" s="1268">
        <v>1400</v>
      </c>
      <c r="AE166" s="1267"/>
      <c r="AF166" s="1268">
        <v>625</v>
      </c>
      <c r="AG166" s="1267"/>
      <c r="AH166" s="1268">
        <f t="shared" si="22"/>
        <v>8175</v>
      </c>
      <c r="AI166" s="1269">
        <f t="shared" si="23"/>
        <v>2.4805752674641971E-3</v>
      </c>
      <c r="AJ166" s="1270"/>
    </row>
    <row r="167" spans="2:36" s="115" customFormat="1" ht="5.0999999999999996" customHeight="1" outlineLevel="1">
      <c r="B167" s="142" t="s">
        <v>195</v>
      </c>
      <c r="D167" s="114"/>
      <c r="E167" s="114"/>
      <c r="F167" s="114"/>
      <c r="G167" s="114"/>
      <c r="J167" s="147"/>
      <c r="K167" s="145"/>
      <c r="L167" s="147"/>
      <c r="M167" s="145"/>
      <c r="N167" s="147"/>
      <c r="O167" s="145"/>
      <c r="P167" s="147"/>
      <c r="Q167" s="145"/>
      <c r="R167" s="147"/>
      <c r="S167" s="145"/>
      <c r="T167" s="147"/>
      <c r="U167" s="145"/>
      <c r="V167" s="147"/>
      <c r="W167" s="145"/>
      <c r="X167" s="147"/>
      <c r="Y167" s="145"/>
      <c r="Z167" s="147"/>
      <c r="AA167" s="145"/>
      <c r="AB167" s="147"/>
      <c r="AC167" s="145"/>
      <c r="AD167" s="147"/>
      <c r="AE167" s="145"/>
      <c r="AF167" s="147"/>
      <c r="AG167" s="145"/>
      <c r="AH167" s="147"/>
      <c r="AI167" s="141"/>
      <c r="AJ167" s="123"/>
    </row>
    <row r="168" spans="2:36" s="115" customFormat="1" ht="15">
      <c r="F168" s="114" t="s">
        <v>273</v>
      </c>
      <c r="J168" s="144">
        <f>SUM(J161:J167)</f>
        <v>1521.8</v>
      </c>
      <c r="K168" s="145"/>
      <c r="L168" s="144">
        <f>SUM(L161:L167)</f>
        <v>4471.8</v>
      </c>
      <c r="M168" s="145"/>
      <c r="N168" s="144">
        <f>SUM(N161:N167)</f>
        <v>35036.800000000003</v>
      </c>
      <c r="O168" s="145"/>
      <c r="P168" s="144">
        <f>SUM(P161:P167)</f>
        <v>4062.13</v>
      </c>
      <c r="Q168" s="145"/>
      <c r="R168" s="144">
        <f>SUM(R161:R167)</f>
        <v>-489.68999999999983</v>
      </c>
      <c r="S168" s="145"/>
      <c r="T168" s="144">
        <f>SUM(T161:T167)</f>
        <v>26380.799999999999</v>
      </c>
      <c r="U168" s="145"/>
      <c r="V168" s="144">
        <f>SUM(V161:V167)</f>
        <v>-2192.16</v>
      </c>
      <c r="W168" s="145"/>
      <c r="X168" s="144">
        <f>SUM(X161:X167)</f>
        <v>6021.8</v>
      </c>
      <c r="Y168" s="145"/>
      <c r="Z168" s="144">
        <f>SUM(Z161:Z167)</f>
        <v>1621.8</v>
      </c>
      <c r="AA168" s="145"/>
      <c r="AB168" s="144">
        <f>SUM(AB161:AB167)</f>
        <v>1621.8</v>
      </c>
      <c r="AC168" s="145"/>
      <c r="AD168" s="144">
        <f>SUM(AD161:AD167)</f>
        <v>2821.8</v>
      </c>
      <c r="AE168" s="145"/>
      <c r="AF168" s="144">
        <f>SUM(AF161:AF167)</f>
        <v>2046.8</v>
      </c>
      <c r="AG168" s="145"/>
      <c r="AH168" s="144">
        <f>SUM(AH161:AH167)</f>
        <v>82925.48</v>
      </c>
      <c r="AI168" s="118">
        <f>IF(AH$52=0,0,AH168/AH$52)</f>
        <v>2.5162433606189225E-2</v>
      </c>
      <c r="AJ168" s="123"/>
    </row>
    <row r="169" spans="2:36" s="115" customFormat="1" ht="15" outlineLevel="1">
      <c r="B169" s="142" t="s">
        <v>195</v>
      </c>
      <c r="J169" s="146"/>
      <c r="K169" s="145"/>
      <c r="L169" s="146"/>
      <c r="M169" s="145"/>
      <c r="N169" s="146"/>
      <c r="O169" s="145"/>
      <c r="P169" s="146"/>
      <c r="Q169" s="145"/>
      <c r="R169" s="146"/>
      <c r="S169" s="145"/>
      <c r="T169" s="146"/>
      <c r="U169" s="145"/>
      <c r="V169" s="146"/>
      <c r="W169" s="145"/>
      <c r="X169" s="146"/>
      <c r="Y169" s="145"/>
      <c r="Z169" s="146"/>
      <c r="AA169" s="145"/>
      <c r="AB169" s="146"/>
      <c r="AC169" s="145"/>
      <c r="AD169" s="146"/>
      <c r="AE169" s="145"/>
      <c r="AF169" s="146"/>
      <c r="AG169" s="145"/>
      <c r="AH169" s="146"/>
      <c r="AI169" s="141"/>
      <c r="AJ169" s="123"/>
    </row>
    <row r="170" spans="2:36" s="1259" customFormat="1" outlineLevel="1">
      <c r="B170" s="1263" t="s">
        <v>274</v>
      </c>
      <c r="D170" s="1264">
        <v>91010</v>
      </c>
      <c r="E170" s="1264" t="s">
        <v>275</v>
      </c>
      <c r="F170" s="1265"/>
      <c r="G170" s="1261"/>
      <c r="H170" s="1266"/>
      <c r="I170" s="1267"/>
      <c r="J170" s="1268">
        <v>0</v>
      </c>
      <c r="K170" s="1267"/>
      <c r="L170" s="1268">
        <v>0</v>
      </c>
      <c r="M170" s="1267"/>
      <c r="N170" s="1268">
        <v>0</v>
      </c>
      <c r="O170" s="1267"/>
      <c r="P170" s="1268">
        <v>-2000</v>
      </c>
      <c r="Q170" s="1267"/>
      <c r="R170" s="1268">
        <v>0</v>
      </c>
      <c r="S170" s="1267"/>
      <c r="T170" s="1268">
        <v>0</v>
      </c>
      <c r="U170" s="1267"/>
      <c r="V170" s="1268">
        <v>0</v>
      </c>
      <c r="W170" s="1267"/>
      <c r="X170" s="1268">
        <v>0</v>
      </c>
      <c r="Y170" s="1267"/>
      <c r="Z170" s="1268">
        <v>256.64</v>
      </c>
      <c r="AA170" s="1267"/>
      <c r="AB170" s="1268">
        <v>0</v>
      </c>
      <c r="AC170" s="1267"/>
      <c r="AD170" s="1268">
        <v>-500</v>
      </c>
      <c r="AE170" s="1267"/>
      <c r="AF170" s="1268">
        <v>0</v>
      </c>
      <c r="AG170" s="1267"/>
      <c r="AH170" s="1268">
        <f>AF170+AD170+AB170+Z170+X170+V170+T170+R170+P170+N170+L170+J170</f>
        <v>-2243.36</v>
      </c>
      <c r="AI170" s="1269">
        <f>IF(AH$52=0,0,AH170/AH$52)</f>
        <v>-6.8071233419186319E-4</v>
      </c>
      <c r="AJ170" s="1270"/>
    </row>
    <row r="171" spans="2:36" s="115" customFormat="1" ht="5.0999999999999996" customHeight="1" outlineLevel="1">
      <c r="B171" s="108" t="s">
        <v>195</v>
      </c>
      <c r="D171" s="114"/>
      <c r="E171" s="114"/>
      <c r="F171" s="114"/>
      <c r="G171" s="114"/>
      <c r="J171" s="147"/>
      <c r="K171" s="145"/>
      <c r="L171" s="147"/>
      <c r="M171" s="145"/>
      <c r="N171" s="147"/>
      <c r="O171" s="145"/>
      <c r="P171" s="147"/>
      <c r="Q171" s="145"/>
      <c r="R171" s="147"/>
      <c r="S171" s="145"/>
      <c r="T171" s="147"/>
      <c r="U171" s="145"/>
      <c r="V171" s="147"/>
      <c r="W171" s="145"/>
      <c r="X171" s="147"/>
      <c r="Y171" s="145"/>
      <c r="Z171" s="147"/>
      <c r="AA171" s="145"/>
      <c r="AB171" s="147"/>
      <c r="AC171" s="145"/>
      <c r="AD171" s="147"/>
      <c r="AE171" s="145"/>
      <c r="AF171" s="147"/>
      <c r="AG171" s="145"/>
      <c r="AH171" s="147"/>
      <c r="AI171" s="141"/>
      <c r="AJ171" s="123"/>
    </row>
    <row r="172" spans="2:36" s="115" customFormat="1" ht="15">
      <c r="B172" s="108" t="s">
        <v>195</v>
      </c>
      <c r="F172" s="113" t="s">
        <v>276</v>
      </c>
      <c r="J172" s="144">
        <f>SUM(J170:J171)</f>
        <v>0</v>
      </c>
      <c r="K172" s="145"/>
      <c r="L172" s="144">
        <f>SUM(L170:L171)</f>
        <v>0</v>
      </c>
      <c r="M172" s="145"/>
      <c r="N172" s="144">
        <f>SUM(N170:N171)</f>
        <v>0</v>
      </c>
      <c r="O172" s="145"/>
      <c r="P172" s="144">
        <f>SUM(P170:P171)</f>
        <v>-2000</v>
      </c>
      <c r="Q172" s="145"/>
      <c r="R172" s="144">
        <f>SUM(R170:R171)</f>
        <v>0</v>
      </c>
      <c r="S172" s="145"/>
      <c r="T172" s="144">
        <f>SUM(T170:T171)</f>
        <v>0</v>
      </c>
      <c r="U172" s="145"/>
      <c r="V172" s="144">
        <f>SUM(V170:V171)</f>
        <v>0</v>
      </c>
      <c r="W172" s="145"/>
      <c r="X172" s="144">
        <f>SUM(X170:X171)</f>
        <v>0</v>
      </c>
      <c r="Y172" s="145"/>
      <c r="Z172" s="144">
        <f>SUM(Z170:Z171)</f>
        <v>256.64</v>
      </c>
      <c r="AA172" s="145"/>
      <c r="AB172" s="144">
        <f>SUM(AB170:AB171)</f>
        <v>0</v>
      </c>
      <c r="AC172" s="145"/>
      <c r="AD172" s="144">
        <f>SUM(AD170:AD171)</f>
        <v>-500</v>
      </c>
      <c r="AE172" s="145"/>
      <c r="AF172" s="144">
        <f>SUM(AF170:AF171)</f>
        <v>0</v>
      </c>
      <c r="AG172" s="145"/>
      <c r="AH172" s="144">
        <f>SUM(AH170:AH171)</f>
        <v>-2243.36</v>
      </c>
      <c r="AI172" s="118">
        <f>IF(AH$52=0,0,AH172/AH$52)</f>
        <v>-6.8071233419186319E-4</v>
      </c>
      <c r="AJ172" s="123"/>
    </row>
    <row r="173" spans="2:36" s="115" customFormat="1" ht="7.5" customHeight="1">
      <c r="B173" s="108"/>
      <c r="J173" s="146"/>
      <c r="K173" s="145"/>
      <c r="L173" s="146"/>
      <c r="M173" s="145"/>
      <c r="N173" s="146"/>
      <c r="O173" s="145"/>
      <c r="P173" s="146"/>
      <c r="Q173" s="145"/>
      <c r="R173" s="146"/>
      <c r="S173" s="145"/>
      <c r="T173" s="146"/>
      <c r="U173" s="145"/>
      <c r="V173" s="146"/>
      <c r="W173" s="145"/>
      <c r="X173" s="146"/>
      <c r="Y173" s="145"/>
      <c r="Z173" s="146"/>
      <c r="AA173" s="145"/>
      <c r="AB173" s="146"/>
      <c r="AC173" s="145"/>
      <c r="AD173" s="146"/>
      <c r="AE173" s="145"/>
      <c r="AF173" s="146"/>
      <c r="AG173" s="145"/>
      <c r="AH173" s="146"/>
      <c r="AI173" s="141"/>
      <c r="AJ173" s="123"/>
    </row>
    <row r="174" spans="2:36" s="115" customFormat="1" ht="15">
      <c r="B174" s="108"/>
      <c r="E174" s="152" t="s">
        <v>277</v>
      </c>
      <c r="J174" s="150">
        <f>+J98+J102+J126+J132+J142+J155+J168+J159+J172</f>
        <v>110405.15</v>
      </c>
      <c r="K174" s="145"/>
      <c r="L174" s="150">
        <f>+L98+L102+L126+L132+L142+L155+L168+L159+L172</f>
        <v>104980.98000000003</v>
      </c>
      <c r="M174" s="145"/>
      <c r="N174" s="150">
        <f>+N98+N102+N126+N132+N142+N155+N168+N159+N172</f>
        <v>144579.97</v>
      </c>
      <c r="O174" s="145"/>
      <c r="P174" s="150">
        <f>+P98+P102+P126+P132+P142+P155+P168+P159+P172</f>
        <v>109378.36</v>
      </c>
      <c r="Q174" s="145"/>
      <c r="R174" s="150">
        <f>+R98+R102+R126+R132+R142+R155+R168+R159+R172</f>
        <v>100174.93999999999</v>
      </c>
      <c r="S174" s="145"/>
      <c r="T174" s="150">
        <f>+T98+T102+T126+T132+T142+T155+T168+T159+T172</f>
        <v>124610.37000000001</v>
      </c>
      <c r="U174" s="145"/>
      <c r="V174" s="150">
        <f>+V98+V102+V126+V132+V142+V155+V168+V159+V172</f>
        <v>95786</v>
      </c>
      <c r="W174" s="145"/>
      <c r="X174" s="150">
        <f>+X98+X102+X126+X132+X142+X155+X168+X159+X172</f>
        <v>110121.47000000002</v>
      </c>
      <c r="Y174" s="145"/>
      <c r="Z174" s="150">
        <f>+Z98+Z102+Z126+Z132+Z142+Z155+Z168+Z159+Z172</f>
        <v>110752.16</v>
      </c>
      <c r="AA174" s="145"/>
      <c r="AB174" s="150">
        <f>+AB98+AB102+AB126+AB132+AB142+AB155+AB168+AB159+AB172</f>
        <v>102916.78</v>
      </c>
      <c r="AC174" s="145"/>
      <c r="AD174" s="150">
        <f>+AD98+AD102+AD126+AD132+AD142+AD155+AD168+AD159+AD172</f>
        <v>104881.61</v>
      </c>
      <c r="AE174" s="145"/>
      <c r="AF174" s="150">
        <f>+AF98+AF102+AF126+AF132+AF142+AF155+AF168+AF159+AF172</f>
        <v>96054.76</v>
      </c>
      <c r="AG174" s="145"/>
      <c r="AH174" s="150">
        <f>+AH98+AH102+AH126+AH132+AH142+AH155+AH168+AH159+AH172</f>
        <v>1314642.55</v>
      </c>
      <c r="AI174" s="118">
        <f>IF(AH$52=0,0,AH174/AH$52)</f>
        <v>0.39890762019401399</v>
      </c>
      <c r="AJ174" s="123"/>
    </row>
    <row r="175" spans="2:36" s="115" customFormat="1" ht="7.5" customHeight="1">
      <c r="B175" s="108"/>
      <c r="J175" s="146"/>
      <c r="K175" s="145"/>
      <c r="L175" s="146"/>
      <c r="M175" s="145"/>
      <c r="N175" s="146"/>
      <c r="O175" s="145"/>
      <c r="P175" s="146"/>
      <c r="Q175" s="145"/>
      <c r="R175" s="146"/>
      <c r="S175" s="145"/>
      <c r="T175" s="146"/>
      <c r="U175" s="145"/>
      <c r="V175" s="146"/>
      <c r="W175" s="145"/>
      <c r="X175" s="146"/>
      <c r="Y175" s="145"/>
      <c r="Z175" s="146"/>
      <c r="AA175" s="145"/>
      <c r="AB175" s="146"/>
      <c r="AC175" s="145"/>
      <c r="AD175" s="146"/>
      <c r="AE175" s="145"/>
      <c r="AF175" s="146"/>
      <c r="AG175" s="145"/>
      <c r="AH175" s="146"/>
      <c r="AI175" s="141"/>
      <c r="AJ175" s="123"/>
    </row>
    <row r="176" spans="2:36" s="115" customFormat="1" ht="15">
      <c r="B176" s="142" t="s">
        <v>195</v>
      </c>
      <c r="E176" s="152" t="s">
        <v>278</v>
      </c>
      <c r="J176" s="150">
        <f>J84-J174</f>
        <v>55624.940000000031</v>
      </c>
      <c r="K176" s="145"/>
      <c r="L176" s="150">
        <f>L84-L174</f>
        <v>61606.67</v>
      </c>
      <c r="M176" s="145"/>
      <c r="N176" s="150">
        <f>N84-N174</f>
        <v>18806.859999999986</v>
      </c>
      <c r="O176" s="145"/>
      <c r="P176" s="150">
        <f>P84-P174</f>
        <v>65452.269999999946</v>
      </c>
      <c r="Q176" s="145"/>
      <c r="R176" s="150">
        <f>R84-R174</f>
        <v>77063.48</v>
      </c>
      <c r="S176" s="145"/>
      <c r="T176" s="150">
        <f>T84-T174</f>
        <v>53455.919999999969</v>
      </c>
      <c r="U176" s="145"/>
      <c r="V176" s="150">
        <f>V84-V174</f>
        <v>94339.999999999942</v>
      </c>
      <c r="W176" s="145"/>
      <c r="X176" s="150">
        <f>X84-X174</f>
        <v>75148.38999999997</v>
      </c>
      <c r="Y176" s="145"/>
      <c r="Z176" s="150">
        <f>Z84-Z174</f>
        <v>84992.749999999971</v>
      </c>
      <c r="AA176" s="145"/>
      <c r="AB176" s="150">
        <f>AB84-AB174</f>
        <v>87065.169999999984</v>
      </c>
      <c r="AC176" s="145"/>
      <c r="AD176" s="150">
        <f>AD84-AD174</f>
        <v>67251.329999999914</v>
      </c>
      <c r="AE176" s="145"/>
      <c r="AF176" s="150">
        <f>AF84-AF174</f>
        <v>87847.45</v>
      </c>
      <c r="AG176" s="145"/>
      <c r="AH176" s="150">
        <f>AH84-AH174</f>
        <v>828655.23000000021</v>
      </c>
      <c r="AI176" s="118">
        <f>IF(AH$52=0,0,AH176/AH$52)</f>
        <v>0.25144240596854511</v>
      </c>
      <c r="AJ176" s="123"/>
    </row>
    <row r="177" spans="2:36" s="115" customFormat="1" ht="7.5" customHeight="1">
      <c r="B177" s="142" t="s">
        <v>195</v>
      </c>
      <c r="J177" s="146"/>
      <c r="K177" s="145"/>
      <c r="L177" s="146"/>
      <c r="M177" s="145"/>
      <c r="N177" s="146"/>
      <c r="O177" s="145"/>
      <c r="P177" s="146"/>
      <c r="Q177" s="145"/>
      <c r="R177" s="146"/>
      <c r="S177" s="145"/>
      <c r="T177" s="146"/>
      <c r="U177" s="145"/>
      <c r="V177" s="146"/>
      <c r="W177" s="145"/>
      <c r="X177" s="146"/>
      <c r="Y177" s="145"/>
      <c r="Z177" s="146"/>
      <c r="AA177" s="145"/>
      <c r="AB177" s="146"/>
      <c r="AC177" s="145"/>
      <c r="AD177" s="146"/>
      <c r="AE177" s="145"/>
      <c r="AF177" s="146"/>
      <c r="AG177" s="145"/>
      <c r="AH177" s="146"/>
      <c r="AI177" s="141"/>
      <c r="AJ177" s="123"/>
    </row>
    <row r="178" spans="2:36" s="115" customFormat="1" ht="15" outlineLevel="1">
      <c r="B178" s="142" t="s">
        <v>195</v>
      </c>
      <c r="J178" s="146"/>
      <c r="K178" s="145"/>
      <c r="L178" s="146"/>
      <c r="M178" s="145"/>
      <c r="N178" s="146"/>
      <c r="O178" s="145"/>
      <c r="P178" s="146"/>
      <c r="Q178" s="145"/>
      <c r="R178" s="146"/>
      <c r="S178" s="145"/>
      <c r="T178" s="146"/>
      <c r="U178" s="145"/>
      <c r="V178" s="146"/>
      <c r="W178" s="145"/>
      <c r="X178" s="146"/>
      <c r="Y178" s="145"/>
      <c r="Z178" s="146"/>
      <c r="AA178" s="145"/>
      <c r="AB178" s="146"/>
      <c r="AC178" s="145"/>
      <c r="AD178" s="146"/>
      <c r="AE178" s="145"/>
      <c r="AF178" s="146"/>
      <c r="AG178" s="145"/>
      <c r="AH178" s="146"/>
      <c r="AI178" s="141"/>
      <c r="AJ178" s="123"/>
    </row>
    <row r="179" spans="2:36" s="1259" customFormat="1" outlineLevel="1">
      <c r="B179" s="1263" t="s">
        <v>279</v>
      </c>
      <c r="D179" s="1264">
        <v>60225</v>
      </c>
      <c r="E179" s="1264" t="s">
        <v>89</v>
      </c>
      <c r="F179" s="1265"/>
      <c r="G179" s="1261"/>
      <c r="H179" s="1266"/>
      <c r="I179" s="1267"/>
      <c r="J179" s="1268">
        <v>112.5</v>
      </c>
      <c r="K179" s="1267"/>
      <c r="L179" s="1268">
        <v>100</v>
      </c>
      <c r="M179" s="1267"/>
      <c r="N179" s="1268">
        <v>0</v>
      </c>
      <c r="O179" s="1267"/>
      <c r="P179" s="1268">
        <v>100</v>
      </c>
      <c r="Q179" s="1267"/>
      <c r="R179" s="1268">
        <v>104</v>
      </c>
      <c r="S179" s="1267"/>
      <c r="T179" s="1268">
        <v>886</v>
      </c>
      <c r="U179" s="1267"/>
      <c r="V179" s="1268">
        <v>0</v>
      </c>
      <c r="W179" s="1267"/>
      <c r="X179" s="1268">
        <v>0</v>
      </c>
      <c r="Y179" s="1267"/>
      <c r="Z179" s="1268">
        <v>374.5</v>
      </c>
      <c r="AA179" s="1267"/>
      <c r="AB179" s="1268">
        <v>0</v>
      </c>
      <c r="AC179" s="1267"/>
      <c r="AD179" s="1268">
        <v>100</v>
      </c>
      <c r="AE179" s="1267"/>
      <c r="AF179" s="1268">
        <v>500</v>
      </c>
      <c r="AG179" s="1267"/>
      <c r="AH179" s="1268">
        <f>AF179+AD179+AB179+Z179+X179+V179+T179+R179+P179+N179+L179+J179</f>
        <v>2277</v>
      </c>
      <c r="AI179" s="1269">
        <f>IF(AH$52=0,0,AH179/AH$52)</f>
        <v>6.9091986348819286E-4</v>
      </c>
      <c r="AJ179" s="1270"/>
    </row>
    <row r="180" spans="2:36" s="115" customFormat="1" ht="5.0999999999999996" customHeight="1" outlineLevel="1">
      <c r="B180" s="108" t="s">
        <v>195</v>
      </c>
      <c r="D180" s="114"/>
      <c r="E180" s="114"/>
      <c r="F180" s="114"/>
      <c r="G180" s="114"/>
      <c r="J180" s="147"/>
      <c r="K180" s="145"/>
      <c r="L180" s="147"/>
      <c r="M180" s="145"/>
      <c r="N180" s="147"/>
      <c r="O180" s="145"/>
      <c r="P180" s="147"/>
      <c r="Q180" s="145"/>
      <c r="R180" s="147"/>
      <c r="S180" s="145"/>
      <c r="T180" s="147"/>
      <c r="U180" s="145"/>
      <c r="V180" s="147"/>
      <c r="W180" s="145"/>
      <c r="X180" s="147"/>
      <c r="Y180" s="145"/>
      <c r="Z180" s="147"/>
      <c r="AA180" s="145"/>
      <c r="AB180" s="147"/>
      <c r="AC180" s="145"/>
      <c r="AD180" s="147"/>
      <c r="AE180" s="145"/>
      <c r="AF180" s="147"/>
      <c r="AG180" s="145"/>
      <c r="AH180" s="147"/>
      <c r="AI180" s="141"/>
      <c r="AJ180" s="123"/>
    </row>
    <row r="181" spans="2:36" s="115" customFormat="1" ht="15">
      <c r="B181" s="108" t="s">
        <v>195</v>
      </c>
      <c r="F181" s="114" t="s">
        <v>280</v>
      </c>
      <c r="J181" s="144">
        <f>SUM(J178:J180)</f>
        <v>112.5</v>
      </c>
      <c r="K181" s="145"/>
      <c r="L181" s="144">
        <f>SUM(L178:L180)</f>
        <v>100</v>
      </c>
      <c r="M181" s="145"/>
      <c r="N181" s="144">
        <f>SUM(N178:N180)</f>
        <v>0</v>
      </c>
      <c r="O181" s="145"/>
      <c r="P181" s="144">
        <f>SUM(P178:P180)</f>
        <v>100</v>
      </c>
      <c r="Q181" s="145"/>
      <c r="R181" s="144">
        <f>SUM(R178:R180)</f>
        <v>104</v>
      </c>
      <c r="S181" s="145"/>
      <c r="T181" s="144">
        <f>SUM(T178:T180)</f>
        <v>886</v>
      </c>
      <c r="U181" s="145"/>
      <c r="V181" s="144">
        <f>SUM(V178:V180)</f>
        <v>0</v>
      </c>
      <c r="W181" s="145"/>
      <c r="X181" s="144">
        <f>SUM(X178:X180)</f>
        <v>0</v>
      </c>
      <c r="Y181" s="145"/>
      <c r="Z181" s="144">
        <f>SUM(Z178:Z180)</f>
        <v>374.5</v>
      </c>
      <c r="AA181" s="145"/>
      <c r="AB181" s="144">
        <f>SUM(AB178:AB180)</f>
        <v>0</v>
      </c>
      <c r="AC181" s="145"/>
      <c r="AD181" s="144">
        <f>SUM(AD178:AD180)</f>
        <v>100</v>
      </c>
      <c r="AE181" s="145"/>
      <c r="AF181" s="144">
        <f>SUM(AF178:AF180)</f>
        <v>500</v>
      </c>
      <c r="AG181" s="145"/>
      <c r="AH181" s="144">
        <f>SUM(AH178:AH180)</f>
        <v>2277</v>
      </c>
      <c r="AI181" s="118">
        <f>IF(AH$52=0,0,AH181/AH$52)</f>
        <v>6.9091986348819286E-4</v>
      </c>
      <c r="AJ181" s="123"/>
    </row>
    <row r="182" spans="2:36" s="115" customFormat="1" ht="6" customHeight="1" outlineLevel="1">
      <c r="B182" s="108"/>
      <c r="J182" s="146"/>
      <c r="K182" s="145"/>
      <c r="L182" s="146"/>
      <c r="M182" s="145"/>
      <c r="N182" s="146"/>
      <c r="O182" s="145"/>
      <c r="P182" s="146"/>
      <c r="Q182" s="145"/>
      <c r="R182" s="146"/>
      <c r="S182" s="145"/>
      <c r="T182" s="146"/>
      <c r="U182" s="145"/>
      <c r="V182" s="146"/>
      <c r="W182" s="145"/>
      <c r="X182" s="146"/>
      <c r="Y182" s="145"/>
      <c r="Z182" s="146"/>
      <c r="AA182" s="145"/>
      <c r="AB182" s="146"/>
      <c r="AC182" s="145"/>
      <c r="AD182" s="146"/>
      <c r="AE182" s="145"/>
      <c r="AF182" s="146"/>
      <c r="AG182" s="145"/>
      <c r="AH182" s="146"/>
      <c r="AI182" s="141"/>
      <c r="AJ182" s="123"/>
    </row>
    <row r="183" spans="2:36" s="115" customFormat="1" ht="6" customHeight="1" outlineLevel="1">
      <c r="B183" s="108" t="s">
        <v>195</v>
      </c>
      <c r="J183" s="146"/>
      <c r="K183" s="145"/>
      <c r="L183" s="146"/>
      <c r="M183" s="145"/>
      <c r="N183" s="146"/>
      <c r="O183" s="145"/>
      <c r="P183" s="146"/>
      <c r="Q183" s="145"/>
      <c r="R183" s="146"/>
      <c r="S183" s="145"/>
      <c r="T183" s="146"/>
      <c r="U183" s="145"/>
      <c r="V183" s="146"/>
      <c r="W183" s="145"/>
      <c r="X183" s="146"/>
      <c r="Y183" s="145"/>
      <c r="Z183" s="146"/>
      <c r="AA183" s="145"/>
      <c r="AB183" s="146"/>
      <c r="AC183" s="145"/>
      <c r="AD183" s="146"/>
      <c r="AE183" s="145"/>
      <c r="AF183" s="146"/>
      <c r="AG183" s="145"/>
      <c r="AH183" s="146"/>
      <c r="AI183" s="141"/>
      <c r="AJ183" s="123"/>
    </row>
    <row r="184" spans="2:36" s="1259" customFormat="1" outlineLevel="1">
      <c r="B184" s="1263" t="s">
        <v>281</v>
      </c>
      <c r="D184" s="1264">
        <v>70010</v>
      </c>
      <c r="E184" s="1264" t="s">
        <v>31</v>
      </c>
      <c r="F184" s="1265"/>
      <c r="G184" s="1261"/>
      <c r="H184" s="1266"/>
      <c r="I184" s="1267"/>
      <c r="J184" s="1268">
        <v>5183.1000000000004</v>
      </c>
      <c r="K184" s="1267"/>
      <c r="L184" s="1268">
        <v>5104.5200000000004</v>
      </c>
      <c r="M184" s="1267"/>
      <c r="N184" s="1268">
        <v>8286.4699999999993</v>
      </c>
      <c r="O184" s="1267"/>
      <c r="P184" s="1268">
        <v>13618.06</v>
      </c>
      <c r="Q184" s="1267"/>
      <c r="R184" s="1268">
        <v>8226.77</v>
      </c>
      <c r="S184" s="1267"/>
      <c r="T184" s="1268">
        <v>8188.76</v>
      </c>
      <c r="U184" s="1267"/>
      <c r="V184" s="1268">
        <v>7973.32</v>
      </c>
      <c r="W184" s="1267"/>
      <c r="X184" s="1268">
        <v>8222.4699999999993</v>
      </c>
      <c r="Y184" s="1267"/>
      <c r="Z184" s="1268">
        <v>13655.55</v>
      </c>
      <c r="AA184" s="1267"/>
      <c r="AB184" s="1268">
        <v>14128.19</v>
      </c>
      <c r="AC184" s="1267"/>
      <c r="AD184" s="1268">
        <v>14121.05</v>
      </c>
      <c r="AE184" s="1267"/>
      <c r="AF184" s="1268">
        <v>13973.86</v>
      </c>
      <c r="AG184" s="1267"/>
      <c r="AH184" s="1268">
        <f t="shared" ref="AH184:AH219" si="24">AF184+AD184+AB184+Z184+X184+V184+T184+R184+P184+N184+L184+J184</f>
        <v>120682.12000000001</v>
      </c>
      <c r="AI184" s="1269">
        <f t="shared" ref="AI184:AI219" si="25">IF(AH$52=0,0,AH184/AH$52)</f>
        <v>3.6619092611271727E-2</v>
      </c>
      <c r="AJ184" s="1270"/>
    </row>
    <row r="185" spans="2:36" s="1259" customFormat="1" outlineLevel="1">
      <c r="B185" s="1263" t="s">
        <v>203</v>
      </c>
      <c r="D185" s="1264">
        <v>70020</v>
      </c>
      <c r="E185" s="1264" t="s">
        <v>40</v>
      </c>
      <c r="F185" s="1265"/>
      <c r="G185" s="1261"/>
      <c r="H185" s="1266"/>
      <c r="I185" s="1267"/>
      <c r="J185" s="1268">
        <v>5820.43</v>
      </c>
      <c r="K185" s="1267"/>
      <c r="L185" s="1268">
        <v>5234.1099999999997</v>
      </c>
      <c r="M185" s="1267"/>
      <c r="N185" s="1268">
        <v>5949.66</v>
      </c>
      <c r="O185" s="1267"/>
      <c r="P185" s="1268">
        <v>5261.21</v>
      </c>
      <c r="Q185" s="1267"/>
      <c r="R185" s="1268">
        <v>6066.69</v>
      </c>
      <c r="S185" s="1267"/>
      <c r="T185" s="1268">
        <v>5113.6400000000003</v>
      </c>
      <c r="U185" s="1267"/>
      <c r="V185" s="1268">
        <v>5381.27</v>
      </c>
      <c r="W185" s="1267"/>
      <c r="X185" s="1268">
        <v>5212.75</v>
      </c>
      <c r="Y185" s="1267"/>
      <c r="Z185" s="1268">
        <v>5350.63</v>
      </c>
      <c r="AA185" s="1267"/>
      <c r="AB185" s="1268">
        <v>5606.05</v>
      </c>
      <c r="AC185" s="1267"/>
      <c r="AD185" s="1268">
        <v>5484.13</v>
      </c>
      <c r="AE185" s="1267"/>
      <c r="AF185" s="1268">
        <v>4491.66</v>
      </c>
      <c r="AG185" s="1267"/>
      <c r="AH185" s="1268">
        <f t="shared" si="24"/>
        <v>64972.23</v>
      </c>
      <c r="AI185" s="1269">
        <f t="shared" si="25"/>
        <v>1.9714802056268542E-2</v>
      </c>
      <c r="AJ185" s="1270"/>
    </row>
    <row r="186" spans="2:36" s="1259" customFormat="1" outlineLevel="1">
      <c r="B186" s="1263" t="s">
        <v>203</v>
      </c>
      <c r="D186" s="1264">
        <v>70025</v>
      </c>
      <c r="E186" s="1264" t="s">
        <v>41</v>
      </c>
      <c r="F186" s="1265"/>
      <c r="G186" s="1261"/>
      <c r="H186" s="1266"/>
      <c r="I186" s="1267"/>
      <c r="J186" s="1268">
        <v>404.72</v>
      </c>
      <c r="K186" s="1267"/>
      <c r="L186" s="1268">
        <v>-128.77000000000001</v>
      </c>
      <c r="M186" s="1267"/>
      <c r="N186" s="1268">
        <v>3.65</v>
      </c>
      <c r="O186" s="1267"/>
      <c r="P186" s="1268">
        <v>1.64</v>
      </c>
      <c r="Q186" s="1267"/>
      <c r="R186" s="1268">
        <v>4.9800000000000004</v>
      </c>
      <c r="S186" s="1267"/>
      <c r="T186" s="1268">
        <v>195.24</v>
      </c>
      <c r="U186" s="1267"/>
      <c r="V186" s="1268">
        <v>0.11</v>
      </c>
      <c r="W186" s="1267"/>
      <c r="X186" s="1268">
        <v>333.17</v>
      </c>
      <c r="Y186" s="1267"/>
      <c r="Z186" s="1268">
        <v>185.22</v>
      </c>
      <c r="AA186" s="1267"/>
      <c r="AB186" s="1268">
        <v>100.77</v>
      </c>
      <c r="AC186" s="1267"/>
      <c r="AD186" s="1268">
        <v>24.49</v>
      </c>
      <c r="AE186" s="1267"/>
      <c r="AF186" s="1268">
        <v>12.68</v>
      </c>
      <c r="AG186" s="1267"/>
      <c r="AH186" s="1268">
        <f t="shared" si="24"/>
        <v>1137.9000000000001</v>
      </c>
      <c r="AI186" s="1269">
        <f t="shared" si="25"/>
        <v>3.4527787117400734E-4</v>
      </c>
      <c r="AJ186" s="1270"/>
    </row>
    <row r="187" spans="2:36" s="1259" customFormat="1" outlineLevel="1">
      <c r="B187" s="1263" t="s">
        <v>203</v>
      </c>
      <c r="D187" s="1264">
        <v>70036</v>
      </c>
      <c r="E187" s="1264" t="s">
        <v>43</v>
      </c>
      <c r="F187" s="1265"/>
      <c r="G187" s="1261"/>
      <c r="H187" s="1266"/>
      <c r="I187" s="1267"/>
      <c r="J187" s="1268">
        <v>133</v>
      </c>
      <c r="K187" s="1267"/>
      <c r="L187" s="1268">
        <v>0</v>
      </c>
      <c r="M187" s="1267"/>
      <c r="N187" s="1268">
        <v>133</v>
      </c>
      <c r="O187" s="1267"/>
      <c r="P187" s="1268">
        <v>0</v>
      </c>
      <c r="Q187" s="1267"/>
      <c r="R187" s="1268">
        <v>133</v>
      </c>
      <c r="S187" s="1267"/>
      <c r="T187" s="1268">
        <v>0</v>
      </c>
      <c r="U187" s="1267"/>
      <c r="V187" s="1268">
        <v>0</v>
      </c>
      <c r="W187" s="1267"/>
      <c r="X187" s="1268">
        <v>0</v>
      </c>
      <c r="Y187" s="1267"/>
      <c r="Z187" s="1268">
        <v>0</v>
      </c>
      <c r="AA187" s="1267"/>
      <c r="AB187" s="1268">
        <v>133</v>
      </c>
      <c r="AC187" s="1267"/>
      <c r="AD187" s="1268">
        <v>0</v>
      </c>
      <c r="AE187" s="1267"/>
      <c r="AF187" s="1268">
        <v>0</v>
      </c>
      <c r="AG187" s="1267"/>
      <c r="AH187" s="1268">
        <f t="shared" si="24"/>
        <v>532</v>
      </c>
      <c r="AI187" s="1269">
        <f t="shared" si="25"/>
        <v>1.6142703881234899E-4</v>
      </c>
      <c r="AJ187" s="1270"/>
    </row>
    <row r="188" spans="2:36" s="1259" customFormat="1" outlineLevel="1">
      <c r="B188" s="1263" t="s">
        <v>203</v>
      </c>
      <c r="D188" s="1264">
        <v>70050</v>
      </c>
      <c r="E188" s="1264" t="s">
        <v>168</v>
      </c>
      <c r="F188" s="1265"/>
      <c r="G188" s="1261"/>
      <c r="H188" s="1266"/>
      <c r="I188" s="1267"/>
      <c r="J188" s="1268">
        <v>1006.73</v>
      </c>
      <c r="K188" s="1267"/>
      <c r="L188" s="1268">
        <v>731.75</v>
      </c>
      <c r="M188" s="1267"/>
      <c r="N188" s="1268">
        <v>1107.3</v>
      </c>
      <c r="O188" s="1267"/>
      <c r="P188" s="1268">
        <v>1573.99</v>
      </c>
      <c r="Q188" s="1267"/>
      <c r="R188" s="1268">
        <v>1104.74</v>
      </c>
      <c r="S188" s="1267"/>
      <c r="T188" s="1268">
        <v>1069.98</v>
      </c>
      <c r="U188" s="1267"/>
      <c r="V188" s="1268">
        <v>1019.64</v>
      </c>
      <c r="W188" s="1267"/>
      <c r="X188" s="1268">
        <v>1415.83</v>
      </c>
      <c r="Y188" s="1267"/>
      <c r="Z188" s="1268">
        <v>1426.8</v>
      </c>
      <c r="AA188" s="1267"/>
      <c r="AB188" s="1268">
        <v>1437.68</v>
      </c>
      <c r="AC188" s="1267"/>
      <c r="AD188" s="1268">
        <v>1459.97</v>
      </c>
      <c r="AE188" s="1267"/>
      <c r="AF188" s="1268">
        <v>1437.15</v>
      </c>
      <c r="AG188" s="1267"/>
      <c r="AH188" s="1268">
        <f t="shared" si="24"/>
        <v>14791.559999999998</v>
      </c>
      <c r="AI188" s="1269">
        <f t="shared" si="25"/>
        <v>4.488266410178925E-3</v>
      </c>
      <c r="AJ188" s="1270"/>
    </row>
    <row r="189" spans="2:36" s="1259" customFormat="1" outlineLevel="1">
      <c r="B189" s="1263" t="s">
        <v>203</v>
      </c>
      <c r="D189" s="1264">
        <v>70060</v>
      </c>
      <c r="E189" s="1264" t="s">
        <v>125</v>
      </c>
      <c r="F189" s="1265"/>
      <c r="G189" s="1261"/>
      <c r="H189" s="1266"/>
      <c r="I189" s="1267"/>
      <c r="J189" s="1268">
        <v>2381</v>
      </c>
      <c r="K189" s="1267"/>
      <c r="L189" s="1268">
        <v>2268.0700000000002</v>
      </c>
      <c r="M189" s="1267"/>
      <c r="N189" s="1268">
        <v>2675.76</v>
      </c>
      <c r="O189" s="1267"/>
      <c r="P189" s="1268">
        <v>3458.67</v>
      </c>
      <c r="Q189" s="1267"/>
      <c r="R189" s="1268">
        <v>2598.8200000000002</v>
      </c>
      <c r="S189" s="1267"/>
      <c r="T189" s="1268">
        <v>2670.95</v>
      </c>
      <c r="U189" s="1267"/>
      <c r="V189" s="1268">
        <v>2674.64</v>
      </c>
      <c r="W189" s="1267"/>
      <c r="X189" s="1268">
        <v>1749.86</v>
      </c>
      <c r="Y189" s="1267"/>
      <c r="Z189" s="1268">
        <v>3528.2</v>
      </c>
      <c r="AA189" s="1267"/>
      <c r="AB189" s="1268">
        <v>3370.35</v>
      </c>
      <c r="AC189" s="1267"/>
      <c r="AD189" s="1268">
        <v>3415.19</v>
      </c>
      <c r="AE189" s="1267"/>
      <c r="AF189" s="1268">
        <v>3411.08</v>
      </c>
      <c r="AG189" s="1267"/>
      <c r="AH189" s="1268">
        <f t="shared" si="24"/>
        <v>34202.590000000004</v>
      </c>
      <c r="AI189" s="1269">
        <f t="shared" si="25"/>
        <v>1.0378238389873796E-2</v>
      </c>
      <c r="AJ189" s="1270"/>
    </row>
    <row r="190" spans="2:36" s="1259" customFormat="1" outlineLevel="1">
      <c r="B190" s="1263" t="s">
        <v>203</v>
      </c>
      <c r="D190" s="1264">
        <v>70065</v>
      </c>
      <c r="E190" s="1264" t="s">
        <v>37</v>
      </c>
      <c r="F190" s="1265"/>
      <c r="G190" s="1261"/>
      <c r="H190" s="1266"/>
      <c r="I190" s="1267"/>
      <c r="J190" s="1268">
        <v>403.29</v>
      </c>
      <c r="K190" s="1267"/>
      <c r="L190" s="1268">
        <v>379.78</v>
      </c>
      <c r="M190" s="1267"/>
      <c r="N190" s="1268">
        <v>486.52</v>
      </c>
      <c r="O190" s="1267"/>
      <c r="P190" s="1268">
        <v>370.82</v>
      </c>
      <c r="Q190" s="1267"/>
      <c r="R190" s="1268">
        <v>441.02</v>
      </c>
      <c r="S190" s="1267"/>
      <c r="T190" s="1268">
        <v>669.03</v>
      </c>
      <c r="U190" s="1267"/>
      <c r="V190" s="1268">
        <v>129.97</v>
      </c>
      <c r="W190" s="1267"/>
      <c r="X190" s="1268">
        <v>73.650000000000006</v>
      </c>
      <c r="Y190" s="1267"/>
      <c r="Z190" s="1268">
        <v>421.54</v>
      </c>
      <c r="AA190" s="1267"/>
      <c r="AB190" s="1268">
        <v>657.58</v>
      </c>
      <c r="AC190" s="1267"/>
      <c r="AD190" s="1268">
        <v>506.22</v>
      </c>
      <c r="AE190" s="1267"/>
      <c r="AF190" s="1268">
        <v>748.38</v>
      </c>
      <c r="AG190" s="1267"/>
      <c r="AH190" s="1268">
        <f t="shared" si="24"/>
        <v>5287.7999999999993</v>
      </c>
      <c r="AI190" s="1269">
        <f t="shared" si="25"/>
        <v>1.6044998041953736E-3</v>
      </c>
      <c r="AJ190" s="1270"/>
    </row>
    <row r="191" spans="2:36" s="1259" customFormat="1" outlineLevel="1">
      <c r="B191" s="1263" t="s">
        <v>203</v>
      </c>
      <c r="D191" s="1264">
        <v>70070</v>
      </c>
      <c r="E191" s="1264" t="s">
        <v>38</v>
      </c>
      <c r="F191" s="1265"/>
      <c r="G191" s="1261"/>
      <c r="H191" s="1266"/>
      <c r="I191" s="1267"/>
      <c r="J191" s="1268">
        <v>0.67</v>
      </c>
      <c r="K191" s="1267"/>
      <c r="L191" s="1268">
        <v>0</v>
      </c>
      <c r="M191" s="1267"/>
      <c r="N191" s="1268">
        <v>11.45</v>
      </c>
      <c r="O191" s="1267"/>
      <c r="P191" s="1268">
        <v>1.03</v>
      </c>
      <c r="Q191" s="1267"/>
      <c r="R191" s="1268">
        <v>9.6199999999999992</v>
      </c>
      <c r="S191" s="1267"/>
      <c r="T191" s="1268">
        <v>10.78</v>
      </c>
      <c r="U191" s="1267"/>
      <c r="V191" s="1268">
        <v>796.56</v>
      </c>
      <c r="W191" s="1267"/>
      <c r="X191" s="1268">
        <v>1963.38</v>
      </c>
      <c r="Y191" s="1267"/>
      <c r="Z191" s="1268">
        <v>-0.65</v>
      </c>
      <c r="AA191" s="1267"/>
      <c r="AB191" s="1268">
        <v>-1.39</v>
      </c>
      <c r="AC191" s="1267"/>
      <c r="AD191" s="1268">
        <v>327.60000000000002</v>
      </c>
      <c r="AE191" s="1267"/>
      <c r="AF191" s="1268">
        <v>-93.35</v>
      </c>
      <c r="AG191" s="1267"/>
      <c r="AH191" s="1268">
        <f t="shared" si="24"/>
        <v>3025.7000000000003</v>
      </c>
      <c r="AI191" s="1269">
        <f t="shared" si="25"/>
        <v>9.1810111153106081E-4</v>
      </c>
      <c r="AJ191" s="1270"/>
    </row>
    <row r="192" spans="2:36" s="1259" customFormat="1" outlineLevel="1">
      <c r="B192" s="1263" t="s">
        <v>203</v>
      </c>
      <c r="D192" s="1264">
        <v>70095</v>
      </c>
      <c r="E192" s="1264" t="s">
        <v>132</v>
      </c>
      <c r="F192" s="1265"/>
      <c r="G192" s="1261"/>
      <c r="H192" s="1266"/>
      <c r="I192" s="1267"/>
      <c r="J192" s="1268">
        <v>0</v>
      </c>
      <c r="K192" s="1267"/>
      <c r="L192" s="1268">
        <v>0</v>
      </c>
      <c r="M192" s="1267"/>
      <c r="N192" s="1268">
        <v>763.89</v>
      </c>
      <c r="O192" s="1267"/>
      <c r="P192" s="1268">
        <v>7.99</v>
      </c>
      <c r="Q192" s="1267"/>
      <c r="R192" s="1268">
        <v>0</v>
      </c>
      <c r="S192" s="1267"/>
      <c r="T192" s="1268">
        <v>176.99</v>
      </c>
      <c r="U192" s="1267"/>
      <c r="V192" s="1268">
        <v>4522.01</v>
      </c>
      <c r="W192" s="1267"/>
      <c r="X192" s="1268">
        <v>984.14</v>
      </c>
      <c r="Y192" s="1267"/>
      <c r="Z192" s="1268">
        <v>0</v>
      </c>
      <c r="AA192" s="1267"/>
      <c r="AB192" s="1268">
        <v>356.01</v>
      </c>
      <c r="AC192" s="1267"/>
      <c r="AD192" s="1268">
        <v>482.35</v>
      </c>
      <c r="AE192" s="1267"/>
      <c r="AF192" s="1268">
        <v>1260.1199999999999</v>
      </c>
      <c r="AG192" s="1267"/>
      <c r="AH192" s="1268">
        <f t="shared" si="24"/>
        <v>8553.4999999999982</v>
      </c>
      <c r="AI192" s="1269">
        <f t="shared" si="25"/>
        <v>2.5954251437620801E-3</v>
      </c>
      <c r="AJ192" s="1270"/>
    </row>
    <row r="193" spans="2:36" s="1259" customFormat="1" outlineLevel="1">
      <c r="B193" s="1263" t="s">
        <v>203</v>
      </c>
      <c r="D193" s="1264">
        <v>70105</v>
      </c>
      <c r="E193" s="1264" t="s">
        <v>134</v>
      </c>
      <c r="F193" s="1265"/>
      <c r="G193" s="1261"/>
      <c r="H193" s="1266"/>
      <c r="I193" s="1267"/>
      <c r="J193" s="1268">
        <v>206.22</v>
      </c>
      <c r="K193" s="1267"/>
      <c r="L193" s="1268">
        <v>206.22</v>
      </c>
      <c r="M193" s="1267"/>
      <c r="N193" s="1268">
        <v>206.22</v>
      </c>
      <c r="O193" s="1267"/>
      <c r="P193" s="1268">
        <v>206.22</v>
      </c>
      <c r="Q193" s="1267"/>
      <c r="R193" s="1268">
        <v>206.22</v>
      </c>
      <c r="S193" s="1267"/>
      <c r="T193" s="1268">
        <v>206.22</v>
      </c>
      <c r="U193" s="1267"/>
      <c r="V193" s="1268">
        <v>206.22</v>
      </c>
      <c r="W193" s="1267"/>
      <c r="X193" s="1268">
        <v>206.22</v>
      </c>
      <c r="Y193" s="1267"/>
      <c r="Z193" s="1268">
        <v>206.22</v>
      </c>
      <c r="AA193" s="1267"/>
      <c r="AB193" s="1268">
        <v>-469.45</v>
      </c>
      <c r="AC193" s="1267"/>
      <c r="AD193" s="1268">
        <v>0</v>
      </c>
      <c r="AE193" s="1267"/>
      <c r="AF193" s="1268">
        <v>0</v>
      </c>
      <c r="AG193" s="1267"/>
      <c r="AH193" s="1268">
        <f t="shared" si="24"/>
        <v>1386.53</v>
      </c>
      <c r="AI193" s="1269">
        <f t="shared" si="25"/>
        <v>4.2072073707610195E-4</v>
      </c>
      <c r="AJ193" s="1270"/>
    </row>
    <row r="194" spans="2:36" s="1259" customFormat="1" outlineLevel="1">
      <c r="B194" s="1263" t="s">
        <v>203</v>
      </c>
      <c r="D194" s="1264">
        <v>70110</v>
      </c>
      <c r="E194" s="1264" t="s">
        <v>135</v>
      </c>
      <c r="F194" s="1265"/>
      <c r="G194" s="1261"/>
      <c r="H194" s="1266"/>
      <c r="I194" s="1267"/>
      <c r="J194" s="1268">
        <v>500</v>
      </c>
      <c r="K194" s="1267"/>
      <c r="L194" s="1268">
        <v>200</v>
      </c>
      <c r="M194" s="1267"/>
      <c r="N194" s="1268">
        <v>0</v>
      </c>
      <c r="O194" s="1267"/>
      <c r="P194" s="1268">
        <v>750</v>
      </c>
      <c r="Q194" s="1267"/>
      <c r="R194" s="1268">
        <v>200</v>
      </c>
      <c r="S194" s="1267"/>
      <c r="T194" s="1268">
        <v>275</v>
      </c>
      <c r="U194" s="1267"/>
      <c r="V194" s="1268">
        <v>0</v>
      </c>
      <c r="W194" s="1267"/>
      <c r="X194" s="1268">
        <v>0</v>
      </c>
      <c r="Y194" s="1267"/>
      <c r="Z194" s="1268">
        <v>200</v>
      </c>
      <c r="AA194" s="1267"/>
      <c r="AB194" s="1268">
        <v>85</v>
      </c>
      <c r="AC194" s="1267"/>
      <c r="AD194" s="1268">
        <v>0</v>
      </c>
      <c r="AE194" s="1267"/>
      <c r="AF194" s="1268">
        <v>0</v>
      </c>
      <c r="AG194" s="1267"/>
      <c r="AH194" s="1268">
        <f t="shared" si="24"/>
        <v>2210</v>
      </c>
      <c r="AI194" s="1269">
        <f t="shared" si="25"/>
        <v>6.7058976649490832E-4</v>
      </c>
      <c r="AJ194" s="1270"/>
    </row>
    <row r="195" spans="2:36" s="1259" customFormat="1" outlineLevel="1">
      <c r="B195" s="1263" t="s">
        <v>203</v>
      </c>
      <c r="D195" s="1264">
        <v>70116</v>
      </c>
      <c r="E195" s="1264" t="s">
        <v>246</v>
      </c>
      <c r="F195" s="1265"/>
      <c r="G195" s="1261"/>
      <c r="H195" s="1266"/>
      <c r="I195" s="1267"/>
      <c r="J195" s="1268">
        <v>205.85</v>
      </c>
      <c r="K195" s="1267"/>
      <c r="L195" s="1268">
        <v>184.05</v>
      </c>
      <c r="M195" s="1267"/>
      <c r="N195" s="1268">
        <v>177.36</v>
      </c>
      <c r="O195" s="1267"/>
      <c r="P195" s="1268">
        <v>181.89</v>
      </c>
      <c r="Q195" s="1267"/>
      <c r="R195" s="1268">
        <v>274.19</v>
      </c>
      <c r="S195" s="1267"/>
      <c r="T195" s="1268">
        <v>192.71</v>
      </c>
      <c r="U195" s="1267"/>
      <c r="V195" s="1268">
        <v>187.3</v>
      </c>
      <c r="W195" s="1267"/>
      <c r="X195" s="1268">
        <v>241.97</v>
      </c>
      <c r="Y195" s="1267"/>
      <c r="Z195" s="1268">
        <v>297.87</v>
      </c>
      <c r="AA195" s="1267"/>
      <c r="AB195" s="1268">
        <v>442.82</v>
      </c>
      <c r="AC195" s="1267"/>
      <c r="AD195" s="1268">
        <v>294.29000000000002</v>
      </c>
      <c r="AE195" s="1267"/>
      <c r="AF195" s="1268">
        <v>293.81</v>
      </c>
      <c r="AG195" s="1267"/>
      <c r="AH195" s="1268">
        <f t="shared" si="24"/>
        <v>2974.11</v>
      </c>
      <c r="AI195" s="1269">
        <f t="shared" si="25"/>
        <v>9.0244693684623167E-4</v>
      </c>
      <c r="AJ195" s="1270"/>
    </row>
    <row r="196" spans="2:36" s="1259" customFormat="1" outlineLevel="1">
      <c r="B196" s="1263" t="s">
        <v>203</v>
      </c>
      <c r="D196" s="1264">
        <v>70147</v>
      </c>
      <c r="E196" s="1264" t="s">
        <v>113</v>
      </c>
      <c r="F196" s="1265"/>
      <c r="G196" s="1261"/>
      <c r="H196" s="1266"/>
      <c r="I196" s="1267"/>
      <c r="J196" s="1268">
        <v>0</v>
      </c>
      <c r="K196" s="1267"/>
      <c r="L196" s="1268">
        <v>0</v>
      </c>
      <c r="M196" s="1267"/>
      <c r="N196" s="1268">
        <v>0</v>
      </c>
      <c r="O196" s="1267"/>
      <c r="P196" s="1268">
        <v>0</v>
      </c>
      <c r="Q196" s="1267"/>
      <c r="R196" s="1268">
        <v>0</v>
      </c>
      <c r="S196" s="1267"/>
      <c r="T196" s="1268">
        <v>0</v>
      </c>
      <c r="U196" s="1267"/>
      <c r="V196" s="1268">
        <v>0</v>
      </c>
      <c r="W196" s="1267"/>
      <c r="X196" s="1268">
        <v>0</v>
      </c>
      <c r="Y196" s="1267"/>
      <c r="Z196" s="1268">
        <v>0</v>
      </c>
      <c r="AA196" s="1267"/>
      <c r="AB196" s="1268">
        <v>183.21</v>
      </c>
      <c r="AC196" s="1267"/>
      <c r="AD196" s="1268">
        <v>0</v>
      </c>
      <c r="AE196" s="1267"/>
      <c r="AF196" s="1268">
        <v>0</v>
      </c>
      <c r="AG196" s="1267"/>
      <c r="AH196" s="1268">
        <f t="shared" si="24"/>
        <v>183.21</v>
      </c>
      <c r="AI196" s="1269">
        <f t="shared" si="25"/>
        <v>5.5592195076711389E-5</v>
      </c>
      <c r="AJ196" s="1270"/>
    </row>
    <row r="197" spans="2:36" s="1259" customFormat="1" outlineLevel="1">
      <c r="B197" s="1263" t="s">
        <v>203</v>
      </c>
      <c r="D197" s="1264">
        <v>70148</v>
      </c>
      <c r="E197" s="1264" t="s">
        <v>63</v>
      </c>
      <c r="F197" s="1265"/>
      <c r="G197" s="1261"/>
      <c r="H197" s="1266"/>
      <c r="I197" s="1267"/>
      <c r="J197" s="1268">
        <v>1100.3599999999999</v>
      </c>
      <c r="K197" s="1267"/>
      <c r="L197" s="1268">
        <v>1679.08</v>
      </c>
      <c r="M197" s="1267"/>
      <c r="N197" s="1268">
        <v>1206.3699999999999</v>
      </c>
      <c r="O197" s="1267"/>
      <c r="P197" s="1268">
        <v>791.62</v>
      </c>
      <c r="Q197" s="1267"/>
      <c r="R197" s="1268">
        <v>1263.2</v>
      </c>
      <c r="S197" s="1267"/>
      <c r="T197" s="1268">
        <v>1007.75</v>
      </c>
      <c r="U197" s="1267"/>
      <c r="V197" s="1268">
        <v>665.73</v>
      </c>
      <c r="W197" s="1267"/>
      <c r="X197" s="1268">
        <v>581.08000000000004</v>
      </c>
      <c r="Y197" s="1267"/>
      <c r="Z197" s="1268">
        <v>1256.51</v>
      </c>
      <c r="AA197" s="1267"/>
      <c r="AB197" s="1268">
        <v>646.07000000000005</v>
      </c>
      <c r="AC197" s="1267"/>
      <c r="AD197" s="1268">
        <v>571.78</v>
      </c>
      <c r="AE197" s="1267"/>
      <c r="AF197" s="1268">
        <v>776.33</v>
      </c>
      <c r="AG197" s="1267"/>
      <c r="AH197" s="1268">
        <f t="shared" si="24"/>
        <v>11545.88</v>
      </c>
      <c r="AI197" s="1269">
        <f t="shared" si="25"/>
        <v>3.5034158249675259E-3</v>
      </c>
      <c r="AJ197" s="1270"/>
    </row>
    <row r="198" spans="2:36" s="1259" customFormat="1" outlineLevel="1">
      <c r="B198" s="1263" t="s">
        <v>203</v>
      </c>
      <c r="D198" s="1264">
        <v>70150</v>
      </c>
      <c r="E198" s="1264" t="s">
        <v>122</v>
      </c>
      <c r="F198" s="1265"/>
      <c r="G198" s="1261"/>
      <c r="H198" s="1266"/>
      <c r="I198" s="1267"/>
      <c r="J198" s="1268">
        <v>3348.02</v>
      </c>
      <c r="K198" s="1267"/>
      <c r="L198" s="1268">
        <v>1891.3</v>
      </c>
      <c r="M198" s="1267"/>
      <c r="N198" s="1268">
        <v>2080.16</v>
      </c>
      <c r="O198" s="1267"/>
      <c r="P198" s="1268">
        <v>1548.54</v>
      </c>
      <c r="Q198" s="1267"/>
      <c r="R198" s="1268">
        <v>760.19</v>
      </c>
      <c r="S198" s="1267"/>
      <c r="T198" s="1268">
        <v>128.88</v>
      </c>
      <c r="U198" s="1267"/>
      <c r="V198" s="1268">
        <v>479.42</v>
      </c>
      <c r="W198" s="1267"/>
      <c r="X198" s="1268">
        <v>493.26</v>
      </c>
      <c r="Y198" s="1267"/>
      <c r="Z198" s="1268">
        <v>442.28</v>
      </c>
      <c r="AA198" s="1267"/>
      <c r="AB198" s="1268">
        <v>1680.86</v>
      </c>
      <c r="AC198" s="1267"/>
      <c r="AD198" s="1268">
        <v>1500</v>
      </c>
      <c r="AE198" s="1267"/>
      <c r="AF198" s="1268">
        <v>3922.91</v>
      </c>
      <c r="AG198" s="1267"/>
      <c r="AH198" s="1268">
        <f t="shared" si="24"/>
        <v>18275.82</v>
      </c>
      <c r="AI198" s="1269">
        <f t="shared" si="25"/>
        <v>5.5455103467434283E-3</v>
      </c>
      <c r="AJ198" s="1270"/>
    </row>
    <row r="199" spans="2:36" s="1259" customFormat="1" outlineLevel="1">
      <c r="B199" s="1263" t="s">
        <v>203</v>
      </c>
      <c r="D199" s="1264">
        <v>70165</v>
      </c>
      <c r="E199" s="1264" t="s">
        <v>56</v>
      </c>
      <c r="F199" s="1265"/>
      <c r="G199" s="1261"/>
      <c r="H199" s="1266"/>
      <c r="I199" s="1267"/>
      <c r="J199" s="1268">
        <v>885.79</v>
      </c>
      <c r="K199" s="1267"/>
      <c r="L199" s="1268">
        <v>753.26</v>
      </c>
      <c r="M199" s="1267"/>
      <c r="N199" s="1268">
        <v>1601.43</v>
      </c>
      <c r="O199" s="1267"/>
      <c r="P199" s="1268">
        <v>1001.99</v>
      </c>
      <c r="Q199" s="1267"/>
      <c r="R199" s="1268">
        <v>1010.42</v>
      </c>
      <c r="S199" s="1267"/>
      <c r="T199" s="1268">
        <v>6122.47</v>
      </c>
      <c r="U199" s="1267"/>
      <c r="V199" s="1268">
        <v>1786.8</v>
      </c>
      <c r="W199" s="1267"/>
      <c r="X199" s="1268">
        <v>1783.4</v>
      </c>
      <c r="Y199" s="1267"/>
      <c r="Z199" s="1268">
        <v>1788.37</v>
      </c>
      <c r="AA199" s="1267"/>
      <c r="AB199" s="1268">
        <v>1787.34</v>
      </c>
      <c r="AC199" s="1267"/>
      <c r="AD199" s="1268">
        <v>1801.84</v>
      </c>
      <c r="AE199" s="1267"/>
      <c r="AF199" s="1268">
        <v>1487.78</v>
      </c>
      <c r="AG199" s="1267"/>
      <c r="AH199" s="1268">
        <f t="shared" si="24"/>
        <v>21810.89</v>
      </c>
      <c r="AI199" s="1269">
        <f t="shared" si="25"/>
        <v>6.6181717792516432E-3</v>
      </c>
      <c r="AJ199" s="1270"/>
    </row>
    <row r="200" spans="2:36" s="1259" customFormat="1" outlineLevel="1">
      <c r="B200" s="1263" t="s">
        <v>203</v>
      </c>
      <c r="D200" s="1264">
        <v>70167</v>
      </c>
      <c r="E200" s="1264" t="s">
        <v>282</v>
      </c>
      <c r="F200" s="1265"/>
      <c r="G200" s="1261"/>
      <c r="H200" s="1266"/>
      <c r="I200" s="1267"/>
      <c r="J200" s="1268">
        <v>110.58</v>
      </c>
      <c r="K200" s="1267"/>
      <c r="L200" s="1268">
        <v>110.44</v>
      </c>
      <c r="M200" s="1267"/>
      <c r="N200" s="1268">
        <v>110.52</v>
      </c>
      <c r="O200" s="1267"/>
      <c r="P200" s="1268">
        <v>110.5</v>
      </c>
      <c r="Q200" s="1267"/>
      <c r="R200" s="1268">
        <v>260.63</v>
      </c>
      <c r="S200" s="1267"/>
      <c r="T200" s="1268">
        <v>252.5</v>
      </c>
      <c r="U200" s="1267"/>
      <c r="V200" s="1268">
        <v>117.19</v>
      </c>
      <c r="W200" s="1267"/>
      <c r="X200" s="1268">
        <v>111.64</v>
      </c>
      <c r="Y200" s="1267"/>
      <c r="Z200" s="1268">
        <v>111.64</v>
      </c>
      <c r="AA200" s="1267"/>
      <c r="AB200" s="1268">
        <v>111.64</v>
      </c>
      <c r="AC200" s="1267"/>
      <c r="AD200" s="1268">
        <v>111.38</v>
      </c>
      <c r="AE200" s="1267"/>
      <c r="AF200" s="1268">
        <v>111.82</v>
      </c>
      <c r="AG200" s="1267"/>
      <c r="AH200" s="1268">
        <f t="shared" si="24"/>
        <v>1630.48</v>
      </c>
      <c r="AI200" s="1269">
        <f t="shared" si="25"/>
        <v>4.947435305315014E-4</v>
      </c>
      <c r="AJ200" s="1270"/>
    </row>
    <row r="201" spans="2:36" s="1259" customFormat="1" outlineLevel="1">
      <c r="B201" s="1263" t="s">
        <v>203</v>
      </c>
      <c r="D201" s="1264">
        <v>70175</v>
      </c>
      <c r="E201" s="1264" t="s">
        <v>57</v>
      </c>
      <c r="F201" s="1265"/>
      <c r="G201" s="1261"/>
      <c r="H201" s="1266"/>
      <c r="I201" s="1267"/>
      <c r="J201" s="1268">
        <v>25</v>
      </c>
      <c r="K201" s="1267"/>
      <c r="L201" s="1268">
        <v>213.21</v>
      </c>
      <c r="M201" s="1267"/>
      <c r="N201" s="1268">
        <v>20.47</v>
      </c>
      <c r="O201" s="1267"/>
      <c r="P201" s="1268">
        <v>25.07</v>
      </c>
      <c r="Q201" s="1267"/>
      <c r="R201" s="1268">
        <v>217.74</v>
      </c>
      <c r="S201" s="1267"/>
      <c r="T201" s="1268">
        <v>36.07</v>
      </c>
      <c r="U201" s="1267"/>
      <c r="V201" s="1268">
        <v>20.47</v>
      </c>
      <c r="W201" s="1267"/>
      <c r="X201" s="1268">
        <v>238.82</v>
      </c>
      <c r="Y201" s="1267"/>
      <c r="Z201" s="1268">
        <v>106.53</v>
      </c>
      <c r="AA201" s="1267"/>
      <c r="AB201" s="1268">
        <v>21.37</v>
      </c>
      <c r="AC201" s="1267"/>
      <c r="AD201" s="1268">
        <v>218.64</v>
      </c>
      <c r="AE201" s="1267"/>
      <c r="AF201" s="1268">
        <v>26.43</v>
      </c>
      <c r="AG201" s="1267"/>
      <c r="AH201" s="1268">
        <f t="shared" si="24"/>
        <v>1169.8200000000002</v>
      </c>
      <c r="AI201" s="1269">
        <f t="shared" si="25"/>
        <v>3.5496349350274835E-4</v>
      </c>
      <c r="AJ201" s="1270"/>
    </row>
    <row r="202" spans="2:36" s="1259" customFormat="1" outlineLevel="1">
      <c r="B202" s="1263" t="s">
        <v>203</v>
      </c>
      <c r="D202" s="1264">
        <v>70185</v>
      </c>
      <c r="E202" s="1264" t="s">
        <v>112</v>
      </c>
      <c r="F202" s="1265"/>
      <c r="G202" s="1261"/>
      <c r="H202" s="1266"/>
      <c r="I202" s="1267"/>
      <c r="J202" s="1268">
        <v>111.37</v>
      </c>
      <c r="K202" s="1267"/>
      <c r="L202" s="1268">
        <v>25.25</v>
      </c>
      <c r="M202" s="1267"/>
      <c r="N202" s="1268">
        <v>0</v>
      </c>
      <c r="O202" s="1267"/>
      <c r="P202" s="1268">
        <v>0</v>
      </c>
      <c r="Q202" s="1267"/>
      <c r="R202" s="1268">
        <v>0.98</v>
      </c>
      <c r="S202" s="1267"/>
      <c r="T202" s="1268">
        <v>7.6</v>
      </c>
      <c r="U202" s="1267"/>
      <c r="V202" s="1268">
        <v>0</v>
      </c>
      <c r="W202" s="1267"/>
      <c r="X202" s="1268">
        <v>0</v>
      </c>
      <c r="Y202" s="1267"/>
      <c r="Z202" s="1268">
        <v>144</v>
      </c>
      <c r="AA202" s="1267"/>
      <c r="AB202" s="1268">
        <v>24.06</v>
      </c>
      <c r="AC202" s="1267"/>
      <c r="AD202" s="1268">
        <v>19.68</v>
      </c>
      <c r="AE202" s="1267"/>
      <c r="AF202" s="1268">
        <v>27.04</v>
      </c>
      <c r="AG202" s="1267"/>
      <c r="AH202" s="1268">
        <f t="shared" si="24"/>
        <v>359.98</v>
      </c>
      <c r="AI202" s="1269">
        <f t="shared" si="25"/>
        <v>1.092302733677996E-4</v>
      </c>
      <c r="AJ202" s="1270"/>
    </row>
    <row r="203" spans="2:36" s="1259" customFormat="1" outlineLevel="1">
      <c r="B203" s="1263" t="s">
        <v>203</v>
      </c>
      <c r="D203" s="1264">
        <v>70195</v>
      </c>
      <c r="E203" s="1264" t="s">
        <v>283</v>
      </c>
      <c r="F203" s="1265"/>
      <c r="G203" s="1261"/>
      <c r="H203" s="1266"/>
      <c r="I203" s="1267"/>
      <c r="J203" s="1268">
        <v>392.73</v>
      </c>
      <c r="K203" s="1267"/>
      <c r="L203" s="1268">
        <v>91.2</v>
      </c>
      <c r="M203" s="1267"/>
      <c r="N203" s="1268">
        <v>196.73</v>
      </c>
      <c r="O203" s="1267"/>
      <c r="P203" s="1268">
        <v>91.2</v>
      </c>
      <c r="Q203" s="1267"/>
      <c r="R203" s="1268">
        <v>91.2</v>
      </c>
      <c r="S203" s="1267"/>
      <c r="T203" s="1268">
        <v>91.2</v>
      </c>
      <c r="U203" s="1267"/>
      <c r="V203" s="1268">
        <v>197.92</v>
      </c>
      <c r="W203" s="1267"/>
      <c r="X203" s="1268">
        <v>0</v>
      </c>
      <c r="Y203" s="1267"/>
      <c r="Z203" s="1268">
        <v>91.2</v>
      </c>
      <c r="AA203" s="1267"/>
      <c r="AB203" s="1268">
        <v>182.4</v>
      </c>
      <c r="AC203" s="1267"/>
      <c r="AD203" s="1268">
        <v>1579.98</v>
      </c>
      <c r="AE203" s="1267"/>
      <c r="AF203" s="1268">
        <v>391.2</v>
      </c>
      <c r="AG203" s="1267"/>
      <c r="AH203" s="1268">
        <f t="shared" si="24"/>
        <v>3396.9599999999991</v>
      </c>
      <c r="AI203" s="1269">
        <f t="shared" si="25"/>
        <v>1.0307541236165355E-3</v>
      </c>
      <c r="AJ203" s="1270"/>
    </row>
    <row r="204" spans="2:36" s="1259" customFormat="1" outlineLevel="1">
      <c r="B204" s="1263" t="s">
        <v>203</v>
      </c>
      <c r="D204" s="1264">
        <v>70200</v>
      </c>
      <c r="E204" s="1264" t="s">
        <v>59</v>
      </c>
      <c r="F204" s="1265"/>
      <c r="G204" s="1261"/>
      <c r="H204" s="1266"/>
      <c r="I204" s="1267"/>
      <c r="J204" s="1268">
        <v>0</v>
      </c>
      <c r="K204" s="1267"/>
      <c r="L204" s="1268">
        <v>0</v>
      </c>
      <c r="M204" s="1267"/>
      <c r="N204" s="1268">
        <v>0</v>
      </c>
      <c r="O204" s="1267"/>
      <c r="P204" s="1268">
        <v>0</v>
      </c>
      <c r="Q204" s="1267"/>
      <c r="R204" s="1268">
        <v>316.39999999999998</v>
      </c>
      <c r="S204" s="1267"/>
      <c r="T204" s="1268">
        <v>0</v>
      </c>
      <c r="U204" s="1267"/>
      <c r="V204" s="1268">
        <v>199.2</v>
      </c>
      <c r="W204" s="1267"/>
      <c r="X204" s="1268">
        <v>50</v>
      </c>
      <c r="Y204" s="1267"/>
      <c r="Z204" s="1268">
        <v>0</v>
      </c>
      <c r="AA204" s="1267"/>
      <c r="AB204" s="1268">
        <v>100</v>
      </c>
      <c r="AC204" s="1267"/>
      <c r="AD204" s="1268">
        <v>0</v>
      </c>
      <c r="AE204" s="1267"/>
      <c r="AF204" s="1268">
        <v>0</v>
      </c>
      <c r="AG204" s="1267"/>
      <c r="AH204" s="1268">
        <f t="shared" si="24"/>
        <v>665.59999999999991</v>
      </c>
      <c r="AI204" s="1269">
        <f t="shared" si="25"/>
        <v>2.0196585908552531E-4</v>
      </c>
      <c r="AJ204" s="1270"/>
    </row>
    <row r="205" spans="2:36" s="1259" customFormat="1" outlineLevel="1">
      <c r="B205" s="1263" t="s">
        <v>203</v>
      </c>
      <c r="D205" s="1264">
        <v>70201</v>
      </c>
      <c r="E205" s="1264" t="s">
        <v>139</v>
      </c>
      <c r="F205" s="1265"/>
      <c r="G205" s="1261"/>
      <c r="H205" s="1266"/>
      <c r="I205" s="1267"/>
      <c r="J205" s="1268">
        <v>0</v>
      </c>
      <c r="K205" s="1267"/>
      <c r="L205" s="1268">
        <v>112.73</v>
      </c>
      <c r="M205" s="1267"/>
      <c r="N205" s="1268">
        <v>0</v>
      </c>
      <c r="O205" s="1267"/>
      <c r="P205" s="1268">
        <v>21.27</v>
      </c>
      <c r="Q205" s="1267"/>
      <c r="R205" s="1268">
        <v>0</v>
      </c>
      <c r="S205" s="1267"/>
      <c r="T205" s="1268">
        <v>40.25</v>
      </c>
      <c r="U205" s="1267"/>
      <c r="V205" s="1268">
        <v>0</v>
      </c>
      <c r="W205" s="1267"/>
      <c r="X205" s="1268">
        <v>0</v>
      </c>
      <c r="Y205" s="1267"/>
      <c r="Z205" s="1268">
        <v>0</v>
      </c>
      <c r="AA205" s="1267"/>
      <c r="AB205" s="1268">
        <v>385.41</v>
      </c>
      <c r="AC205" s="1267"/>
      <c r="AD205" s="1268">
        <v>124.55</v>
      </c>
      <c r="AE205" s="1267"/>
      <c r="AF205" s="1268">
        <v>0</v>
      </c>
      <c r="AG205" s="1267"/>
      <c r="AH205" s="1268">
        <f t="shared" si="24"/>
        <v>684.21</v>
      </c>
      <c r="AI205" s="1269">
        <f t="shared" si="25"/>
        <v>2.0761277110112274E-4</v>
      </c>
      <c r="AJ205" s="1270"/>
    </row>
    <row r="206" spans="2:36" s="1259" customFormat="1" outlineLevel="1">
      <c r="B206" s="1263" t="s">
        <v>203</v>
      </c>
      <c r="D206" s="1264">
        <v>70202</v>
      </c>
      <c r="E206" s="1264" t="s">
        <v>284</v>
      </c>
      <c r="F206" s="1265"/>
      <c r="G206" s="1261"/>
      <c r="H206" s="1266"/>
      <c r="I206" s="1267"/>
      <c r="J206" s="1268">
        <v>0</v>
      </c>
      <c r="K206" s="1267"/>
      <c r="L206" s="1268">
        <v>500</v>
      </c>
      <c r="M206" s="1267"/>
      <c r="N206" s="1268">
        <v>-207.14</v>
      </c>
      <c r="O206" s="1267"/>
      <c r="P206" s="1268">
        <v>341.4</v>
      </c>
      <c r="Q206" s="1267"/>
      <c r="R206" s="1268">
        <v>827.88</v>
      </c>
      <c r="S206" s="1267"/>
      <c r="T206" s="1268">
        <v>0</v>
      </c>
      <c r="U206" s="1267"/>
      <c r="V206" s="1268">
        <v>1364.2</v>
      </c>
      <c r="W206" s="1267"/>
      <c r="X206" s="1268">
        <v>302.89999999999998</v>
      </c>
      <c r="Y206" s="1267"/>
      <c r="Z206" s="1268">
        <v>422.8</v>
      </c>
      <c r="AA206" s="1267"/>
      <c r="AB206" s="1268">
        <v>530.99</v>
      </c>
      <c r="AC206" s="1267"/>
      <c r="AD206" s="1268">
        <v>529.08000000000004</v>
      </c>
      <c r="AE206" s="1267"/>
      <c r="AF206" s="1268">
        <v>0</v>
      </c>
      <c r="AG206" s="1267"/>
      <c r="AH206" s="1268">
        <f t="shared" si="24"/>
        <v>4612.1099999999997</v>
      </c>
      <c r="AI206" s="1269">
        <f t="shared" si="25"/>
        <v>1.3994722931895166E-3</v>
      </c>
      <c r="AJ206" s="1270"/>
    </row>
    <row r="207" spans="2:36" s="1259" customFormat="1" outlineLevel="1">
      <c r="B207" s="1263" t="s">
        <v>203</v>
      </c>
      <c r="D207" s="1264">
        <v>70203</v>
      </c>
      <c r="E207" s="1264" t="s">
        <v>141</v>
      </c>
      <c r="F207" s="1265"/>
      <c r="G207" s="1261"/>
      <c r="H207" s="1266"/>
      <c r="I207" s="1267"/>
      <c r="J207" s="1268">
        <v>0</v>
      </c>
      <c r="K207" s="1267"/>
      <c r="L207" s="1268">
        <v>454.64</v>
      </c>
      <c r="M207" s="1267"/>
      <c r="N207" s="1268">
        <v>0</v>
      </c>
      <c r="O207" s="1267"/>
      <c r="P207" s="1268">
        <v>0</v>
      </c>
      <c r="Q207" s="1267"/>
      <c r="R207" s="1268">
        <v>0</v>
      </c>
      <c r="S207" s="1267"/>
      <c r="T207" s="1268">
        <v>0</v>
      </c>
      <c r="U207" s="1267"/>
      <c r="V207" s="1268">
        <v>0</v>
      </c>
      <c r="W207" s="1267"/>
      <c r="X207" s="1268">
        <v>0</v>
      </c>
      <c r="Y207" s="1267"/>
      <c r="Z207" s="1268">
        <v>0</v>
      </c>
      <c r="AA207" s="1267"/>
      <c r="AB207" s="1268">
        <v>0</v>
      </c>
      <c r="AC207" s="1267"/>
      <c r="AD207" s="1268">
        <v>121.5</v>
      </c>
      <c r="AE207" s="1267"/>
      <c r="AF207" s="1268">
        <v>0</v>
      </c>
      <c r="AG207" s="1267"/>
      <c r="AH207" s="1268">
        <f t="shared" si="24"/>
        <v>576.14</v>
      </c>
      <c r="AI207" s="1269">
        <f t="shared" si="25"/>
        <v>1.7482062808523823E-4</v>
      </c>
      <c r="AJ207" s="1270"/>
    </row>
    <row r="208" spans="2:36" s="1259" customFormat="1" outlineLevel="1">
      <c r="B208" s="1263" t="s">
        <v>203</v>
      </c>
      <c r="D208" s="1264">
        <v>70205</v>
      </c>
      <c r="E208" s="1264" t="s">
        <v>285</v>
      </c>
      <c r="F208" s="1265"/>
      <c r="G208" s="1261"/>
      <c r="H208" s="1266"/>
      <c r="I208" s="1267"/>
      <c r="J208" s="1268">
        <v>274.99</v>
      </c>
      <c r="K208" s="1267"/>
      <c r="L208" s="1268">
        <v>390.55</v>
      </c>
      <c r="M208" s="1267"/>
      <c r="N208" s="1268">
        <v>197.95</v>
      </c>
      <c r="O208" s="1267"/>
      <c r="P208" s="1268">
        <v>434.42</v>
      </c>
      <c r="Q208" s="1267"/>
      <c r="R208" s="1268">
        <v>764.72</v>
      </c>
      <c r="S208" s="1267"/>
      <c r="T208" s="1268">
        <v>1178.6099999999999</v>
      </c>
      <c r="U208" s="1267"/>
      <c r="V208" s="1268">
        <v>1227.83</v>
      </c>
      <c r="W208" s="1267"/>
      <c r="X208" s="1268">
        <v>416.28</v>
      </c>
      <c r="Y208" s="1267"/>
      <c r="Z208" s="1268">
        <v>498.09</v>
      </c>
      <c r="AA208" s="1267"/>
      <c r="AB208" s="1268">
        <v>1769.74</v>
      </c>
      <c r="AC208" s="1267"/>
      <c r="AD208" s="1268">
        <v>1493.8</v>
      </c>
      <c r="AE208" s="1267"/>
      <c r="AF208" s="1268">
        <v>749.54</v>
      </c>
      <c r="AG208" s="1267"/>
      <c r="AH208" s="1268">
        <f t="shared" si="24"/>
        <v>9396.5199999999986</v>
      </c>
      <c r="AI208" s="1269">
        <f t="shared" si="25"/>
        <v>2.851226313422957E-3</v>
      </c>
      <c r="AJ208" s="1270"/>
    </row>
    <row r="209" spans="2:36" s="1259" customFormat="1" outlineLevel="1">
      <c r="B209" s="1263" t="s">
        <v>203</v>
      </c>
      <c r="D209" s="1264">
        <v>70206</v>
      </c>
      <c r="E209" s="1264" t="s">
        <v>143</v>
      </c>
      <c r="F209" s="1265"/>
      <c r="G209" s="1261"/>
      <c r="H209" s="1266"/>
      <c r="I209" s="1267"/>
      <c r="J209" s="1268">
        <v>85.86</v>
      </c>
      <c r="K209" s="1267"/>
      <c r="L209" s="1268">
        <v>175</v>
      </c>
      <c r="M209" s="1267"/>
      <c r="N209" s="1268">
        <v>25.92</v>
      </c>
      <c r="O209" s="1267"/>
      <c r="P209" s="1268">
        <v>96.26</v>
      </c>
      <c r="Q209" s="1267"/>
      <c r="R209" s="1268">
        <v>45.9</v>
      </c>
      <c r="S209" s="1267"/>
      <c r="T209" s="1268">
        <v>0</v>
      </c>
      <c r="U209" s="1267"/>
      <c r="V209" s="1268">
        <v>197.81</v>
      </c>
      <c r="W209" s="1267"/>
      <c r="X209" s="1268">
        <v>2.34</v>
      </c>
      <c r="Y209" s="1267"/>
      <c r="Z209" s="1268">
        <v>52.68</v>
      </c>
      <c r="AA209" s="1267"/>
      <c r="AB209" s="1268">
        <v>463.01</v>
      </c>
      <c r="AC209" s="1267"/>
      <c r="AD209" s="1268">
        <v>121.04</v>
      </c>
      <c r="AE209" s="1267"/>
      <c r="AF209" s="1268">
        <v>37.71</v>
      </c>
      <c r="AG209" s="1267"/>
      <c r="AH209" s="1268">
        <f t="shared" si="24"/>
        <v>1303.5299999999997</v>
      </c>
      <c r="AI209" s="1269">
        <f t="shared" si="25"/>
        <v>3.9553569154710758E-4</v>
      </c>
      <c r="AJ209" s="1270"/>
    </row>
    <row r="210" spans="2:36" s="1259" customFormat="1" outlineLevel="1">
      <c r="B210" s="1263" t="s">
        <v>203</v>
      </c>
      <c r="D210" s="1264">
        <v>70207</v>
      </c>
      <c r="E210" s="1264" t="s">
        <v>144</v>
      </c>
      <c r="F210" s="1265"/>
      <c r="G210" s="1261"/>
      <c r="H210" s="1266"/>
      <c r="I210" s="1267"/>
      <c r="J210" s="1268">
        <v>0</v>
      </c>
      <c r="K210" s="1267"/>
      <c r="L210" s="1268">
        <v>0</v>
      </c>
      <c r="M210" s="1267"/>
      <c r="N210" s="1268">
        <v>0</v>
      </c>
      <c r="O210" s="1267"/>
      <c r="P210" s="1268">
        <v>34.15</v>
      </c>
      <c r="Q210" s="1267"/>
      <c r="R210" s="1268">
        <v>0</v>
      </c>
      <c r="S210" s="1267"/>
      <c r="T210" s="1268">
        <v>0</v>
      </c>
      <c r="U210" s="1267"/>
      <c r="V210" s="1268">
        <v>0</v>
      </c>
      <c r="W210" s="1267"/>
      <c r="X210" s="1268">
        <v>0</v>
      </c>
      <c r="Y210" s="1267"/>
      <c r="Z210" s="1268">
        <v>0</v>
      </c>
      <c r="AA210" s="1267"/>
      <c r="AB210" s="1268">
        <v>0</v>
      </c>
      <c r="AC210" s="1267"/>
      <c r="AD210" s="1268">
        <v>0</v>
      </c>
      <c r="AE210" s="1267"/>
      <c r="AF210" s="1268">
        <v>0</v>
      </c>
      <c r="AG210" s="1267"/>
      <c r="AH210" s="1268">
        <f t="shared" si="24"/>
        <v>34.15</v>
      </c>
      <c r="AI210" s="1269">
        <f t="shared" si="25"/>
        <v>1.0362280780905484E-5</v>
      </c>
      <c r="AJ210" s="1270"/>
    </row>
    <row r="211" spans="2:36" s="1259" customFormat="1" outlineLevel="1">
      <c r="B211" s="1263" t="s">
        <v>203</v>
      </c>
      <c r="D211" s="1264">
        <v>70210</v>
      </c>
      <c r="E211" s="1264" t="s">
        <v>111</v>
      </c>
      <c r="F211" s="1265"/>
      <c r="G211" s="1261"/>
      <c r="H211" s="1266"/>
      <c r="I211" s="1267"/>
      <c r="J211" s="1268">
        <v>444.46</v>
      </c>
      <c r="K211" s="1267"/>
      <c r="L211" s="1268">
        <v>387.5</v>
      </c>
      <c r="M211" s="1267"/>
      <c r="N211" s="1268">
        <v>471.42</v>
      </c>
      <c r="O211" s="1267"/>
      <c r="P211" s="1268">
        <v>465.96</v>
      </c>
      <c r="Q211" s="1267"/>
      <c r="R211" s="1268">
        <v>373.35</v>
      </c>
      <c r="S211" s="1267"/>
      <c r="T211" s="1268">
        <v>423.97</v>
      </c>
      <c r="U211" s="1267"/>
      <c r="V211" s="1268">
        <v>815.74</v>
      </c>
      <c r="W211" s="1267"/>
      <c r="X211" s="1268">
        <v>685.68</v>
      </c>
      <c r="Y211" s="1267"/>
      <c r="Z211" s="1268">
        <v>1035</v>
      </c>
      <c r="AA211" s="1267"/>
      <c r="AB211" s="1268">
        <v>470.77</v>
      </c>
      <c r="AC211" s="1267"/>
      <c r="AD211" s="1268">
        <v>1286.8699999999999</v>
      </c>
      <c r="AE211" s="1267"/>
      <c r="AF211" s="1268">
        <v>602.98</v>
      </c>
      <c r="AG211" s="1267"/>
      <c r="AH211" s="1268">
        <f t="shared" si="24"/>
        <v>7463.7000000000007</v>
      </c>
      <c r="AI211" s="1269">
        <f t="shared" si="25"/>
        <v>2.2647424616235512E-3</v>
      </c>
      <c r="AJ211" s="1270"/>
    </row>
    <row r="212" spans="2:36" s="1259" customFormat="1" outlineLevel="1">
      <c r="B212" s="1263" t="s">
        <v>203</v>
      </c>
      <c r="D212" s="1264">
        <v>70214</v>
      </c>
      <c r="E212" s="1264" t="s">
        <v>145</v>
      </c>
      <c r="F212" s="1265"/>
      <c r="G212" s="1261"/>
      <c r="H212" s="1266"/>
      <c r="I212" s="1267"/>
      <c r="J212" s="1268">
        <v>435.85</v>
      </c>
      <c r="K212" s="1267"/>
      <c r="L212" s="1268">
        <v>539.1</v>
      </c>
      <c r="M212" s="1267"/>
      <c r="N212" s="1268">
        <v>434.69</v>
      </c>
      <c r="O212" s="1267"/>
      <c r="P212" s="1268">
        <v>542.48</v>
      </c>
      <c r="Q212" s="1267"/>
      <c r="R212" s="1268">
        <v>496.11</v>
      </c>
      <c r="S212" s="1267"/>
      <c r="T212" s="1268">
        <v>634.57000000000005</v>
      </c>
      <c r="U212" s="1267"/>
      <c r="V212" s="1268">
        <v>503.18</v>
      </c>
      <c r="W212" s="1267"/>
      <c r="X212" s="1268">
        <v>711.11</v>
      </c>
      <c r="Y212" s="1267"/>
      <c r="Z212" s="1268">
        <v>549.48</v>
      </c>
      <c r="AA212" s="1267"/>
      <c r="AB212" s="1268">
        <v>683.32</v>
      </c>
      <c r="AC212" s="1267"/>
      <c r="AD212" s="1268">
        <v>635.54</v>
      </c>
      <c r="AE212" s="1267"/>
      <c r="AF212" s="1268">
        <v>665.08</v>
      </c>
      <c r="AG212" s="1267"/>
      <c r="AH212" s="1268">
        <f t="shared" si="24"/>
        <v>6830.5099999999993</v>
      </c>
      <c r="AI212" s="1269">
        <f t="shared" si="25"/>
        <v>2.0726109076656726E-3</v>
      </c>
      <c r="AJ212" s="1270"/>
    </row>
    <row r="213" spans="2:36" s="1259" customFormat="1" outlineLevel="1">
      <c r="B213" s="1263" t="s">
        <v>203</v>
      </c>
      <c r="D213" s="1264">
        <v>70231</v>
      </c>
      <c r="E213" s="1264" t="s">
        <v>146</v>
      </c>
      <c r="F213" s="1265"/>
      <c r="G213" s="1261"/>
      <c r="H213" s="1266"/>
      <c r="I213" s="1267"/>
      <c r="J213" s="1268">
        <v>0</v>
      </c>
      <c r="K213" s="1267"/>
      <c r="L213" s="1268">
        <v>23.9</v>
      </c>
      <c r="M213" s="1267"/>
      <c r="N213" s="1268">
        <v>37.5</v>
      </c>
      <c r="O213" s="1267"/>
      <c r="P213" s="1268">
        <v>0</v>
      </c>
      <c r="Q213" s="1267"/>
      <c r="R213" s="1268">
        <v>0</v>
      </c>
      <c r="S213" s="1267"/>
      <c r="T213" s="1268">
        <v>0</v>
      </c>
      <c r="U213" s="1267"/>
      <c r="V213" s="1268">
        <v>0</v>
      </c>
      <c r="W213" s="1267"/>
      <c r="X213" s="1268">
        <v>0</v>
      </c>
      <c r="Y213" s="1267"/>
      <c r="Z213" s="1268">
        <v>0</v>
      </c>
      <c r="AA213" s="1267"/>
      <c r="AB213" s="1268">
        <v>0</v>
      </c>
      <c r="AC213" s="1267"/>
      <c r="AD213" s="1268">
        <v>0</v>
      </c>
      <c r="AE213" s="1267"/>
      <c r="AF213" s="1268">
        <v>0</v>
      </c>
      <c r="AG213" s="1267"/>
      <c r="AH213" s="1268">
        <f t="shared" si="24"/>
        <v>61.4</v>
      </c>
      <c r="AI213" s="1269">
        <f t="shared" si="25"/>
        <v>1.8630865005786142E-5</v>
      </c>
      <c r="AJ213" s="1270"/>
    </row>
    <row r="214" spans="2:36" s="1259" customFormat="1" outlineLevel="1">
      <c r="B214" s="1263" t="s">
        <v>203</v>
      </c>
      <c r="D214" s="1264">
        <v>70245</v>
      </c>
      <c r="E214" s="1264" t="s">
        <v>286</v>
      </c>
      <c r="F214" s="1265"/>
      <c r="G214" s="1261"/>
      <c r="H214" s="1266"/>
      <c r="I214" s="1267"/>
      <c r="J214" s="1268">
        <v>49.7</v>
      </c>
      <c r="K214" s="1267"/>
      <c r="L214" s="1268">
        <v>49.7</v>
      </c>
      <c r="M214" s="1267"/>
      <c r="N214" s="1268">
        <v>49.7</v>
      </c>
      <c r="O214" s="1267"/>
      <c r="P214" s="1268">
        <v>0</v>
      </c>
      <c r="Q214" s="1267"/>
      <c r="R214" s="1268">
        <v>0</v>
      </c>
      <c r="S214" s="1267"/>
      <c r="T214" s="1268">
        <v>0</v>
      </c>
      <c r="U214" s="1267"/>
      <c r="V214" s="1268">
        <v>0</v>
      </c>
      <c r="W214" s="1267"/>
      <c r="X214" s="1268">
        <v>0</v>
      </c>
      <c r="Y214" s="1267"/>
      <c r="Z214" s="1268">
        <v>0</v>
      </c>
      <c r="AA214" s="1267"/>
      <c r="AB214" s="1268">
        <v>0</v>
      </c>
      <c r="AC214" s="1267"/>
      <c r="AD214" s="1268">
        <v>0</v>
      </c>
      <c r="AE214" s="1267"/>
      <c r="AF214" s="1268">
        <v>0</v>
      </c>
      <c r="AG214" s="1267"/>
      <c r="AH214" s="1268">
        <f t="shared" si="24"/>
        <v>149.10000000000002</v>
      </c>
      <c r="AI214" s="1269">
        <f t="shared" si="25"/>
        <v>4.5242051667145183E-5</v>
      </c>
      <c r="AJ214" s="1270"/>
    </row>
    <row r="215" spans="2:36" s="1259" customFormat="1" outlineLevel="1">
      <c r="B215" s="1263" t="s">
        <v>203</v>
      </c>
      <c r="D215" s="1264">
        <v>70255</v>
      </c>
      <c r="E215" s="1264" t="s">
        <v>77</v>
      </c>
      <c r="F215" s="1265"/>
      <c r="G215" s="1261"/>
      <c r="H215" s="1266"/>
      <c r="I215" s="1267"/>
      <c r="J215" s="1268">
        <v>18.14</v>
      </c>
      <c r="K215" s="1267"/>
      <c r="L215" s="1268">
        <v>32.090000000000003</v>
      </c>
      <c r="M215" s="1267"/>
      <c r="N215" s="1268">
        <v>57.22</v>
      </c>
      <c r="O215" s="1267"/>
      <c r="P215" s="1268">
        <v>69.84</v>
      </c>
      <c r="Q215" s="1267"/>
      <c r="R215" s="1268">
        <v>64.37</v>
      </c>
      <c r="S215" s="1267"/>
      <c r="T215" s="1268">
        <v>14.48</v>
      </c>
      <c r="U215" s="1267"/>
      <c r="V215" s="1268">
        <v>11.44</v>
      </c>
      <c r="W215" s="1267"/>
      <c r="X215" s="1268">
        <v>24.12</v>
      </c>
      <c r="Y215" s="1267"/>
      <c r="Z215" s="1268">
        <v>0</v>
      </c>
      <c r="AA215" s="1267"/>
      <c r="AB215" s="1268">
        <v>2.75</v>
      </c>
      <c r="AC215" s="1267"/>
      <c r="AD215" s="1268">
        <v>24.68</v>
      </c>
      <c r="AE215" s="1267"/>
      <c r="AF215" s="1268">
        <v>0</v>
      </c>
      <c r="AG215" s="1267"/>
      <c r="AH215" s="1268">
        <f t="shared" si="24"/>
        <v>319.13</v>
      </c>
      <c r="AI215" s="1269">
        <f t="shared" si="25"/>
        <v>9.683498288756565E-5</v>
      </c>
      <c r="AJ215" s="1270"/>
    </row>
    <row r="216" spans="2:36" s="1259" customFormat="1" outlineLevel="1">
      <c r="B216" s="1263" t="s">
        <v>203</v>
      </c>
      <c r="D216" s="1264">
        <v>70300</v>
      </c>
      <c r="E216" s="1264" t="s">
        <v>116</v>
      </c>
      <c r="F216" s="1265"/>
      <c r="G216" s="1261"/>
      <c r="H216" s="1266"/>
      <c r="I216" s="1267"/>
      <c r="J216" s="1268">
        <v>1420.19</v>
      </c>
      <c r="K216" s="1267"/>
      <c r="L216" s="1268">
        <v>1420.19</v>
      </c>
      <c r="M216" s="1267"/>
      <c r="N216" s="1268">
        <v>1420.19</v>
      </c>
      <c r="O216" s="1267"/>
      <c r="P216" s="1268">
        <v>1420.19</v>
      </c>
      <c r="Q216" s="1267"/>
      <c r="R216" s="1268">
        <v>1420.19</v>
      </c>
      <c r="S216" s="1267"/>
      <c r="T216" s="1268">
        <v>1420.19</v>
      </c>
      <c r="U216" s="1267"/>
      <c r="V216" s="1268">
        <v>1420.19</v>
      </c>
      <c r="W216" s="1267"/>
      <c r="X216" s="1268">
        <v>1420.19</v>
      </c>
      <c r="Y216" s="1267"/>
      <c r="Z216" s="1268">
        <v>1420.19</v>
      </c>
      <c r="AA216" s="1267"/>
      <c r="AB216" s="1268">
        <v>1420.19</v>
      </c>
      <c r="AC216" s="1267"/>
      <c r="AD216" s="1268">
        <v>1420.19</v>
      </c>
      <c r="AE216" s="1267"/>
      <c r="AF216" s="1268">
        <v>1420.19</v>
      </c>
      <c r="AG216" s="1267"/>
      <c r="AH216" s="1268">
        <f t="shared" si="24"/>
        <v>17042.280000000002</v>
      </c>
      <c r="AI216" s="1269">
        <f t="shared" si="25"/>
        <v>5.1712120206972162E-3</v>
      </c>
      <c r="AJ216" s="1270"/>
    </row>
    <row r="217" spans="2:36" s="1259" customFormat="1" outlineLevel="1">
      <c r="B217" s="1263" t="s">
        <v>203</v>
      </c>
      <c r="D217" s="1264">
        <v>70310</v>
      </c>
      <c r="E217" s="1264" t="s">
        <v>128</v>
      </c>
      <c r="F217" s="1265"/>
      <c r="G217" s="1261"/>
      <c r="H217" s="1266"/>
      <c r="I217" s="1267"/>
      <c r="J217" s="1268">
        <v>1888.08</v>
      </c>
      <c r="K217" s="1267"/>
      <c r="L217" s="1268">
        <v>2815.05</v>
      </c>
      <c r="M217" s="1267"/>
      <c r="N217" s="1268">
        <v>58.42</v>
      </c>
      <c r="O217" s="1267"/>
      <c r="P217" s="1268">
        <v>1022.18</v>
      </c>
      <c r="Q217" s="1267"/>
      <c r="R217" s="1268">
        <v>-929.81</v>
      </c>
      <c r="S217" s="1267"/>
      <c r="T217" s="1268">
        <v>-67.77</v>
      </c>
      <c r="U217" s="1267"/>
      <c r="V217" s="1268">
        <v>567.46</v>
      </c>
      <c r="W217" s="1267"/>
      <c r="X217" s="1268">
        <v>152.26</v>
      </c>
      <c r="Y217" s="1267"/>
      <c r="Z217" s="1268">
        <v>2520.92</v>
      </c>
      <c r="AA217" s="1267"/>
      <c r="AB217" s="1268">
        <v>936.05</v>
      </c>
      <c r="AC217" s="1267"/>
      <c r="AD217" s="1268">
        <v>4051.54</v>
      </c>
      <c r="AE217" s="1267"/>
      <c r="AF217" s="1268">
        <v>1167.55</v>
      </c>
      <c r="AG217" s="1267"/>
      <c r="AH217" s="1268">
        <f t="shared" si="24"/>
        <v>14181.930000000002</v>
      </c>
      <c r="AI217" s="1269">
        <f t="shared" si="25"/>
        <v>4.3032837679398807E-3</v>
      </c>
      <c r="AJ217" s="1270"/>
    </row>
    <row r="218" spans="2:36" s="1259" customFormat="1" outlineLevel="1">
      <c r="B218" s="1263" t="s">
        <v>203</v>
      </c>
      <c r="D218" s="1264">
        <v>70320</v>
      </c>
      <c r="E218" s="1264" t="s">
        <v>118</v>
      </c>
      <c r="F218" s="1265"/>
      <c r="G218" s="1261"/>
      <c r="H218" s="1266"/>
      <c r="I218" s="1267"/>
      <c r="J218" s="1268">
        <v>-2.2999999999999998</v>
      </c>
      <c r="K218" s="1267"/>
      <c r="L218" s="1268">
        <v>552.41999999999996</v>
      </c>
      <c r="M218" s="1267"/>
      <c r="N218" s="1268">
        <v>33.659999999999997</v>
      </c>
      <c r="O218" s="1267"/>
      <c r="P218" s="1268">
        <v>85.25</v>
      </c>
      <c r="Q218" s="1267"/>
      <c r="R218" s="1268">
        <v>274.82</v>
      </c>
      <c r="S218" s="1267"/>
      <c r="T218" s="1268">
        <v>140.87</v>
      </c>
      <c r="U218" s="1267"/>
      <c r="V218" s="1268">
        <v>78.099999999999994</v>
      </c>
      <c r="W218" s="1267"/>
      <c r="X218" s="1268">
        <v>220</v>
      </c>
      <c r="Y218" s="1267"/>
      <c r="Z218" s="1268">
        <v>16.25</v>
      </c>
      <c r="AA218" s="1267"/>
      <c r="AB218" s="1268">
        <v>257.02</v>
      </c>
      <c r="AC218" s="1267"/>
      <c r="AD218" s="1268">
        <v>123</v>
      </c>
      <c r="AE218" s="1267"/>
      <c r="AF218" s="1268">
        <v>95</v>
      </c>
      <c r="AG218" s="1267"/>
      <c r="AH218" s="1268">
        <f t="shared" si="24"/>
        <v>1874.09</v>
      </c>
      <c r="AI218" s="1269">
        <f t="shared" si="25"/>
        <v>5.6866315633051707E-4</v>
      </c>
      <c r="AJ218" s="1270"/>
    </row>
    <row r="219" spans="2:36" s="1259" customFormat="1" outlineLevel="1">
      <c r="B219" s="1263" t="s">
        <v>203</v>
      </c>
      <c r="D219" s="1264">
        <v>70336</v>
      </c>
      <c r="E219" s="1264" t="s">
        <v>148</v>
      </c>
      <c r="F219" s="1265"/>
      <c r="G219" s="1261"/>
      <c r="H219" s="1266"/>
      <c r="I219" s="1267"/>
      <c r="J219" s="1268">
        <v>0</v>
      </c>
      <c r="K219" s="1267"/>
      <c r="L219" s="1268">
        <v>108.77</v>
      </c>
      <c r="M219" s="1267"/>
      <c r="N219" s="1268">
        <v>111.9</v>
      </c>
      <c r="O219" s="1267"/>
      <c r="P219" s="1268">
        <v>0</v>
      </c>
      <c r="Q219" s="1267"/>
      <c r="R219" s="1268">
        <v>147.97</v>
      </c>
      <c r="S219" s="1267"/>
      <c r="T219" s="1268">
        <v>68.98</v>
      </c>
      <c r="U219" s="1267"/>
      <c r="V219" s="1268">
        <v>153.66</v>
      </c>
      <c r="W219" s="1267"/>
      <c r="X219" s="1268">
        <v>0</v>
      </c>
      <c r="Y219" s="1267"/>
      <c r="Z219" s="1268">
        <v>62.04</v>
      </c>
      <c r="AA219" s="1267"/>
      <c r="AB219" s="1268">
        <v>50.95</v>
      </c>
      <c r="AC219" s="1267"/>
      <c r="AD219" s="1268">
        <v>53.63</v>
      </c>
      <c r="AE219" s="1267"/>
      <c r="AF219" s="1268">
        <v>63.03</v>
      </c>
      <c r="AG219" s="1267"/>
      <c r="AH219" s="1268">
        <f t="shared" si="24"/>
        <v>820.93</v>
      </c>
      <c r="AI219" s="1269">
        <f t="shared" si="25"/>
        <v>2.4909830633876247E-4</v>
      </c>
      <c r="AJ219" s="1270"/>
    </row>
    <row r="220" spans="2:36" s="115" customFormat="1" ht="5.0999999999999996" customHeight="1" outlineLevel="1">
      <c r="B220" s="108" t="s">
        <v>195</v>
      </c>
      <c r="D220" s="114"/>
      <c r="E220" s="114"/>
      <c r="F220" s="114"/>
      <c r="G220" s="114"/>
      <c r="J220" s="147"/>
      <c r="K220" s="145"/>
      <c r="L220" s="147"/>
      <c r="M220" s="145"/>
      <c r="N220" s="147"/>
      <c r="O220" s="145"/>
      <c r="P220" s="147"/>
      <c r="Q220" s="145"/>
      <c r="R220" s="147"/>
      <c r="S220" s="145"/>
      <c r="T220" s="147"/>
      <c r="U220" s="145"/>
      <c r="V220" s="147"/>
      <c r="W220" s="145"/>
      <c r="X220" s="147"/>
      <c r="Y220" s="145"/>
      <c r="Z220" s="147"/>
      <c r="AA220" s="145"/>
      <c r="AB220" s="147"/>
      <c r="AC220" s="145"/>
      <c r="AD220" s="147"/>
      <c r="AE220" s="145"/>
      <c r="AF220" s="147"/>
      <c r="AG220" s="145"/>
      <c r="AH220" s="147"/>
      <c r="AI220" s="141"/>
      <c r="AJ220" s="123"/>
    </row>
    <row r="221" spans="2:36" s="115" customFormat="1" ht="15">
      <c r="B221" s="108" t="s">
        <v>195</v>
      </c>
      <c r="F221" s="114" t="s">
        <v>287</v>
      </c>
      <c r="J221" s="144">
        <f>SUM(J183:J220)</f>
        <v>26833.829999999998</v>
      </c>
      <c r="K221" s="145"/>
      <c r="L221" s="144">
        <f>SUM(L183:L220)</f>
        <v>26505.109999999993</v>
      </c>
      <c r="M221" s="145"/>
      <c r="N221" s="144">
        <f>SUM(N183:N220)</f>
        <v>27708.389999999996</v>
      </c>
      <c r="O221" s="145"/>
      <c r="P221" s="144">
        <f>SUM(P183:P220)</f>
        <v>33533.839999999997</v>
      </c>
      <c r="Q221" s="145"/>
      <c r="R221" s="144">
        <f>SUM(R183:R220)</f>
        <v>26672.31</v>
      </c>
      <c r="S221" s="145"/>
      <c r="T221" s="144">
        <f>SUM(T183:T220)</f>
        <v>30269.919999999998</v>
      </c>
      <c r="U221" s="145"/>
      <c r="V221" s="144">
        <f>SUM(V183:V220)</f>
        <v>32697.38</v>
      </c>
      <c r="W221" s="145"/>
      <c r="X221" s="144">
        <f>SUM(X183:X220)</f>
        <v>27596.52</v>
      </c>
      <c r="Y221" s="145"/>
      <c r="Z221" s="144">
        <f>SUM(Z183:Z220)</f>
        <v>35789.359999999993</v>
      </c>
      <c r="AA221" s="145"/>
      <c r="AB221" s="144">
        <f>SUM(AB183:AB220)</f>
        <v>37553.760000000002</v>
      </c>
      <c r="AC221" s="145"/>
      <c r="AD221" s="144">
        <f>SUM(AD183:AD220)</f>
        <v>41904.010000000009</v>
      </c>
      <c r="AE221" s="145"/>
      <c r="AF221" s="144">
        <f>SUM(AF183:AF220)</f>
        <v>37079.98000000001</v>
      </c>
      <c r="AG221" s="145"/>
      <c r="AH221" s="144">
        <f>SUM(AH183:AH220)</f>
        <v>384144.41000000009</v>
      </c>
      <c r="AI221" s="118">
        <f>IF(AH$52=0,0,AH221/AH$52)</f>
        <v>0.11656258380191149</v>
      </c>
      <c r="AJ221" s="123"/>
    </row>
    <row r="222" spans="2:36" s="115" customFormat="1" ht="15" outlineLevel="1">
      <c r="B222" s="108" t="s">
        <v>195</v>
      </c>
      <c r="J222" s="146"/>
      <c r="K222" s="145"/>
      <c r="L222" s="146"/>
      <c r="M222" s="145"/>
      <c r="N222" s="146"/>
      <c r="O222" s="145"/>
      <c r="P222" s="146"/>
      <c r="Q222" s="145"/>
      <c r="R222" s="146"/>
      <c r="S222" s="145"/>
      <c r="T222" s="146"/>
      <c r="U222" s="145"/>
      <c r="V222" s="146"/>
      <c r="W222" s="145"/>
      <c r="X222" s="146"/>
      <c r="Y222" s="145"/>
      <c r="Z222" s="146"/>
      <c r="AA222" s="145"/>
      <c r="AB222" s="146"/>
      <c r="AC222" s="145"/>
      <c r="AD222" s="146"/>
      <c r="AE222" s="145"/>
      <c r="AF222" s="146"/>
      <c r="AG222" s="145"/>
      <c r="AH222" s="146"/>
      <c r="AI222" s="141"/>
      <c r="AJ222" s="123"/>
    </row>
    <row r="223" spans="2:36" s="1259" customFormat="1" outlineLevel="1">
      <c r="B223" s="1263" t="s">
        <v>288</v>
      </c>
      <c r="D223" s="1264">
        <v>70149</v>
      </c>
      <c r="E223" s="1264" t="s">
        <v>289</v>
      </c>
      <c r="F223" s="1265"/>
      <c r="G223" s="1261"/>
      <c r="H223" s="1266"/>
      <c r="I223" s="1267"/>
      <c r="J223" s="1268">
        <v>5206.74</v>
      </c>
      <c r="K223" s="1267"/>
      <c r="L223" s="1268">
        <v>5156.95</v>
      </c>
      <c r="M223" s="1267"/>
      <c r="N223" s="1268">
        <v>5459.53</v>
      </c>
      <c r="O223" s="1267"/>
      <c r="P223" s="1268">
        <v>5772.45</v>
      </c>
      <c r="Q223" s="1267"/>
      <c r="R223" s="1268">
        <v>5552.78</v>
      </c>
      <c r="S223" s="1267"/>
      <c r="T223" s="1268">
        <v>5922.57</v>
      </c>
      <c r="U223" s="1267"/>
      <c r="V223" s="1268">
        <v>6429.82</v>
      </c>
      <c r="W223" s="1267"/>
      <c r="X223" s="1268">
        <v>6560.71</v>
      </c>
      <c r="Y223" s="1267"/>
      <c r="Z223" s="1268">
        <v>6951.94</v>
      </c>
      <c r="AA223" s="1267"/>
      <c r="AB223" s="1268">
        <v>6491.47</v>
      </c>
      <c r="AC223" s="1267"/>
      <c r="AD223" s="1268">
        <v>6306.37</v>
      </c>
      <c r="AE223" s="1267"/>
      <c r="AF223" s="1268">
        <v>6143.77</v>
      </c>
      <c r="AG223" s="1267"/>
      <c r="AH223" s="1268">
        <f>AF223+AD223+AB223+Z223+X223+V223+T223+R223+P223+N223+L223+J223</f>
        <v>71955.100000000006</v>
      </c>
      <c r="AI223" s="1269">
        <f>IF(AH$52=0,0,AH223/AH$52)</f>
        <v>2.1833644211365515E-2</v>
      </c>
      <c r="AJ223" s="1270"/>
    </row>
    <row r="224" spans="2:36" s="115" customFormat="1" ht="5.0999999999999996" customHeight="1" outlineLevel="1">
      <c r="B224" s="108" t="s">
        <v>195</v>
      </c>
      <c r="D224" s="114"/>
      <c r="E224" s="114"/>
      <c r="F224" s="114"/>
      <c r="G224" s="114"/>
      <c r="J224" s="147"/>
      <c r="K224" s="145"/>
      <c r="L224" s="147"/>
      <c r="M224" s="145"/>
      <c r="N224" s="147"/>
      <c r="O224" s="145"/>
      <c r="P224" s="147"/>
      <c r="Q224" s="145"/>
      <c r="R224" s="147"/>
      <c r="S224" s="145"/>
      <c r="T224" s="147"/>
      <c r="U224" s="145"/>
      <c r="V224" s="147"/>
      <c r="W224" s="145"/>
      <c r="X224" s="147"/>
      <c r="Y224" s="145"/>
      <c r="Z224" s="147"/>
      <c r="AA224" s="145"/>
      <c r="AB224" s="147"/>
      <c r="AC224" s="145"/>
      <c r="AD224" s="147"/>
      <c r="AE224" s="145"/>
      <c r="AF224" s="147"/>
      <c r="AG224" s="145"/>
      <c r="AH224" s="147"/>
      <c r="AI224" s="141"/>
      <c r="AJ224" s="123"/>
    </row>
    <row r="225" spans="1:36" s="115" customFormat="1" ht="15">
      <c r="B225" s="108" t="s">
        <v>195</v>
      </c>
      <c r="F225" s="113" t="s">
        <v>290</v>
      </c>
      <c r="J225" s="144">
        <f>SUM(J222:J224)</f>
        <v>5206.74</v>
      </c>
      <c r="K225" s="145"/>
      <c r="L225" s="144">
        <f>SUM(L222:L224)</f>
        <v>5156.95</v>
      </c>
      <c r="M225" s="145"/>
      <c r="N225" s="144">
        <f>SUM(N222:N224)</f>
        <v>5459.53</v>
      </c>
      <c r="O225" s="145"/>
      <c r="P225" s="144">
        <f>SUM(P222:P224)</f>
        <v>5772.45</v>
      </c>
      <c r="Q225" s="145"/>
      <c r="R225" s="144">
        <f>SUM(R222:R224)</f>
        <v>5552.78</v>
      </c>
      <c r="S225" s="145"/>
      <c r="T225" s="144">
        <f>SUM(T222:T224)</f>
        <v>5922.57</v>
      </c>
      <c r="U225" s="145"/>
      <c r="V225" s="144">
        <f>SUM(V222:V224)</f>
        <v>6429.82</v>
      </c>
      <c r="W225" s="145"/>
      <c r="X225" s="144">
        <f>SUM(X222:X224)</f>
        <v>6560.71</v>
      </c>
      <c r="Y225" s="145"/>
      <c r="Z225" s="144">
        <f>SUM(Z222:Z224)</f>
        <v>6951.94</v>
      </c>
      <c r="AA225" s="145"/>
      <c r="AB225" s="144">
        <f>SUM(AB222:AB224)</f>
        <v>6491.47</v>
      </c>
      <c r="AC225" s="145"/>
      <c r="AD225" s="144">
        <f>SUM(AD222:AD224)</f>
        <v>6306.37</v>
      </c>
      <c r="AE225" s="145"/>
      <c r="AF225" s="144">
        <f>SUM(AF222:AF224)</f>
        <v>6143.77</v>
      </c>
      <c r="AG225" s="145"/>
      <c r="AH225" s="144">
        <f>SUM(AH222:AH224)</f>
        <v>71955.100000000006</v>
      </c>
      <c r="AI225" s="118">
        <f>IF(AH$52=0,0,AH225/AH$52)</f>
        <v>2.1833644211365515E-2</v>
      </c>
      <c r="AJ225" s="123"/>
    </row>
    <row r="226" spans="1:36" s="115" customFormat="1" ht="7.5" customHeight="1">
      <c r="B226" s="108"/>
      <c r="J226" s="146"/>
      <c r="K226" s="145"/>
      <c r="L226" s="146"/>
      <c r="M226" s="145"/>
      <c r="N226" s="146"/>
      <c r="O226" s="145"/>
      <c r="P226" s="146"/>
      <c r="Q226" s="145"/>
      <c r="R226" s="146"/>
      <c r="S226" s="145"/>
      <c r="T226" s="146"/>
      <c r="U226" s="145"/>
      <c r="V226" s="146"/>
      <c r="W226" s="145"/>
      <c r="X226" s="146"/>
      <c r="Y226" s="145"/>
      <c r="Z226" s="146"/>
      <c r="AA226" s="145"/>
      <c r="AB226" s="146"/>
      <c r="AC226" s="145"/>
      <c r="AD226" s="146"/>
      <c r="AE226" s="145"/>
      <c r="AF226" s="146"/>
      <c r="AG226" s="145"/>
      <c r="AH226" s="146"/>
      <c r="AI226" s="141"/>
      <c r="AJ226" s="123"/>
    </row>
    <row r="227" spans="1:36" s="115" customFormat="1" ht="15">
      <c r="B227" s="108"/>
      <c r="E227" s="149" t="s">
        <v>291</v>
      </c>
      <c r="J227" s="150">
        <f>+J181+J221+J225</f>
        <v>32153.07</v>
      </c>
      <c r="K227" s="145"/>
      <c r="L227" s="150">
        <f>+L181+L221+L225</f>
        <v>31762.059999999994</v>
      </c>
      <c r="M227" s="145"/>
      <c r="N227" s="150">
        <f>+N181+N221+N225</f>
        <v>33167.919999999998</v>
      </c>
      <c r="O227" s="145"/>
      <c r="P227" s="150">
        <f>+P181+P221+P225</f>
        <v>39406.289999999994</v>
      </c>
      <c r="Q227" s="145"/>
      <c r="R227" s="150">
        <f>+R181+R221+R225</f>
        <v>32329.09</v>
      </c>
      <c r="S227" s="145"/>
      <c r="T227" s="150">
        <f>+T181+T221+T225</f>
        <v>37078.49</v>
      </c>
      <c r="U227" s="145"/>
      <c r="V227" s="150">
        <f>+V181+V221+V225</f>
        <v>39127.199999999997</v>
      </c>
      <c r="W227" s="145"/>
      <c r="X227" s="150">
        <f>+X181+X221+X225</f>
        <v>34157.230000000003</v>
      </c>
      <c r="Y227" s="145"/>
      <c r="Z227" s="150">
        <f>+Z181+Z221+Z225</f>
        <v>43115.799999999996</v>
      </c>
      <c r="AA227" s="145"/>
      <c r="AB227" s="150">
        <f>+AB181+AB221+AB225</f>
        <v>44045.23</v>
      </c>
      <c r="AC227" s="145"/>
      <c r="AD227" s="150">
        <f>+AD181+AD221+AD225</f>
        <v>48310.380000000012</v>
      </c>
      <c r="AE227" s="145"/>
      <c r="AF227" s="150">
        <f>+AF181+AF221+AF225</f>
        <v>43723.750000000015</v>
      </c>
      <c r="AG227" s="145"/>
      <c r="AH227" s="150">
        <f>+AH181+AH221+AH225</f>
        <v>458376.51000000013</v>
      </c>
      <c r="AI227" s="118">
        <f>IF(AH$52=0,0,AH227/AH$52)</f>
        <v>0.13908714787676521</v>
      </c>
      <c r="AJ227" s="123"/>
    </row>
    <row r="228" spans="1:36" s="115" customFormat="1" ht="7.5" customHeight="1">
      <c r="B228" s="108"/>
      <c r="J228" s="146"/>
      <c r="K228" s="145"/>
      <c r="L228" s="146"/>
      <c r="M228" s="145"/>
      <c r="N228" s="146"/>
      <c r="O228" s="145"/>
      <c r="P228" s="146"/>
      <c r="Q228" s="145"/>
      <c r="R228" s="146"/>
      <c r="S228" s="145"/>
      <c r="T228" s="146"/>
      <c r="U228" s="145"/>
      <c r="V228" s="146"/>
      <c r="W228" s="145"/>
      <c r="X228" s="146"/>
      <c r="Y228" s="145"/>
      <c r="Z228" s="146"/>
      <c r="AA228" s="145"/>
      <c r="AB228" s="146"/>
      <c r="AC228" s="145"/>
      <c r="AD228" s="146"/>
      <c r="AE228" s="145"/>
      <c r="AF228" s="146"/>
      <c r="AG228" s="145"/>
      <c r="AH228" s="146"/>
      <c r="AI228" s="141"/>
      <c r="AJ228" s="123"/>
    </row>
    <row r="229" spans="1:36" s="115" customFormat="1" ht="7.5" customHeight="1">
      <c r="B229" s="108" t="s">
        <v>195</v>
      </c>
      <c r="D229" s="156"/>
      <c r="E229" s="156"/>
      <c r="F229" s="156"/>
      <c r="G229" s="156"/>
      <c r="H229" s="156"/>
      <c r="I229" s="156"/>
      <c r="J229" s="154"/>
      <c r="K229" s="145"/>
      <c r="L229" s="154"/>
      <c r="M229" s="145"/>
      <c r="N229" s="154"/>
      <c r="O229" s="145"/>
      <c r="P229" s="154"/>
      <c r="Q229" s="145"/>
      <c r="R229" s="154"/>
      <c r="S229" s="145"/>
      <c r="T229" s="154"/>
      <c r="U229" s="145"/>
      <c r="V229" s="154"/>
      <c r="W229" s="145"/>
      <c r="X229" s="154"/>
      <c r="Y229" s="145"/>
      <c r="Z229" s="154"/>
      <c r="AA229" s="145"/>
      <c r="AB229" s="154"/>
      <c r="AC229" s="145"/>
      <c r="AD229" s="154"/>
      <c r="AE229" s="145"/>
      <c r="AF229" s="154"/>
      <c r="AG229" s="145"/>
      <c r="AH229" s="154"/>
      <c r="AI229" s="141"/>
      <c r="AJ229" s="123"/>
    </row>
    <row r="230" spans="1:36" s="115" customFormat="1" ht="15">
      <c r="B230" s="108" t="s">
        <v>195</v>
      </c>
      <c r="E230" s="157" t="s">
        <v>292</v>
      </c>
      <c r="F230" s="158"/>
      <c r="G230" s="158"/>
      <c r="H230" s="158"/>
      <c r="I230" s="158"/>
      <c r="J230" s="159">
        <f>+J176-J227</f>
        <v>23471.870000000032</v>
      </c>
      <c r="K230" s="160"/>
      <c r="L230" s="159">
        <f>+L176-L227</f>
        <v>29844.610000000004</v>
      </c>
      <c r="M230" s="161"/>
      <c r="N230" s="159">
        <f>+N176-N227</f>
        <v>-14361.060000000012</v>
      </c>
      <c r="O230" s="161"/>
      <c r="P230" s="159">
        <f>+P176-P227</f>
        <v>26045.979999999952</v>
      </c>
      <c r="Q230" s="160"/>
      <c r="R230" s="159">
        <f>+R176-R227</f>
        <v>44734.39</v>
      </c>
      <c r="S230" s="161"/>
      <c r="T230" s="159">
        <f>+T176-T227</f>
        <v>16377.429999999971</v>
      </c>
      <c r="U230" s="161"/>
      <c r="V230" s="159">
        <f>+V176-V227</f>
        <v>55212.799999999945</v>
      </c>
      <c r="W230" s="160"/>
      <c r="X230" s="159">
        <f>+X176-X227</f>
        <v>40991.159999999967</v>
      </c>
      <c r="Y230" s="161"/>
      <c r="Z230" s="159">
        <f>+Z176-Z227</f>
        <v>41876.949999999975</v>
      </c>
      <c r="AA230" s="161"/>
      <c r="AB230" s="159">
        <f>+AB176-AB227</f>
        <v>43019.939999999981</v>
      </c>
      <c r="AC230" s="160"/>
      <c r="AD230" s="159">
        <f>+AD176-AD227</f>
        <v>18940.949999999903</v>
      </c>
      <c r="AE230" s="161"/>
      <c r="AF230" s="159">
        <f>+AF176-AF227</f>
        <v>44123.699999999983</v>
      </c>
      <c r="AG230" s="161"/>
      <c r="AH230" s="159">
        <f>+AH176-AH227</f>
        <v>370278.72000000009</v>
      </c>
      <c r="AI230" s="118">
        <f>IF(AH$52=0,0,AH230/AH$52)</f>
        <v>0.11235525809177992</v>
      </c>
      <c r="AJ230" s="162"/>
    </row>
    <row r="231" spans="1:36" s="115" customFormat="1" ht="6.75" customHeight="1">
      <c r="A231" s="163"/>
      <c r="B231" s="108" t="s">
        <v>195</v>
      </c>
      <c r="C231" s="108"/>
      <c r="D231" s="164"/>
      <c r="E231" s="164"/>
      <c r="F231" s="164"/>
      <c r="G231" s="164"/>
      <c r="H231" s="164"/>
      <c r="I231" s="164"/>
      <c r="J231" s="165"/>
      <c r="K231" s="164"/>
      <c r="L231" s="165"/>
      <c r="M231" s="164"/>
      <c r="N231" s="165"/>
      <c r="O231" s="164"/>
      <c r="P231" s="165"/>
      <c r="Q231" s="164"/>
      <c r="R231" s="165"/>
      <c r="S231" s="164"/>
      <c r="T231" s="165"/>
      <c r="U231" s="164"/>
      <c r="V231" s="165"/>
      <c r="W231" s="164"/>
      <c r="X231" s="165"/>
      <c r="Y231" s="164"/>
      <c r="Z231" s="165"/>
      <c r="AA231" s="164"/>
      <c r="AB231" s="165"/>
      <c r="AC231" s="164"/>
      <c r="AD231" s="165"/>
      <c r="AE231" s="164"/>
      <c r="AF231" s="165"/>
      <c r="AG231" s="164"/>
      <c r="AH231" s="165"/>
      <c r="AI231" s="166"/>
      <c r="AJ231" s="123"/>
    </row>
    <row r="232" spans="1:36" s="115" customFormat="1" ht="15">
      <c r="A232" s="163"/>
      <c r="B232" s="108" t="s">
        <v>195</v>
      </c>
      <c r="C232" s="108"/>
      <c r="E232" s="167" t="s">
        <v>293</v>
      </c>
      <c r="F232" s="168"/>
      <c r="G232" s="168"/>
      <c r="H232" s="168"/>
      <c r="I232" s="168"/>
      <c r="J232" s="169">
        <f>J230 +J168+SUMIF($D:$D,52141,J:J)+SUMIF($D:$D,52142,J:J)+SUMIF($D:$D,52143,J:J)+SUMIF($D:$D,55142,J:J)+SUMIF($D:$D,56142,J:J)+SUMIF($D:$D,70142,J:J)</f>
        <v>39025.830000000031</v>
      </c>
      <c r="K232" s="168"/>
      <c r="L232" s="169">
        <f>L230 +L168+SUMIF($D:$D,52141,L:L)+SUMIF($D:$D,52142,L:L)+SUMIF($D:$D,52143,L:L)+SUMIF($D:$D,55142,L:L)+SUMIF($D:$D,56142,L:L)+SUMIF($D:$D,70142,L:L)</f>
        <v>47546.83</v>
      </c>
      <c r="M232" s="168"/>
      <c r="N232" s="169">
        <f>N230 +N168+SUMIF($D:$D,52141,N:N)+SUMIF($D:$D,52142,N:N)+SUMIF($D:$D,52143,N:N)+SUMIF($D:$D,55142,N:N)+SUMIF($D:$D,56142,N:N)+SUMIF($D:$D,70142,N:N)</f>
        <v>35518.959999999992</v>
      </c>
      <c r="O232" s="168"/>
      <c r="P232" s="169">
        <f>P230 +P168+SUMIF($D:$D,52141,P:P)+SUMIF($D:$D,52142,P:P)+SUMIF($D:$D,52143,P:P)+SUMIF($D:$D,55142,P:P)+SUMIF($D:$D,56142,P:P)+SUMIF($D:$D,70142,P:P)</f>
        <v>44160.669999999955</v>
      </c>
      <c r="Q232" s="168"/>
      <c r="R232" s="169">
        <f>R230 +R168+SUMIF($D:$D,52141,R:R)+SUMIF($D:$D,52142,R:R)+SUMIF($D:$D,52143,R:R)+SUMIF($D:$D,55142,R:R)+SUMIF($D:$D,56142,R:R)+SUMIF($D:$D,70142,R:R)</f>
        <v>58543.929999999993</v>
      </c>
      <c r="S232" s="168"/>
      <c r="T232" s="169">
        <f>T230 +T168+SUMIF($D:$D,52141,T:T)+SUMIF($D:$D,52142,T:T)+SUMIF($D:$D,52143,T:T)+SUMIF($D:$D,55142,T:T)+SUMIF($D:$D,56142,T:T)+SUMIF($D:$D,70142,T:T)</f>
        <v>56723.589999999967</v>
      </c>
      <c r="U232" s="168"/>
      <c r="V232" s="169">
        <f>V230 +V168+SUMIF($D:$D,52141,V:V)+SUMIF($D:$D,52142,V:V)+SUMIF($D:$D,52143,V:V)+SUMIF($D:$D,55142,V:V)+SUMIF($D:$D,56142,V:V)+SUMIF($D:$D,70142,V:V)</f>
        <v>66929.109999999942</v>
      </c>
      <c r="W232" s="168"/>
      <c r="X232" s="169">
        <f>X230 +X168+SUMIF($D:$D,52141,X:X)+SUMIF($D:$D,52142,X:X)+SUMIF($D:$D,52143,X:X)+SUMIF($D:$D,55142,X:X)+SUMIF($D:$D,56142,X:X)+SUMIF($D:$D,70142,X:X)</f>
        <v>64284.979999999967</v>
      </c>
      <c r="Y232" s="168"/>
      <c r="Z232" s="169">
        <f>Z230 +Z168+SUMIF($D:$D,52141,Z:Z)+SUMIF($D:$D,52142,Z:Z)+SUMIF($D:$D,52143,Z:Z)+SUMIF($D:$D,55142,Z:Z)+SUMIF($D:$D,56142,Z:Z)+SUMIF($D:$D,70142,Z:Z)</f>
        <v>59222.419999999976</v>
      </c>
      <c r="AA232" s="168"/>
      <c r="AB232" s="169">
        <f>AB230 +AB168+SUMIF($D:$D,52141,AB:AB)+SUMIF($D:$D,52142,AB:AB)+SUMIF($D:$D,52143,AB:AB)+SUMIF($D:$D,55142,AB:AB)+SUMIF($D:$D,56142,AB:AB)+SUMIF($D:$D,70142,AB:AB)</f>
        <v>60989.939999999988</v>
      </c>
      <c r="AC232" s="168"/>
      <c r="AD232" s="169">
        <f>AD230 +AD168+SUMIF($D:$D,52141,AD:AD)+SUMIF($D:$D,52142,AD:AD)+SUMIF($D:$D,52143,AD:AD)+SUMIF($D:$D,55142,AD:AD)+SUMIF($D:$D,56142,AD:AD)+SUMIF($D:$D,70142,AD:AD)</f>
        <v>39391.789999999906</v>
      </c>
      <c r="AE232" s="168"/>
      <c r="AF232" s="169">
        <f>AF230 +AF168+SUMIF($D:$D,52141,AF:AF)+SUMIF($D:$D,52142,AF:AF)+SUMIF($D:$D,52143,AF:AF)+SUMIF($D:$D,55142,AF:AF)+SUMIF($D:$D,56142,AF:AF)+SUMIF($D:$D,70142,AF:AF)</f>
        <v>61589.669999999984</v>
      </c>
      <c r="AG232" s="168"/>
      <c r="AH232" s="169">
        <f>AH230 +AH168+SUMIF($D:$D,52141,AH:AH)+SUMIF($D:$D,52142,AH:AH)+SUMIF($D:$D,52143,AH:AH)+SUMIF($D:$D,55142,AH:AH)+SUMIF($D:$D,56142,AH:AH)+SUMIF($D:$D,70142,AH:AH)</f>
        <v>633927.72000000009</v>
      </c>
      <c r="AI232" s="118">
        <f>IF(AH$52=0,0,AH232/AH$52)</f>
        <v>0.19235540349748856</v>
      </c>
      <c r="AJ232" s="162"/>
    </row>
    <row r="233" spans="1:36" s="115" customFormat="1" ht="6.75" customHeight="1">
      <c r="A233" s="120"/>
      <c r="B233" s="108" t="s">
        <v>195</v>
      </c>
      <c r="C233" s="108"/>
      <c r="J233" s="146"/>
      <c r="K233" s="146"/>
      <c r="L233" s="146"/>
      <c r="M233" s="146"/>
      <c r="N233" s="146"/>
      <c r="O233" s="146"/>
      <c r="P233" s="146"/>
      <c r="Q233" s="146"/>
      <c r="R233" s="146"/>
      <c r="S233" s="146"/>
      <c r="T233" s="146"/>
      <c r="U233" s="146"/>
      <c r="V233" s="146"/>
      <c r="W233" s="146"/>
      <c r="X233" s="146"/>
      <c r="Y233" s="146"/>
      <c r="Z233" s="146"/>
      <c r="AA233" s="146"/>
      <c r="AB233" s="146"/>
      <c r="AC233" s="146"/>
      <c r="AD233" s="146"/>
      <c r="AE233" s="146"/>
      <c r="AF233" s="146"/>
      <c r="AG233" s="146"/>
      <c r="AH233" s="146"/>
      <c r="AI233" s="166"/>
      <c r="AJ233" s="123"/>
    </row>
    <row r="234" spans="1:36" s="1259" customFormat="1" outlineLevel="1">
      <c r="B234" s="1263" t="s">
        <v>294</v>
      </c>
      <c r="D234" s="1264">
        <v>51260</v>
      </c>
      <c r="E234" s="1264" t="s">
        <v>295</v>
      </c>
      <c r="F234" s="1265"/>
      <c r="G234" s="1261"/>
      <c r="H234" s="1266"/>
      <c r="I234" s="1267"/>
      <c r="J234" s="1268">
        <v>13124.67</v>
      </c>
      <c r="K234" s="1267"/>
      <c r="L234" s="1268">
        <v>13124.66</v>
      </c>
      <c r="M234" s="1267"/>
      <c r="N234" s="1268">
        <v>13903.52</v>
      </c>
      <c r="O234" s="1267"/>
      <c r="P234" s="1268">
        <v>13514.02</v>
      </c>
      <c r="Q234" s="1267"/>
      <c r="R234" s="1268">
        <v>13514.1</v>
      </c>
      <c r="S234" s="1267"/>
      <c r="T234" s="1268">
        <v>13514.09</v>
      </c>
      <c r="U234" s="1267"/>
      <c r="V234" s="1268">
        <v>13514.01</v>
      </c>
      <c r="W234" s="1267"/>
      <c r="X234" s="1268">
        <v>11901.89</v>
      </c>
      <c r="Y234" s="1267"/>
      <c r="Z234" s="1268">
        <v>11901.9</v>
      </c>
      <c r="AA234" s="1267"/>
      <c r="AB234" s="1268">
        <v>11901.88</v>
      </c>
      <c r="AC234" s="1267"/>
      <c r="AD234" s="1268">
        <v>13293.44</v>
      </c>
      <c r="AE234" s="1267"/>
      <c r="AF234" s="1268">
        <v>13450.27</v>
      </c>
      <c r="AG234" s="1267"/>
      <c r="AH234" s="1268">
        <f t="shared" ref="AH234:AH237" si="26">AF234+AD234+AB234+Z234+X234+V234+T234+R234+P234+N234+L234+J234</f>
        <v>156658.45000000001</v>
      </c>
      <c r="AI234" s="1269">
        <f t="shared" ref="AI234:AI237" si="27">IF(AH$52=0,0,AH234/AH$52)</f>
        <v>4.7535544527128631E-2</v>
      </c>
      <c r="AJ234" s="1270"/>
    </row>
    <row r="235" spans="1:36" s="1259" customFormat="1" outlineLevel="1">
      <c r="B235" s="1263" t="s">
        <v>203</v>
      </c>
      <c r="D235" s="1264">
        <v>54260</v>
      </c>
      <c r="E235" s="1264" t="s">
        <v>295</v>
      </c>
      <c r="F235" s="1265"/>
      <c r="G235" s="1261"/>
      <c r="H235" s="1266"/>
      <c r="I235" s="1267"/>
      <c r="J235" s="1268">
        <v>2948.92</v>
      </c>
      <c r="K235" s="1267"/>
      <c r="L235" s="1268">
        <v>2948.95</v>
      </c>
      <c r="M235" s="1267"/>
      <c r="N235" s="1268">
        <v>2948.85</v>
      </c>
      <c r="O235" s="1267"/>
      <c r="P235" s="1268">
        <v>3036.88</v>
      </c>
      <c r="Q235" s="1267"/>
      <c r="R235" s="1268">
        <v>3014</v>
      </c>
      <c r="S235" s="1267"/>
      <c r="T235" s="1268">
        <v>3014.09</v>
      </c>
      <c r="U235" s="1267"/>
      <c r="V235" s="1268">
        <v>3175.42</v>
      </c>
      <c r="W235" s="1267"/>
      <c r="X235" s="1268">
        <v>3158.55</v>
      </c>
      <c r="Y235" s="1267"/>
      <c r="Z235" s="1268">
        <v>3266.11</v>
      </c>
      <c r="AA235" s="1267"/>
      <c r="AB235" s="1268">
        <v>3176.19</v>
      </c>
      <c r="AC235" s="1267"/>
      <c r="AD235" s="1268">
        <v>3176.19</v>
      </c>
      <c r="AE235" s="1267"/>
      <c r="AF235" s="1268">
        <v>3298.17</v>
      </c>
      <c r="AG235" s="1267"/>
      <c r="AH235" s="1268">
        <f t="shared" si="26"/>
        <v>37162.32</v>
      </c>
      <c r="AI235" s="1269">
        <f t="shared" si="27"/>
        <v>1.1276321941723557E-2</v>
      </c>
      <c r="AJ235" s="1270"/>
    </row>
    <row r="236" spans="1:36" s="1259" customFormat="1" outlineLevel="1">
      <c r="B236" s="1263" t="s">
        <v>203</v>
      </c>
      <c r="D236" s="1264">
        <v>57260</v>
      </c>
      <c r="E236" s="1264" t="s">
        <v>295</v>
      </c>
      <c r="F236" s="1265"/>
      <c r="G236" s="1261"/>
      <c r="H236" s="1266"/>
      <c r="I236" s="1267"/>
      <c r="J236" s="1268">
        <v>2096.86</v>
      </c>
      <c r="K236" s="1267"/>
      <c r="L236" s="1268">
        <v>2096.89</v>
      </c>
      <c r="M236" s="1267"/>
      <c r="N236" s="1268">
        <v>2096.89</v>
      </c>
      <c r="O236" s="1267"/>
      <c r="P236" s="1268">
        <v>2096.88</v>
      </c>
      <c r="Q236" s="1267"/>
      <c r="R236" s="1268">
        <v>2096.87</v>
      </c>
      <c r="S236" s="1267"/>
      <c r="T236" s="1268">
        <v>2096.88</v>
      </c>
      <c r="U236" s="1267"/>
      <c r="V236" s="1268">
        <v>2096.86</v>
      </c>
      <c r="W236" s="1267"/>
      <c r="X236" s="1268">
        <v>2096.88</v>
      </c>
      <c r="Y236" s="1267"/>
      <c r="Z236" s="1268">
        <v>2096.9</v>
      </c>
      <c r="AA236" s="1267"/>
      <c r="AB236" s="1268">
        <v>2096.87</v>
      </c>
      <c r="AC236" s="1267"/>
      <c r="AD236" s="1268">
        <v>2096.88</v>
      </c>
      <c r="AE236" s="1267"/>
      <c r="AF236" s="1268">
        <v>2096.87</v>
      </c>
      <c r="AG236" s="1267"/>
      <c r="AH236" s="1268">
        <f t="shared" si="26"/>
        <v>25162.530000000002</v>
      </c>
      <c r="AI236" s="1269">
        <f t="shared" si="27"/>
        <v>7.6351742611407815E-3</v>
      </c>
      <c r="AJ236" s="1270"/>
    </row>
    <row r="237" spans="1:36" s="1259" customFormat="1" outlineLevel="1">
      <c r="B237" s="1263" t="s">
        <v>203</v>
      </c>
      <c r="D237" s="1264">
        <v>70260</v>
      </c>
      <c r="E237" s="1264" t="s">
        <v>295</v>
      </c>
      <c r="F237" s="1265"/>
      <c r="G237" s="1261"/>
      <c r="H237" s="1266"/>
      <c r="I237" s="1267"/>
      <c r="J237" s="1268">
        <v>673.17</v>
      </c>
      <c r="K237" s="1267"/>
      <c r="L237" s="1268">
        <v>673.16</v>
      </c>
      <c r="M237" s="1267"/>
      <c r="N237" s="1268">
        <v>688.8</v>
      </c>
      <c r="O237" s="1267"/>
      <c r="P237" s="1268">
        <v>688.8</v>
      </c>
      <c r="Q237" s="1267"/>
      <c r="R237" s="1268">
        <v>688.77</v>
      </c>
      <c r="S237" s="1267"/>
      <c r="T237" s="1268">
        <v>688.8</v>
      </c>
      <c r="U237" s="1267"/>
      <c r="V237" s="1268">
        <v>135.80000000000001</v>
      </c>
      <c r="W237" s="1267"/>
      <c r="X237" s="1268">
        <v>170.63</v>
      </c>
      <c r="Y237" s="1267"/>
      <c r="Z237" s="1268">
        <v>170.64</v>
      </c>
      <c r="AA237" s="1267"/>
      <c r="AB237" s="1268">
        <v>170.63</v>
      </c>
      <c r="AC237" s="1267"/>
      <c r="AD237" s="1268">
        <v>170.64</v>
      </c>
      <c r="AE237" s="1267"/>
      <c r="AF237" s="1268">
        <v>140.72999999999999</v>
      </c>
      <c r="AG237" s="1267"/>
      <c r="AH237" s="1268">
        <f t="shared" si="26"/>
        <v>5060.57</v>
      </c>
      <c r="AI237" s="1269">
        <f t="shared" si="27"/>
        <v>1.535550431959791E-3</v>
      </c>
      <c r="AJ237" s="1270"/>
    </row>
    <row r="238" spans="1:36" s="115" customFormat="1" ht="5.0999999999999996" customHeight="1" outlineLevel="1">
      <c r="A238" s="120"/>
      <c r="B238" s="108" t="s">
        <v>195</v>
      </c>
      <c r="C238" s="108"/>
      <c r="D238" s="114"/>
      <c r="E238" s="114"/>
      <c r="F238" s="114"/>
      <c r="G238" s="114"/>
      <c r="J238" s="147"/>
      <c r="K238" s="146"/>
      <c r="L238" s="147"/>
      <c r="M238" s="146"/>
      <c r="N238" s="147"/>
      <c r="O238" s="146"/>
      <c r="P238" s="147"/>
      <c r="Q238" s="146"/>
      <c r="R238" s="147"/>
      <c r="S238" s="146"/>
      <c r="T238" s="147"/>
      <c r="U238" s="146"/>
      <c r="V238" s="147"/>
      <c r="W238" s="146"/>
      <c r="X238" s="147"/>
      <c r="Y238" s="146"/>
      <c r="Z238" s="147"/>
      <c r="AA238" s="146"/>
      <c r="AB238" s="147"/>
      <c r="AC238" s="146"/>
      <c r="AD238" s="147"/>
      <c r="AE238" s="146"/>
      <c r="AF238" s="147"/>
      <c r="AG238" s="146"/>
      <c r="AH238" s="147"/>
      <c r="AI238" s="166"/>
      <c r="AJ238" s="123"/>
    </row>
    <row r="239" spans="1:36" s="115" customFormat="1" ht="15">
      <c r="A239" s="120"/>
      <c r="B239" s="108" t="s">
        <v>195</v>
      </c>
      <c r="C239" s="108"/>
      <c r="F239" s="114" t="s">
        <v>295</v>
      </c>
      <c r="J239" s="144">
        <f>SUM(J234:J238)</f>
        <v>18843.62</v>
      </c>
      <c r="K239" s="146"/>
      <c r="L239" s="144">
        <f>SUM(L234:L238)</f>
        <v>18843.66</v>
      </c>
      <c r="M239" s="146"/>
      <c r="N239" s="144">
        <f>SUM(N234:N238)</f>
        <v>19638.059999999998</v>
      </c>
      <c r="O239" s="170">
        <f>IF(N$46=0,0,N239/N$46)</f>
        <v>0</v>
      </c>
      <c r="P239" s="144">
        <f>SUM(P234:P238)</f>
        <v>19336.580000000002</v>
      </c>
      <c r="Q239" s="146"/>
      <c r="R239" s="144">
        <f>SUM(R234:R238)</f>
        <v>19313.739999999998</v>
      </c>
      <c r="S239" s="146"/>
      <c r="T239" s="144">
        <f>SUM(T234:T238)</f>
        <v>19313.86</v>
      </c>
      <c r="U239" s="170">
        <f>IF(T$46=0,0,T239/T$46)</f>
        <v>0</v>
      </c>
      <c r="V239" s="144">
        <f>SUM(V234:V238)</f>
        <v>18922.09</v>
      </c>
      <c r="W239" s="146"/>
      <c r="X239" s="144">
        <f>SUM(X234:X238)</f>
        <v>17327.95</v>
      </c>
      <c r="Y239" s="146"/>
      <c r="Z239" s="144">
        <f>SUM(Z234:Z238)</f>
        <v>17435.55</v>
      </c>
      <c r="AA239" s="170">
        <f>IF(Z$46=0,0,Z239/Z$46)</f>
        <v>0</v>
      </c>
      <c r="AB239" s="144">
        <f>SUM(AB234:AB238)</f>
        <v>17345.57</v>
      </c>
      <c r="AC239" s="146"/>
      <c r="AD239" s="144">
        <f>SUM(AD234:AD238)</f>
        <v>18737.150000000001</v>
      </c>
      <c r="AE239" s="146"/>
      <c r="AF239" s="144">
        <f>SUM(AF234:AF238)</f>
        <v>18986.04</v>
      </c>
      <c r="AG239" s="170">
        <f>IF(AF$46=0,0,AF239/AF$46)</f>
        <v>0</v>
      </c>
      <c r="AH239" s="144">
        <f>SUM(J239,L239,N239,P239,R239,T239,V239,X239,Z239,AB239,AD239,AF239)</f>
        <v>224043.87000000002</v>
      </c>
      <c r="AI239" s="118">
        <f>IF(AH$52=0,0,AH239/AH$52)</f>
        <v>6.7982591161952766E-2</v>
      </c>
      <c r="AJ239" s="123"/>
    </row>
    <row r="240" spans="1:36" s="115" customFormat="1" ht="15" hidden="1" outlineLevel="1">
      <c r="A240" s="120"/>
      <c r="B240" s="108" t="s">
        <v>195</v>
      </c>
      <c r="C240" s="108"/>
      <c r="F240" s="114"/>
      <c r="J240" s="146"/>
      <c r="K240" s="146"/>
      <c r="L240" s="146"/>
      <c r="M240" s="146"/>
      <c r="N240" s="146"/>
      <c r="O240" s="166"/>
      <c r="P240" s="146"/>
      <c r="Q240" s="146"/>
      <c r="R240" s="146"/>
      <c r="S240" s="146"/>
      <c r="T240" s="146"/>
      <c r="U240" s="166"/>
      <c r="V240" s="146"/>
      <c r="W240" s="146"/>
      <c r="X240" s="146"/>
      <c r="Y240" s="146"/>
      <c r="Z240" s="146"/>
      <c r="AA240" s="166"/>
      <c r="AB240" s="146"/>
      <c r="AC240" s="146"/>
      <c r="AD240" s="146"/>
      <c r="AE240" s="146"/>
      <c r="AF240" s="146"/>
      <c r="AG240" s="166"/>
      <c r="AH240" s="146"/>
      <c r="AI240" s="166"/>
      <c r="AJ240" s="123"/>
    </row>
    <row r="241" spans="1:36" s="1259" customFormat="1" hidden="1" outlineLevel="1">
      <c r="B241" s="1263" t="s">
        <v>296</v>
      </c>
      <c r="D241" s="1264"/>
      <c r="E241" s="1264"/>
      <c r="F241" s="1265"/>
      <c r="G241" s="1261"/>
      <c r="H241" s="1266"/>
      <c r="I241" s="1267"/>
      <c r="J241" s="1268"/>
      <c r="K241" s="1267"/>
      <c r="L241" s="1268"/>
      <c r="M241" s="1267"/>
      <c r="N241" s="1268"/>
      <c r="O241" s="1267"/>
      <c r="P241" s="1268"/>
      <c r="Q241" s="1267"/>
      <c r="R241" s="1268"/>
      <c r="S241" s="1267"/>
      <c r="T241" s="1268"/>
      <c r="U241" s="1267"/>
      <c r="V241" s="1268"/>
      <c r="W241" s="1267"/>
      <c r="X241" s="1268"/>
      <c r="Y241" s="1267"/>
      <c r="Z241" s="1268"/>
      <c r="AA241" s="1267"/>
      <c r="AB241" s="1268"/>
      <c r="AC241" s="1267"/>
      <c r="AD241" s="1268"/>
      <c r="AE241" s="1267"/>
      <c r="AF241" s="1268"/>
      <c r="AG241" s="1267"/>
      <c r="AH241" s="1268">
        <f>AF241+AD241+AB241+Z241+X241+V241+T241+R241+P241+N241+L241+J241</f>
        <v>0</v>
      </c>
      <c r="AI241" s="1269">
        <f>IF(AH$52=0,0,AH241/AH$52)</f>
        <v>0</v>
      </c>
      <c r="AJ241" s="1270"/>
    </row>
    <row r="242" spans="1:36" s="115" customFormat="1" ht="5.0999999999999996" hidden="1" customHeight="1" outlineLevel="1">
      <c r="A242" s="120"/>
      <c r="B242" s="108" t="s">
        <v>195</v>
      </c>
      <c r="C242" s="108"/>
      <c r="D242" s="114"/>
      <c r="E242" s="114"/>
      <c r="F242" s="114"/>
      <c r="G242" s="114"/>
      <c r="J242" s="147"/>
      <c r="K242" s="146"/>
      <c r="L242" s="147"/>
      <c r="M242" s="146"/>
      <c r="N242" s="147"/>
      <c r="O242" s="166"/>
      <c r="P242" s="147"/>
      <c r="Q242" s="146"/>
      <c r="R242" s="147"/>
      <c r="S242" s="146"/>
      <c r="T242" s="147"/>
      <c r="U242" s="166"/>
      <c r="V242" s="147"/>
      <c r="W242" s="146"/>
      <c r="X242" s="147"/>
      <c r="Y242" s="146"/>
      <c r="Z242" s="147"/>
      <c r="AA242" s="166"/>
      <c r="AB242" s="147"/>
      <c r="AC242" s="146"/>
      <c r="AD242" s="147"/>
      <c r="AE242" s="146"/>
      <c r="AF242" s="147"/>
      <c r="AG242" s="166"/>
      <c r="AH242" s="147"/>
      <c r="AI242" s="166"/>
      <c r="AJ242" s="123"/>
    </row>
    <row r="243" spans="1:36" s="115" customFormat="1" ht="15" hidden="1">
      <c r="A243" s="120"/>
      <c r="B243" s="108" t="s">
        <v>195</v>
      </c>
      <c r="C243" s="108"/>
      <c r="F243" s="113" t="s">
        <v>297</v>
      </c>
      <c r="J243" s="144">
        <f>SUM(J241:J242)</f>
        <v>0</v>
      </c>
      <c r="K243" s="146"/>
      <c r="L243" s="144">
        <f>SUM(L241:L242)</f>
        <v>0</v>
      </c>
      <c r="M243" s="146"/>
      <c r="N243" s="144">
        <f>SUM(N241:N242)</f>
        <v>0</v>
      </c>
      <c r="O243" s="170">
        <f>IF(N$46=0,0,N243/N$46)</f>
        <v>0</v>
      </c>
      <c r="P243" s="144">
        <f>SUM(P241:P242)</f>
        <v>0</v>
      </c>
      <c r="Q243" s="146"/>
      <c r="R243" s="144">
        <f>SUM(R241:R242)</f>
        <v>0</v>
      </c>
      <c r="S243" s="146"/>
      <c r="T243" s="144">
        <f>SUM(T241:T242)</f>
        <v>0</v>
      </c>
      <c r="U243" s="170">
        <f>IF(T$46=0,0,T243/T$46)</f>
        <v>0</v>
      </c>
      <c r="V243" s="144">
        <f>SUM(V241:V242)</f>
        <v>0</v>
      </c>
      <c r="W243" s="146"/>
      <c r="X243" s="144">
        <f>SUM(X241:X242)</f>
        <v>0</v>
      </c>
      <c r="Y243" s="146"/>
      <c r="Z243" s="144">
        <f>SUM(Z241:Z242)</f>
        <v>0</v>
      </c>
      <c r="AA243" s="170">
        <f>IF(Z$46=0,0,Z243/Z$46)</f>
        <v>0</v>
      </c>
      <c r="AB243" s="144">
        <f>SUM(AB241:AB242)</f>
        <v>0</v>
      </c>
      <c r="AC243" s="146"/>
      <c r="AD243" s="144">
        <f>SUM(AD241:AD242)</f>
        <v>0</v>
      </c>
      <c r="AE243" s="146"/>
      <c r="AF243" s="144">
        <f>SUM(AF241:AF242)</f>
        <v>0</v>
      </c>
      <c r="AG243" s="170">
        <f>IF(AF$46=0,0,AF243/AF$46)</f>
        <v>0</v>
      </c>
      <c r="AH243" s="144">
        <f>SUM(J243,L243,N243)</f>
        <v>0</v>
      </c>
      <c r="AI243" s="118">
        <f>IF(AH$52=0,0,AH243/AH$52)</f>
        <v>0</v>
      </c>
      <c r="AJ243" s="123"/>
    </row>
    <row r="244" spans="1:36" s="115" customFormat="1" ht="15" hidden="1" outlineLevel="1">
      <c r="A244" s="120"/>
      <c r="B244" s="108" t="s">
        <v>195</v>
      </c>
      <c r="C244" s="108"/>
      <c r="J244" s="146"/>
      <c r="K244" s="146"/>
      <c r="L244" s="146"/>
      <c r="M244" s="146"/>
      <c r="N244" s="146"/>
      <c r="O244" s="166"/>
      <c r="P244" s="146"/>
      <c r="Q244" s="146"/>
      <c r="R244" s="146"/>
      <c r="S244" s="146"/>
      <c r="T244" s="146"/>
      <c r="U244" s="166"/>
      <c r="V244" s="146"/>
      <c r="W244" s="146"/>
      <c r="X244" s="146"/>
      <c r="Y244" s="146"/>
      <c r="Z244" s="146"/>
      <c r="AA244" s="166"/>
      <c r="AB244" s="146"/>
      <c r="AC244" s="146"/>
      <c r="AD244" s="146"/>
      <c r="AE244" s="146"/>
      <c r="AF244" s="146"/>
      <c r="AG244" s="166"/>
      <c r="AH244" s="146"/>
      <c r="AI244" s="166"/>
      <c r="AJ244" s="123"/>
    </row>
    <row r="245" spans="1:36" s="1259" customFormat="1" outlineLevel="1">
      <c r="B245" s="1263" t="s">
        <v>298</v>
      </c>
      <c r="D245" s="1264">
        <v>70269</v>
      </c>
      <c r="E245" s="1264" t="s">
        <v>299</v>
      </c>
      <c r="F245" s="1265"/>
      <c r="G245" s="1261"/>
      <c r="H245" s="1266"/>
      <c r="I245" s="1267"/>
      <c r="J245" s="1268">
        <v>651.71</v>
      </c>
      <c r="K245" s="1267"/>
      <c r="L245" s="1268">
        <v>651.71</v>
      </c>
      <c r="M245" s="1267"/>
      <c r="N245" s="1268">
        <v>651.71</v>
      </c>
      <c r="O245" s="1267"/>
      <c r="P245" s="1268">
        <v>651.71</v>
      </c>
      <c r="Q245" s="1267"/>
      <c r="R245" s="1268">
        <v>651.70000000000005</v>
      </c>
      <c r="S245" s="1267"/>
      <c r="T245" s="1268">
        <v>651.72</v>
      </c>
      <c r="U245" s="1267"/>
      <c r="V245" s="1268">
        <v>651.71</v>
      </c>
      <c r="W245" s="1267"/>
      <c r="X245" s="1268">
        <v>651.70000000000005</v>
      </c>
      <c r="Y245" s="1267"/>
      <c r="Z245" s="1268">
        <v>638.87</v>
      </c>
      <c r="AA245" s="1267"/>
      <c r="AB245" s="1268">
        <v>638.88</v>
      </c>
      <c r="AC245" s="1267"/>
      <c r="AD245" s="1268">
        <v>638.88</v>
      </c>
      <c r="AE245" s="1267"/>
      <c r="AF245" s="1268">
        <v>638.87</v>
      </c>
      <c r="AG245" s="1267"/>
      <c r="AH245" s="1268">
        <f>AF245+AD245+AB245+Z245+X245+V245+T245+R245+P245+N245+L245+J245</f>
        <v>7769.17</v>
      </c>
      <c r="AI245" s="1269">
        <f>IF(AH$52=0,0,AH245/AH$52)</f>
        <v>2.3574325321987543E-3</v>
      </c>
      <c r="AJ245" s="1270"/>
    </row>
    <row r="246" spans="1:36" s="115" customFormat="1" ht="5.0999999999999996" customHeight="1" outlineLevel="1">
      <c r="A246" s="120"/>
      <c r="B246" s="142" t="s">
        <v>195</v>
      </c>
      <c r="C246" s="142"/>
      <c r="D246" s="114"/>
      <c r="E246" s="114"/>
      <c r="F246" s="114"/>
      <c r="G246" s="114"/>
      <c r="J246" s="147"/>
      <c r="K246" s="146"/>
      <c r="L246" s="147"/>
      <c r="M246" s="146"/>
      <c r="N246" s="147"/>
      <c r="O246" s="166"/>
      <c r="P246" s="147"/>
      <c r="Q246" s="146"/>
      <c r="R246" s="147"/>
      <c r="S246" s="146"/>
      <c r="T246" s="147"/>
      <c r="U246" s="166"/>
      <c r="V246" s="147"/>
      <c r="W246" s="146"/>
      <c r="X246" s="147"/>
      <c r="Y246" s="146"/>
      <c r="Z246" s="147"/>
      <c r="AA246" s="166"/>
      <c r="AB246" s="147"/>
      <c r="AC246" s="146"/>
      <c r="AD246" s="147"/>
      <c r="AE246" s="146"/>
      <c r="AF246" s="147"/>
      <c r="AG246" s="166"/>
      <c r="AH246" s="147"/>
      <c r="AI246" s="166"/>
      <c r="AJ246" s="123"/>
    </row>
    <row r="247" spans="1:36" s="115" customFormat="1" ht="15">
      <c r="A247" s="120"/>
      <c r="B247" s="142" t="s">
        <v>195</v>
      </c>
      <c r="C247" s="142"/>
      <c r="F247" s="114" t="s">
        <v>300</v>
      </c>
      <c r="J247" s="144">
        <f>SUM(J245:J246)</f>
        <v>651.71</v>
      </c>
      <c r="K247" s="146"/>
      <c r="L247" s="144">
        <f>SUM(L245:L246)</f>
        <v>651.71</v>
      </c>
      <c r="M247" s="146"/>
      <c r="N247" s="144">
        <f>SUM(N245:N246)</f>
        <v>651.71</v>
      </c>
      <c r="O247" s="170">
        <f>IF(N$46=0,0,N247/N$46)</f>
        <v>0</v>
      </c>
      <c r="P247" s="144">
        <f>SUM(P245:P246)</f>
        <v>651.71</v>
      </c>
      <c r="Q247" s="146"/>
      <c r="R247" s="144">
        <f>SUM(R245:R246)</f>
        <v>651.70000000000005</v>
      </c>
      <c r="S247" s="146"/>
      <c r="T247" s="144">
        <f>SUM(T245:T246)</f>
        <v>651.72</v>
      </c>
      <c r="U247" s="170">
        <f>IF(T$46=0,0,T247/T$46)</f>
        <v>0</v>
      </c>
      <c r="V247" s="144">
        <f>SUM(V245:V246)</f>
        <v>651.71</v>
      </c>
      <c r="W247" s="146"/>
      <c r="X247" s="144">
        <f>SUM(X245:X246)</f>
        <v>651.70000000000005</v>
      </c>
      <c r="Y247" s="146"/>
      <c r="Z247" s="144">
        <f>SUM(Z245:Z246)</f>
        <v>638.87</v>
      </c>
      <c r="AA247" s="170">
        <f>IF(Z$46=0,0,Z247/Z$46)</f>
        <v>0</v>
      </c>
      <c r="AB247" s="144">
        <f>SUM(AB245:AB246)</f>
        <v>638.88</v>
      </c>
      <c r="AC247" s="146"/>
      <c r="AD247" s="144">
        <f>SUM(AD245:AD246)</f>
        <v>638.88</v>
      </c>
      <c r="AE247" s="146"/>
      <c r="AF247" s="144">
        <f>SUM(AF245:AF246)</f>
        <v>638.87</v>
      </c>
      <c r="AG247" s="170">
        <f>IF(AF$46=0,0,AF247/AF$46)</f>
        <v>0</v>
      </c>
      <c r="AH247" s="144">
        <f>SUM(J247,L247,N247,P247,R247,T247,V247,X247,Z247,AB247,AD247,AF247)</f>
        <v>7769.17</v>
      </c>
      <c r="AI247" s="118">
        <f>IF(AH$52=0,0,AH247/AH$52)</f>
        <v>2.3574325321987543E-3</v>
      </c>
      <c r="AJ247" s="123"/>
    </row>
    <row r="248" spans="1:36" s="115" customFormat="1" ht="6.75" customHeight="1">
      <c r="A248" s="120"/>
      <c r="B248" s="142" t="s">
        <v>195</v>
      </c>
      <c r="C248" s="142"/>
      <c r="J248" s="146"/>
      <c r="K248" s="146"/>
      <c r="L248" s="146"/>
      <c r="M248" s="146"/>
      <c r="N248" s="146"/>
      <c r="O248" s="166"/>
      <c r="P248" s="146"/>
      <c r="Q248" s="146"/>
      <c r="R248" s="146"/>
      <c r="S248" s="146"/>
      <c r="T248" s="146"/>
      <c r="U248" s="166"/>
      <c r="V248" s="146"/>
      <c r="W248" s="146"/>
      <c r="X248" s="146"/>
      <c r="Y248" s="146"/>
      <c r="Z248" s="146"/>
      <c r="AA248" s="166"/>
      <c r="AB248" s="146"/>
      <c r="AC248" s="146"/>
      <c r="AD248" s="146"/>
      <c r="AE248" s="146"/>
      <c r="AF248" s="146"/>
      <c r="AG248" s="166"/>
      <c r="AH248" s="146"/>
      <c r="AI248" s="166"/>
      <c r="AJ248" s="123"/>
    </row>
    <row r="249" spans="1:36" s="115" customFormat="1" ht="15">
      <c r="A249" s="120"/>
      <c r="B249" s="142" t="s">
        <v>195</v>
      </c>
      <c r="C249" s="142"/>
      <c r="E249" s="149" t="s">
        <v>301</v>
      </c>
      <c r="J249" s="150">
        <f>+J239+J243+J247</f>
        <v>19495.329999999998</v>
      </c>
      <c r="K249" s="146"/>
      <c r="L249" s="150">
        <f>+L239+L243+L247</f>
        <v>19495.37</v>
      </c>
      <c r="M249" s="146"/>
      <c r="N249" s="150">
        <f>+N239+N243+N247</f>
        <v>20289.769999999997</v>
      </c>
      <c r="O249" s="170">
        <f>IF(N$46=0,0,N249/N$46)</f>
        <v>0</v>
      </c>
      <c r="P249" s="150">
        <f>+P239+P243+P247</f>
        <v>19988.29</v>
      </c>
      <c r="Q249" s="146"/>
      <c r="R249" s="150">
        <f>+R239+R243+R247</f>
        <v>19965.439999999999</v>
      </c>
      <c r="S249" s="146"/>
      <c r="T249" s="150">
        <f>+T239+T243+T247</f>
        <v>19965.580000000002</v>
      </c>
      <c r="U249" s="170">
        <f>IF(T$46=0,0,T249/T$46)</f>
        <v>0</v>
      </c>
      <c r="V249" s="150">
        <f>+V239+V243+V247</f>
        <v>19573.8</v>
      </c>
      <c r="W249" s="146"/>
      <c r="X249" s="150">
        <f>+X239+X243+X247</f>
        <v>17979.650000000001</v>
      </c>
      <c r="Y249" s="146"/>
      <c r="Z249" s="150">
        <f>+Z239+Z243+Z247</f>
        <v>18074.419999999998</v>
      </c>
      <c r="AA249" s="170">
        <f>IF(Z$46=0,0,Z249/Z$46)</f>
        <v>0</v>
      </c>
      <c r="AB249" s="150">
        <f>+AB239+AB243+AB247</f>
        <v>17984.45</v>
      </c>
      <c r="AC249" s="146"/>
      <c r="AD249" s="150">
        <f>+AD239+AD243+AD247</f>
        <v>19376.030000000002</v>
      </c>
      <c r="AE249" s="146"/>
      <c r="AF249" s="150">
        <f>+AF239+AF243+AF247</f>
        <v>19624.91</v>
      </c>
      <c r="AG249" s="170">
        <f>IF(AF$46=0,0,AF249/AF$46)</f>
        <v>0</v>
      </c>
      <c r="AH249" s="150">
        <f>+AH239+AH243+AH247</f>
        <v>231813.04000000004</v>
      </c>
      <c r="AI249" s="118">
        <f>IF(AH$52=0,0,AH249/AH$52)</f>
        <v>7.0340023694151529E-2</v>
      </c>
      <c r="AJ249" s="123"/>
    </row>
    <row r="250" spans="1:36" s="115" customFormat="1" ht="6.75" customHeight="1">
      <c r="A250" s="120"/>
      <c r="B250" s="142" t="s">
        <v>195</v>
      </c>
      <c r="C250" s="142"/>
      <c r="J250" s="146"/>
      <c r="K250" s="146"/>
      <c r="L250" s="146"/>
      <c r="M250" s="146"/>
      <c r="N250" s="146"/>
      <c r="O250" s="166"/>
      <c r="P250" s="146"/>
      <c r="Q250" s="146"/>
      <c r="R250" s="146"/>
      <c r="S250" s="146"/>
      <c r="T250" s="146"/>
      <c r="U250" s="166"/>
      <c r="V250" s="146"/>
      <c r="W250" s="146"/>
      <c r="X250" s="146"/>
      <c r="Y250" s="146"/>
      <c r="Z250" s="146"/>
      <c r="AA250" s="166"/>
      <c r="AB250" s="146"/>
      <c r="AC250" s="146"/>
      <c r="AD250" s="146"/>
      <c r="AE250" s="146"/>
      <c r="AF250" s="146"/>
      <c r="AG250" s="166"/>
      <c r="AH250" s="146"/>
      <c r="AI250" s="166"/>
      <c r="AJ250" s="123"/>
    </row>
    <row r="251" spans="1:36" s="115" customFormat="1" ht="15">
      <c r="A251" s="120"/>
      <c r="B251" s="142" t="s">
        <v>195</v>
      </c>
      <c r="C251" s="142"/>
      <c r="E251" s="152" t="s">
        <v>302</v>
      </c>
      <c r="J251" s="150">
        <f>+J230-J249</f>
        <v>3976.5400000000336</v>
      </c>
      <c r="K251" s="146"/>
      <c r="L251" s="150">
        <f>+L230-L249</f>
        <v>10349.240000000005</v>
      </c>
      <c r="M251" s="146"/>
      <c r="N251" s="150">
        <f>+N230-N249</f>
        <v>-34650.830000000009</v>
      </c>
      <c r="O251" s="170">
        <f>IF(N$46=0,0,N251/N$46)</f>
        <v>0</v>
      </c>
      <c r="P251" s="150">
        <f>+P230-P249</f>
        <v>6057.6899999999514</v>
      </c>
      <c r="Q251" s="146"/>
      <c r="R251" s="150">
        <f>+R230-R249</f>
        <v>24768.95</v>
      </c>
      <c r="S251" s="146"/>
      <c r="T251" s="150">
        <f>+T230-T249</f>
        <v>-3588.1500000000306</v>
      </c>
      <c r="U251" s="170">
        <f>IF(T$46=0,0,T251/T$46)</f>
        <v>0</v>
      </c>
      <c r="V251" s="150">
        <f>+V230-V249</f>
        <v>35638.999999999942</v>
      </c>
      <c r="W251" s="146"/>
      <c r="X251" s="150">
        <f>+X230-X249</f>
        <v>23011.509999999966</v>
      </c>
      <c r="Y251" s="146"/>
      <c r="Z251" s="150">
        <f>+Z230-Z249</f>
        <v>23802.529999999977</v>
      </c>
      <c r="AA251" s="170">
        <f>IF(Z$46=0,0,Z251/Z$46)</f>
        <v>0</v>
      </c>
      <c r="AB251" s="150">
        <f>+AB230-AB249</f>
        <v>25035.48999999998</v>
      </c>
      <c r="AC251" s="146"/>
      <c r="AD251" s="150">
        <f>+AD230-AD249</f>
        <v>-435.08000000009997</v>
      </c>
      <c r="AE251" s="146"/>
      <c r="AF251" s="150">
        <f>+AF230-AF249</f>
        <v>24498.789999999983</v>
      </c>
      <c r="AG251" s="170">
        <f>IF(AF$46=0,0,AF251/AF$46)</f>
        <v>0</v>
      </c>
      <c r="AH251" s="150">
        <f>+AH230-AH249</f>
        <v>138465.68000000005</v>
      </c>
      <c r="AI251" s="118">
        <f>IF(AH$52=0,0,AH251/AH$52)</f>
        <v>4.2015234397628387E-2</v>
      </c>
      <c r="AJ251" s="123"/>
    </row>
    <row r="252" spans="1:36" s="115" customFormat="1" ht="6.75" customHeight="1">
      <c r="A252" s="120"/>
      <c r="B252" s="142" t="s">
        <v>195</v>
      </c>
      <c r="C252" s="142"/>
      <c r="J252" s="146"/>
      <c r="K252" s="146"/>
      <c r="L252" s="146"/>
      <c r="M252" s="146"/>
      <c r="N252" s="146"/>
      <c r="O252" s="166"/>
      <c r="P252" s="146"/>
      <c r="Q252" s="146"/>
      <c r="R252" s="146"/>
      <c r="S252" s="146"/>
      <c r="T252" s="146"/>
      <c r="U252" s="166"/>
      <c r="V252" s="146"/>
      <c r="W252" s="146"/>
      <c r="X252" s="146"/>
      <c r="Y252" s="146"/>
      <c r="Z252" s="146"/>
      <c r="AA252" s="166"/>
      <c r="AB252" s="146"/>
      <c r="AC252" s="146"/>
      <c r="AD252" s="146"/>
      <c r="AE252" s="146"/>
      <c r="AF252" s="146"/>
      <c r="AG252" s="166"/>
      <c r="AH252" s="146"/>
      <c r="AI252" s="166"/>
      <c r="AJ252" s="123"/>
    </row>
    <row r="253" spans="1:36" s="1259" customFormat="1" hidden="1" outlineLevel="1">
      <c r="B253" s="1263" t="s">
        <v>303</v>
      </c>
      <c r="D253" s="1264"/>
      <c r="E253" s="1264"/>
      <c r="F253" s="1265"/>
      <c r="G253" s="1261"/>
      <c r="H253" s="1266"/>
      <c r="I253" s="1267"/>
      <c r="J253" s="1268"/>
      <c r="K253" s="1267"/>
      <c r="L253" s="1268"/>
      <c r="M253" s="1267"/>
      <c r="N253" s="1268"/>
      <c r="O253" s="1267"/>
      <c r="P253" s="1268"/>
      <c r="Q253" s="1267"/>
      <c r="R253" s="1268"/>
      <c r="S253" s="1267"/>
      <c r="T253" s="1268"/>
      <c r="U253" s="1267"/>
      <c r="V253" s="1268"/>
      <c r="W253" s="1267"/>
      <c r="X253" s="1268"/>
      <c r="Y253" s="1267"/>
      <c r="Z253" s="1268"/>
      <c r="AA253" s="1267"/>
      <c r="AB253" s="1268"/>
      <c r="AC253" s="1267"/>
      <c r="AD253" s="1268"/>
      <c r="AE253" s="1267"/>
      <c r="AF253" s="1268"/>
      <c r="AG253" s="1267"/>
      <c r="AH253" s="1268">
        <f>AF253+AD253+AB253+Z253+X253+V253+T253+R253+P253+N253+L253+J253</f>
        <v>0</v>
      </c>
      <c r="AI253" s="1269">
        <f>IF(AH$52=0,0,AH253/AH$52)</f>
        <v>0</v>
      </c>
      <c r="AJ253" s="1270"/>
    </row>
    <row r="254" spans="1:36" s="115" customFormat="1" ht="5.0999999999999996" hidden="1" customHeight="1" outlineLevel="1">
      <c r="A254" s="120"/>
      <c r="B254" s="142" t="s">
        <v>195</v>
      </c>
      <c r="C254" s="142"/>
      <c r="D254" s="114"/>
      <c r="E254" s="114"/>
      <c r="F254" s="114"/>
      <c r="G254" s="114"/>
      <c r="J254" s="147"/>
      <c r="K254" s="146"/>
      <c r="L254" s="147"/>
      <c r="M254" s="146"/>
      <c r="N254" s="147"/>
      <c r="O254" s="166"/>
      <c r="P254" s="147"/>
      <c r="Q254" s="146"/>
      <c r="R254" s="147"/>
      <c r="S254" s="146"/>
      <c r="T254" s="147"/>
      <c r="U254" s="166"/>
      <c r="V254" s="147"/>
      <c r="W254" s="146"/>
      <c r="X254" s="147"/>
      <c r="Y254" s="146"/>
      <c r="Z254" s="147"/>
      <c r="AA254" s="166"/>
      <c r="AB254" s="147"/>
      <c r="AC254" s="146"/>
      <c r="AD254" s="147"/>
      <c r="AE254" s="146"/>
      <c r="AF254" s="147"/>
      <c r="AG254" s="166"/>
      <c r="AH254" s="147"/>
      <c r="AI254" s="166"/>
      <c r="AJ254" s="123"/>
    </row>
    <row r="255" spans="1:36" s="115" customFormat="1" ht="15" hidden="1">
      <c r="A255" s="120"/>
      <c r="B255" s="142" t="s">
        <v>195</v>
      </c>
      <c r="C255" s="142"/>
      <c r="F255" s="114" t="s">
        <v>304</v>
      </c>
      <c r="J255" s="144">
        <f>SUM(J253:J254)</f>
        <v>0</v>
      </c>
      <c r="K255" s="146"/>
      <c r="L255" s="144">
        <f>SUM(L253:L254)</f>
        <v>0</v>
      </c>
      <c r="M255" s="146"/>
      <c r="N255" s="144">
        <f>SUM(N253:N254)</f>
        <v>0</v>
      </c>
      <c r="O255" s="170">
        <f>IF(N$46=0,0,N255/N$46)</f>
        <v>0</v>
      </c>
      <c r="P255" s="144">
        <f>SUM(P253:P254)</f>
        <v>0</v>
      </c>
      <c r="Q255" s="146"/>
      <c r="R255" s="144">
        <f>SUM(R253:R254)</f>
        <v>0</v>
      </c>
      <c r="S255" s="146"/>
      <c r="T255" s="144">
        <f>SUM(T253:T254)</f>
        <v>0</v>
      </c>
      <c r="U255" s="170">
        <f>IF(T$46=0,0,T255/T$46)</f>
        <v>0</v>
      </c>
      <c r="V255" s="144">
        <f>SUM(V253:V254)</f>
        <v>0</v>
      </c>
      <c r="W255" s="146"/>
      <c r="X255" s="144">
        <f>SUM(X253:X254)</f>
        <v>0</v>
      </c>
      <c r="Y255" s="146"/>
      <c r="Z255" s="144">
        <f>SUM(Z253:Z254)</f>
        <v>0</v>
      </c>
      <c r="AA255" s="170">
        <f>IF(Z$46=0,0,Z255/Z$46)</f>
        <v>0</v>
      </c>
      <c r="AB255" s="144">
        <f>SUM(AB253:AB254)</f>
        <v>0</v>
      </c>
      <c r="AC255" s="146"/>
      <c r="AD255" s="144">
        <f>SUM(AD253:AD254)</f>
        <v>0</v>
      </c>
      <c r="AE255" s="146"/>
      <c r="AF255" s="144">
        <f>SUM(AF253:AF254)</f>
        <v>0</v>
      </c>
      <c r="AG255" s="170">
        <f>IF(AF$46=0,0,AF255/AF$46)</f>
        <v>0</v>
      </c>
      <c r="AH255" s="144">
        <f>SUM(AH253:AH254)</f>
        <v>0</v>
      </c>
      <c r="AI255" s="118">
        <f>IF(AH$52=0,0,AH255/AH$52)</f>
        <v>0</v>
      </c>
      <c r="AJ255" s="123"/>
    </row>
    <row r="256" spans="1:36" s="115" customFormat="1" ht="15" hidden="1" outlineLevel="1">
      <c r="A256" s="120"/>
      <c r="B256" s="142" t="s">
        <v>195</v>
      </c>
      <c r="C256" s="142"/>
      <c r="J256" s="146"/>
      <c r="K256" s="146"/>
      <c r="L256" s="146"/>
      <c r="M256" s="146"/>
      <c r="N256" s="146"/>
      <c r="O256" s="166"/>
      <c r="P256" s="146"/>
      <c r="Q256" s="146"/>
      <c r="R256" s="146"/>
      <c r="S256" s="146"/>
      <c r="T256" s="146"/>
      <c r="U256" s="166"/>
      <c r="V256" s="146"/>
      <c r="W256" s="146"/>
      <c r="X256" s="146"/>
      <c r="Y256" s="146"/>
      <c r="Z256" s="146"/>
      <c r="AA256" s="166"/>
      <c r="AB256" s="146"/>
      <c r="AC256" s="146"/>
      <c r="AD256" s="146"/>
      <c r="AE256" s="146"/>
      <c r="AF256" s="146"/>
      <c r="AG256" s="166"/>
      <c r="AH256" s="146"/>
      <c r="AI256" s="166"/>
      <c r="AJ256" s="123"/>
    </row>
    <row r="257" spans="1:36" s="1259" customFormat="1" hidden="1" outlineLevel="1">
      <c r="B257" s="1263" t="s">
        <v>305</v>
      </c>
      <c r="D257" s="1264"/>
      <c r="E257" s="1264"/>
      <c r="F257" s="1265"/>
      <c r="G257" s="1261"/>
      <c r="H257" s="1266"/>
      <c r="I257" s="1267"/>
      <c r="J257" s="1268"/>
      <c r="K257" s="1267"/>
      <c r="L257" s="1268"/>
      <c r="M257" s="1267"/>
      <c r="N257" s="1268"/>
      <c r="O257" s="1267"/>
      <c r="P257" s="1268"/>
      <c r="Q257" s="1267"/>
      <c r="R257" s="1268"/>
      <c r="S257" s="1267"/>
      <c r="T257" s="1268"/>
      <c r="U257" s="1267"/>
      <c r="V257" s="1268"/>
      <c r="W257" s="1267"/>
      <c r="X257" s="1268"/>
      <c r="Y257" s="1267"/>
      <c r="Z257" s="1268"/>
      <c r="AA257" s="1267"/>
      <c r="AB257" s="1268"/>
      <c r="AC257" s="1267"/>
      <c r="AD257" s="1268"/>
      <c r="AE257" s="1267"/>
      <c r="AF257" s="1268"/>
      <c r="AG257" s="1267"/>
      <c r="AH257" s="1268">
        <f>AF257+AD257+AB257+Z257+X257+V257+T257+R257+P257+N257+L257+J257</f>
        <v>0</v>
      </c>
      <c r="AI257" s="1269">
        <f>IF(AH$52=0,0,AH257/AH$52)</f>
        <v>0</v>
      </c>
      <c r="AJ257" s="1270"/>
    </row>
    <row r="258" spans="1:36" s="115" customFormat="1" ht="5.0999999999999996" hidden="1" customHeight="1" outlineLevel="1">
      <c r="A258" s="120"/>
      <c r="B258" s="142" t="s">
        <v>195</v>
      </c>
      <c r="C258" s="142"/>
      <c r="D258" s="114"/>
      <c r="E258" s="114"/>
      <c r="F258" s="114"/>
      <c r="G258" s="114"/>
      <c r="J258" s="147"/>
      <c r="K258" s="146"/>
      <c r="L258" s="147"/>
      <c r="M258" s="146"/>
      <c r="N258" s="147"/>
      <c r="O258" s="166"/>
      <c r="P258" s="147"/>
      <c r="Q258" s="146"/>
      <c r="R258" s="147"/>
      <c r="S258" s="146"/>
      <c r="T258" s="147"/>
      <c r="U258" s="166"/>
      <c r="V258" s="147"/>
      <c r="W258" s="146"/>
      <c r="X258" s="147"/>
      <c r="Y258" s="146"/>
      <c r="Z258" s="147"/>
      <c r="AA258" s="166"/>
      <c r="AB258" s="147"/>
      <c r="AC258" s="146"/>
      <c r="AD258" s="147"/>
      <c r="AE258" s="146"/>
      <c r="AF258" s="147"/>
      <c r="AG258" s="166"/>
      <c r="AH258" s="147"/>
      <c r="AI258" s="166"/>
      <c r="AJ258" s="123"/>
    </row>
    <row r="259" spans="1:36" s="115" customFormat="1" ht="15" hidden="1">
      <c r="A259" s="120"/>
      <c r="B259" s="142" t="s">
        <v>195</v>
      </c>
      <c r="C259" s="142"/>
      <c r="F259" s="113" t="s">
        <v>306</v>
      </c>
      <c r="J259" s="144">
        <f>SUM(J257:J258)</f>
        <v>0</v>
      </c>
      <c r="K259" s="146"/>
      <c r="L259" s="144">
        <f>SUM(L257:L258)</f>
        <v>0</v>
      </c>
      <c r="M259" s="146"/>
      <c r="N259" s="144">
        <f>SUM(N257:N258)</f>
        <v>0</v>
      </c>
      <c r="O259" s="170">
        <f>IF(N$46=0,0,N259/N$46)</f>
        <v>0</v>
      </c>
      <c r="P259" s="144">
        <f>SUM(P257:P258)</f>
        <v>0</v>
      </c>
      <c r="Q259" s="146"/>
      <c r="R259" s="144">
        <f>SUM(R257:R258)</f>
        <v>0</v>
      </c>
      <c r="S259" s="146"/>
      <c r="T259" s="144">
        <f>SUM(T257:T258)</f>
        <v>0</v>
      </c>
      <c r="U259" s="170">
        <f>IF(T$46=0,0,T259/T$46)</f>
        <v>0</v>
      </c>
      <c r="V259" s="144">
        <f>SUM(V257:V258)</f>
        <v>0</v>
      </c>
      <c r="W259" s="146"/>
      <c r="X259" s="144">
        <f>SUM(X257:X258)</f>
        <v>0</v>
      </c>
      <c r="Y259" s="146"/>
      <c r="Z259" s="144">
        <f>SUM(Z257:Z258)</f>
        <v>0</v>
      </c>
      <c r="AA259" s="170">
        <f>IF(Z$46=0,0,Z259/Z$46)</f>
        <v>0</v>
      </c>
      <c r="AB259" s="144">
        <f>SUM(AB257:AB258)</f>
        <v>0</v>
      </c>
      <c r="AC259" s="146"/>
      <c r="AD259" s="144">
        <f>SUM(AD257:AD258)</f>
        <v>0</v>
      </c>
      <c r="AE259" s="146"/>
      <c r="AF259" s="144">
        <f>SUM(AF257:AF258)</f>
        <v>0</v>
      </c>
      <c r="AG259" s="170">
        <f>IF(AF$46=0,0,AF259/AF$46)</f>
        <v>0</v>
      </c>
      <c r="AH259" s="144">
        <f>SUM(AH257:AH258)</f>
        <v>0</v>
      </c>
      <c r="AI259" s="118">
        <f>IF(AH$52=0,0,AH259/AH$52)</f>
        <v>0</v>
      </c>
      <c r="AJ259" s="123"/>
    </row>
    <row r="260" spans="1:36" s="115" customFormat="1" ht="15" hidden="1" outlineLevel="1">
      <c r="A260" s="120"/>
      <c r="B260" s="142" t="s">
        <v>195</v>
      </c>
      <c r="C260" s="142"/>
      <c r="J260" s="146"/>
      <c r="K260" s="146"/>
      <c r="L260" s="146"/>
      <c r="M260" s="146"/>
      <c r="N260" s="146"/>
      <c r="O260" s="166"/>
      <c r="P260" s="146"/>
      <c r="Q260" s="146"/>
      <c r="R260" s="146"/>
      <c r="S260" s="146"/>
      <c r="T260" s="146"/>
      <c r="U260" s="166"/>
      <c r="V260" s="146"/>
      <c r="W260" s="146"/>
      <c r="X260" s="146"/>
      <c r="Y260" s="146"/>
      <c r="Z260" s="146"/>
      <c r="AA260" s="166"/>
      <c r="AB260" s="146"/>
      <c r="AC260" s="146"/>
      <c r="AD260" s="146"/>
      <c r="AE260" s="146"/>
      <c r="AF260" s="146"/>
      <c r="AG260" s="166"/>
      <c r="AH260" s="146"/>
      <c r="AI260" s="166"/>
      <c r="AJ260" s="123"/>
    </row>
    <row r="261" spans="1:36" s="1259" customFormat="1" hidden="1" outlineLevel="1">
      <c r="B261" s="1263" t="s">
        <v>307</v>
      </c>
      <c r="D261" s="1264"/>
      <c r="E261" s="1264"/>
      <c r="F261" s="1265"/>
      <c r="G261" s="1261"/>
      <c r="H261" s="1266"/>
      <c r="I261" s="1267"/>
      <c r="J261" s="1268"/>
      <c r="K261" s="1267"/>
      <c r="L261" s="1268"/>
      <c r="M261" s="1267"/>
      <c r="N261" s="1268"/>
      <c r="O261" s="1267"/>
      <c r="P261" s="1268"/>
      <c r="Q261" s="1267"/>
      <c r="R261" s="1268"/>
      <c r="S261" s="1267"/>
      <c r="T261" s="1268"/>
      <c r="U261" s="1267"/>
      <c r="V261" s="1268"/>
      <c r="W261" s="1267"/>
      <c r="X261" s="1268"/>
      <c r="Y261" s="1267"/>
      <c r="Z261" s="1268"/>
      <c r="AA261" s="1267"/>
      <c r="AB261" s="1268"/>
      <c r="AC261" s="1267"/>
      <c r="AD261" s="1268"/>
      <c r="AE261" s="1267"/>
      <c r="AF261" s="1268"/>
      <c r="AG261" s="1267"/>
      <c r="AH261" s="1268">
        <f>AF261+AD261+AB261+Z261+X261+V261+T261+R261+P261+N261+L261+J261</f>
        <v>0</v>
      </c>
      <c r="AI261" s="1269">
        <f>IF(AH$52=0,0,AH261/AH$52)</f>
        <v>0</v>
      </c>
      <c r="AJ261" s="1270"/>
    </row>
    <row r="262" spans="1:36" s="115" customFormat="1" ht="4.5" hidden="1" customHeight="1" outlineLevel="1">
      <c r="A262" s="120"/>
      <c r="B262" s="142" t="s">
        <v>195</v>
      </c>
      <c r="C262" s="142"/>
      <c r="D262" s="114"/>
      <c r="E262" s="114"/>
      <c r="F262" s="114"/>
      <c r="G262" s="114"/>
      <c r="J262" s="147"/>
      <c r="K262" s="146"/>
      <c r="L262" s="147"/>
      <c r="M262" s="146"/>
      <c r="N262" s="147"/>
      <c r="O262" s="166"/>
      <c r="P262" s="147"/>
      <c r="Q262" s="146"/>
      <c r="R262" s="147"/>
      <c r="S262" s="146"/>
      <c r="T262" s="147"/>
      <c r="U262" s="166"/>
      <c r="V262" s="147"/>
      <c r="W262" s="146"/>
      <c r="X262" s="147"/>
      <c r="Y262" s="146"/>
      <c r="Z262" s="147"/>
      <c r="AA262" s="166"/>
      <c r="AB262" s="147"/>
      <c r="AC262" s="146"/>
      <c r="AD262" s="147"/>
      <c r="AE262" s="146"/>
      <c r="AF262" s="147"/>
      <c r="AG262" s="166"/>
      <c r="AH262" s="147"/>
      <c r="AI262" s="166"/>
      <c r="AJ262" s="123"/>
    </row>
    <row r="263" spans="1:36" s="115" customFormat="1" ht="15" hidden="1">
      <c r="A263" s="120"/>
      <c r="B263" s="142" t="s">
        <v>195</v>
      </c>
      <c r="C263" s="142"/>
      <c r="F263" s="114" t="s">
        <v>308</v>
      </c>
      <c r="J263" s="144">
        <f>SUM(J261:J262)</f>
        <v>0</v>
      </c>
      <c r="K263" s="146"/>
      <c r="L263" s="144">
        <f>SUM(L261:L262)</f>
        <v>0</v>
      </c>
      <c r="M263" s="146"/>
      <c r="N263" s="144">
        <f>SUM(N261:N262)</f>
        <v>0</v>
      </c>
      <c r="O263" s="170">
        <f>IF(N$46=0,0,N263/N$46)</f>
        <v>0</v>
      </c>
      <c r="P263" s="144">
        <f>SUM(P261:P262)</f>
        <v>0</v>
      </c>
      <c r="Q263" s="146"/>
      <c r="R263" s="144">
        <f>SUM(R261:R262)</f>
        <v>0</v>
      </c>
      <c r="S263" s="146"/>
      <c r="T263" s="144">
        <f>SUM(T261:T262)</f>
        <v>0</v>
      </c>
      <c r="U263" s="170">
        <f>IF(T$46=0,0,T263/T$46)</f>
        <v>0</v>
      </c>
      <c r="V263" s="144">
        <f>SUM(V261:V262)</f>
        <v>0</v>
      </c>
      <c r="W263" s="146"/>
      <c r="X263" s="144">
        <f>SUM(X261:X262)</f>
        <v>0</v>
      </c>
      <c r="Y263" s="146"/>
      <c r="Z263" s="144">
        <f>SUM(Z261:Z262)</f>
        <v>0</v>
      </c>
      <c r="AA263" s="170">
        <f>IF(Z$46=0,0,Z263/Z$46)</f>
        <v>0</v>
      </c>
      <c r="AB263" s="144">
        <f>SUM(AB261:AB262)</f>
        <v>0</v>
      </c>
      <c r="AC263" s="146"/>
      <c r="AD263" s="144">
        <f>SUM(AD261:AD262)</f>
        <v>0</v>
      </c>
      <c r="AE263" s="146"/>
      <c r="AF263" s="144">
        <f>SUM(AF261:AF262)</f>
        <v>0</v>
      </c>
      <c r="AG263" s="170">
        <f>IF(AF$46=0,0,AF263/AF$46)</f>
        <v>0</v>
      </c>
      <c r="AH263" s="144">
        <f>SUM(AH261:AH262)</f>
        <v>0</v>
      </c>
      <c r="AI263" s="118">
        <f>IF(AH$52=0,0,AH263/AH$52)</f>
        <v>0</v>
      </c>
      <c r="AJ263" s="123"/>
    </row>
    <row r="264" spans="1:36" s="115" customFormat="1" ht="6.75" customHeight="1">
      <c r="A264" s="120"/>
      <c r="B264" s="108" t="s">
        <v>195</v>
      </c>
      <c r="C264" s="108"/>
      <c r="J264" s="146"/>
      <c r="K264" s="146"/>
      <c r="L264" s="146"/>
      <c r="M264" s="146"/>
      <c r="N264" s="146"/>
      <c r="O264" s="166"/>
      <c r="P264" s="146"/>
      <c r="Q264" s="146"/>
      <c r="R264" s="146"/>
      <c r="S264" s="146"/>
      <c r="T264" s="146"/>
      <c r="U264" s="166"/>
      <c r="V264" s="146"/>
      <c r="W264" s="146"/>
      <c r="X264" s="146"/>
      <c r="Y264" s="146"/>
      <c r="Z264" s="146"/>
      <c r="AA264" s="166"/>
      <c r="AB264" s="146"/>
      <c r="AC264" s="146"/>
      <c r="AD264" s="146"/>
      <c r="AE264" s="146"/>
      <c r="AF264" s="146"/>
      <c r="AG264" s="166"/>
      <c r="AH264" s="146"/>
      <c r="AI264" s="166"/>
      <c r="AJ264" s="123"/>
    </row>
    <row r="265" spans="1:36" s="115" customFormat="1" ht="15">
      <c r="A265" s="120"/>
      <c r="B265" s="108" t="s">
        <v>195</v>
      </c>
      <c r="C265" s="108"/>
      <c r="E265" s="149" t="s">
        <v>309</v>
      </c>
      <c r="J265" s="150">
        <f>+J251-J255-J259-J263</f>
        <v>3976.5400000000336</v>
      </c>
      <c r="K265" s="146"/>
      <c r="L265" s="150">
        <f>+L251-L255-L259-L263</f>
        <v>10349.240000000005</v>
      </c>
      <c r="M265" s="146"/>
      <c r="N265" s="150">
        <f>+N251-N255-N259-N263</f>
        <v>-34650.830000000009</v>
      </c>
      <c r="O265" s="170">
        <f>IF(N$46=0,0,N265/N$46)</f>
        <v>0</v>
      </c>
      <c r="P265" s="150">
        <f>+P251-P255-P259-P263</f>
        <v>6057.6899999999514</v>
      </c>
      <c r="Q265" s="146"/>
      <c r="R265" s="150">
        <f>+R251-R255-R259-R263</f>
        <v>24768.95</v>
      </c>
      <c r="S265" s="146"/>
      <c r="T265" s="150">
        <f>+T251-T255-T259-T263</f>
        <v>-3588.1500000000306</v>
      </c>
      <c r="U265" s="170">
        <f>IF(T$46=0,0,T265/T$46)</f>
        <v>0</v>
      </c>
      <c r="V265" s="150">
        <f>+V251-V255-V259-V263</f>
        <v>35638.999999999942</v>
      </c>
      <c r="W265" s="146"/>
      <c r="X265" s="150">
        <f>+X251-X255-X259-X263</f>
        <v>23011.509999999966</v>
      </c>
      <c r="Y265" s="146"/>
      <c r="Z265" s="150">
        <f>+Z251-Z255-Z259-Z263</f>
        <v>23802.529999999977</v>
      </c>
      <c r="AA265" s="170">
        <f>IF(Z$46=0,0,Z265/Z$46)</f>
        <v>0</v>
      </c>
      <c r="AB265" s="150">
        <f>+AB251-AB255-AB259-AB263</f>
        <v>25035.48999999998</v>
      </c>
      <c r="AC265" s="146"/>
      <c r="AD265" s="150">
        <f>+AD251-AD255-AD259-AD263</f>
        <v>-435.08000000009997</v>
      </c>
      <c r="AE265" s="146"/>
      <c r="AF265" s="150">
        <f>+AF251-AF255-AF259-AF263</f>
        <v>24498.789999999983</v>
      </c>
      <c r="AG265" s="170">
        <f>IF(AF$46=0,0,AF265/AF$46)</f>
        <v>0</v>
      </c>
      <c r="AH265" s="150">
        <f>+AH251-AH255-AH259-AH263</f>
        <v>138465.68000000005</v>
      </c>
      <c r="AI265" s="118">
        <f>IF(AH$52=0,0,AH265/AH$52)</f>
        <v>4.2015234397628387E-2</v>
      </c>
      <c r="AJ265" s="123"/>
    </row>
    <row r="266" spans="1:36" s="115" customFormat="1" ht="6.75" customHeight="1">
      <c r="A266" s="120"/>
      <c r="B266" s="108" t="s">
        <v>195</v>
      </c>
      <c r="C266" s="108"/>
      <c r="J266" s="146"/>
      <c r="K266" s="146"/>
      <c r="L266" s="146"/>
      <c r="M266" s="146"/>
      <c r="N266" s="146"/>
      <c r="O266" s="166"/>
      <c r="P266" s="146"/>
      <c r="Q266" s="146"/>
      <c r="R266" s="146"/>
      <c r="S266" s="146"/>
      <c r="T266" s="146"/>
      <c r="U266" s="166"/>
      <c r="V266" s="146"/>
      <c r="W266" s="146"/>
      <c r="X266" s="146"/>
      <c r="Y266" s="146"/>
      <c r="Z266" s="146"/>
      <c r="AA266" s="166"/>
      <c r="AB266" s="146"/>
      <c r="AC266" s="146"/>
      <c r="AD266" s="146"/>
      <c r="AE266" s="146"/>
      <c r="AF266" s="146"/>
      <c r="AG266" s="166"/>
      <c r="AH266" s="146"/>
      <c r="AI266" s="166"/>
      <c r="AJ266" s="123"/>
    </row>
    <row r="267" spans="1:36" s="1259" customFormat="1" hidden="1" outlineLevel="1">
      <c r="B267" s="1263" t="s">
        <v>310</v>
      </c>
      <c r="D267" s="1264"/>
      <c r="E267" s="1264"/>
      <c r="F267" s="1265"/>
      <c r="G267" s="1261"/>
      <c r="H267" s="1266"/>
      <c r="I267" s="1267"/>
      <c r="J267" s="1268"/>
      <c r="K267" s="1267"/>
      <c r="L267" s="1268"/>
      <c r="M267" s="1267"/>
      <c r="N267" s="1268"/>
      <c r="O267" s="1267"/>
      <c r="P267" s="1268"/>
      <c r="Q267" s="1267"/>
      <c r="R267" s="1268"/>
      <c r="S267" s="1267"/>
      <c r="T267" s="1268"/>
      <c r="U267" s="1267"/>
      <c r="V267" s="1268"/>
      <c r="W267" s="1267"/>
      <c r="X267" s="1268"/>
      <c r="Y267" s="1267"/>
      <c r="Z267" s="1268"/>
      <c r="AA267" s="1267"/>
      <c r="AB267" s="1268"/>
      <c r="AC267" s="1267"/>
      <c r="AD267" s="1268"/>
      <c r="AE267" s="1267"/>
      <c r="AF267" s="1268"/>
      <c r="AG267" s="1267"/>
      <c r="AH267" s="1268">
        <f>AF267+AD267+AB267+Z267+X267+V267+T267+R267+P267+N267+L267+J267</f>
        <v>0</v>
      </c>
      <c r="AI267" s="1269">
        <f>IF(AH$52=0,0,AH267/AH$52)</f>
        <v>0</v>
      </c>
      <c r="AJ267" s="1270"/>
    </row>
    <row r="268" spans="1:36" s="115" customFormat="1" ht="5.0999999999999996" hidden="1" customHeight="1" outlineLevel="1">
      <c r="A268" s="120"/>
      <c r="B268" s="142" t="s">
        <v>195</v>
      </c>
      <c r="C268" s="142"/>
      <c r="D268" s="114"/>
      <c r="E268" s="114"/>
      <c r="F268" s="114"/>
      <c r="G268" s="114"/>
      <c r="J268" s="147"/>
      <c r="K268" s="146"/>
      <c r="L268" s="147"/>
      <c r="M268" s="146"/>
      <c r="N268" s="147"/>
      <c r="O268" s="166"/>
      <c r="P268" s="147"/>
      <c r="Q268" s="146"/>
      <c r="R268" s="147"/>
      <c r="S268" s="146"/>
      <c r="T268" s="147"/>
      <c r="U268" s="166"/>
      <c r="V268" s="147"/>
      <c r="W268" s="146"/>
      <c r="X268" s="147"/>
      <c r="Y268" s="146"/>
      <c r="Z268" s="147"/>
      <c r="AA268" s="166"/>
      <c r="AB268" s="147"/>
      <c r="AC268" s="146"/>
      <c r="AD268" s="147"/>
      <c r="AE268" s="146"/>
      <c r="AF268" s="147"/>
      <c r="AG268" s="166"/>
      <c r="AH268" s="147"/>
      <c r="AI268" s="166"/>
      <c r="AJ268" s="123"/>
    </row>
    <row r="269" spans="1:36" s="115" customFormat="1" ht="15" hidden="1">
      <c r="A269" s="120"/>
      <c r="B269" s="142" t="s">
        <v>195</v>
      </c>
      <c r="C269" s="142"/>
      <c r="F269" s="113" t="s">
        <v>311</v>
      </c>
      <c r="J269" s="144">
        <f>SUM(J267:J268)</f>
        <v>0</v>
      </c>
      <c r="K269" s="146"/>
      <c r="L269" s="144">
        <f>SUM(L267:L268)</f>
        <v>0</v>
      </c>
      <c r="M269" s="146"/>
      <c r="N269" s="144">
        <f>SUM(N267:N268)</f>
        <v>0</v>
      </c>
      <c r="O269" s="170">
        <f>IF(N$46=0,0,N269/N$46)</f>
        <v>0</v>
      </c>
      <c r="P269" s="144">
        <f>SUM(P267:P268)</f>
        <v>0</v>
      </c>
      <c r="Q269" s="146"/>
      <c r="R269" s="144">
        <f>SUM(R267:R268)</f>
        <v>0</v>
      </c>
      <c r="S269" s="146"/>
      <c r="T269" s="144">
        <f>SUM(T267:T268)</f>
        <v>0</v>
      </c>
      <c r="U269" s="170">
        <f>IF(T$46=0,0,T269/T$46)</f>
        <v>0</v>
      </c>
      <c r="V269" s="144">
        <f>SUM(V267:V268)</f>
        <v>0</v>
      </c>
      <c r="W269" s="146"/>
      <c r="X269" s="144">
        <f>SUM(X267:X268)</f>
        <v>0</v>
      </c>
      <c r="Y269" s="146"/>
      <c r="Z269" s="144">
        <f>SUM(Z267:Z268)</f>
        <v>0</v>
      </c>
      <c r="AA269" s="170">
        <f>IF(Z$46=0,0,Z269/Z$46)</f>
        <v>0</v>
      </c>
      <c r="AB269" s="144">
        <f>SUM(AB267:AB268)</f>
        <v>0</v>
      </c>
      <c r="AC269" s="146"/>
      <c r="AD269" s="144">
        <f>SUM(AD267:AD268)</f>
        <v>0</v>
      </c>
      <c r="AE269" s="146"/>
      <c r="AF269" s="144">
        <f>SUM(AF267:AF268)</f>
        <v>0</v>
      </c>
      <c r="AG269" s="170">
        <f>IF(AF$46=0,0,AF269/AF$46)</f>
        <v>0</v>
      </c>
      <c r="AH269" s="144">
        <f>SUM(AH267:AH268)</f>
        <v>0</v>
      </c>
      <c r="AI269" s="118">
        <f>IF(AH$52=0,0,AH269/AH$52)</f>
        <v>0</v>
      </c>
      <c r="AJ269" s="123"/>
    </row>
    <row r="270" spans="1:36" s="115" customFormat="1" ht="6.75" hidden="1" customHeight="1">
      <c r="A270" s="120"/>
      <c r="B270" s="108" t="s">
        <v>195</v>
      </c>
      <c r="C270" s="108"/>
      <c r="J270" s="146"/>
      <c r="K270" s="146"/>
      <c r="L270" s="146"/>
      <c r="M270" s="146"/>
      <c r="N270" s="146"/>
      <c r="O270" s="166"/>
      <c r="P270" s="146"/>
      <c r="Q270" s="146"/>
      <c r="R270" s="146"/>
      <c r="S270" s="146"/>
      <c r="T270" s="146"/>
      <c r="U270" s="166"/>
      <c r="V270" s="146"/>
      <c r="W270" s="146"/>
      <c r="X270" s="146"/>
      <c r="Y270" s="146"/>
      <c r="Z270" s="146"/>
      <c r="AA270" s="166"/>
      <c r="AB270" s="146"/>
      <c r="AC270" s="146"/>
      <c r="AD270" s="146"/>
      <c r="AE270" s="146"/>
      <c r="AF270" s="146"/>
      <c r="AG270" s="166"/>
      <c r="AH270" s="146"/>
      <c r="AI270" s="166"/>
      <c r="AJ270" s="123"/>
    </row>
    <row r="271" spans="1:36" s="115" customFormat="1" ht="15">
      <c r="A271" s="120"/>
      <c r="B271" s="142" t="s">
        <v>195</v>
      </c>
      <c r="C271" s="142"/>
      <c r="E271" s="149" t="s">
        <v>312</v>
      </c>
      <c r="J271" s="150">
        <f>+J265-J269</f>
        <v>3976.5400000000336</v>
      </c>
      <c r="K271" s="146"/>
      <c r="L271" s="150">
        <f>+L265-L269</f>
        <v>10349.240000000005</v>
      </c>
      <c r="M271" s="146"/>
      <c r="N271" s="150">
        <f>+N265-N269</f>
        <v>-34650.830000000009</v>
      </c>
      <c r="O271" s="170">
        <f>IF(N$46=0,0,N271/N$46)</f>
        <v>0</v>
      </c>
      <c r="P271" s="150">
        <f>+P265-P269</f>
        <v>6057.6899999999514</v>
      </c>
      <c r="Q271" s="146"/>
      <c r="R271" s="150">
        <f>+R265-R269</f>
        <v>24768.95</v>
      </c>
      <c r="S271" s="146"/>
      <c r="T271" s="150">
        <f>+T265-T269</f>
        <v>-3588.1500000000306</v>
      </c>
      <c r="U271" s="170">
        <f>IF(T$46=0,0,T271/T$46)</f>
        <v>0</v>
      </c>
      <c r="V271" s="150">
        <f>+V265-V269</f>
        <v>35638.999999999942</v>
      </c>
      <c r="W271" s="146"/>
      <c r="X271" s="150">
        <f>+X265-X269</f>
        <v>23011.509999999966</v>
      </c>
      <c r="Y271" s="146"/>
      <c r="Z271" s="150">
        <f>+Z265-Z269</f>
        <v>23802.529999999977</v>
      </c>
      <c r="AA271" s="170">
        <f>IF(Z$46=0,0,Z271/Z$46)</f>
        <v>0</v>
      </c>
      <c r="AB271" s="150">
        <f>+AB265-AB269</f>
        <v>25035.48999999998</v>
      </c>
      <c r="AC271" s="146"/>
      <c r="AD271" s="150">
        <f>+AD265-AD269</f>
        <v>-435.08000000009997</v>
      </c>
      <c r="AE271" s="146"/>
      <c r="AF271" s="150">
        <f>+AF265-AF269</f>
        <v>24498.789999999983</v>
      </c>
      <c r="AG271" s="170">
        <f>IF(AF$46=0,0,AF271/AF$46)</f>
        <v>0</v>
      </c>
      <c r="AH271" s="150">
        <f>+AH265-AH269</f>
        <v>138465.68000000005</v>
      </c>
      <c r="AI271" s="118">
        <f>IF(AH$52=0,0,AH271/AH$52)</f>
        <v>4.2015234397628387E-2</v>
      </c>
      <c r="AJ271" s="123"/>
    </row>
    <row r="272" spans="1:36" ht="6.75" customHeight="1">
      <c r="A272" s="120"/>
      <c r="B272" s="108" t="s">
        <v>195</v>
      </c>
      <c r="J272" s="111"/>
      <c r="K272" s="111"/>
      <c r="L272" s="111"/>
      <c r="M272" s="111"/>
      <c r="N272" s="111"/>
      <c r="O272" s="166"/>
      <c r="P272" s="111"/>
      <c r="Q272" s="111"/>
      <c r="R272" s="111"/>
      <c r="S272" s="111"/>
      <c r="T272" s="111"/>
      <c r="U272" s="166"/>
      <c r="V272" s="111"/>
      <c r="W272" s="111"/>
      <c r="X272" s="111"/>
      <c r="Y272" s="111"/>
      <c r="Z272" s="111"/>
      <c r="AA272" s="166"/>
      <c r="AB272" s="111"/>
      <c r="AC272" s="111"/>
      <c r="AD272" s="111"/>
      <c r="AE272" s="111"/>
      <c r="AF272" s="111"/>
      <c r="AG272" s="166"/>
      <c r="AH272" s="111"/>
      <c r="AI272" s="166"/>
      <c r="AJ272" s="123"/>
    </row>
    <row r="273" spans="1:36" s="1259" customFormat="1" hidden="1" outlineLevel="1">
      <c r="B273" s="1263" t="s">
        <v>313</v>
      </c>
      <c r="D273" s="1264"/>
      <c r="E273" s="1264"/>
      <c r="F273" s="1265"/>
      <c r="G273" s="1261"/>
      <c r="H273" s="1266"/>
      <c r="I273" s="1267"/>
      <c r="J273" s="1268"/>
      <c r="K273" s="1267"/>
      <c r="L273" s="1268"/>
      <c r="M273" s="1267"/>
      <c r="N273" s="1268"/>
      <c r="O273" s="1267"/>
      <c r="P273" s="1268"/>
      <c r="Q273" s="1267"/>
      <c r="R273" s="1268"/>
      <c r="S273" s="1267"/>
      <c r="T273" s="1268"/>
      <c r="U273" s="1267"/>
      <c r="V273" s="1268"/>
      <c r="W273" s="1267"/>
      <c r="X273" s="1268"/>
      <c r="Y273" s="1267"/>
      <c r="Z273" s="1268"/>
      <c r="AA273" s="1267"/>
      <c r="AB273" s="1268"/>
      <c r="AC273" s="1267"/>
      <c r="AD273" s="1268"/>
      <c r="AE273" s="1267"/>
      <c r="AF273" s="1268"/>
      <c r="AG273" s="1267"/>
      <c r="AH273" s="1268">
        <f>AF273+AD273+AB273+Z273+X273+V273+T273+R273+P273+N273+L273+J273</f>
        <v>0</v>
      </c>
      <c r="AI273" s="1269">
        <f>IF(AH$52=0,0,AH273/AH$52)</f>
        <v>0</v>
      </c>
      <c r="AJ273" s="1270"/>
    </row>
    <row r="274" spans="1:36" s="115" customFormat="1" ht="4.5" hidden="1" customHeight="1" outlineLevel="1">
      <c r="A274" s="120"/>
      <c r="B274" s="142" t="s">
        <v>195</v>
      </c>
      <c r="C274" s="142"/>
      <c r="D274" s="114"/>
      <c r="E274" s="114"/>
      <c r="F274" s="114"/>
      <c r="G274" s="114"/>
      <c r="J274" s="147"/>
      <c r="K274" s="146"/>
      <c r="L274" s="147"/>
      <c r="M274" s="146"/>
      <c r="N274" s="147"/>
      <c r="O274" s="166"/>
      <c r="P274" s="147"/>
      <c r="Q274" s="146"/>
      <c r="R274" s="147"/>
      <c r="S274" s="146"/>
      <c r="T274" s="147"/>
      <c r="U274" s="166"/>
      <c r="V274" s="147"/>
      <c r="W274" s="146"/>
      <c r="X274" s="147"/>
      <c r="Y274" s="146"/>
      <c r="Z274" s="147"/>
      <c r="AA274" s="166"/>
      <c r="AB274" s="147"/>
      <c r="AC274" s="146"/>
      <c r="AD274" s="147"/>
      <c r="AE274" s="146"/>
      <c r="AF274" s="147"/>
      <c r="AG274" s="166"/>
      <c r="AH274" s="147"/>
      <c r="AI274" s="166"/>
      <c r="AJ274" s="123"/>
    </row>
    <row r="275" spans="1:36" s="115" customFormat="1" ht="15" hidden="1">
      <c r="A275" s="108"/>
      <c r="B275" s="142"/>
      <c r="C275" s="142"/>
      <c r="F275" s="113" t="s">
        <v>314</v>
      </c>
      <c r="J275" s="144">
        <f>SUM(J273:J274)</f>
        <v>0</v>
      </c>
      <c r="K275" s="146"/>
      <c r="L275" s="144">
        <f>SUM(L273:L274)</f>
        <v>0</v>
      </c>
      <c r="M275" s="146"/>
      <c r="N275" s="144">
        <f>SUM(N273:N274)</f>
        <v>0</v>
      </c>
      <c r="O275" s="170">
        <f>IF(N$46=0,0,N275/N$46)</f>
        <v>0</v>
      </c>
      <c r="P275" s="144">
        <f>SUM(P273:P274)</f>
        <v>0</v>
      </c>
      <c r="Q275" s="146"/>
      <c r="R275" s="144">
        <f>SUM(R273:R274)</f>
        <v>0</v>
      </c>
      <c r="S275" s="146"/>
      <c r="T275" s="144">
        <f>SUM(T273:T274)</f>
        <v>0</v>
      </c>
      <c r="U275" s="170">
        <f>IF(T$46=0,0,T275/T$46)</f>
        <v>0</v>
      </c>
      <c r="V275" s="144">
        <f>SUM(V273:V274)</f>
        <v>0</v>
      </c>
      <c r="W275" s="146"/>
      <c r="X275" s="144">
        <f>SUM(X273:X274)</f>
        <v>0</v>
      </c>
      <c r="Y275" s="146"/>
      <c r="Z275" s="144">
        <f>SUM(Z273:Z274)</f>
        <v>0</v>
      </c>
      <c r="AA275" s="170">
        <f>IF(Z$46=0,0,Z275/Z$46)</f>
        <v>0</v>
      </c>
      <c r="AB275" s="144">
        <f>SUM(AB273:AB274)</f>
        <v>0</v>
      </c>
      <c r="AC275" s="146"/>
      <c r="AD275" s="144">
        <f>SUM(AD273:AD274)</f>
        <v>0</v>
      </c>
      <c r="AE275" s="146"/>
      <c r="AF275" s="144">
        <f>SUM(AF273:AF274)</f>
        <v>0</v>
      </c>
      <c r="AG275" s="170">
        <f>IF(AF$46=0,0,AF275/AF$46)</f>
        <v>0</v>
      </c>
      <c r="AH275" s="144">
        <f>SUM(AH273:AH274)</f>
        <v>0</v>
      </c>
      <c r="AI275" s="118">
        <f>IF(AH$52=0,0,AH275/AH$52)</f>
        <v>0</v>
      </c>
      <c r="AJ275" s="123"/>
    </row>
    <row r="276" spans="1:36" s="115" customFormat="1" ht="6.75" customHeight="1">
      <c r="A276" s="108"/>
      <c r="B276" s="142"/>
      <c r="C276" s="142"/>
      <c r="J276" s="146"/>
      <c r="K276" s="146"/>
      <c r="L276" s="146"/>
      <c r="M276" s="146"/>
      <c r="N276" s="146"/>
      <c r="O276" s="166"/>
      <c r="P276" s="146"/>
      <c r="Q276" s="146"/>
      <c r="R276" s="146"/>
      <c r="S276" s="146"/>
      <c r="T276" s="146"/>
      <c r="U276" s="166"/>
      <c r="V276" s="146"/>
      <c r="W276" s="146"/>
      <c r="X276" s="146"/>
      <c r="Y276" s="146"/>
      <c r="Z276" s="146"/>
      <c r="AA276" s="166"/>
      <c r="AB276" s="146"/>
      <c r="AC276" s="146"/>
      <c r="AD276" s="146"/>
      <c r="AE276" s="146"/>
      <c r="AF276" s="146"/>
      <c r="AG276" s="166"/>
      <c r="AH276" s="146"/>
      <c r="AI276" s="166"/>
      <c r="AJ276" s="123"/>
    </row>
    <row r="277" spans="1:36" s="115" customFormat="1" ht="15">
      <c r="A277" s="108"/>
      <c r="B277" s="108"/>
      <c r="C277" s="108"/>
      <c r="E277" s="149" t="s">
        <v>315</v>
      </c>
      <c r="J277" s="150">
        <f>+J271-J275</f>
        <v>3976.5400000000336</v>
      </c>
      <c r="K277" s="146"/>
      <c r="L277" s="150">
        <f>+L271-L275</f>
        <v>10349.240000000005</v>
      </c>
      <c r="M277" s="146"/>
      <c r="N277" s="150">
        <f>+N271-N275</f>
        <v>-34650.830000000009</v>
      </c>
      <c r="O277" s="170">
        <f>IF(N$46=0,0,N277/N$46)</f>
        <v>0</v>
      </c>
      <c r="P277" s="150">
        <f>+P271-P275</f>
        <v>6057.6899999999514</v>
      </c>
      <c r="Q277" s="146"/>
      <c r="R277" s="150">
        <f>+R271-R275</f>
        <v>24768.95</v>
      </c>
      <c r="S277" s="146"/>
      <c r="T277" s="150">
        <f>+T271-T275</f>
        <v>-3588.1500000000306</v>
      </c>
      <c r="U277" s="170">
        <f>IF(T$46=0,0,T277/T$46)</f>
        <v>0</v>
      </c>
      <c r="V277" s="150">
        <f>+V271-V275</f>
        <v>35638.999999999942</v>
      </c>
      <c r="W277" s="146"/>
      <c r="X277" s="150">
        <f>+X271-X275</f>
        <v>23011.509999999966</v>
      </c>
      <c r="Y277" s="146"/>
      <c r="Z277" s="150">
        <f>+Z271-Z275</f>
        <v>23802.529999999977</v>
      </c>
      <c r="AA277" s="170">
        <f>IF(Z$46=0,0,Z277/Z$46)</f>
        <v>0</v>
      </c>
      <c r="AB277" s="150">
        <f>+AB271-AB275</f>
        <v>25035.48999999998</v>
      </c>
      <c r="AC277" s="146"/>
      <c r="AD277" s="150">
        <f>+AD271-AD275</f>
        <v>-435.08000000009997</v>
      </c>
      <c r="AE277" s="146"/>
      <c r="AF277" s="150">
        <f>+AF271-AF275</f>
        <v>24498.789999999983</v>
      </c>
      <c r="AG277" s="170">
        <f>IF(AF$46=0,0,AF277/AF$46)</f>
        <v>0</v>
      </c>
      <c r="AH277" s="150">
        <f>+AH271-AH275</f>
        <v>138465.68000000005</v>
      </c>
      <c r="AI277" s="118">
        <f>IF(AH$52=0,0,AH277/AH$52)</f>
        <v>4.2015234397628387E-2</v>
      </c>
      <c r="AJ277" s="123"/>
    </row>
    <row r="278" spans="1:36" s="115" customFormat="1" ht="6.75" customHeight="1">
      <c r="A278" s="108"/>
      <c r="B278" s="142"/>
      <c r="C278" s="142"/>
      <c r="J278" s="146"/>
      <c r="K278" s="146"/>
      <c r="L278" s="146"/>
      <c r="M278" s="146"/>
      <c r="N278" s="146"/>
      <c r="O278" s="166"/>
      <c r="P278" s="146"/>
      <c r="Q278" s="146"/>
      <c r="R278" s="146"/>
      <c r="S278" s="146"/>
      <c r="T278" s="146"/>
      <c r="U278" s="166"/>
      <c r="V278" s="146"/>
      <c r="W278" s="146"/>
      <c r="X278" s="146"/>
      <c r="Y278" s="146"/>
      <c r="Z278" s="146"/>
      <c r="AA278" s="166"/>
      <c r="AB278" s="146"/>
      <c r="AC278" s="146"/>
      <c r="AD278" s="146"/>
      <c r="AE278" s="146"/>
      <c r="AF278" s="146"/>
      <c r="AG278" s="166"/>
      <c r="AH278" s="146"/>
      <c r="AI278" s="166"/>
      <c r="AJ278" s="123"/>
    </row>
    <row r="279" spans="1:36" s="1259" customFormat="1" hidden="1" outlineLevel="1">
      <c r="B279" s="1263" t="s">
        <v>316</v>
      </c>
      <c r="D279" s="1264"/>
      <c r="E279" s="1264"/>
      <c r="F279" s="1265"/>
      <c r="G279" s="1261"/>
      <c r="H279" s="1266"/>
      <c r="I279" s="1267"/>
      <c r="J279" s="1268"/>
      <c r="K279" s="1267"/>
      <c r="L279" s="1268"/>
      <c r="M279" s="1267"/>
      <c r="N279" s="1268"/>
      <c r="O279" s="1267"/>
      <c r="P279" s="1268"/>
      <c r="Q279" s="1267"/>
      <c r="R279" s="1268"/>
      <c r="S279" s="1267"/>
      <c r="T279" s="1268"/>
      <c r="U279" s="1267"/>
      <c r="V279" s="1268"/>
      <c r="W279" s="1267"/>
      <c r="X279" s="1268"/>
      <c r="Y279" s="1267"/>
      <c r="Z279" s="1268"/>
      <c r="AA279" s="1267"/>
      <c r="AB279" s="1268"/>
      <c r="AC279" s="1267"/>
      <c r="AD279" s="1268"/>
      <c r="AE279" s="1267"/>
      <c r="AF279" s="1268"/>
      <c r="AG279" s="1267"/>
      <c r="AH279" s="1268">
        <f>AF279+AD279+AB279+Z279+X279+V279+T279+R279+P279+N279+L279+J279</f>
        <v>0</v>
      </c>
      <c r="AI279" s="1269">
        <f>IF(AH$52=0,0,AH279/AH$52)</f>
        <v>0</v>
      </c>
      <c r="AJ279" s="1270"/>
    </row>
    <row r="280" spans="1:36" s="115" customFormat="1" ht="4.5" hidden="1" customHeight="1" outlineLevel="1">
      <c r="A280" s="120"/>
      <c r="B280" s="142" t="s">
        <v>195</v>
      </c>
      <c r="C280" s="142"/>
      <c r="D280" s="114"/>
      <c r="E280" s="114"/>
      <c r="F280" s="114"/>
      <c r="G280" s="114"/>
      <c r="J280" s="147"/>
      <c r="K280" s="146"/>
      <c r="L280" s="147"/>
      <c r="M280" s="146"/>
      <c r="N280" s="147"/>
      <c r="O280" s="166"/>
      <c r="P280" s="147"/>
      <c r="Q280" s="146"/>
      <c r="R280" s="147"/>
      <c r="S280" s="146"/>
      <c r="T280" s="147"/>
      <c r="U280" s="166"/>
      <c r="V280" s="147"/>
      <c r="W280" s="146"/>
      <c r="X280" s="147"/>
      <c r="Y280" s="146"/>
      <c r="Z280" s="147"/>
      <c r="AA280" s="166"/>
      <c r="AB280" s="147"/>
      <c r="AC280" s="146"/>
      <c r="AD280" s="147"/>
      <c r="AE280" s="146"/>
      <c r="AF280" s="147"/>
      <c r="AG280" s="166"/>
      <c r="AH280" s="147"/>
      <c r="AI280" s="166"/>
      <c r="AJ280" s="123"/>
    </row>
    <row r="281" spans="1:36" s="115" customFormat="1" ht="15" hidden="1">
      <c r="A281" s="120"/>
      <c r="B281" s="142" t="s">
        <v>195</v>
      </c>
      <c r="C281" s="142"/>
      <c r="F281" s="113" t="s">
        <v>317</v>
      </c>
      <c r="J281" s="144">
        <f>SUM(J279:J280)</f>
        <v>0</v>
      </c>
      <c r="K281" s="146"/>
      <c r="L281" s="144">
        <f>SUM(L279:L280)</f>
        <v>0</v>
      </c>
      <c r="M281" s="146"/>
      <c r="N281" s="144">
        <f>SUM(N279:N280)</f>
        <v>0</v>
      </c>
      <c r="O281" s="170">
        <f>IF(N$46=0,0,N281/N$46)</f>
        <v>0</v>
      </c>
      <c r="P281" s="144">
        <f>SUM(P279:P280)</f>
        <v>0</v>
      </c>
      <c r="Q281" s="146"/>
      <c r="R281" s="144">
        <f>SUM(R279:R280)</f>
        <v>0</v>
      </c>
      <c r="S281" s="146"/>
      <c r="T281" s="144">
        <f>SUM(T279:T280)</f>
        <v>0</v>
      </c>
      <c r="U281" s="170">
        <f>IF(T$46=0,0,T281/T$46)</f>
        <v>0</v>
      </c>
      <c r="V281" s="144">
        <f>SUM(V279:V280)</f>
        <v>0</v>
      </c>
      <c r="W281" s="146"/>
      <c r="X281" s="144">
        <f>SUM(X279:X280)</f>
        <v>0</v>
      </c>
      <c r="Y281" s="146"/>
      <c r="Z281" s="144">
        <f>SUM(Z279:Z280)</f>
        <v>0</v>
      </c>
      <c r="AA281" s="170">
        <f>IF(Z$46=0,0,Z281/Z$46)</f>
        <v>0</v>
      </c>
      <c r="AB281" s="144">
        <f>SUM(AB279:AB280)</f>
        <v>0</v>
      </c>
      <c r="AC281" s="146"/>
      <c r="AD281" s="144">
        <f>SUM(AD279:AD280)</f>
        <v>0</v>
      </c>
      <c r="AE281" s="146"/>
      <c r="AF281" s="144">
        <f>SUM(AF279:AF280)</f>
        <v>0</v>
      </c>
      <c r="AG281" s="170">
        <f>IF(AF$46=0,0,AF281/AF$46)</f>
        <v>0</v>
      </c>
      <c r="AH281" s="144">
        <f>SUM(AH279:AH280)</f>
        <v>0</v>
      </c>
      <c r="AI281" s="118">
        <f>IF(AH$52=0,0,AH281/AH$52)</f>
        <v>0</v>
      </c>
      <c r="AJ281" s="123"/>
    </row>
    <row r="282" spans="1:36" s="115" customFormat="1" ht="6.75" customHeight="1">
      <c r="A282" s="108"/>
      <c r="B282" s="142"/>
      <c r="C282" s="142"/>
      <c r="J282" s="146"/>
      <c r="K282" s="146"/>
      <c r="L282" s="146"/>
      <c r="M282" s="146"/>
      <c r="N282" s="146"/>
      <c r="O282" s="166"/>
      <c r="P282" s="146"/>
      <c r="Q282" s="146"/>
      <c r="R282" s="146"/>
      <c r="S282" s="146"/>
      <c r="T282" s="146"/>
      <c r="U282" s="166"/>
      <c r="V282" s="146"/>
      <c r="W282" s="146"/>
      <c r="X282" s="146"/>
      <c r="Y282" s="146"/>
      <c r="Z282" s="146"/>
      <c r="AA282" s="166"/>
      <c r="AB282" s="146"/>
      <c r="AC282" s="146"/>
      <c r="AD282" s="146"/>
      <c r="AE282" s="146"/>
      <c r="AF282" s="146"/>
      <c r="AG282" s="166"/>
      <c r="AH282" s="146"/>
      <c r="AI282" s="166"/>
      <c r="AJ282" s="123"/>
    </row>
    <row r="283" spans="1:36" s="115" customFormat="1" ht="15.75" thickBot="1">
      <c r="A283" s="108"/>
      <c r="B283" s="108"/>
      <c r="C283" s="108"/>
      <c r="E283" s="149" t="s">
        <v>318</v>
      </c>
      <c r="J283" s="171">
        <f>+J277-J281</f>
        <v>3976.5400000000336</v>
      </c>
      <c r="K283" s="146"/>
      <c r="L283" s="171">
        <f>+L277-L281</f>
        <v>10349.240000000005</v>
      </c>
      <c r="M283" s="146"/>
      <c r="N283" s="171">
        <f>+N277-N281</f>
        <v>-34650.830000000009</v>
      </c>
      <c r="O283" s="170">
        <f>IF(N$46=0,0,N283/N$46)</f>
        <v>0</v>
      </c>
      <c r="P283" s="171">
        <f>+P277-P281</f>
        <v>6057.6899999999514</v>
      </c>
      <c r="Q283" s="146"/>
      <c r="R283" s="171">
        <f>+R277-R281</f>
        <v>24768.95</v>
      </c>
      <c r="S283" s="146"/>
      <c r="T283" s="171">
        <f>+T277-T281</f>
        <v>-3588.1500000000306</v>
      </c>
      <c r="U283" s="170">
        <f>IF(T$46=0,0,T283/T$46)</f>
        <v>0</v>
      </c>
      <c r="V283" s="171">
        <f>+V277-V281</f>
        <v>35638.999999999942</v>
      </c>
      <c r="W283" s="146"/>
      <c r="X283" s="171">
        <f>+X277-X281</f>
        <v>23011.509999999966</v>
      </c>
      <c r="Y283" s="146"/>
      <c r="Z283" s="171">
        <f>+Z277-Z281</f>
        <v>23802.529999999977</v>
      </c>
      <c r="AA283" s="170">
        <f>IF(Z$46=0,0,Z283/Z$46)</f>
        <v>0</v>
      </c>
      <c r="AB283" s="171">
        <f>+AB277-AB281</f>
        <v>25035.48999999998</v>
      </c>
      <c r="AC283" s="146"/>
      <c r="AD283" s="171">
        <f>+AD277-AD281</f>
        <v>-435.08000000009997</v>
      </c>
      <c r="AE283" s="146"/>
      <c r="AF283" s="171">
        <f>+AF277-AF281</f>
        <v>24498.789999999983</v>
      </c>
      <c r="AG283" s="170">
        <f>IF(AF$46=0,0,AF283/AF$46)</f>
        <v>0</v>
      </c>
      <c r="AH283" s="171">
        <f>+AH277-AH281</f>
        <v>138465.68000000005</v>
      </c>
      <c r="AI283" s="118">
        <f>IF(AH$52=0,0,AH283/AH$52)</f>
        <v>4.2015234397628387E-2</v>
      </c>
      <c r="AJ283" s="123"/>
    </row>
    <row r="284" spans="1:36" s="172" customFormat="1" ht="15.75" thickTop="1">
      <c r="A284" s="120"/>
      <c r="B284" s="142"/>
      <c r="C284" s="142"/>
      <c r="D284" s="115"/>
      <c r="E284" s="115"/>
      <c r="F284" s="113"/>
      <c r="G284" s="115"/>
      <c r="H284" s="108"/>
      <c r="I284" s="108"/>
      <c r="K284" s="108"/>
      <c r="M284" s="123"/>
      <c r="O284" s="123"/>
      <c r="Q284" s="108"/>
      <c r="S284" s="123"/>
      <c r="U284" s="123"/>
      <c r="W284" s="108"/>
      <c r="Y284" s="123"/>
      <c r="AA284" s="123"/>
      <c r="AC284" s="108"/>
      <c r="AE284" s="123"/>
      <c r="AG284" s="123"/>
      <c r="AJ284" s="108"/>
    </row>
    <row r="285" spans="1:36" customFormat="1" ht="15" outlineLevel="1">
      <c r="B285" t="s">
        <v>319</v>
      </c>
    </row>
    <row r="286" spans="1:36" ht="6" customHeight="1" outlineLevel="1">
      <c r="A286" s="120"/>
      <c r="J286" s="147"/>
      <c r="K286" s="146"/>
      <c r="L286" s="147"/>
      <c r="M286" s="146"/>
      <c r="N286" s="147"/>
      <c r="O286" s="166"/>
      <c r="P286" s="147"/>
      <c r="Q286" s="146"/>
      <c r="R286" s="147"/>
      <c r="S286" s="146"/>
      <c r="T286" s="147"/>
      <c r="U286" s="166"/>
      <c r="V286" s="147"/>
      <c r="W286" s="146"/>
      <c r="X286" s="147"/>
      <c r="Y286" s="146"/>
      <c r="Z286" s="147"/>
      <c r="AA286" s="166"/>
      <c r="AB286" s="147"/>
      <c r="AC286" s="146"/>
      <c r="AD286" s="147"/>
      <c r="AE286" s="146"/>
      <c r="AF286" s="147"/>
      <c r="AG286" s="166"/>
      <c r="AH286" s="147"/>
    </row>
    <row r="287" spans="1:36" s="111" customFormat="1">
      <c r="A287" s="173"/>
      <c r="E287" s="111" t="s">
        <v>320</v>
      </c>
      <c r="J287" s="174">
        <f>SUM(J285:J286)</f>
        <v>0</v>
      </c>
      <c r="K287" s="175"/>
      <c r="L287" s="174">
        <f>SUM(L285:L286)</f>
        <v>0</v>
      </c>
      <c r="M287" s="175"/>
      <c r="N287" s="174">
        <f>SUM(N285:N286)</f>
        <v>0</v>
      </c>
      <c r="O287" s="176"/>
      <c r="P287" s="174">
        <f>SUM(P285:P286)</f>
        <v>0</v>
      </c>
      <c r="Q287" s="175"/>
      <c r="R287" s="174">
        <f>SUM(R285:R286)</f>
        <v>0</v>
      </c>
      <c r="S287" s="175"/>
      <c r="T287" s="174">
        <f>SUM(T285:T286)</f>
        <v>0</v>
      </c>
      <c r="U287" s="176"/>
      <c r="V287" s="174">
        <f>SUM(V285:V286)</f>
        <v>0</v>
      </c>
      <c r="W287" s="175"/>
      <c r="X287" s="174">
        <f>SUM(X285:X286)</f>
        <v>0</v>
      </c>
      <c r="Y287" s="175"/>
      <c r="Z287" s="174">
        <f>SUM(Z285:Z286)</f>
        <v>0</v>
      </c>
      <c r="AA287" s="176"/>
      <c r="AB287" s="174">
        <f>SUM(AB285:AB286)</f>
        <v>0</v>
      </c>
      <c r="AC287" s="175"/>
      <c r="AD287" s="174">
        <f>SUM(AD285:AD286)</f>
        <v>0</v>
      </c>
      <c r="AE287" s="175"/>
      <c r="AF287" s="174">
        <f>SUM(AF285:AF286)</f>
        <v>0</v>
      </c>
      <c r="AG287" s="176"/>
      <c r="AH287" s="174">
        <f>SUM(AH285:AH286)</f>
        <v>0</v>
      </c>
    </row>
    <row r="288" spans="1:36">
      <c r="A288" s="120"/>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2"/>
      <c r="AI288" s="142"/>
      <c r="AJ288" s="142"/>
    </row>
    <row r="289" spans="1:36" ht="15">
      <c r="A289" s="120"/>
      <c r="B289" s="142"/>
      <c r="C289" s="142"/>
      <c r="D289" s="114"/>
      <c r="E289" s="114"/>
      <c r="F289" s="114"/>
      <c r="G289" s="114"/>
      <c r="M289" s="123"/>
      <c r="O289" s="123"/>
      <c r="S289" s="123"/>
      <c r="U289" s="123"/>
      <c r="Y289" s="123"/>
      <c r="AA289" s="123"/>
      <c r="AE289" s="123"/>
      <c r="AG289" s="123"/>
    </row>
    <row r="290" spans="1:36" ht="15.75">
      <c r="A290" s="120"/>
      <c r="B290" s="142"/>
      <c r="C290" s="142"/>
      <c r="D290" s="115"/>
      <c r="E290" s="115"/>
      <c r="F290" s="114"/>
      <c r="G290" s="115"/>
      <c r="M290" s="123"/>
      <c r="O290" s="123"/>
      <c r="S290" s="123"/>
      <c r="U290" s="123"/>
      <c r="Y290" s="123"/>
      <c r="AA290" s="123"/>
      <c r="AE290" s="123"/>
      <c r="AF290" s="177" t="s">
        <v>321</v>
      </c>
      <c r="AG290" s="178"/>
      <c r="AH290" s="179">
        <f>SUM(J283:AF283)-AH283</f>
        <v>-3.4924596548080444E-10</v>
      </c>
    </row>
    <row r="291" spans="1:36" s="172" customFormat="1" ht="15">
      <c r="A291" s="120"/>
      <c r="B291" s="142"/>
      <c r="C291" s="142"/>
      <c r="D291" s="115"/>
      <c r="E291" s="115"/>
      <c r="F291" s="115"/>
      <c r="G291" s="115"/>
      <c r="H291" s="108"/>
      <c r="I291" s="108"/>
      <c r="K291" s="108"/>
      <c r="M291" s="123"/>
      <c r="O291" s="123"/>
      <c r="Q291" s="108"/>
      <c r="S291" s="123"/>
      <c r="U291" s="123"/>
      <c r="W291" s="108"/>
      <c r="Y291" s="123"/>
      <c r="AA291" s="123"/>
      <c r="AC291" s="108"/>
      <c r="AE291" s="123"/>
      <c r="AG291" s="123"/>
      <c r="AI291" s="108"/>
      <c r="AJ291" s="108"/>
    </row>
    <row r="292" spans="1:36" s="172" customFormat="1" ht="15">
      <c r="A292" s="153"/>
      <c r="B292" s="153"/>
      <c r="C292" s="153"/>
      <c r="D292" s="153"/>
      <c r="E292" s="153"/>
      <c r="F292" s="153"/>
      <c r="G292" s="153"/>
      <c r="H292" s="108"/>
      <c r="I292" s="108"/>
      <c r="K292" s="108"/>
      <c r="M292" s="123"/>
      <c r="O292" s="123"/>
      <c r="Q292" s="108"/>
      <c r="S292" s="123"/>
      <c r="U292" s="123"/>
      <c r="V292" s="172">
        <f>V52-V283</f>
        <v>248261.32</v>
      </c>
      <c r="W292" s="172">
        <f>W52-W283</f>
        <v>0</v>
      </c>
      <c r="X292" s="172">
        <f>X52-X283</f>
        <v>270442.15000000002</v>
      </c>
      <c r="Y292" s="123"/>
      <c r="Z292" s="172">
        <f>Z52-Z283</f>
        <v>268098.71000000002</v>
      </c>
      <c r="AA292" s="123"/>
      <c r="AB292" s="172">
        <f>AB52-AB283</f>
        <v>269017.43</v>
      </c>
      <c r="AC292" s="108"/>
      <c r="AD292" s="172">
        <f>AD52-AD283</f>
        <v>276549.03999999998</v>
      </c>
      <c r="AE292" s="123"/>
      <c r="AF292" s="172">
        <f>AF52-AF283</f>
        <v>244048.76</v>
      </c>
      <c r="AG292" s="123"/>
      <c r="AH292" s="172">
        <f>AH52-AH283</f>
        <v>3157140.83</v>
      </c>
      <c r="AJ292" s="108"/>
    </row>
    <row r="293" spans="1:36" s="172" customFormat="1" ht="15">
      <c r="A293" s="120"/>
      <c r="B293" s="142"/>
      <c r="C293" s="142"/>
      <c r="D293" s="114"/>
      <c r="E293" s="114"/>
      <c r="F293" s="114"/>
      <c r="G293" s="114"/>
      <c r="H293" s="108"/>
      <c r="I293" s="108"/>
      <c r="K293" s="108"/>
      <c r="M293" s="123"/>
      <c r="O293" s="123"/>
      <c r="Q293" s="108"/>
      <c r="S293" s="123"/>
      <c r="U293" s="123"/>
      <c r="V293" s="180">
        <f>V292/V52</f>
        <v>0.87446650289087402</v>
      </c>
      <c r="W293" s="180" t="e">
        <f>W292/W52</f>
        <v>#DIV/0!</v>
      </c>
      <c r="X293" s="180">
        <f>X292/X52</f>
        <v>0.92158383712099567</v>
      </c>
      <c r="Y293" s="123"/>
      <c r="Z293" s="180">
        <f>Z292/Z52</f>
        <v>0.91845690686343107</v>
      </c>
      <c r="AA293" s="123"/>
      <c r="AB293" s="180">
        <f>AB292/AB52</f>
        <v>0.91486059720134727</v>
      </c>
      <c r="AC293" s="108"/>
      <c r="AD293" s="180">
        <f>AD292/AD52</f>
        <v>1.0015757261965317</v>
      </c>
      <c r="AE293" s="123"/>
      <c r="AF293" s="180">
        <f>AF292/AF52</f>
        <v>0.90877299010920043</v>
      </c>
      <c r="AG293" s="123"/>
      <c r="AH293" s="180">
        <f>AH292/AH52</f>
        <v>0.95798476560237156</v>
      </c>
      <c r="AJ293" s="108"/>
    </row>
    <row r="294" spans="1:36" s="172" customFormat="1" ht="15">
      <c r="A294" s="120"/>
      <c r="B294" s="142"/>
      <c r="C294" s="142"/>
      <c r="D294" s="115"/>
      <c r="E294" s="115"/>
      <c r="F294" s="113"/>
      <c r="G294" s="115"/>
      <c r="H294" s="108"/>
      <c r="I294" s="108"/>
      <c r="K294" s="108"/>
      <c r="M294" s="123"/>
      <c r="O294" s="123"/>
      <c r="Q294" s="108"/>
      <c r="S294" s="123"/>
      <c r="U294" s="123"/>
      <c r="W294" s="108"/>
      <c r="Y294" s="123"/>
      <c r="AA294" s="123"/>
      <c r="AC294" s="108"/>
      <c r="AE294" s="123"/>
      <c r="AG294" s="123"/>
      <c r="AJ294" s="108"/>
    </row>
    <row r="295" spans="1:36" s="172" customFormat="1" ht="15">
      <c r="A295" s="120"/>
      <c r="B295" s="142"/>
      <c r="C295" s="142"/>
      <c r="D295" s="115"/>
      <c r="E295" s="115"/>
      <c r="F295" s="115"/>
      <c r="G295" s="115"/>
      <c r="H295" s="108"/>
      <c r="I295" s="108"/>
      <c r="K295" s="108"/>
      <c r="M295" s="123"/>
      <c r="O295" s="123"/>
      <c r="Q295" s="108"/>
      <c r="S295" s="123"/>
      <c r="U295" s="123"/>
      <c r="W295" s="108"/>
      <c r="Y295" s="123"/>
      <c r="AA295" s="123"/>
      <c r="AC295" s="108"/>
      <c r="AE295" s="123"/>
      <c r="AG295" s="123"/>
      <c r="AJ295" s="108"/>
    </row>
    <row r="296" spans="1:36" s="172" customFormat="1" ht="15">
      <c r="A296" s="153"/>
      <c r="B296" s="153"/>
      <c r="C296" s="153"/>
      <c r="D296" s="153"/>
      <c r="E296" s="153"/>
      <c r="F296" s="153"/>
      <c r="G296" s="153"/>
      <c r="H296" s="108"/>
      <c r="I296" s="108"/>
      <c r="K296" s="108"/>
      <c r="M296" s="123"/>
      <c r="O296" s="123"/>
      <c r="Q296" s="108"/>
      <c r="S296" s="123"/>
      <c r="U296" s="123"/>
      <c r="W296" s="108"/>
      <c r="Y296" s="123"/>
      <c r="AA296" s="123"/>
      <c r="AC296" s="108"/>
      <c r="AE296" s="123"/>
      <c r="AG296" s="123"/>
      <c r="AJ296" s="108"/>
    </row>
    <row r="297" spans="1:36" s="172" customFormat="1" ht="15">
      <c r="A297" s="120"/>
      <c r="B297" s="142"/>
      <c r="C297" s="142"/>
      <c r="D297" s="114"/>
      <c r="E297" s="114"/>
      <c r="F297" s="114"/>
      <c r="G297" s="114"/>
      <c r="H297" s="108"/>
      <c r="I297" s="108"/>
      <c r="K297" s="108"/>
      <c r="M297" s="123"/>
      <c r="O297" s="123"/>
      <c r="Q297" s="108"/>
      <c r="S297" s="123"/>
      <c r="U297" s="123"/>
      <c r="W297" s="108"/>
      <c r="Y297" s="123"/>
      <c r="AA297" s="123"/>
      <c r="AC297" s="108"/>
      <c r="AE297" s="123"/>
      <c r="AG297" s="123"/>
      <c r="AJ297" s="108"/>
    </row>
    <row r="298" spans="1:36" s="172" customFormat="1" ht="15">
      <c r="A298" s="120"/>
      <c r="B298" s="142"/>
      <c r="C298" s="142"/>
      <c r="D298" s="115"/>
      <c r="E298" s="115"/>
      <c r="F298" s="114"/>
      <c r="G298" s="115"/>
      <c r="H298" s="108"/>
      <c r="I298" s="108"/>
      <c r="K298" s="108"/>
      <c r="M298" s="123"/>
      <c r="O298" s="123"/>
      <c r="Q298" s="108"/>
      <c r="S298" s="123"/>
      <c r="U298" s="123"/>
      <c r="W298" s="108"/>
      <c r="Y298" s="123"/>
      <c r="AA298" s="123"/>
      <c r="AC298" s="108"/>
      <c r="AE298" s="123"/>
      <c r="AG298" s="123"/>
      <c r="AJ298" s="108"/>
    </row>
    <row r="299" spans="1:36" s="172" customFormat="1" ht="15">
      <c r="A299" s="120"/>
      <c r="B299" s="108"/>
      <c r="C299" s="108"/>
      <c r="D299" s="115"/>
      <c r="E299" s="115"/>
      <c r="F299" s="115"/>
      <c r="G299" s="115"/>
      <c r="H299" s="108"/>
      <c r="I299" s="108"/>
      <c r="K299" s="108"/>
      <c r="M299" s="123"/>
      <c r="O299" s="123"/>
      <c r="Q299" s="108"/>
      <c r="S299" s="123"/>
      <c r="U299" s="123"/>
      <c r="W299" s="108"/>
      <c r="Y299" s="123"/>
      <c r="AA299" s="123"/>
      <c r="AC299" s="108"/>
      <c r="AE299" s="123"/>
      <c r="AG299" s="123"/>
      <c r="AJ299" s="108"/>
    </row>
    <row r="300" spans="1:36" s="172" customFormat="1" ht="15">
      <c r="A300" s="120"/>
      <c r="B300" s="108"/>
      <c r="C300" s="108"/>
      <c r="D300" s="115"/>
      <c r="E300" s="149"/>
      <c r="F300" s="115"/>
      <c r="G300" s="115"/>
      <c r="H300" s="108"/>
      <c r="I300" s="108"/>
      <c r="K300" s="108"/>
      <c r="M300" s="123"/>
      <c r="O300" s="123"/>
      <c r="Q300" s="108"/>
      <c r="S300" s="123"/>
      <c r="U300" s="123"/>
      <c r="W300" s="108"/>
      <c r="Y300" s="123"/>
      <c r="AA300" s="123"/>
      <c r="AC300" s="108"/>
      <c r="AE300" s="123"/>
      <c r="AG300" s="123"/>
      <c r="AJ300" s="108"/>
    </row>
    <row r="301" spans="1:36" s="172" customFormat="1" ht="15">
      <c r="A301" s="120"/>
      <c r="B301" s="108"/>
      <c r="C301" s="108"/>
      <c r="D301" s="115"/>
      <c r="E301" s="115"/>
      <c r="F301" s="115"/>
      <c r="G301" s="115"/>
      <c r="H301" s="108"/>
      <c r="I301" s="108"/>
      <c r="K301" s="108"/>
      <c r="M301" s="123"/>
      <c r="O301" s="123"/>
      <c r="Q301" s="108"/>
      <c r="S301" s="123"/>
      <c r="U301" s="123"/>
      <c r="W301" s="108"/>
      <c r="Y301" s="123"/>
      <c r="AA301" s="123"/>
      <c r="AC301" s="108"/>
      <c r="AE301" s="123"/>
      <c r="AG301" s="123"/>
      <c r="AJ301" s="108"/>
    </row>
    <row r="302" spans="1:36" s="172" customFormat="1" ht="15">
      <c r="A302" s="153"/>
      <c r="B302" s="153"/>
      <c r="C302" s="153"/>
      <c r="D302" s="153"/>
      <c r="E302" s="153"/>
      <c r="F302" s="153"/>
      <c r="G302" s="153"/>
      <c r="H302" s="108"/>
      <c r="I302" s="108"/>
      <c r="K302" s="108"/>
      <c r="M302" s="123"/>
      <c r="O302" s="123"/>
      <c r="Q302" s="108"/>
      <c r="S302" s="123"/>
      <c r="U302" s="123"/>
      <c r="W302" s="108"/>
      <c r="Y302" s="123"/>
      <c r="AA302" s="123"/>
      <c r="AC302" s="108"/>
      <c r="AE302" s="123"/>
      <c r="AG302" s="123"/>
      <c r="AJ302" s="108"/>
    </row>
    <row r="303" spans="1:36" s="172" customFormat="1" ht="15">
      <c r="A303" s="120"/>
      <c r="B303" s="142"/>
      <c r="C303" s="142"/>
      <c r="D303" s="114"/>
      <c r="E303" s="114"/>
      <c r="F303" s="114"/>
      <c r="G303" s="114"/>
      <c r="H303" s="108"/>
      <c r="I303" s="108"/>
      <c r="K303" s="108"/>
      <c r="M303" s="123"/>
      <c r="O303" s="123"/>
      <c r="Q303" s="108"/>
      <c r="S303" s="123"/>
      <c r="U303" s="123"/>
      <c r="W303" s="108"/>
      <c r="Y303" s="123"/>
      <c r="AA303" s="123"/>
      <c r="AC303" s="108"/>
      <c r="AE303" s="123"/>
      <c r="AG303" s="123"/>
      <c r="AJ303" s="108"/>
    </row>
    <row r="304" spans="1:36" s="172" customFormat="1" ht="15">
      <c r="A304" s="120"/>
      <c r="B304" s="142"/>
      <c r="C304" s="142"/>
      <c r="D304" s="115"/>
      <c r="E304" s="115"/>
      <c r="F304" s="113"/>
      <c r="G304" s="115"/>
      <c r="H304" s="108"/>
      <c r="I304" s="108"/>
      <c r="K304" s="108"/>
      <c r="M304" s="123"/>
      <c r="O304" s="123"/>
      <c r="Q304" s="108"/>
      <c r="S304" s="123"/>
      <c r="U304" s="123"/>
      <c r="W304" s="108"/>
      <c r="Y304" s="123"/>
      <c r="AA304" s="123"/>
      <c r="AC304" s="108"/>
      <c r="AE304" s="123"/>
      <c r="AG304" s="123"/>
      <c r="AJ304" s="108"/>
    </row>
    <row r="305" spans="1:36" s="172" customFormat="1" ht="15">
      <c r="A305" s="120"/>
      <c r="B305" s="108"/>
      <c r="C305" s="108"/>
      <c r="D305" s="115"/>
      <c r="E305" s="115"/>
      <c r="F305" s="115"/>
      <c r="G305" s="115"/>
      <c r="H305" s="108"/>
      <c r="I305" s="108"/>
      <c r="K305" s="108"/>
      <c r="M305" s="123"/>
      <c r="O305" s="123"/>
      <c r="Q305" s="108"/>
      <c r="S305" s="123"/>
      <c r="U305" s="123"/>
      <c r="W305" s="108"/>
      <c r="Y305" s="123"/>
      <c r="AA305" s="123"/>
      <c r="AC305" s="108"/>
      <c r="AE305" s="123"/>
      <c r="AG305" s="123"/>
      <c r="AJ305" s="108"/>
    </row>
    <row r="306" spans="1:36" s="172" customFormat="1" ht="15">
      <c r="A306" s="120"/>
      <c r="B306" s="142"/>
      <c r="C306" s="142"/>
      <c r="D306" s="115"/>
      <c r="E306" s="149"/>
      <c r="F306" s="115"/>
      <c r="G306" s="115"/>
      <c r="H306" s="108"/>
      <c r="I306" s="108"/>
      <c r="K306" s="108"/>
      <c r="M306" s="123"/>
      <c r="O306" s="123"/>
      <c r="Q306" s="108"/>
      <c r="S306" s="123"/>
      <c r="U306" s="123"/>
      <c r="W306" s="108"/>
      <c r="Y306" s="123"/>
      <c r="AA306" s="123"/>
      <c r="AC306" s="108"/>
      <c r="AE306" s="123"/>
      <c r="AG306" s="123"/>
      <c r="AJ306" s="108"/>
    </row>
    <row r="307" spans="1:36" s="172" customFormat="1" ht="15">
      <c r="A307" s="120"/>
      <c r="B307" s="108"/>
      <c r="C307" s="108"/>
      <c r="D307" s="108"/>
      <c r="E307" s="108"/>
      <c r="F307" s="108"/>
      <c r="G307" s="108"/>
      <c r="H307" s="108"/>
      <c r="I307" s="108"/>
      <c r="K307" s="108"/>
      <c r="M307" s="123"/>
      <c r="O307" s="123"/>
      <c r="Q307" s="108"/>
      <c r="S307" s="123"/>
      <c r="U307" s="123"/>
      <c r="W307" s="108"/>
      <c r="Y307" s="123"/>
      <c r="AA307" s="123"/>
      <c r="AC307" s="108"/>
      <c r="AE307" s="123"/>
      <c r="AG307" s="123"/>
      <c r="AJ307" s="108"/>
    </row>
    <row r="308" spans="1:36" s="172" customFormat="1" ht="15">
      <c r="A308" s="153"/>
      <c r="B308" s="153"/>
      <c r="C308" s="153"/>
      <c r="D308" s="153"/>
      <c r="E308" s="153"/>
      <c r="F308" s="153"/>
      <c r="G308" s="153"/>
      <c r="H308" s="108"/>
      <c r="I308" s="108"/>
      <c r="K308" s="108"/>
      <c r="M308" s="123"/>
      <c r="O308" s="123"/>
      <c r="Q308" s="108"/>
      <c r="S308" s="123"/>
      <c r="U308" s="123"/>
      <c r="W308" s="108"/>
      <c r="Y308" s="123"/>
      <c r="AA308" s="123"/>
      <c r="AC308" s="108"/>
      <c r="AE308" s="123"/>
      <c r="AG308" s="123"/>
      <c r="AJ308" s="108"/>
    </row>
    <row r="309" spans="1:36" s="172" customFormat="1" ht="15">
      <c r="A309" s="120"/>
      <c r="B309" s="142"/>
      <c r="C309" s="142"/>
      <c r="D309" s="114"/>
      <c r="E309" s="114"/>
      <c r="F309" s="114"/>
      <c r="G309" s="114"/>
      <c r="H309" s="108"/>
      <c r="I309" s="108"/>
      <c r="K309" s="108"/>
      <c r="M309" s="123"/>
      <c r="O309" s="123"/>
      <c r="Q309" s="108"/>
      <c r="S309" s="123"/>
      <c r="U309" s="123"/>
      <c r="W309" s="108"/>
      <c r="Y309" s="123"/>
      <c r="AA309" s="123"/>
      <c r="AC309" s="108"/>
      <c r="AE309" s="123"/>
      <c r="AG309" s="123"/>
      <c r="AJ309" s="108"/>
    </row>
    <row r="310" spans="1:36" s="172" customFormat="1" ht="15">
      <c r="A310" s="108"/>
      <c r="B310" s="142"/>
      <c r="C310" s="142"/>
      <c r="D310" s="115"/>
      <c r="E310" s="115"/>
      <c r="F310" s="113"/>
      <c r="G310" s="115"/>
      <c r="H310" s="108"/>
      <c r="I310" s="108"/>
      <c r="K310" s="108"/>
      <c r="M310" s="123"/>
      <c r="O310" s="123"/>
      <c r="Q310" s="108"/>
      <c r="S310" s="123"/>
      <c r="U310" s="123"/>
      <c r="W310" s="108"/>
      <c r="Y310" s="123"/>
      <c r="AA310" s="123"/>
      <c r="AC310" s="108"/>
      <c r="AE310" s="123"/>
      <c r="AG310" s="123"/>
      <c r="AJ310" s="108"/>
    </row>
    <row r="311" spans="1:36" s="172" customFormat="1" ht="15">
      <c r="A311" s="108"/>
      <c r="B311" s="142"/>
      <c r="C311" s="142"/>
      <c r="D311" s="115"/>
      <c r="E311" s="115"/>
      <c r="F311" s="115"/>
      <c r="G311" s="115"/>
      <c r="H311" s="108"/>
      <c r="I311" s="108"/>
      <c r="K311" s="108"/>
      <c r="M311" s="123"/>
      <c r="O311" s="123"/>
      <c r="Q311" s="108"/>
      <c r="S311" s="123"/>
      <c r="U311" s="123"/>
      <c r="W311" s="108"/>
      <c r="Y311" s="123"/>
      <c r="AA311" s="123"/>
      <c r="AC311" s="108"/>
      <c r="AE311" s="123"/>
      <c r="AG311" s="123"/>
      <c r="AJ311" s="108"/>
    </row>
    <row r="312" spans="1:36" s="172" customFormat="1" ht="15">
      <c r="A312" s="108"/>
      <c r="B312" s="108"/>
      <c r="C312" s="108"/>
      <c r="D312" s="115"/>
      <c r="E312" s="149"/>
      <c r="F312" s="115"/>
      <c r="G312" s="115"/>
      <c r="H312" s="108"/>
      <c r="I312" s="108"/>
      <c r="K312" s="108"/>
      <c r="M312" s="123"/>
      <c r="O312" s="123"/>
      <c r="Q312" s="108"/>
      <c r="S312" s="123"/>
      <c r="U312" s="123"/>
      <c r="W312" s="108"/>
      <c r="Y312" s="123"/>
      <c r="AA312" s="123"/>
      <c r="AC312" s="108"/>
      <c r="AE312" s="123"/>
      <c r="AG312" s="123"/>
      <c r="AJ312" s="108"/>
    </row>
    <row r="313" spans="1:36" s="172" customFormat="1" ht="15">
      <c r="A313" s="108"/>
      <c r="B313" s="142"/>
      <c r="C313" s="142"/>
      <c r="D313" s="115"/>
      <c r="E313" s="115"/>
      <c r="F313" s="115"/>
      <c r="G313" s="115"/>
      <c r="H313" s="108"/>
      <c r="I313" s="108"/>
      <c r="K313" s="108"/>
      <c r="M313" s="123"/>
      <c r="O313" s="123"/>
      <c r="Q313" s="108"/>
      <c r="S313" s="123"/>
      <c r="U313" s="123"/>
      <c r="W313" s="108"/>
      <c r="Y313" s="123"/>
      <c r="AA313" s="123"/>
      <c r="AC313" s="108"/>
      <c r="AE313" s="123"/>
      <c r="AG313" s="123"/>
      <c r="AJ313" s="108"/>
    </row>
    <row r="314" spans="1:36" s="172" customFormat="1" ht="15">
      <c r="A314" s="120"/>
      <c r="B314" s="181"/>
      <c r="C314" s="120"/>
      <c r="D314" s="120"/>
      <c r="E314" s="120"/>
      <c r="F314" s="120"/>
      <c r="G314" s="120"/>
      <c r="H314" s="108"/>
      <c r="I314" s="108"/>
      <c r="K314" s="108"/>
      <c r="M314" s="123"/>
      <c r="O314" s="123"/>
      <c r="Q314" s="108"/>
      <c r="S314" s="123"/>
      <c r="U314" s="123"/>
      <c r="W314" s="108"/>
      <c r="Y314" s="123"/>
      <c r="AA314" s="123"/>
      <c r="AC314" s="108"/>
      <c r="AE314" s="123"/>
      <c r="AG314" s="123"/>
      <c r="AJ314" s="108"/>
    </row>
    <row r="315" spans="1:36" s="172" customFormat="1" ht="15">
      <c r="A315" s="120"/>
      <c r="B315" s="142"/>
      <c r="C315" s="142"/>
      <c r="D315" s="114"/>
      <c r="E315" s="114"/>
      <c r="F315" s="114"/>
      <c r="G315" s="114"/>
      <c r="H315" s="108"/>
      <c r="I315" s="108"/>
      <c r="K315" s="108"/>
      <c r="M315" s="123"/>
      <c r="O315" s="123"/>
      <c r="Q315" s="108"/>
      <c r="S315" s="123"/>
      <c r="U315" s="123"/>
      <c r="W315" s="108"/>
      <c r="Y315" s="123"/>
      <c r="AA315" s="123"/>
      <c r="AC315" s="108"/>
      <c r="AE315" s="123"/>
      <c r="AG315" s="123"/>
      <c r="AJ315" s="108"/>
    </row>
    <row r="316" spans="1:36" s="172" customFormat="1" ht="15">
      <c r="A316" s="120"/>
      <c r="B316" s="142"/>
      <c r="C316" s="142"/>
      <c r="D316" s="115"/>
      <c r="E316" s="115"/>
      <c r="F316" s="113"/>
      <c r="G316" s="115"/>
      <c r="H316" s="108"/>
      <c r="I316" s="108"/>
      <c r="K316" s="108"/>
      <c r="M316" s="123"/>
      <c r="O316" s="123"/>
      <c r="Q316" s="108"/>
      <c r="S316" s="123"/>
      <c r="U316" s="123"/>
      <c r="W316" s="108"/>
      <c r="Y316" s="123"/>
      <c r="AA316" s="123"/>
      <c r="AC316" s="108"/>
      <c r="AE316" s="123"/>
      <c r="AG316" s="123"/>
      <c r="AJ316" s="108"/>
    </row>
    <row r="317" spans="1:36" s="172" customFormat="1" ht="15">
      <c r="A317" s="108"/>
      <c r="B317" s="142"/>
      <c r="C317" s="142"/>
      <c r="D317" s="115"/>
      <c r="E317" s="115"/>
      <c r="F317" s="115"/>
      <c r="G317" s="115"/>
      <c r="H317" s="108"/>
      <c r="I317" s="108"/>
      <c r="K317" s="108"/>
      <c r="M317" s="123"/>
      <c r="O317" s="123"/>
      <c r="Q317" s="108"/>
      <c r="S317" s="123"/>
      <c r="U317" s="123"/>
      <c r="W317" s="108"/>
      <c r="Y317" s="123"/>
      <c r="AA317" s="123"/>
      <c r="AC317" s="108"/>
      <c r="AE317" s="123"/>
      <c r="AG317" s="123"/>
      <c r="AJ317" s="108"/>
    </row>
    <row r="318" spans="1:36" s="172" customFormat="1" ht="15">
      <c r="A318" s="108"/>
      <c r="B318" s="108"/>
      <c r="C318" s="108"/>
      <c r="D318" s="115"/>
      <c r="E318" s="149"/>
      <c r="F318" s="115"/>
      <c r="G318" s="115"/>
      <c r="H318" s="108"/>
      <c r="I318" s="108"/>
      <c r="K318" s="108"/>
      <c r="M318" s="123"/>
      <c r="O318" s="123"/>
      <c r="Q318" s="108"/>
      <c r="S318" s="123"/>
      <c r="U318" s="123"/>
      <c r="W318" s="108"/>
      <c r="Y318" s="123"/>
      <c r="AA318" s="123"/>
      <c r="AC318" s="108"/>
      <c r="AE318" s="123"/>
      <c r="AG318" s="123"/>
      <c r="AJ318" s="108"/>
    </row>
    <row r="319" spans="1:36" s="172" customFormat="1" ht="15">
      <c r="A319" s="108"/>
      <c r="B319" s="108"/>
      <c r="C319" s="108"/>
      <c r="D319" s="108"/>
      <c r="E319" s="108"/>
      <c r="F319" s="108"/>
      <c r="G319" s="108"/>
      <c r="H319" s="108"/>
      <c r="I319" s="108"/>
      <c r="K319" s="108"/>
      <c r="M319" s="123"/>
      <c r="O319" s="123"/>
      <c r="Q319" s="108"/>
      <c r="S319" s="123"/>
      <c r="U319" s="123"/>
      <c r="W319" s="108"/>
      <c r="Y319" s="123"/>
      <c r="AA319" s="123"/>
      <c r="AC319" s="108"/>
      <c r="AE319" s="123"/>
      <c r="AG319" s="123"/>
      <c r="AJ319" s="108"/>
    </row>
    <row r="320" spans="1:36" s="172" customFormat="1" ht="15">
      <c r="B320" s="108"/>
      <c r="D320" s="108"/>
      <c r="E320" s="108"/>
      <c r="F320" s="108"/>
      <c r="G320" s="108"/>
      <c r="H320" s="108"/>
      <c r="I320" s="108"/>
      <c r="K320" s="108"/>
      <c r="M320" s="123"/>
      <c r="O320" s="123"/>
      <c r="Q320" s="108"/>
      <c r="S320" s="123"/>
      <c r="U320" s="123"/>
      <c r="W320" s="108"/>
      <c r="Y320" s="123"/>
      <c r="AA320" s="123"/>
      <c r="AC320" s="108"/>
      <c r="AE320" s="123"/>
      <c r="AG320" s="123"/>
      <c r="AJ320" s="108"/>
    </row>
    <row r="321" spans="2:36" s="172" customFormat="1" ht="15">
      <c r="B321" s="108"/>
      <c r="D321" s="108"/>
      <c r="E321" s="108"/>
      <c r="F321" s="108"/>
      <c r="G321" s="108"/>
      <c r="H321" s="108"/>
      <c r="I321" s="108"/>
      <c r="K321" s="108"/>
      <c r="M321" s="123"/>
      <c r="O321" s="123"/>
      <c r="Q321" s="108"/>
      <c r="S321" s="123"/>
      <c r="U321" s="123"/>
      <c r="W321" s="108"/>
      <c r="Y321" s="123"/>
      <c r="AA321" s="123"/>
      <c r="AC321" s="108"/>
      <c r="AE321" s="123"/>
      <c r="AG321" s="123"/>
      <c r="AJ321" s="108"/>
    </row>
    <row r="322" spans="2:36" s="172" customFormat="1" ht="15">
      <c r="B322" s="108"/>
      <c r="D322" s="108"/>
      <c r="E322" s="108"/>
      <c r="F322" s="108"/>
      <c r="G322" s="108"/>
      <c r="H322" s="108"/>
      <c r="I322" s="108"/>
      <c r="K322" s="108"/>
      <c r="M322" s="123"/>
      <c r="O322" s="123"/>
      <c r="Q322" s="108"/>
      <c r="S322" s="123"/>
      <c r="U322" s="123"/>
      <c r="W322" s="108"/>
      <c r="Y322" s="123"/>
      <c r="AA322" s="123"/>
      <c r="AC322" s="108"/>
      <c r="AE322" s="123"/>
      <c r="AG322" s="123"/>
      <c r="AJ322" s="108"/>
    </row>
    <row r="323" spans="2:36" s="172" customFormat="1" ht="15">
      <c r="B323" s="108"/>
      <c r="D323" s="108"/>
      <c r="E323" s="108"/>
      <c r="F323" s="108"/>
      <c r="G323" s="108"/>
      <c r="H323" s="108"/>
      <c r="I323" s="108"/>
      <c r="K323" s="108"/>
      <c r="M323" s="123"/>
      <c r="O323" s="123"/>
      <c r="Q323" s="108"/>
      <c r="S323" s="123"/>
      <c r="U323" s="123"/>
      <c r="W323" s="108"/>
      <c r="Y323" s="123"/>
      <c r="AA323" s="123"/>
      <c r="AC323" s="108"/>
      <c r="AE323" s="123"/>
      <c r="AG323" s="123"/>
      <c r="AJ323" s="108"/>
    </row>
    <row r="324" spans="2:36" s="172" customFormat="1" ht="15">
      <c r="B324" s="108"/>
      <c r="D324" s="108"/>
      <c r="E324" s="108"/>
      <c r="F324" s="108"/>
      <c r="G324" s="108"/>
      <c r="H324" s="108"/>
      <c r="I324" s="108"/>
      <c r="K324" s="108"/>
      <c r="M324" s="123"/>
      <c r="O324" s="123"/>
      <c r="Q324" s="108"/>
      <c r="S324" s="123"/>
      <c r="U324" s="123"/>
      <c r="W324" s="108"/>
      <c r="Y324" s="123"/>
      <c r="AA324" s="123"/>
      <c r="AC324" s="108"/>
      <c r="AE324" s="123"/>
      <c r="AG324" s="123"/>
      <c r="AJ324" s="108"/>
    </row>
    <row r="325" spans="2:36" s="172" customFormat="1" ht="15">
      <c r="B325" s="108"/>
      <c r="D325" s="108"/>
      <c r="E325" s="108"/>
      <c r="F325" s="108"/>
      <c r="G325" s="108"/>
      <c r="H325" s="108"/>
      <c r="I325" s="108"/>
      <c r="K325" s="108"/>
      <c r="M325" s="123"/>
      <c r="O325" s="123"/>
      <c r="Q325" s="108"/>
      <c r="S325" s="123"/>
      <c r="U325" s="123"/>
      <c r="W325" s="108"/>
      <c r="Y325" s="123"/>
      <c r="AA325" s="123"/>
      <c r="AC325" s="108"/>
      <c r="AE325" s="123"/>
      <c r="AG325" s="123"/>
      <c r="AJ325" s="108"/>
    </row>
    <row r="326" spans="2:36" s="172" customFormat="1" ht="15">
      <c r="B326" s="108"/>
      <c r="D326" s="108"/>
      <c r="E326" s="108"/>
      <c r="F326" s="108"/>
      <c r="G326" s="108"/>
      <c r="H326" s="108"/>
      <c r="I326" s="108"/>
      <c r="K326" s="108"/>
      <c r="M326" s="123"/>
      <c r="O326" s="123"/>
      <c r="Q326" s="108"/>
      <c r="S326" s="123"/>
      <c r="U326" s="123"/>
      <c r="W326" s="108"/>
      <c r="Y326" s="123"/>
      <c r="AA326" s="123"/>
      <c r="AC326" s="108"/>
      <c r="AE326" s="123"/>
      <c r="AG326" s="123"/>
      <c r="AJ326" s="108"/>
    </row>
    <row r="327" spans="2:36" s="172" customFormat="1" ht="15">
      <c r="D327" s="108"/>
      <c r="E327" s="108"/>
      <c r="F327" s="108"/>
      <c r="G327" s="108"/>
      <c r="H327" s="108"/>
      <c r="I327" s="108"/>
      <c r="K327" s="108"/>
      <c r="M327" s="123"/>
      <c r="O327" s="123"/>
      <c r="Q327" s="108"/>
      <c r="S327" s="123"/>
      <c r="U327" s="123"/>
      <c r="W327" s="108"/>
      <c r="Y327" s="123"/>
      <c r="AA327" s="123"/>
      <c r="AC327" s="108"/>
      <c r="AE327" s="123"/>
      <c r="AG327" s="123"/>
      <c r="AJ327" s="108"/>
    </row>
    <row r="328" spans="2:36" s="172" customFormat="1" ht="15">
      <c r="D328" s="108"/>
      <c r="E328" s="108"/>
      <c r="F328" s="108"/>
      <c r="G328" s="108"/>
      <c r="H328" s="108"/>
      <c r="I328" s="108"/>
      <c r="K328" s="108"/>
      <c r="M328" s="123"/>
      <c r="O328" s="123"/>
      <c r="Q328" s="108"/>
      <c r="S328" s="123"/>
      <c r="U328" s="123"/>
      <c r="W328" s="108"/>
      <c r="Y328" s="123"/>
      <c r="AA328" s="123"/>
      <c r="AC328" s="108"/>
      <c r="AE328" s="123"/>
      <c r="AG328" s="123"/>
      <c r="AJ328" s="108"/>
    </row>
    <row r="329" spans="2:36" s="172" customFormat="1" ht="15">
      <c r="D329" s="108"/>
      <c r="E329" s="108"/>
      <c r="F329" s="108"/>
      <c r="G329" s="108"/>
      <c r="H329" s="108"/>
      <c r="I329" s="108"/>
      <c r="K329" s="108"/>
      <c r="M329" s="123"/>
      <c r="O329" s="123"/>
      <c r="Q329" s="108"/>
      <c r="S329" s="123"/>
      <c r="U329" s="123"/>
      <c r="W329" s="108"/>
      <c r="Y329" s="123"/>
      <c r="AA329" s="123"/>
      <c r="AC329" s="108"/>
      <c r="AE329" s="123"/>
      <c r="AG329" s="123"/>
      <c r="AJ329" s="108"/>
    </row>
    <row r="330" spans="2:36" s="172" customFormat="1" ht="15">
      <c r="D330" s="108"/>
      <c r="E330" s="108"/>
      <c r="F330" s="108"/>
      <c r="G330" s="108"/>
      <c r="H330" s="108"/>
      <c r="I330" s="108"/>
      <c r="K330" s="108"/>
      <c r="M330" s="123"/>
      <c r="O330" s="123"/>
      <c r="Q330" s="108"/>
      <c r="S330" s="123"/>
      <c r="U330" s="123"/>
      <c r="W330" s="108"/>
      <c r="Y330" s="123"/>
      <c r="AA330" s="123"/>
      <c r="AC330" s="108"/>
      <c r="AE330" s="123"/>
      <c r="AG330" s="123"/>
      <c r="AJ330" s="108"/>
    </row>
    <row r="331" spans="2:36" s="172" customFormat="1" ht="15">
      <c r="D331" s="108"/>
      <c r="E331" s="108"/>
      <c r="F331" s="108"/>
      <c r="G331" s="108"/>
      <c r="H331" s="108"/>
      <c r="I331" s="108"/>
      <c r="K331" s="108"/>
      <c r="M331" s="123"/>
      <c r="O331" s="123"/>
      <c r="Q331" s="108"/>
      <c r="S331" s="123"/>
      <c r="U331" s="123"/>
      <c r="W331" s="108"/>
      <c r="Y331" s="123"/>
      <c r="AA331" s="123"/>
      <c r="AC331" s="108"/>
      <c r="AE331" s="123"/>
      <c r="AG331" s="123"/>
      <c r="AJ331" s="108"/>
    </row>
    <row r="332" spans="2:36" s="172" customFormat="1" ht="15">
      <c r="D332" s="108"/>
      <c r="E332" s="108"/>
      <c r="F332" s="108"/>
      <c r="G332" s="108"/>
      <c r="H332" s="108"/>
      <c r="I332" s="108"/>
      <c r="K332" s="108"/>
      <c r="M332" s="123"/>
      <c r="O332" s="123"/>
      <c r="Q332" s="108"/>
      <c r="S332" s="123"/>
      <c r="U332" s="123"/>
      <c r="W332" s="108"/>
      <c r="Y332" s="123"/>
      <c r="AA332" s="123"/>
      <c r="AC332" s="108"/>
      <c r="AE332" s="123"/>
      <c r="AG332" s="123"/>
      <c r="AJ332" s="108"/>
    </row>
    <row r="333" spans="2:36" s="172" customFormat="1" ht="15">
      <c r="D333" s="108"/>
      <c r="E333" s="108"/>
      <c r="F333" s="108"/>
      <c r="G333" s="108"/>
      <c r="H333" s="108"/>
      <c r="I333" s="108"/>
      <c r="K333" s="108"/>
      <c r="M333" s="123"/>
      <c r="O333" s="123"/>
      <c r="Q333" s="108"/>
      <c r="S333" s="123"/>
      <c r="U333" s="123"/>
      <c r="W333" s="108"/>
      <c r="Y333" s="123"/>
      <c r="AA333" s="123"/>
      <c r="AC333" s="108"/>
      <c r="AE333" s="123"/>
      <c r="AG333" s="123"/>
      <c r="AJ333" s="108"/>
    </row>
    <row r="334" spans="2:36" s="172" customFormat="1" ht="15">
      <c r="D334" s="108"/>
      <c r="E334" s="108"/>
      <c r="F334" s="108"/>
      <c r="G334" s="108"/>
      <c r="H334" s="108"/>
      <c r="I334" s="108"/>
      <c r="K334" s="108"/>
      <c r="M334" s="123"/>
      <c r="O334" s="123"/>
      <c r="Q334" s="108"/>
      <c r="S334" s="123"/>
      <c r="U334" s="123"/>
      <c r="W334" s="108"/>
      <c r="Y334" s="123"/>
      <c r="AA334" s="123"/>
      <c r="AC334" s="108"/>
      <c r="AE334" s="123"/>
      <c r="AG334" s="123"/>
      <c r="AJ334" s="108"/>
    </row>
    <row r="335" spans="2:36" s="172" customFormat="1" ht="15">
      <c r="D335" s="108"/>
      <c r="E335" s="108"/>
      <c r="F335" s="108"/>
      <c r="G335" s="108"/>
      <c r="H335" s="108"/>
      <c r="I335" s="108"/>
      <c r="K335" s="108"/>
      <c r="M335" s="123"/>
      <c r="O335" s="123"/>
      <c r="Q335" s="108"/>
      <c r="S335" s="123"/>
      <c r="U335" s="123"/>
      <c r="W335" s="108"/>
      <c r="Y335" s="123"/>
      <c r="AA335" s="123"/>
      <c r="AC335" s="108"/>
      <c r="AE335" s="123"/>
      <c r="AG335" s="123"/>
      <c r="AJ335" s="108"/>
    </row>
    <row r="336" spans="2:36" s="172" customFormat="1" ht="15">
      <c r="D336" s="108"/>
      <c r="E336" s="108"/>
      <c r="F336" s="108"/>
      <c r="G336" s="108"/>
      <c r="H336" s="108"/>
      <c r="I336" s="108"/>
      <c r="K336" s="108"/>
      <c r="M336" s="123"/>
      <c r="O336" s="123"/>
      <c r="Q336" s="108"/>
      <c r="S336" s="123"/>
      <c r="U336" s="123"/>
      <c r="W336" s="108"/>
      <c r="Y336" s="123"/>
      <c r="AA336" s="123"/>
      <c r="AC336" s="108"/>
      <c r="AE336" s="123"/>
      <c r="AG336" s="123"/>
      <c r="AJ336" s="108"/>
    </row>
    <row r="337" spans="4:36" s="172" customFormat="1" ht="15">
      <c r="D337" s="108"/>
      <c r="E337" s="108"/>
      <c r="F337" s="108"/>
      <c r="G337" s="108"/>
      <c r="H337" s="108"/>
      <c r="I337" s="108"/>
      <c r="K337" s="108"/>
      <c r="M337" s="123"/>
      <c r="O337" s="123"/>
      <c r="Q337" s="108"/>
      <c r="S337" s="123"/>
      <c r="U337" s="123"/>
      <c r="W337" s="108"/>
      <c r="Y337" s="123"/>
      <c r="AA337" s="123"/>
      <c r="AC337" s="108"/>
      <c r="AE337" s="123"/>
      <c r="AG337" s="123"/>
      <c r="AJ337" s="108"/>
    </row>
    <row r="338" spans="4:36" s="172" customFormat="1" ht="15">
      <c r="D338" s="108"/>
      <c r="E338" s="108"/>
      <c r="F338" s="108"/>
      <c r="G338" s="108"/>
      <c r="H338" s="108"/>
      <c r="I338" s="108"/>
      <c r="K338" s="108"/>
      <c r="M338" s="123"/>
      <c r="O338" s="123"/>
      <c r="Q338" s="108"/>
      <c r="S338" s="123"/>
      <c r="U338" s="123"/>
      <c r="W338" s="108"/>
      <c r="Y338" s="123"/>
      <c r="AA338" s="123"/>
      <c r="AC338" s="108"/>
      <c r="AE338" s="123"/>
      <c r="AG338" s="123"/>
      <c r="AJ338" s="108"/>
    </row>
    <row r="339" spans="4:36" s="172" customFormat="1" ht="15">
      <c r="D339" s="108"/>
      <c r="E339" s="108"/>
      <c r="F339" s="108"/>
      <c r="G339" s="108"/>
      <c r="H339" s="108"/>
      <c r="I339" s="108"/>
      <c r="K339" s="108"/>
      <c r="M339" s="123"/>
      <c r="O339" s="123"/>
      <c r="Q339" s="108"/>
      <c r="S339" s="123"/>
      <c r="U339" s="123"/>
      <c r="W339" s="108"/>
      <c r="Y339" s="123"/>
      <c r="AA339" s="123"/>
      <c r="AC339" s="108"/>
      <c r="AE339" s="123"/>
      <c r="AG339" s="123"/>
      <c r="AJ339" s="108"/>
    </row>
    <row r="340" spans="4:36" s="172" customFormat="1" ht="15">
      <c r="D340" s="108"/>
      <c r="E340" s="108"/>
      <c r="F340" s="108"/>
      <c r="G340" s="108"/>
      <c r="H340" s="108"/>
      <c r="I340" s="108"/>
      <c r="K340" s="108"/>
      <c r="M340" s="123"/>
      <c r="O340" s="123"/>
      <c r="Q340" s="108"/>
      <c r="S340" s="123"/>
      <c r="U340" s="123"/>
      <c r="W340" s="108"/>
      <c r="Y340" s="123"/>
      <c r="AA340" s="123"/>
      <c r="AC340" s="108"/>
      <c r="AE340" s="123"/>
      <c r="AG340" s="123"/>
      <c r="AJ340" s="108"/>
    </row>
    <row r="341" spans="4:36" s="172" customFormat="1" ht="15">
      <c r="D341" s="108"/>
      <c r="E341" s="108"/>
      <c r="F341" s="108"/>
      <c r="G341" s="108"/>
      <c r="H341" s="108"/>
      <c r="I341" s="108"/>
      <c r="K341" s="108"/>
      <c r="M341" s="123"/>
      <c r="O341" s="123"/>
      <c r="Q341" s="108"/>
      <c r="S341" s="123"/>
      <c r="U341" s="123"/>
      <c r="W341" s="108"/>
      <c r="Y341" s="123"/>
      <c r="AA341" s="123"/>
      <c r="AC341" s="108"/>
      <c r="AE341" s="123"/>
      <c r="AG341" s="123"/>
      <c r="AJ341" s="108"/>
    </row>
    <row r="342" spans="4:36" s="172" customFormat="1" ht="15">
      <c r="D342" s="108"/>
      <c r="E342" s="108"/>
      <c r="F342" s="108"/>
      <c r="G342" s="108"/>
      <c r="H342" s="108"/>
      <c r="I342" s="108"/>
      <c r="K342" s="108"/>
      <c r="M342" s="123"/>
      <c r="O342" s="123"/>
      <c r="Q342" s="108"/>
      <c r="S342" s="123"/>
      <c r="U342" s="123"/>
      <c r="W342" s="108"/>
      <c r="Y342" s="123"/>
      <c r="AA342" s="123"/>
      <c r="AC342" s="108"/>
      <c r="AE342" s="123"/>
      <c r="AG342" s="123"/>
      <c r="AJ342" s="108"/>
    </row>
    <row r="343" spans="4:36" s="172" customFormat="1" ht="15">
      <c r="D343" s="108"/>
      <c r="E343" s="108"/>
      <c r="F343" s="108"/>
      <c r="G343" s="108"/>
      <c r="H343" s="108"/>
      <c r="I343" s="108"/>
      <c r="K343" s="108"/>
      <c r="M343" s="123"/>
      <c r="O343" s="123"/>
      <c r="Q343" s="108"/>
      <c r="S343" s="123"/>
      <c r="U343" s="123"/>
      <c r="W343" s="108"/>
      <c r="Y343" s="123"/>
      <c r="AA343" s="123"/>
      <c r="AC343" s="108"/>
      <c r="AE343" s="123"/>
      <c r="AG343" s="123"/>
      <c r="AJ343" s="108"/>
    </row>
    <row r="344" spans="4:36" s="172" customFormat="1" ht="15">
      <c r="D344" s="108"/>
      <c r="E344" s="108"/>
      <c r="F344" s="108"/>
      <c r="G344" s="108"/>
      <c r="H344" s="108"/>
      <c r="I344" s="108"/>
      <c r="K344" s="108"/>
      <c r="M344" s="123"/>
      <c r="O344" s="123"/>
      <c r="Q344" s="108"/>
      <c r="S344" s="123"/>
      <c r="U344" s="123"/>
      <c r="W344" s="108"/>
      <c r="Y344" s="123"/>
      <c r="AA344" s="123"/>
      <c r="AC344" s="108"/>
      <c r="AE344" s="123"/>
      <c r="AG344" s="123"/>
      <c r="AJ344" s="108"/>
    </row>
    <row r="345" spans="4:36" s="172" customFormat="1" ht="15">
      <c r="D345" s="108"/>
      <c r="E345" s="108"/>
      <c r="F345" s="108"/>
      <c r="G345" s="108"/>
      <c r="H345" s="108"/>
      <c r="I345" s="108"/>
      <c r="K345" s="108"/>
      <c r="M345" s="123"/>
      <c r="O345" s="123"/>
      <c r="Q345" s="108"/>
      <c r="S345" s="123"/>
      <c r="U345" s="123"/>
      <c r="W345" s="108"/>
      <c r="Y345" s="123"/>
      <c r="AA345" s="123"/>
      <c r="AC345" s="108"/>
      <c r="AE345" s="123"/>
      <c r="AG345" s="123"/>
      <c r="AJ345" s="108"/>
    </row>
    <row r="346" spans="4:36" s="172" customFormat="1" ht="15">
      <c r="D346" s="108"/>
      <c r="E346" s="108"/>
      <c r="F346" s="108"/>
      <c r="G346" s="108"/>
      <c r="H346" s="108"/>
      <c r="I346" s="108"/>
      <c r="K346" s="108"/>
      <c r="M346" s="123"/>
      <c r="O346" s="123"/>
      <c r="Q346" s="108"/>
      <c r="S346" s="123"/>
      <c r="U346" s="123"/>
      <c r="W346" s="108"/>
      <c r="Y346" s="123"/>
      <c r="AA346" s="123"/>
      <c r="AC346" s="108"/>
      <c r="AE346" s="123"/>
      <c r="AG346" s="123"/>
      <c r="AJ346" s="108"/>
    </row>
    <row r="347" spans="4:36" s="172" customFormat="1" ht="15">
      <c r="D347" s="108"/>
      <c r="E347" s="108"/>
      <c r="F347" s="108"/>
      <c r="G347" s="108"/>
      <c r="H347" s="108"/>
      <c r="I347" s="108"/>
      <c r="K347" s="108"/>
      <c r="M347" s="123"/>
      <c r="O347" s="123"/>
      <c r="Q347" s="108"/>
      <c r="S347" s="123"/>
      <c r="U347" s="123"/>
      <c r="W347" s="108"/>
      <c r="Y347" s="123"/>
      <c r="AA347" s="123"/>
      <c r="AC347" s="108"/>
      <c r="AE347" s="123"/>
      <c r="AG347" s="123"/>
      <c r="AJ347" s="108"/>
    </row>
    <row r="348" spans="4:36" s="172" customFormat="1" ht="15">
      <c r="D348" s="108"/>
      <c r="E348" s="108"/>
      <c r="F348" s="108"/>
      <c r="G348" s="108"/>
      <c r="H348" s="108"/>
      <c r="I348" s="108"/>
      <c r="K348" s="108"/>
      <c r="M348" s="123"/>
      <c r="O348" s="123"/>
      <c r="Q348" s="108"/>
      <c r="S348" s="123"/>
      <c r="U348" s="123"/>
      <c r="W348" s="108"/>
      <c r="Y348" s="123"/>
      <c r="AA348" s="123"/>
      <c r="AC348" s="108"/>
      <c r="AE348" s="123"/>
      <c r="AG348" s="123"/>
      <c r="AJ348" s="108"/>
    </row>
    <row r="349" spans="4:36" s="172" customFormat="1" ht="15">
      <c r="D349" s="108"/>
      <c r="E349" s="108"/>
      <c r="F349" s="108"/>
      <c r="G349" s="108"/>
      <c r="H349" s="108"/>
      <c r="I349" s="108"/>
      <c r="K349" s="108"/>
      <c r="M349" s="123"/>
      <c r="O349" s="123"/>
      <c r="Q349" s="108"/>
      <c r="S349" s="123"/>
      <c r="U349" s="123"/>
      <c r="W349" s="108"/>
      <c r="Y349" s="123"/>
      <c r="AA349" s="123"/>
      <c r="AC349" s="108"/>
      <c r="AE349" s="123"/>
      <c r="AG349" s="123"/>
      <c r="AJ349" s="108"/>
    </row>
    <row r="350" spans="4:36" s="172" customFormat="1" ht="15">
      <c r="D350" s="108"/>
      <c r="E350" s="108"/>
      <c r="F350" s="108"/>
      <c r="G350" s="108"/>
      <c r="H350" s="108"/>
      <c r="I350" s="108"/>
      <c r="K350" s="108"/>
      <c r="M350" s="123"/>
      <c r="O350" s="123"/>
      <c r="Q350" s="108"/>
      <c r="S350" s="123"/>
      <c r="U350" s="123"/>
      <c r="W350" s="108"/>
      <c r="Y350" s="123"/>
      <c r="AA350" s="123"/>
      <c r="AC350" s="108"/>
      <c r="AE350" s="123"/>
      <c r="AG350" s="123"/>
      <c r="AJ350" s="108"/>
    </row>
    <row r="351" spans="4:36" s="172" customFormat="1" ht="15">
      <c r="D351" s="108"/>
      <c r="E351" s="108"/>
      <c r="F351" s="108"/>
      <c r="G351" s="108"/>
      <c r="H351" s="108"/>
      <c r="I351" s="108"/>
      <c r="K351" s="108"/>
      <c r="M351" s="123"/>
      <c r="O351" s="123"/>
      <c r="Q351" s="108"/>
      <c r="S351" s="123"/>
      <c r="U351" s="123"/>
      <c r="W351" s="108"/>
      <c r="Y351" s="123"/>
      <c r="AA351" s="123"/>
      <c r="AC351" s="108"/>
      <c r="AE351" s="123"/>
      <c r="AG351" s="123"/>
      <c r="AJ351" s="108"/>
    </row>
    <row r="352" spans="4:36" s="172" customFormat="1" ht="15">
      <c r="D352" s="108"/>
      <c r="E352" s="108"/>
      <c r="F352" s="108"/>
      <c r="G352" s="108"/>
      <c r="H352" s="108"/>
      <c r="I352" s="108"/>
      <c r="K352" s="108"/>
      <c r="M352" s="123"/>
      <c r="O352" s="123"/>
      <c r="Q352" s="108"/>
      <c r="S352" s="123"/>
      <c r="U352" s="123"/>
      <c r="W352" s="108"/>
      <c r="Y352" s="123"/>
      <c r="AA352" s="123"/>
      <c r="AC352" s="108"/>
      <c r="AE352" s="123"/>
      <c r="AG352" s="123"/>
      <c r="AJ352" s="108"/>
    </row>
    <row r="353" spans="4:36" s="172" customFormat="1" ht="15">
      <c r="D353" s="108"/>
      <c r="E353" s="108"/>
      <c r="F353" s="108"/>
      <c r="G353" s="108"/>
      <c r="H353" s="108"/>
      <c r="I353" s="108"/>
      <c r="K353" s="108"/>
      <c r="M353" s="123"/>
      <c r="O353" s="123"/>
      <c r="Q353" s="108"/>
      <c r="S353" s="123"/>
      <c r="U353" s="123"/>
      <c r="W353" s="108"/>
      <c r="Y353" s="123"/>
      <c r="AA353" s="123"/>
      <c r="AC353" s="108"/>
      <c r="AE353" s="123"/>
      <c r="AG353" s="123"/>
      <c r="AJ353" s="108"/>
    </row>
    <row r="354" spans="4:36" s="172" customFormat="1" ht="15">
      <c r="D354" s="108"/>
      <c r="E354" s="108"/>
      <c r="F354" s="108"/>
      <c r="G354" s="108"/>
      <c r="H354" s="108"/>
      <c r="I354" s="108"/>
      <c r="K354" s="108"/>
      <c r="M354" s="123"/>
      <c r="O354" s="123"/>
      <c r="Q354" s="108"/>
      <c r="S354" s="123"/>
      <c r="U354" s="123"/>
      <c r="W354" s="108"/>
      <c r="Y354" s="123"/>
      <c r="AA354" s="123"/>
      <c r="AC354" s="108"/>
      <c r="AE354" s="123"/>
      <c r="AG354" s="123"/>
      <c r="AJ354" s="108"/>
    </row>
    <row r="355" spans="4:36" s="172" customFormat="1" ht="15">
      <c r="D355" s="108"/>
      <c r="E355" s="108"/>
      <c r="F355" s="108"/>
      <c r="G355" s="108"/>
      <c r="H355" s="108"/>
      <c r="I355" s="108"/>
      <c r="K355" s="108"/>
      <c r="M355" s="123"/>
      <c r="O355" s="123"/>
      <c r="Q355" s="108"/>
      <c r="S355" s="123"/>
      <c r="U355" s="123"/>
      <c r="W355" s="108"/>
      <c r="Y355" s="123"/>
      <c r="AA355" s="123"/>
      <c r="AC355" s="108"/>
      <c r="AE355" s="123"/>
      <c r="AG355" s="123"/>
      <c r="AJ355" s="108"/>
    </row>
    <row r="356" spans="4:36" s="172" customFormat="1" ht="15">
      <c r="D356" s="108"/>
      <c r="E356" s="108"/>
      <c r="F356" s="108"/>
      <c r="G356" s="108"/>
      <c r="H356" s="108"/>
      <c r="I356" s="108"/>
      <c r="K356" s="108"/>
      <c r="M356" s="123"/>
      <c r="O356" s="123"/>
      <c r="Q356" s="108"/>
      <c r="S356" s="123"/>
      <c r="U356" s="123"/>
      <c r="W356" s="108"/>
      <c r="Y356" s="123"/>
      <c r="AA356" s="123"/>
      <c r="AC356" s="108"/>
      <c r="AE356" s="123"/>
      <c r="AG356" s="123"/>
      <c r="AJ356" s="108"/>
    </row>
    <row r="357" spans="4:36" s="172" customFormat="1" ht="15">
      <c r="D357" s="108"/>
      <c r="E357" s="108"/>
      <c r="F357" s="108"/>
      <c r="G357" s="108"/>
      <c r="H357" s="108"/>
      <c r="I357" s="108"/>
      <c r="K357" s="108"/>
      <c r="M357" s="123"/>
      <c r="O357" s="123"/>
      <c r="Q357" s="108"/>
      <c r="S357" s="123"/>
      <c r="U357" s="123"/>
      <c r="W357" s="108"/>
      <c r="Y357" s="123"/>
      <c r="AA357" s="123"/>
      <c r="AC357" s="108"/>
      <c r="AE357" s="123"/>
      <c r="AG357" s="123"/>
      <c r="AJ357" s="108"/>
    </row>
    <row r="358" spans="4:36" s="172" customFormat="1" ht="15">
      <c r="D358" s="108"/>
      <c r="E358" s="108"/>
      <c r="F358" s="108"/>
      <c r="G358" s="108"/>
      <c r="H358" s="108"/>
      <c r="I358" s="108"/>
      <c r="K358" s="108"/>
      <c r="M358" s="123"/>
      <c r="O358" s="123"/>
      <c r="Q358" s="108"/>
      <c r="S358" s="123"/>
      <c r="U358" s="123"/>
      <c r="W358" s="108"/>
      <c r="Y358" s="123"/>
      <c r="AA358" s="123"/>
      <c r="AC358" s="108"/>
      <c r="AE358" s="123"/>
      <c r="AG358" s="123"/>
      <c r="AJ358" s="108"/>
    </row>
    <row r="359" spans="4:36" s="172" customFormat="1" ht="15">
      <c r="D359" s="108"/>
      <c r="E359" s="108"/>
      <c r="F359" s="108"/>
      <c r="G359" s="108"/>
      <c r="H359" s="108"/>
      <c r="I359" s="108"/>
      <c r="K359" s="108"/>
      <c r="M359" s="123"/>
      <c r="O359" s="123"/>
      <c r="Q359" s="108"/>
      <c r="S359" s="123"/>
      <c r="U359" s="123"/>
      <c r="W359" s="108"/>
      <c r="Y359" s="123"/>
      <c r="AA359" s="123"/>
      <c r="AC359" s="108"/>
      <c r="AE359" s="123"/>
      <c r="AG359" s="123"/>
      <c r="AJ359" s="108"/>
    </row>
    <row r="360" spans="4:36" s="172" customFormat="1" ht="15">
      <c r="D360" s="108"/>
      <c r="E360" s="108"/>
      <c r="F360" s="108"/>
      <c r="G360" s="108"/>
      <c r="H360" s="108"/>
      <c r="I360" s="108"/>
      <c r="K360" s="108"/>
      <c r="M360" s="123"/>
      <c r="O360" s="123"/>
      <c r="Q360" s="108"/>
      <c r="S360" s="123"/>
      <c r="U360" s="123"/>
      <c r="W360" s="108"/>
      <c r="Y360" s="123"/>
      <c r="AA360" s="123"/>
      <c r="AC360" s="108"/>
      <c r="AE360" s="123"/>
      <c r="AG360" s="123"/>
      <c r="AJ360" s="108"/>
    </row>
    <row r="361" spans="4:36" s="172" customFormat="1" ht="15">
      <c r="D361" s="108"/>
      <c r="E361" s="108"/>
      <c r="F361" s="108"/>
      <c r="G361" s="108"/>
      <c r="H361" s="108"/>
      <c r="I361" s="108"/>
      <c r="K361" s="108"/>
      <c r="M361" s="123"/>
      <c r="O361" s="123"/>
      <c r="Q361" s="108"/>
      <c r="S361" s="123"/>
      <c r="U361" s="123"/>
      <c r="W361" s="108"/>
      <c r="Y361" s="123"/>
      <c r="AA361" s="123"/>
      <c r="AC361" s="108"/>
      <c r="AE361" s="123"/>
      <c r="AG361" s="123"/>
      <c r="AJ361" s="108"/>
    </row>
    <row r="362" spans="4:36" s="172" customFormat="1" ht="15">
      <c r="D362" s="108"/>
      <c r="E362" s="108"/>
      <c r="F362" s="108"/>
      <c r="G362" s="108"/>
      <c r="H362" s="108"/>
      <c r="I362" s="108"/>
      <c r="K362" s="108"/>
      <c r="M362" s="123"/>
      <c r="O362" s="123"/>
      <c r="Q362" s="108"/>
      <c r="S362" s="123"/>
      <c r="U362" s="123"/>
      <c r="W362" s="108"/>
      <c r="Y362" s="123"/>
      <c r="AA362" s="123"/>
      <c r="AC362" s="108"/>
      <c r="AE362" s="123"/>
      <c r="AG362" s="123"/>
      <c r="AJ362" s="108"/>
    </row>
    <row r="363" spans="4:36" s="172" customFormat="1" ht="15">
      <c r="D363" s="108"/>
      <c r="E363" s="108"/>
      <c r="F363" s="108"/>
      <c r="G363" s="108"/>
      <c r="H363" s="108"/>
      <c r="I363" s="108"/>
      <c r="K363" s="108"/>
      <c r="M363" s="123"/>
      <c r="O363" s="123"/>
      <c r="Q363" s="108"/>
      <c r="S363" s="123"/>
      <c r="U363" s="123"/>
      <c r="W363" s="108"/>
      <c r="Y363" s="123"/>
      <c r="AA363" s="123"/>
      <c r="AC363" s="108"/>
      <c r="AE363" s="123"/>
      <c r="AG363" s="123"/>
      <c r="AJ363" s="108"/>
    </row>
    <row r="364" spans="4:36" s="172" customFormat="1" ht="15">
      <c r="D364" s="108"/>
      <c r="E364" s="108"/>
      <c r="F364" s="108"/>
      <c r="G364" s="108"/>
      <c r="H364" s="108"/>
      <c r="I364" s="108"/>
      <c r="K364" s="108"/>
      <c r="M364" s="123"/>
      <c r="O364" s="123"/>
      <c r="Q364" s="108"/>
      <c r="S364" s="123"/>
      <c r="U364" s="123"/>
      <c r="W364" s="108"/>
      <c r="Y364" s="123"/>
      <c r="AA364" s="123"/>
      <c r="AC364" s="108"/>
      <c r="AE364" s="123"/>
      <c r="AG364" s="123"/>
      <c r="AJ364" s="108"/>
    </row>
    <row r="365" spans="4:36" s="172" customFormat="1" ht="15">
      <c r="D365" s="108"/>
      <c r="E365" s="108"/>
      <c r="F365" s="108"/>
      <c r="G365" s="108"/>
      <c r="H365" s="108"/>
      <c r="I365" s="108"/>
      <c r="K365" s="108"/>
      <c r="M365" s="123"/>
      <c r="O365" s="123"/>
      <c r="Q365" s="108"/>
      <c r="S365" s="123"/>
      <c r="U365" s="123"/>
      <c r="W365" s="108"/>
      <c r="Y365" s="123"/>
      <c r="AA365" s="123"/>
      <c r="AC365" s="108"/>
      <c r="AE365" s="123"/>
      <c r="AG365" s="123"/>
      <c r="AJ365" s="108"/>
    </row>
    <row r="366" spans="4:36" s="172" customFormat="1" ht="15">
      <c r="D366" s="108"/>
      <c r="E366" s="108"/>
      <c r="F366" s="108"/>
      <c r="G366" s="108"/>
      <c r="H366" s="108"/>
      <c r="I366" s="108"/>
      <c r="K366" s="108"/>
      <c r="M366" s="123"/>
      <c r="O366" s="123"/>
      <c r="Q366" s="108"/>
      <c r="S366" s="123"/>
      <c r="U366" s="123"/>
      <c r="W366" s="108"/>
      <c r="Y366" s="123"/>
      <c r="AA366" s="123"/>
      <c r="AC366" s="108"/>
      <c r="AE366" s="123"/>
      <c r="AG366" s="123"/>
      <c r="AJ366" s="108"/>
    </row>
    <row r="367" spans="4:36" s="172" customFormat="1" ht="15">
      <c r="D367" s="108"/>
      <c r="E367" s="108"/>
      <c r="F367" s="108"/>
      <c r="G367" s="108"/>
      <c r="H367" s="108"/>
      <c r="I367" s="108"/>
      <c r="K367" s="108"/>
      <c r="M367" s="123"/>
      <c r="O367" s="123"/>
      <c r="Q367" s="108"/>
      <c r="S367" s="123"/>
      <c r="U367" s="123"/>
      <c r="W367" s="108"/>
      <c r="Y367" s="123"/>
      <c r="AA367" s="123"/>
      <c r="AC367" s="108"/>
      <c r="AE367" s="123"/>
      <c r="AG367" s="123"/>
      <c r="AJ367" s="108"/>
    </row>
    <row r="368" spans="4:36" s="172" customFormat="1" ht="15">
      <c r="D368" s="108"/>
      <c r="E368" s="108"/>
      <c r="F368" s="108"/>
      <c r="G368" s="108"/>
      <c r="H368" s="108"/>
      <c r="I368" s="108"/>
      <c r="K368" s="108"/>
      <c r="M368" s="123"/>
      <c r="O368" s="123"/>
      <c r="Q368" s="108"/>
      <c r="S368" s="123"/>
      <c r="U368" s="123"/>
      <c r="W368" s="108"/>
      <c r="Y368" s="123"/>
      <c r="AA368" s="123"/>
      <c r="AC368" s="108"/>
      <c r="AE368" s="123"/>
      <c r="AG368" s="123"/>
      <c r="AJ368" s="108"/>
    </row>
    <row r="369" spans="4:36" s="172" customFormat="1" ht="15">
      <c r="D369" s="108"/>
      <c r="E369" s="108"/>
      <c r="F369" s="108"/>
      <c r="G369" s="108"/>
      <c r="H369" s="108"/>
      <c r="I369" s="108"/>
      <c r="K369" s="108"/>
      <c r="M369" s="123"/>
      <c r="O369" s="123"/>
      <c r="Q369" s="108"/>
      <c r="S369" s="123"/>
      <c r="U369" s="123"/>
      <c r="W369" s="108"/>
      <c r="Y369" s="123"/>
      <c r="AA369" s="123"/>
      <c r="AC369" s="108"/>
      <c r="AE369" s="123"/>
      <c r="AG369" s="123"/>
      <c r="AJ369" s="108"/>
    </row>
    <row r="370" spans="4:36" s="172" customFormat="1" ht="15">
      <c r="D370" s="108"/>
      <c r="E370" s="108"/>
      <c r="F370" s="108"/>
      <c r="G370" s="108"/>
      <c r="H370" s="108"/>
      <c r="I370" s="108"/>
      <c r="K370" s="108"/>
      <c r="M370" s="123"/>
      <c r="O370" s="123"/>
      <c r="Q370" s="108"/>
      <c r="S370" s="123"/>
      <c r="U370" s="123"/>
      <c r="W370" s="108"/>
      <c r="Y370" s="123"/>
      <c r="AA370" s="123"/>
      <c r="AC370" s="108"/>
      <c r="AE370" s="123"/>
      <c r="AG370" s="123"/>
      <c r="AJ370" s="108"/>
    </row>
    <row r="371" spans="4:36" s="172" customFormat="1" ht="15">
      <c r="D371" s="108"/>
      <c r="E371" s="108"/>
      <c r="F371" s="108"/>
      <c r="G371" s="108"/>
      <c r="H371" s="108"/>
      <c r="I371" s="108"/>
      <c r="K371" s="108"/>
      <c r="M371" s="123"/>
      <c r="O371" s="123"/>
      <c r="Q371" s="108"/>
      <c r="S371" s="123"/>
      <c r="U371" s="123"/>
      <c r="W371" s="108"/>
      <c r="Y371" s="123"/>
      <c r="AA371" s="123"/>
      <c r="AC371" s="108"/>
      <c r="AE371" s="123"/>
      <c r="AG371" s="123"/>
      <c r="AJ371" s="108"/>
    </row>
    <row r="372" spans="4:36" s="172" customFormat="1" ht="15">
      <c r="D372" s="108"/>
      <c r="E372" s="108"/>
      <c r="F372" s="108"/>
      <c r="G372" s="108"/>
      <c r="H372" s="108"/>
      <c r="I372" s="108"/>
      <c r="K372" s="108"/>
      <c r="M372" s="123"/>
      <c r="O372" s="123"/>
      <c r="Q372" s="108"/>
      <c r="S372" s="123"/>
      <c r="U372" s="123"/>
      <c r="W372" s="108"/>
      <c r="Y372" s="123"/>
      <c r="AA372" s="123"/>
      <c r="AC372" s="108"/>
      <c r="AE372" s="123"/>
      <c r="AG372" s="123"/>
      <c r="AJ372" s="108"/>
    </row>
    <row r="373" spans="4:36" s="172" customFormat="1" ht="15">
      <c r="D373" s="108"/>
      <c r="E373" s="108"/>
      <c r="F373" s="108"/>
      <c r="G373" s="108"/>
      <c r="H373" s="108"/>
      <c r="I373" s="108"/>
      <c r="K373" s="108"/>
      <c r="M373" s="123"/>
      <c r="O373" s="123"/>
      <c r="Q373" s="108"/>
      <c r="S373" s="123"/>
      <c r="U373" s="123"/>
      <c r="W373" s="108"/>
      <c r="Y373" s="123"/>
      <c r="AA373" s="123"/>
      <c r="AC373" s="108"/>
      <c r="AE373" s="123"/>
      <c r="AG373" s="123"/>
      <c r="AJ373" s="108"/>
    </row>
    <row r="374" spans="4:36" s="172" customFormat="1" ht="15">
      <c r="D374" s="108"/>
      <c r="E374" s="108"/>
      <c r="F374" s="108"/>
      <c r="G374" s="108"/>
      <c r="H374" s="108"/>
      <c r="I374" s="108"/>
      <c r="K374" s="108"/>
      <c r="M374" s="123"/>
      <c r="O374" s="123"/>
      <c r="Q374" s="108"/>
      <c r="S374" s="123"/>
      <c r="U374" s="123"/>
      <c r="W374" s="108"/>
      <c r="Y374" s="123"/>
      <c r="AA374" s="123"/>
      <c r="AC374" s="108"/>
      <c r="AE374" s="123"/>
      <c r="AG374" s="123"/>
      <c r="AJ374" s="108"/>
    </row>
    <row r="375" spans="4:36" s="172" customFormat="1" ht="15">
      <c r="D375" s="108"/>
      <c r="E375" s="108"/>
      <c r="F375" s="108"/>
      <c r="G375" s="108"/>
      <c r="H375" s="108"/>
      <c r="I375" s="108"/>
      <c r="K375" s="108"/>
      <c r="M375" s="123"/>
      <c r="O375" s="123"/>
      <c r="Q375" s="108"/>
      <c r="S375" s="123"/>
      <c r="U375" s="123"/>
      <c r="W375" s="108"/>
      <c r="Y375" s="123"/>
      <c r="AA375" s="123"/>
      <c r="AC375" s="108"/>
      <c r="AE375" s="123"/>
      <c r="AG375" s="123"/>
      <c r="AJ375" s="108"/>
    </row>
    <row r="376" spans="4:36" s="172" customFormat="1" ht="15">
      <c r="D376" s="108"/>
      <c r="E376" s="108"/>
      <c r="F376" s="108"/>
      <c r="G376" s="108"/>
      <c r="H376" s="108"/>
      <c r="I376" s="108"/>
      <c r="K376" s="108"/>
      <c r="M376" s="123"/>
      <c r="O376" s="123"/>
      <c r="Q376" s="108"/>
      <c r="S376" s="123"/>
      <c r="U376" s="123"/>
      <c r="W376" s="108"/>
      <c r="Y376" s="123"/>
      <c r="AA376" s="123"/>
      <c r="AC376" s="108"/>
      <c r="AE376" s="123"/>
      <c r="AG376" s="123"/>
      <c r="AJ376" s="108"/>
    </row>
    <row r="377" spans="4:36" s="172" customFormat="1" ht="15">
      <c r="D377" s="108"/>
      <c r="E377" s="108"/>
      <c r="F377" s="108"/>
      <c r="G377" s="108"/>
      <c r="H377" s="108"/>
      <c r="I377" s="108"/>
      <c r="K377" s="108"/>
      <c r="M377" s="123"/>
      <c r="O377" s="123"/>
      <c r="Q377" s="108"/>
      <c r="S377" s="123"/>
      <c r="U377" s="123"/>
      <c r="W377" s="108"/>
      <c r="Y377" s="123"/>
      <c r="AA377" s="123"/>
      <c r="AC377" s="108"/>
      <c r="AE377" s="123"/>
      <c r="AG377" s="123"/>
      <c r="AJ377" s="108"/>
    </row>
    <row r="378" spans="4:36" s="172" customFormat="1" ht="15">
      <c r="D378" s="108"/>
      <c r="E378" s="108"/>
      <c r="F378" s="108"/>
      <c r="G378" s="108"/>
      <c r="H378" s="108"/>
      <c r="I378" s="108"/>
      <c r="K378" s="108"/>
      <c r="M378" s="123"/>
      <c r="O378" s="123"/>
      <c r="Q378" s="108"/>
      <c r="S378" s="123"/>
      <c r="U378" s="123"/>
      <c r="W378" s="108"/>
      <c r="Y378" s="123"/>
      <c r="AA378" s="123"/>
      <c r="AC378" s="108"/>
      <c r="AE378" s="123"/>
      <c r="AG378" s="123"/>
      <c r="AJ378" s="108"/>
    </row>
    <row r="379" spans="4:36" s="172" customFormat="1" ht="15">
      <c r="D379" s="108"/>
      <c r="E379" s="108"/>
      <c r="F379" s="108"/>
      <c r="G379" s="108"/>
      <c r="H379" s="108"/>
      <c r="I379" s="108"/>
      <c r="K379" s="108"/>
      <c r="M379" s="123"/>
      <c r="O379" s="123"/>
      <c r="Q379" s="108"/>
      <c r="S379" s="123"/>
      <c r="U379" s="123"/>
      <c r="W379" s="108"/>
      <c r="Y379" s="123"/>
      <c r="AA379" s="123"/>
      <c r="AC379" s="108"/>
      <c r="AE379" s="123"/>
      <c r="AG379" s="123"/>
      <c r="AJ379" s="108"/>
    </row>
    <row r="380" spans="4:36" s="172" customFormat="1" ht="15">
      <c r="D380" s="108"/>
      <c r="E380" s="108"/>
      <c r="F380" s="108"/>
      <c r="G380" s="108"/>
      <c r="H380" s="108"/>
      <c r="I380" s="108"/>
      <c r="K380" s="108"/>
      <c r="M380" s="123"/>
      <c r="O380" s="123"/>
      <c r="Q380" s="108"/>
      <c r="S380" s="123"/>
      <c r="U380" s="123"/>
      <c r="W380" s="108"/>
      <c r="Y380" s="123"/>
      <c r="AA380" s="123"/>
      <c r="AC380" s="108"/>
      <c r="AE380" s="123"/>
      <c r="AG380" s="123"/>
      <c r="AJ380" s="108"/>
    </row>
    <row r="381" spans="4:36" s="172" customFormat="1" ht="15">
      <c r="D381" s="108"/>
      <c r="E381" s="108"/>
      <c r="F381" s="108"/>
      <c r="G381" s="108"/>
      <c r="H381" s="108"/>
      <c r="I381" s="108"/>
      <c r="K381" s="108"/>
      <c r="M381" s="123"/>
      <c r="O381" s="123"/>
      <c r="Q381" s="108"/>
      <c r="S381" s="123"/>
      <c r="U381" s="123"/>
      <c r="W381" s="108"/>
      <c r="Y381" s="123"/>
      <c r="AA381" s="123"/>
      <c r="AC381" s="108"/>
      <c r="AE381" s="123"/>
      <c r="AG381" s="123"/>
      <c r="AJ381" s="108"/>
    </row>
    <row r="382" spans="4:36" s="172" customFormat="1" ht="15">
      <c r="D382" s="108"/>
      <c r="E382" s="108"/>
      <c r="F382" s="108"/>
      <c r="G382" s="108"/>
      <c r="H382" s="108"/>
      <c r="I382" s="108"/>
      <c r="K382" s="108"/>
      <c r="M382" s="123"/>
      <c r="O382" s="123"/>
      <c r="Q382" s="108"/>
      <c r="S382" s="123"/>
      <c r="U382" s="123"/>
      <c r="W382" s="108"/>
      <c r="Y382" s="123"/>
      <c r="AA382" s="123"/>
      <c r="AC382" s="108"/>
      <c r="AE382" s="123"/>
      <c r="AG382" s="123"/>
      <c r="AJ382" s="108"/>
    </row>
    <row r="383" spans="4:36" s="172" customFormat="1" ht="15">
      <c r="D383" s="108"/>
      <c r="E383" s="108"/>
      <c r="F383" s="108"/>
      <c r="G383" s="108"/>
      <c r="H383" s="108"/>
      <c r="I383" s="108"/>
      <c r="K383" s="108"/>
      <c r="M383" s="123"/>
      <c r="O383" s="123"/>
      <c r="Q383" s="108"/>
      <c r="S383" s="123"/>
      <c r="U383" s="123"/>
      <c r="W383" s="108"/>
      <c r="Y383" s="123"/>
      <c r="AA383" s="123"/>
      <c r="AC383" s="108"/>
      <c r="AE383" s="123"/>
      <c r="AG383" s="123"/>
      <c r="AJ383" s="108"/>
    </row>
    <row r="384" spans="4:36" s="172" customFormat="1" ht="15">
      <c r="D384" s="108"/>
      <c r="E384" s="108"/>
      <c r="F384" s="108"/>
      <c r="G384" s="108"/>
      <c r="H384" s="108"/>
      <c r="I384" s="108"/>
      <c r="K384" s="108"/>
      <c r="M384" s="123"/>
      <c r="O384" s="123"/>
      <c r="Q384" s="108"/>
      <c r="S384" s="123"/>
      <c r="U384" s="123"/>
      <c r="W384" s="108"/>
      <c r="Y384" s="123"/>
      <c r="AA384" s="123"/>
      <c r="AC384" s="108"/>
      <c r="AE384" s="123"/>
      <c r="AG384" s="123"/>
      <c r="AJ384" s="108"/>
    </row>
    <row r="385" spans="4:36" s="172" customFormat="1" ht="15">
      <c r="D385" s="108"/>
      <c r="E385" s="108"/>
      <c r="F385" s="108"/>
      <c r="G385" s="108"/>
      <c r="H385" s="108"/>
      <c r="I385" s="108"/>
      <c r="K385" s="108"/>
      <c r="M385" s="123"/>
      <c r="O385" s="123"/>
      <c r="Q385" s="108"/>
      <c r="S385" s="123"/>
      <c r="U385" s="123"/>
      <c r="W385" s="108"/>
      <c r="Y385" s="123"/>
      <c r="AA385" s="123"/>
      <c r="AC385" s="108"/>
      <c r="AE385" s="123"/>
      <c r="AG385" s="123"/>
      <c r="AJ385" s="108"/>
    </row>
    <row r="386" spans="4:36" s="172" customFormat="1" ht="15">
      <c r="D386" s="108"/>
      <c r="E386" s="108"/>
      <c r="F386" s="108"/>
      <c r="G386" s="108"/>
      <c r="H386" s="108"/>
      <c r="I386" s="108"/>
      <c r="K386" s="108"/>
      <c r="M386" s="123"/>
      <c r="O386" s="123"/>
      <c r="Q386" s="108"/>
      <c r="S386" s="123"/>
      <c r="U386" s="123"/>
      <c r="W386" s="108"/>
      <c r="Y386" s="123"/>
      <c r="AA386" s="123"/>
      <c r="AC386" s="108"/>
      <c r="AE386" s="123"/>
      <c r="AG386" s="123"/>
      <c r="AJ386" s="108"/>
    </row>
    <row r="387" spans="4:36" s="172" customFormat="1" ht="15">
      <c r="D387" s="108"/>
      <c r="E387" s="108"/>
      <c r="F387" s="108"/>
      <c r="G387" s="108"/>
      <c r="H387" s="108"/>
      <c r="I387" s="108"/>
      <c r="K387" s="108"/>
      <c r="M387" s="123"/>
      <c r="O387" s="123"/>
      <c r="Q387" s="108"/>
      <c r="S387" s="123"/>
      <c r="U387" s="123"/>
      <c r="W387" s="108"/>
      <c r="Y387" s="123"/>
      <c r="AA387" s="123"/>
      <c r="AC387" s="108"/>
      <c r="AE387" s="123"/>
      <c r="AG387" s="123"/>
      <c r="AJ387" s="108"/>
    </row>
    <row r="388" spans="4:36" s="172" customFormat="1" ht="15">
      <c r="D388" s="108"/>
      <c r="E388" s="108"/>
      <c r="F388" s="108"/>
      <c r="G388" s="108"/>
      <c r="H388" s="108"/>
      <c r="I388" s="108"/>
      <c r="K388" s="108"/>
      <c r="M388" s="123"/>
      <c r="O388" s="123"/>
      <c r="Q388" s="108"/>
      <c r="S388" s="123"/>
      <c r="U388" s="123"/>
      <c r="W388" s="108"/>
      <c r="Y388" s="123"/>
      <c r="AA388" s="123"/>
      <c r="AC388" s="108"/>
      <c r="AE388" s="123"/>
      <c r="AG388" s="123"/>
      <c r="AJ388" s="108"/>
    </row>
    <row r="389" spans="4:36" s="172" customFormat="1" ht="15">
      <c r="D389" s="108"/>
      <c r="E389" s="108"/>
      <c r="F389" s="108"/>
      <c r="G389" s="108"/>
      <c r="H389" s="108"/>
      <c r="I389" s="108"/>
      <c r="K389" s="108"/>
      <c r="M389" s="123"/>
      <c r="O389" s="123"/>
      <c r="Q389" s="108"/>
      <c r="S389" s="123"/>
      <c r="U389" s="123"/>
      <c r="W389" s="108"/>
      <c r="Y389" s="123"/>
      <c r="AA389" s="123"/>
      <c r="AC389" s="108"/>
      <c r="AE389" s="123"/>
      <c r="AG389" s="123"/>
      <c r="AJ389" s="108"/>
    </row>
    <row r="390" spans="4:36" s="172" customFormat="1" ht="15">
      <c r="D390" s="108"/>
      <c r="E390" s="108"/>
      <c r="F390" s="108"/>
      <c r="G390" s="108"/>
      <c r="H390" s="108"/>
      <c r="I390" s="108"/>
      <c r="K390" s="108"/>
      <c r="M390" s="123"/>
      <c r="O390" s="123"/>
      <c r="Q390" s="108"/>
      <c r="S390" s="123"/>
      <c r="U390" s="123"/>
      <c r="W390" s="108"/>
      <c r="Y390" s="123"/>
      <c r="AA390" s="123"/>
      <c r="AC390" s="108"/>
      <c r="AE390" s="123"/>
      <c r="AG390" s="123"/>
      <c r="AJ390" s="108"/>
    </row>
    <row r="391" spans="4:36" s="172" customFormat="1" ht="15">
      <c r="D391" s="108"/>
      <c r="E391" s="108"/>
      <c r="F391" s="108"/>
      <c r="G391" s="108"/>
      <c r="H391" s="108"/>
      <c r="I391" s="108"/>
      <c r="K391" s="108"/>
      <c r="M391" s="123"/>
      <c r="O391" s="123"/>
      <c r="Q391" s="108"/>
      <c r="S391" s="123"/>
      <c r="U391" s="123"/>
      <c r="W391" s="108"/>
      <c r="Y391" s="123"/>
      <c r="AA391" s="123"/>
      <c r="AC391" s="108"/>
      <c r="AE391" s="123"/>
      <c r="AG391" s="123"/>
      <c r="AJ391" s="108"/>
    </row>
    <row r="392" spans="4:36" s="172" customFormat="1" ht="15">
      <c r="D392" s="108"/>
      <c r="E392" s="108"/>
      <c r="F392" s="108"/>
      <c r="G392" s="108"/>
      <c r="H392" s="108"/>
      <c r="I392" s="108"/>
      <c r="K392" s="108"/>
      <c r="M392" s="123"/>
      <c r="O392" s="123"/>
      <c r="Q392" s="108"/>
      <c r="S392" s="123"/>
      <c r="U392" s="123"/>
      <c r="W392" s="108"/>
      <c r="Y392" s="123"/>
      <c r="AA392" s="123"/>
      <c r="AC392" s="108"/>
      <c r="AE392" s="123"/>
      <c r="AG392" s="123"/>
      <c r="AJ392" s="108"/>
    </row>
    <row r="393" spans="4:36" s="172" customFormat="1" ht="15">
      <c r="D393" s="108"/>
      <c r="E393" s="108"/>
      <c r="F393" s="108"/>
      <c r="G393" s="108"/>
      <c r="H393" s="108"/>
      <c r="I393" s="108"/>
      <c r="K393" s="108"/>
      <c r="M393" s="123"/>
      <c r="O393" s="123"/>
      <c r="Q393" s="108"/>
      <c r="S393" s="123"/>
      <c r="U393" s="123"/>
      <c r="W393" s="108"/>
      <c r="Y393" s="123"/>
      <c r="AA393" s="123"/>
      <c r="AC393" s="108"/>
      <c r="AE393" s="123"/>
      <c r="AG393" s="123"/>
      <c r="AJ393" s="108"/>
    </row>
    <row r="394" spans="4:36" s="172" customFormat="1" ht="15">
      <c r="D394" s="108"/>
      <c r="E394" s="108"/>
      <c r="F394" s="108"/>
      <c r="G394" s="108"/>
      <c r="H394" s="108"/>
      <c r="I394" s="108"/>
      <c r="K394" s="108"/>
      <c r="M394" s="123"/>
      <c r="O394" s="123"/>
      <c r="Q394" s="108"/>
      <c r="S394" s="123"/>
      <c r="U394" s="123"/>
      <c r="W394" s="108"/>
      <c r="Y394" s="123"/>
      <c r="AA394" s="123"/>
      <c r="AC394" s="108"/>
      <c r="AE394" s="123"/>
      <c r="AG394" s="123"/>
      <c r="AJ394" s="108"/>
    </row>
    <row r="395" spans="4:36" s="172" customFormat="1" ht="15">
      <c r="D395" s="108"/>
      <c r="E395" s="108"/>
      <c r="F395" s="108"/>
      <c r="G395" s="108"/>
      <c r="H395" s="108"/>
      <c r="I395" s="108"/>
      <c r="K395" s="108"/>
      <c r="M395" s="123"/>
      <c r="O395" s="123"/>
      <c r="Q395" s="108"/>
      <c r="S395" s="123"/>
      <c r="U395" s="123"/>
      <c r="W395" s="108"/>
      <c r="Y395" s="123"/>
      <c r="AA395" s="123"/>
      <c r="AC395" s="108"/>
      <c r="AE395" s="123"/>
      <c r="AG395" s="123"/>
      <c r="AJ395" s="108"/>
    </row>
    <row r="396" spans="4:36" s="172" customFormat="1" ht="15">
      <c r="D396" s="108"/>
      <c r="E396" s="108"/>
      <c r="F396" s="108"/>
      <c r="G396" s="108"/>
      <c r="H396" s="108"/>
      <c r="I396" s="108"/>
      <c r="K396" s="108"/>
      <c r="M396" s="123"/>
      <c r="O396" s="123"/>
      <c r="Q396" s="108"/>
      <c r="S396" s="123"/>
      <c r="U396" s="123"/>
      <c r="W396" s="108"/>
      <c r="Y396" s="123"/>
      <c r="AA396" s="123"/>
      <c r="AC396" s="108"/>
      <c r="AE396" s="123"/>
      <c r="AG396" s="123"/>
      <c r="AJ396" s="108"/>
    </row>
    <row r="397" spans="4:36" s="172" customFormat="1" ht="15">
      <c r="D397" s="108"/>
      <c r="E397" s="108"/>
      <c r="F397" s="108"/>
      <c r="G397" s="108"/>
      <c r="H397" s="108"/>
      <c r="I397" s="108"/>
      <c r="K397" s="108"/>
      <c r="M397" s="123"/>
      <c r="O397" s="123"/>
      <c r="Q397" s="108"/>
      <c r="S397" s="123"/>
      <c r="U397" s="123"/>
      <c r="W397" s="108"/>
      <c r="Y397" s="123"/>
      <c r="AA397" s="123"/>
      <c r="AC397" s="108"/>
      <c r="AE397" s="123"/>
      <c r="AG397" s="123"/>
      <c r="AJ397" s="108"/>
    </row>
    <row r="398" spans="4:36" s="172" customFormat="1" ht="15">
      <c r="D398" s="108"/>
      <c r="E398" s="108"/>
      <c r="F398" s="108"/>
      <c r="G398" s="108"/>
      <c r="H398" s="108"/>
      <c r="I398" s="108"/>
      <c r="K398" s="108"/>
      <c r="M398" s="123"/>
      <c r="O398" s="123"/>
      <c r="Q398" s="108"/>
      <c r="S398" s="123"/>
      <c r="U398" s="123"/>
      <c r="W398" s="108"/>
      <c r="Y398" s="123"/>
      <c r="AA398" s="123"/>
      <c r="AC398" s="108"/>
      <c r="AE398" s="123"/>
      <c r="AG398" s="123"/>
      <c r="AJ398" s="108"/>
    </row>
    <row r="399" spans="4:36" s="172" customFormat="1" ht="15">
      <c r="D399" s="108"/>
      <c r="E399" s="108"/>
      <c r="F399" s="108"/>
      <c r="G399" s="108"/>
      <c r="H399" s="108"/>
      <c r="I399" s="108"/>
      <c r="K399" s="108"/>
      <c r="M399" s="123"/>
      <c r="O399" s="123"/>
      <c r="Q399" s="108"/>
      <c r="S399" s="123"/>
      <c r="U399" s="123"/>
      <c r="W399" s="108"/>
      <c r="Y399" s="123"/>
      <c r="AA399" s="123"/>
      <c r="AC399" s="108"/>
      <c r="AE399" s="123"/>
      <c r="AG399" s="123"/>
      <c r="AJ399" s="108"/>
    </row>
    <row r="400" spans="4:36" s="172" customFormat="1" ht="15">
      <c r="D400" s="108"/>
      <c r="E400" s="108"/>
      <c r="F400" s="108"/>
      <c r="G400" s="108"/>
      <c r="H400" s="108"/>
      <c r="I400" s="108"/>
      <c r="K400" s="108"/>
      <c r="M400" s="123"/>
      <c r="O400" s="123"/>
      <c r="Q400" s="108"/>
      <c r="S400" s="123"/>
      <c r="U400" s="123"/>
      <c r="W400" s="108"/>
      <c r="Y400" s="123"/>
      <c r="AA400" s="123"/>
      <c r="AC400" s="108"/>
      <c r="AE400" s="123"/>
      <c r="AG400" s="123"/>
      <c r="AJ400" s="108"/>
    </row>
    <row r="401" spans="4:36" s="172" customFormat="1" ht="15">
      <c r="D401" s="108"/>
      <c r="E401" s="108"/>
      <c r="F401" s="108"/>
      <c r="G401" s="108"/>
      <c r="H401" s="108"/>
      <c r="I401" s="108"/>
      <c r="K401" s="108"/>
      <c r="M401" s="123"/>
      <c r="O401" s="123"/>
      <c r="Q401" s="108"/>
      <c r="S401" s="123"/>
      <c r="U401" s="123"/>
      <c r="W401" s="108"/>
      <c r="Y401" s="123"/>
      <c r="AA401" s="123"/>
      <c r="AC401" s="108"/>
      <c r="AE401" s="123"/>
      <c r="AG401" s="123"/>
      <c r="AJ401" s="108"/>
    </row>
    <row r="402" spans="4:36" s="172" customFormat="1" ht="15">
      <c r="D402" s="108"/>
      <c r="E402" s="108"/>
      <c r="F402" s="108"/>
      <c r="G402" s="108"/>
      <c r="H402" s="108"/>
      <c r="I402" s="108"/>
      <c r="K402" s="108"/>
      <c r="M402" s="123"/>
      <c r="O402" s="123"/>
      <c r="Q402" s="108"/>
      <c r="S402" s="123"/>
      <c r="U402" s="123"/>
      <c r="W402" s="108"/>
      <c r="Y402" s="123"/>
      <c r="AA402" s="123"/>
      <c r="AC402" s="108"/>
      <c r="AE402" s="123"/>
      <c r="AG402" s="123"/>
      <c r="AJ402" s="108"/>
    </row>
    <row r="403" spans="4:36" s="172" customFormat="1" ht="15">
      <c r="D403" s="108"/>
      <c r="E403" s="108"/>
      <c r="F403" s="108"/>
      <c r="G403" s="108"/>
      <c r="H403" s="108"/>
      <c r="I403" s="108"/>
      <c r="K403" s="108"/>
      <c r="M403" s="123"/>
      <c r="O403" s="123"/>
      <c r="Q403" s="108"/>
      <c r="S403" s="123"/>
      <c r="U403" s="123"/>
      <c r="W403" s="108"/>
      <c r="Y403" s="123"/>
      <c r="AA403" s="123"/>
      <c r="AC403" s="108"/>
      <c r="AE403" s="123"/>
      <c r="AG403" s="123"/>
      <c r="AJ403" s="108"/>
    </row>
    <row r="404" spans="4:36" s="172" customFormat="1" ht="15">
      <c r="D404" s="108"/>
      <c r="E404" s="108"/>
      <c r="F404" s="108"/>
      <c r="G404" s="108"/>
      <c r="H404" s="108"/>
      <c r="I404" s="108"/>
      <c r="K404" s="108"/>
      <c r="M404" s="123"/>
      <c r="O404" s="123"/>
      <c r="Q404" s="108"/>
      <c r="S404" s="123"/>
      <c r="U404" s="123"/>
      <c r="W404" s="108"/>
      <c r="Y404" s="123"/>
      <c r="AA404" s="123"/>
      <c r="AC404" s="108"/>
      <c r="AE404" s="123"/>
      <c r="AG404" s="123"/>
      <c r="AJ404" s="108"/>
    </row>
    <row r="405" spans="4:36" s="172" customFormat="1" ht="15">
      <c r="D405" s="108"/>
      <c r="E405" s="108"/>
      <c r="F405" s="108"/>
      <c r="G405" s="108"/>
      <c r="H405" s="108"/>
      <c r="I405" s="108"/>
      <c r="K405" s="108"/>
      <c r="M405" s="123"/>
      <c r="O405" s="123"/>
      <c r="Q405" s="108"/>
      <c r="S405" s="123"/>
      <c r="U405" s="123"/>
      <c r="W405" s="108"/>
      <c r="Y405" s="123"/>
      <c r="AA405" s="123"/>
      <c r="AC405" s="108"/>
      <c r="AE405" s="123"/>
      <c r="AG405" s="123"/>
      <c r="AJ405" s="108"/>
    </row>
    <row r="406" spans="4:36" s="172" customFormat="1" ht="15">
      <c r="D406" s="108"/>
      <c r="E406" s="108"/>
      <c r="F406" s="108"/>
      <c r="G406" s="108"/>
      <c r="H406" s="108"/>
      <c r="I406" s="108"/>
      <c r="K406" s="108"/>
      <c r="M406" s="123"/>
      <c r="O406" s="123"/>
      <c r="Q406" s="108"/>
      <c r="S406" s="123"/>
      <c r="U406" s="123"/>
      <c r="W406" s="108"/>
      <c r="Y406" s="123"/>
      <c r="AA406" s="123"/>
      <c r="AC406" s="108"/>
      <c r="AE406" s="123"/>
      <c r="AG406" s="123"/>
      <c r="AJ406" s="108"/>
    </row>
    <row r="407" spans="4:36" s="172" customFormat="1" ht="15">
      <c r="D407" s="108"/>
      <c r="E407" s="108"/>
      <c r="F407" s="108"/>
      <c r="G407" s="108"/>
      <c r="H407" s="108"/>
      <c r="I407" s="108"/>
      <c r="K407" s="108"/>
      <c r="M407" s="123"/>
      <c r="O407" s="123"/>
      <c r="Q407" s="108"/>
      <c r="S407" s="123"/>
      <c r="U407" s="123"/>
      <c r="W407" s="108"/>
      <c r="Y407" s="123"/>
      <c r="AA407" s="123"/>
      <c r="AC407" s="108"/>
      <c r="AE407" s="123"/>
      <c r="AG407" s="123"/>
      <c r="AJ407" s="108"/>
    </row>
    <row r="408" spans="4:36" s="172" customFormat="1" ht="15">
      <c r="D408" s="108"/>
      <c r="E408" s="108"/>
      <c r="F408" s="108"/>
      <c r="G408" s="108"/>
      <c r="H408" s="108"/>
      <c r="I408" s="108"/>
      <c r="K408" s="108"/>
      <c r="M408" s="123"/>
      <c r="O408" s="123"/>
      <c r="Q408" s="108"/>
      <c r="S408" s="123"/>
      <c r="U408" s="123"/>
      <c r="W408" s="108"/>
      <c r="Y408" s="123"/>
      <c r="AA408" s="123"/>
      <c r="AC408" s="108"/>
      <c r="AE408" s="123"/>
      <c r="AG408" s="123"/>
      <c r="AJ408" s="108"/>
    </row>
    <row r="409" spans="4:36" s="172" customFormat="1" ht="15">
      <c r="D409" s="108"/>
      <c r="E409" s="108"/>
      <c r="F409" s="108"/>
      <c r="G409" s="108"/>
      <c r="H409" s="108"/>
      <c r="I409" s="108"/>
      <c r="K409" s="108"/>
      <c r="M409" s="123"/>
      <c r="O409" s="123"/>
      <c r="Q409" s="108"/>
      <c r="S409" s="123"/>
      <c r="U409" s="123"/>
      <c r="W409" s="108"/>
      <c r="Y409" s="123"/>
      <c r="AA409" s="123"/>
      <c r="AC409" s="108"/>
      <c r="AE409" s="123"/>
      <c r="AG409" s="123"/>
      <c r="AJ409" s="108"/>
    </row>
    <row r="410" spans="4:36" s="172" customFormat="1" ht="15">
      <c r="D410" s="108"/>
      <c r="E410" s="108"/>
      <c r="F410" s="108"/>
      <c r="G410" s="108"/>
      <c r="H410" s="108"/>
      <c r="I410" s="108"/>
      <c r="K410" s="108"/>
      <c r="M410" s="123"/>
      <c r="O410" s="123"/>
      <c r="Q410" s="108"/>
      <c r="S410" s="123"/>
      <c r="U410" s="123"/>
      <c r="W410" s="108"/>
      <c r="Y410" s="123"/>
      <c r="AA410" s="123"/>
      <c r="AC410" s="108"/>
      <c r="AE410" s="123"/>
      <c r="AG410" s="123"/>
      <c r="AJ410" s="108"/>
    </row>
    <row r="411" spans="4:36" s="172" customFormat="1" ht="15">
      <c r="D411" s="108"/>
      <c r="E411" s="108"/>
      <c r="F411" s="108"/>
      <c r="G411" s="108"/>
      <c r="H411" s="108"/>
      <c r="I411" s="108"/>
      <c r="K411" s="108"/>
      <c r="M411" s="123"/>
      <c r="O411" s="123"/>
      <c r="Q411" s="108"/>
      <c r="S411" s="123"/>
      <c r="U411" s="123"/>
      <c r="W411" s="108"/>
      <c r="Y411" s="123"/>
      <c r="AA411" s="123"/>
      <c r="AC411" s="108"/>
      <c r="AE411" s="123"/>
      <c r="AG411" s="123"/>
      <c r="AJ411" s="108"/>
    </row>
    <row r="412" spans="4:36" s="172" customFormat="1" ht="15">
      <c r="D412" s="108"/>
      <c r="E412" s="108"/>
      <c r="F412" s="108"/>
      <c r="G412" s="108"/>
      <c r="H412" s="108"/>
      <c r="I412" s="108"/>
      <c r="K412" s="108"/>
      <c r="M412" s="123"/>
      <c r="O412" s="123"/>
      <c r="Q412" s="108"/>
      <c r="S412" s="123"/>
      <c r="U412" s="123"/>
      <c r="W412" s="108"/>
      <c r="Y412" s="123"/>
      <c r="AA412" s="123"/>
      <c r="AC412" s="108"/>
      <c r="AE412" s="123"/>
      <c r="AG412" s="123"/>
      <c r="AJ412" s="108"/>
    </row>
    <row r="413" spans="4:36" s="172" customFormat="1" ht="15">
      <c r="D413" s="108"/>
      <c r="E413" s="108"/>
      <c r="F413" s="108"/>
      <c r="G413" s="108"/>
      <c r="H413" s="108"/>
      <c r="I413" s="108"/>
      <c r="K413" s="108"/>
      <c r="M413" s="123"/>
      <c r="O413" s="123"/>
      <c r="Q413" s="108"/>
      <c r="S413" s="123"/>
      <c r="U413" s="123"/>
      <c r="W413" s="108"/>
      <c r="Y413" s="123"/>
      <c r="AA413" s="123"/>
      <c r="AC413" s="108"/>
      <c r="AE413" s="123"/>
      <c r="AG413" s="123"/>
      <c r="AJ413" s="108"/>
    </row>
    <row r="414" spans="4:36" s="172" customFormat="1" ht="15">
      <c r="D414" s="108"/>
      <c r="E414" s="108"/>
      <c r="F414" s="108"/>
      <c r="G414" s="108"/>
      <c r="H414" s="108"/>
      <c r="I414" s="108"/>
      <c r="K414" s="108"/>
      <c r="M414" s="123"/>
      <c r="O414" s="123"/>
      <c r="Q414" s="108"/>
      <c r="S414" s="123"/>
      <c r="U414" s="123"/>
      <c r="W414" s="108"/>
      <c r="Y414" s="123"/>
      <c r="AA414" s="123"/>
      <c r="AC414" s="108"/>
      <c r="AE414" s="123"/>
      <c r="AG414" s="123"/>
      <c r="AJ414" s="108"/>
    </row>
    <row r="415" spans="4:36" s="172" customFormat="1" ht="15">
      <c r="D415" s="108"/>
      <c r="E415" s="108"/>
      <c r="F415" s="108"/>
      <c r="G415" s="108"/>
      <c r="H415" s="108"/>
      <c r="I415" s="108"/>
      <c r="K415" s="108"/>
      <c r="M415" s="123"/>
      <c r="O415" s="123"/>
      <c r="Q415" s="108"/>
      <c r="S415" s="123"/>
      <c r="U415" s="123"/>
      <c r="W415" s="108"/>
      <c r="Y415" s="123"/>
      <c r="AA415" s="123"/>
      <c r="AC415" s="108"/>
      <c r="AE415" s="123"/>
      <c r="AG415" s="123"/>
      <c r="AJ415" s="108"/>
    </row>
    <row r="416" spans="4:36" s="172" customFormat="1" ht="15">
      <c r="D416" s="108"/>
      <c r="E416" s="108"/>
      <c r="F416" s="108"/>
      <c r="G416" s="108"/>
      <c r="H416" s="108"/>
      <c r="I416" s="108"/>
      <c r="K416" s="108"/>
      <c r="M416" s="123"/>
      <c r="O416" s="123"/>
      <c r="Q416" s="108"/>
      <c r="S416" s="123"/>
      <c r="U416" s="123"/>
      <c r="W416" s="108"/>
      <c r="Y416" s="123"/>
      <c r="AA416" s="123"/>
      <c r="AC416" s="108"/>
      <c r="AE416" s="123"/>
      <c r="AG416" s="123"/>
      <c r="AJ416" s="108"/>
    </row>
    <row r="417" spans="4:36" s="172" customFormat="1" ht="15">
      <c r="D417" s="108"/>
      <c r="E417" s="108"/>
      <c r="F417" s="108"/>
      <c r="G417" s="108"/>
      <c r="H417" s="108"/>
      <c r="I417" s="108"/>
      <c r="K417" s="108"/>
      <c r="M417" s="123"/>
      <c r="O417" s="123"/>
      <c r="Q417" s="108"/>
      <c r="S417" s="123"/>
      <c r="U417" s="123"/>
      <c r="W417" s="108"/>
      <c r="Y417" s="123"/>
      <c r="AA417" s="123"/>
      <c r="AC417" s="108"/>
      <c r="AE417" s="123"/>
      <c r="AG417" s="123"/>
      <c r="AJ417" s="108"/>
    </row>
    <row r="418" spans="4:36" s="172" customFormat="1" ht="15">
      <c r="D418" s="108"/>
      <c r="E418" s="108"/>
      <c r="F418" s="108"/>
      <c r="G418" s="108"/>
      <c r="H418" s="108"/>
      <c r="I418" s="108"/>
      <c r="K418" s="108"/>
      <c r="M418" s="123"/>
      <c r="O418" s="123"/>
      <c r="Q418" s="108"/>
      <c r="S418" s="123"/>
      <c r="U418" s="123"/>
      <c r="W418" s="108"/>
      <c r="Y418" s="123"/>
      <c r="AA418" s="123"/>
      <c r="AC418" s="108"/>
      <c r="AE418" s="123"/>
      <c r="AG418" s="123"/>
      <c r="AJ418" s="108"/>
    </row>
    <row r="419" spans="4:36" s="172" customFormat="1" ht="15">
      <c r="D419" s="108"/>
      <c r="E419" s="108"/>
      <c r="F419" s="108"/>
      <c r="G419" s="108"/>
      <c r="H419" s="108"/>
      <c r="I419" s="108"/>
      <c r="K419" s="108"/>
      <c r="M419" s="123"/>
      <c r="O419" s="123"/>
      <c r="Q419" s="108"/>
      <c r="S419" s="123"/>
      <c r="U419" s="123"/>
      <c r="W419" s="108"/>
      <c r="Y419" s="123"/>
      <c r="AA419" s="123"/>
      <c r="AC419" s="108"/>
      <c r="AE419" s="123"/>
      <c r="AG419" s="123"/>
      <c r="AJ419" s="108"/>
    </row>
    <row r="420" spans="4:36" s="172" customFormat="1" ht="15">
      <c r="D420" s="108"/>
      <c r="E420" s="108"/>
      <c r="F420" s="108"/>
      <c r="G420" s="108"/>
      <c r="H420" s="108"/>
      <c r="I420" s="108"/>
      <c r="K420" s="108"/>
      <c r="M420" s="123"/>
      <c r="O420" s="123"/>
      <c r="Q420" s="108"/>
      <c r="S420" s="123"/>
      <c r="U420" s="123"/>
      <c r="W420" s="108"/>
      <c r="Y420" s="123"/>
      <c r="AA420" s="123"/>
      <c r="AC420" s="108"/>
      <c r="AE420" s="123"/>
      <c r="AG420" s="123"/>
      <c r="AJ420" s="108"/>
    </row>
    <row r="421" spans="4:36" s="172" customFormat="1" ht="15">
      <c r="D421" s="108"/>
      <c r="E421" s="108"/>
      <c r="F421" s="108"/>
      <c r="G421" s="108"/>
      <c r="H421" s="108"/>
      <c r="I421" s="108"/>
      <c r="K421" s="108"/>
      <c r="M421" s="123"/>
      <c r="O421" s="123"/>
      <c r="Q421" s="108"/>
      <c r="S421" s="123"/>
      <c r="U421" s="123"/>
      <c r="W421" s="108"/>
      <c r="Y421" s="123"/>
      <c r="AA421" s="123"/>
      <c r="AC421" s="108"/>
      <c r="AE421" s="123"/>
      <c r="AG421" s="123"/>
      <c r="AJ421" s="108"/>
    </row>
    <row r="422" spans="4:36" s="172" customFormat="1" ht="15">
      <c r="D422" s="108"/>
      <c r="E422" s="108"/>
      <c r="F422" s="108"/>
      <c r="G422" s="108"/>
      <c r="H422" s="108"/>
      <c r="I422" s="108"/>
      <c r="K422" s="108"/>
      <c r="M422" s="123"/>
      <c r="O422" s="123"/>
      <c r="Q422" s="108"/>
      <c r="S422" s="123"/>
      <c r="U422" s="123"/>
      <c r="W422" s="108"/>
      <c r="Y422" s="123"/>
      <c r="AA422" s="123"/>
      <c r="AC422" s="108"/>
      <c r="AE422" s="123"/>
      <c r="AG422" s="123"/>
      <c r="AJ422" s="108"/>
    </row>
    <row r="423" spans="4:36" s="172" customFormat="1" ht="15">
      <c r="D423" s="108"/>
      <c r="E423" s="108"/>
      <c r="F423" s="108"/>
      <c r="G423" s="108"/>
      <c r="H423" s="108"/>
      <c r="I423" s="108"/>
      <c r="K423" s="108"/>
      <c r="M423" s="123"/>
      <c r="O423" s="123"/>
      <c r="Q423" s="108"/>
      <c r="S423" s="123"/>
      <c r="U423" s="123"/>
      <c r="W423" s="108"/>
      <c r="Y423" s="123"/>
      <c r="AA423" s="123"/>
      <c r="AC423" s="108"/>
      <c r="AE423" s="123"/>
      <c r="AG423" s="123"/>
      <c r="AJ423" s="108"/>
    </row>
    <row r="424" spans="4:36" s="172" customFormat="1" ht="15">
      <c r="D424" s="108"/>
      <c r="E424" s="108"/>
      <c r="F424" s="108"/>
      <c r="G424" s="108"/>
      <c r="H424" s="108"/>
      <c r="I424" s="108"/>
      <c r="K424" s="108"/>
      <c r="M424" s="123"/>
      <c r="O424" s="123"/>
      <c r="Q424" s="108"/>
      <c r="S424" s="123"/>
      <c r="U424" s="123"/>
      <c r="W424" s="108"/>
      <c r="Y424" s="123"/>
      <c r="AA424" s="123"/>
      <c r="AC424" s="108"/>
      <c r="AE424" s="123"/>
      <c r="AG424" s="123"/>
      <c r="AJ424" s="108"/>
    </row>
    <row r="425" spans="4:36" s="172" customFormat="1" ht="15">
      <c r="D425" s="108"/>
      <c r="E425" s="108"/>
      <c r="F425" s="108"/>
      <c r="G425" s="108"/>
      <c r="H425" s="108"/>
      <c r="I425" s="108"/>
      <c r="K425" s="108"/>
      <c r="M425" s="123"/>
      <c r="O425" s="123"/>
      <c r="Q425" s="108"/>
      <c r="S425" s="123"/>
      <c r="U425" s="123"/>
      <c r="W425" s="108"/>
      <c r="Y425" s="123"/>
      <c r="AA425" s="123"/>
      <c r="AC425" s="108"/>
      <c r="AE425" s="123"/>
      <c r="AG425" s="123"/>
      <c r="AJ425" s="108"/>
    </row>
    <row r="426" spans="4:36" s="172" customFormat="1" ht="15">
      <c r="D426" s="108"/>
      <c r="E426" s="108"/>
      <c r="F426" s="108"/>
      <c r="G426" s="108"/>
      <c r="H426" s="108"/>
      <c r="I426" s="108"/>
      <c r="K426" s="108"/>
      <c r="M426" s="123"/>
      <c r="O426" s="123"/>
      <c r="Q426" s="108"/>
      <c r="S426" s="123"/>
      <c r="U426" s="123"/>
      <c r="W426" s="108"/>
      <c r="Y426" s="123"/>
      <c r="AA426" s="123"/>
      <c r="AC426" s="108"/>
      <c r="AE426" s="123"/>
      <c r="AG426" s="123"/>
      <c r="AJ426" s="108"/>
    </row>
    <row r="427" spans="4:36" s="172" customFormat="1" ht="15">
      <c r="D427" s="108"/>
      <c r="E427" s="108"/>
      <c r="F427" s="108"/>
      <c r="G427" s="108"/>
      <c r="H427" s="108"/>
      <c r="I427" s="108"/>
      <c r="K427" s="108"/>
      <c r="M427" s="123"/>
      <c r="O427" s="123"/>
      <c r="Q427" s="108"/>
      <c r="S427" s="123"/>
      <c r="U427" s="123"/>
      <c r="W427" s="108"/>
      <c r="Y427" s="123"/>
      <c r="AA427" s="123"/>
      <c r="AC427" s="108"/>
      <c r="AE427" s="123"/>
      <c r="AG427" s="123"/>
      <c r="AJ427" s="108"/>
    </row>
    <row r="428" spans="4:36" s="172" customFormat="1" ht="15">
      <c r="D428" s="108"/>
      <c r="E428" s="108"/>
      <c r="F428" s="108"/>
      <c r="G428" s="108"/>
      <c r="H428" s="108"/>
      <c r="I428" s="108"/>
      <c r="K428" s="108"/>
      <c r="M428" s="123"/>
      <c r="O428" s="123"/>
      <c r="Q428" s="108"/>
      <c r="S428" s="123"/>
      <c r="U428" s="123"/>
      <c r="W428" s="108"/>
      <c r="Y428" s="123"/>
      <c r="AA428" s="123"/>
      <c r="AC428" s="108"/>
      <c r="AE428" s="123"/>
      <c r="AG428" s="123"/>
      <c r="AJ428" s="108"/>
    </row>
    <row r="429" spans="4:36" s="172" customFormat="1" ht="15">
      <c r="D429" s="108"/>
      <c r="E429" s="108"/>
      <c r="F429" s="108"/>
      <c r="G429" s="108"/>
      <c r="H429" s="108"/>
      <c r="I429" s="108"/>
      <c r="K429" s="108"/>
      <c r="M429" s="123"/>
      <c r="O429" s="123"/>
      <c r="Q429" s="108"/>
      <c r="S429" s="123"/>
      <c r="U429" s="123"/>
      <c r="W429" s="108"/>
      <c r="Y429" s="123"/>
      <c r="AA429" s="123"/>
      <c r="AC429" s="108"/>
      <c r="AE429" s="123"/>
      <c r="AG429" s="123"/>
      <c r="AJ429" s="108"/>
    </row>
    <row r="430" spans="4:36" s="172" customFormat="1" ht="15">
      <c r="D430" s="108"/>
      <c r="E430" s="108"/>
      <c r="F430" s="108"/>
      <c r="G430" s="108"/>
      <c r="H430" s="108"/>
      <c r="I430" s="108"/>
      <c r="K430" s="108"/>
      <c r="M430" s="123"/>
      <c r="O430" s="123"/>
      <c r="Q430" s="108"/>
      <c r="S430" s="123"/>
      <c r="U430" s="123"/>
      <c r="W430" s="108"/>
      <c r="Y430" s="123"/>
      <c r="AA430" s="123"/>
      <c r="AC430" s="108"/>
      <c r="AE430" s="123"/>
      <c r="AG430" s="123"/>
      <c r="AJ430" s="108"/>
    </row>
    <row r="431" spans="4:36" s="172" customFormat="1" ht="15">
      <c r="D431" s="108"/>
      <c r="E431" s="108"/>
      <c r="F431" s="108"/>
      <c r="G431" s="108"/>
      <c r="H431" s="108"/>
      <c r="I431" s="108"/>
      <c r="K431" s="108"/>
      <c r="M431" s="123"/>
      <c r="O431" s="123"/>
      <c r="Q431" s="108"/>
      <c r="S431" s="123"/>
      <c r="U431" s="123"/>
      <c r="W431" s="108"/>
      <c r="Y431" s="123"/>
      <c r="AA431" s="123"/>
      <c r="AC431" s="108"/>
      <c r="AE431" s="123"/>
      <c r="AG431" s="123"/>
      <c r="AJ431" s="108"/>
    </row>
    <row r="432" spans="4:36" s="172" customFormat="1" ht="15">
      <c r="D432" s="108"/>
      <c r="E432" s="108"/>
      <c r="F432" s="108"/>
      <c r="G432" s="108"/>
      <c r="H432" s="108"/>
      <c r="I432" s="108"/>
      <c r="K432" s="108"/>
      <c r="M432" s="123"/>
      <c r="O432" s="123"/>
      <c r="Q432" s="108"/>
      <c r="S432" s="123"/>
      <c r="U432" s="123"/>
      <c r="W432" s="108"/>
      <c r="Y432" s="123"/>
      <c r="AA432" s="123"/>
      <c r="AC432" s="108"/>
      <c r="AE432" s="123"/>
      <c r="AG432" s="123"/>
      <c r="AJ432" s="108"/>
    </row>
    <row r="433" spans="4:36" s="172" customFormat="1" ht="15">
      <c r="D433" s="108"/>
      <c r="E433" s="108"/>
      <c r="F433" s="108"/>
      <c r="G433" s="108"/>
      <c r="H433" s="108"/>
      <c r="I433" s="108"/>
      <c r="K433" s="108"/>
      <c r="M433" s="123"/>
      <c r="O433" s="123"/>
      <c r="Q433" s="108"/>
      <c r="S433" s="123"/>
      <c r="U433" s="123"/>
      <c r="W433" s="108"/>
      <c r="Y433" s="123"/>
      <c r="AA433" s="123"/>
      <c r="AC433" s="108"/>
      <c r="AE433" s="123"/>
      <c r="AG433" s="123"/>
      <c r="AJ433" s="108"/>
    </row>
    <row r="434" spans="4:36" s="172" customFormat="1" ht="15">
      <c r="D434" s="108"/>
      <c r="E434" s="108"/>
      <c r="F434" s="108"/>
      <c r="G434" s="108"/>
      <c r="H434" s="108"/>
      <c r="I434" s="108"/>
      <c r="K434" s="108"/>
      <c r="M434" s="123"/>
      <c r="O434" s="123"/>
      <c r="Q434" s="108"/>
      <c r="S434" s="123"/>
      <c r="U434" s="123"/>
      <c r="W434" s="108"/>
      <c r="Y434" s="123"/>
      <c r="AA434" s="123"/>
      <c r="AC434" s="108"/>
      <c r="AE434" s="123"/>
      <c r="AG434" s="123"/>
      <c r="AJ434" s="108"/>
    </row>
    <row r="435" spans="4:36" s="172" customFormat="1" ht="15">
      <c r="D435" s="108"/>
      <c r="E435" s="108"/>
      <c r="F435" s="108"/>
      <c r="G435" s="108"/>
      <c r="H435" s="108"/>
      <c r="I435" s="108"/>
      <c r="K435" s="108"/>
      <c r="M435" s="123"/>
      <c r="O435" s="123"/>
      <c r="Q435" s="108"/>
      <c r="S435" s="123"/>
      <c r="U435" s="123"/>
      <c r="W435" s="108"/>
      <c r="Y435" s="123"/>
      <c r="AA435" s="123"/>
      <c r="AC435" s="108"/>
      <c r="AE435" s="123"/>
      <c r="AG435" s="123"/>
      <c r="AJ435" s="108"/>
    </row>
    <row r="436" spans="4:36" s="172" customFormat="1" ht="15">
      <c r="D436" s="108"/>
      <c r="E436" s="108"/>
      <c r="F436" s="108"/>
      <c r="G436" s="108"/>
      <c r="H436" s="108"/>
      <c r="I436" s="108"/>
      <c r="K436" s="108"/>
      <c r="M436" s="123"/>
      <c r="O436" s="123"/>
      <c r="Q436" s="108"/>
      <c r="S436" s="123"/>
      <c r="U436" s="123"/>
      <c r="W436" s="108"/>
      <c r="Y436" s="123"/>
      <c r="AA436" s="123"/>
      <c r="AC436" s="108"/>
      <c r="AE436" s="123"/>
      <c r="AG436" s="123"/>
      <c r="AJ436" s="108"/>
    </row>
    <row r="437" spans="4:36" s="172" customFormat="1" ht="15">
      <c r="D437" s="108"/>
      <c r="E437" s="108"/>
      <c r="F437" s="108"/>
      <c r="G437" s="108"/>
      <c r="H437" s="108"/>
      <c r="I437" s="108"/>
      <c r="K437" s="108"/>
      <c r="M437" s="123"/>
      <c r="O437" s="123"/>
      <c r="Q437" s="108"/>
      <c r="S437" s="123"/>
      <c r="U437" s="123"/>
      <c r="W437" s="108"/>
      <c r="Y437" s="123"/>
      <c r="AA437" s="123"/>
      <c r="AC437" s="108"/>
      <c r="AE437" s="123"/>
      <c r="AG437" s="123"/>
      <c r="AJ437" s="108"/>
    </row>
    <row r="438" spans="4:36" s="172" customFormat="1" ht="15">
      <c r="D438" s="108"/>
      <c r="E438" s="108"/>
      <c r="F438" s="108"/>
      <c r="G438" s="108"/>
      <c r="H438" s="108"/>
      <c r="I438" s="108"/>
      <c r="K438" s="108"/>
      <c r="M438" s="123"/>
      <c r="O438" s="123"/>
      <c r="Q438" s="108"/>
      <c r="S438" s="123"/>
      <c r="U438" s="123"/>
      <c r="W438" s="108"/>
      <c r="Y438" s="123"/>
      <c r="AA438" s="123"/>
      <c r="AC438" s="108"/>
      <c r="AE438" s="123"/>
      <c r="AG438" s="123"/>
      <c r="AJ438" s="108"/>
    </row>
    <row r="439" spans="4:36" s="172" customFormat="1" ht="15">
      <c r="D439" s="108"/>
      <c r="E439" s="108"/>
      <c r="F439" s="108"/>
      <c r="G439" s="108"/>
      <c r="H439" s="108"/>
      <c r="I439" s="108"/>
      <c r="K439" s="108"/>
      <c r="M439" s="123"/>
      <c r="O439" s="123"/>
      <c r="Q439" s="108"/>
      <c r="S439" s="123"/>
      <c r="U439" s="123"/>
      <c r="W439" s="108"/>
      <c r="Y439" s="123"/>
      <c r="AA439" s="123"/>
      <c r="AC439" s="108"/>
      <c r="AE439" s="123"/>
      <c r="AG439" s="123"/>
      <c r="AJ439" s="108"/>
    </row>
    <row r="440" spans="4:36" s="172" customFormat="1" ht="15">
      <c r="D440" s="108"/>
      <c r="E440" s="108"/>
      <c r="F440" s="108"/>
      <c r="G440" s="108"/>
      <c r="H440" s="108"/>
      <c r="I440" s="108"/>
      <c r="K440" s="108"/>
      <c r="M440" s="123"/>
      <c r="O440" s="123"/>
      <c r="Q440" s="108"/>
      <c r="S440" s="123"/>
      <c r="U440" s="123"/>
      <c r="W440" s="108"/>
      <c r="Y440" s="123"/>
      <c r="AA440" s="123"/>
      <c r="AC440" s="108"/>
      <c r="AE440" s="123"/>
      <c r="AG440" s="123"/>
      <c r="AJ440" s="108"/>
    </row>
    <row r="441" spans="4:36" s="172" customFormat="1" ht="15">
      <c r="D441" s="108"/>
      <c r="E441" s="108"/>
      <c r="F441" s="108"/>
      <c r="G441" s="108"/>
      <c r="H441" s="108"/>
      <c r="I441" s="108"/>
      <c r="K441" s="108"/>
      <c r="M441" s="123"/>
      <c r="O441" s="123"/>
      <c r="Q441" s="108"/>
      <c r="S441" s="123"/>
      <c r="U441" s="123"/>
      <c r="W441" s="108"/>
      <c r="Y441" s="123"/>
      <c r="AA441" s="123"/>
      <c r="AC441" s="108"/>
      <c r="AE441" s="123"/>
      <c r="AG441" s="123"/>
      <c r="AJ441" s="108"/>
    </row>
    <row r="442" spans="4:36" s="172" customFormat="1" ht="15">
      <c r="D442" s="108"/>
      <c r="E442" s="108"/>
      <c r="F442" s="108"/>
      <c r="G442" s="108"/>
      <c r="H442" s="108"/>
      <c r="I442" s="108"/>
      <c r="K442" s="108"/>
      <c r="M442" s="123"/>
      <c r="O442" s="123"/>
      <c r="Q442" s="108"/>
      <c r="S442" s="123"/>
      <c r="U442" s="123"/>
      <c r="W442" s="108"/>
      <c r="Y442" s="123"/>
      <c r="AA442" s="123"/>
      <c r="AC442" s="108"/>
      <c r="AE442" s="123"/>
      <c r="AG442" s="123"/>
      <c r="AJ442" s="108"/>
    </row>
    <row r="443" spans="4:36" s="172" customFormat="1" ht="15">
      <c r="D443" s="108"/>
      <c r="E443" s="108"/>
      <c r="F443" s="108"/>
      <c r="G443" s="108"/>
      <c r="H443" s="108"/>
      <c r="I443" s="108"/>
      <c r="K443" s="108"/>
      <c r="M443" s="123"/>
      <c r="O443" s="123"/>
      <c r="Q443" s="108"/>
      <c r="S443" s="123"/>
      <c r="U443" s="123"/>
      <c r="W443" s="108"/>
      <c r="Y443" s="123"/>
      <c r="AA443" s="123"/>
      <c r="AC443" s="108"/>
      <c r="AE443" s="123"/>
      <c r="AG443" s="123"/>
      <c r="AJ443" s="108"/>
    </row>
    <row r="444" spans="4:36" s="172" customFormat="1" ht="15">
      <c r="D444" s="108"/>
      <c r="E444" s="108"/>
      <c r="F444" s="108"/>
      <c r="G444" s="108"/>
      <c r="H444" s="108"/>
      <c r="I444" s="108"/>
      <c r="K444" s="108"/>
      <c r="M444" s="123"/>
      <c r="O444" s="123"/>
      <c r="Q444" s="108"/>
      <c r="S444" s="123"/>
      <c r="U444" s="123"/>
      <c r="W444" s="108"/>
      <c r="Y444" s="123"/>
      <c r="AA444" s="123"/>
      <c r="AC444" s="108"/>
      <c r="AE444" s="123"/>
      <c r="AG444" s="123"/>
      <c r="AJ444" s="108"/>
    </row>
    <row r="445" spans="4:36" s="172" customFormat="1" ht="15">
      <c r="D445" s="108"/>
      <c r="E445" s="108"/>
      <c r="F445" s="108"/>
      <c r="G445" s="108"/>
      <c r="H445" s="108"/>
      <c r="I445" s="108"/>
      <c r="K445" s="108"/>
      <c r="M445" s="123"/>
      <c r="O445" s="123"/>
      <c r="Q445" s="108"/>
      <c r="S445" s="123"/>
      <c r="U445" s="123"/>
      <c r="W445" s="108"/>
      <c r="Y445" s="123"/>
      <c r="AA445" s="123"/>
      <c r="AC445" s="108"/>
      <c r="AE445" s="123"/>
      <c r="AG445" s="123"/>
      <c r="AJ445" s="108"/>
    </row>
    <row r="446" spans="4:36" s="172" customFormat="1" ht="15">
      <c r="D446" s="108"/>
      <c r="E446" s="108"/>
      <c r="F446" s="108"/>
      <c r="G446" s="108"/>
      <c r="H446" s="108"/>
      <c r="I446" s="108"/>
      <c r="K446" s="108"/>
      <c r="M446" s="123"/>
      <c r="O446" s="123"/>
      <c r="Q446" s="108"/>
      <c r="S446" s="123"/>
      <c r="U446" s="123"/>
      <c r="W446" s="108"/>
      <c r="Y446" s="123"/>
      <c r="AA446" s="123"/>
      <c r="AC446" s="108"/>
      <c r="AE446" s="123"/>
      <c r="AG446" s="123"/>
      <c r="AJ446" s="108"/>
    </row>
    <row r="447" spans="4:36" s="172" customFormat="1" ht="15">
      <c r="D447" s="108"/>
      <c r="E447" s="108"/>
      <c r="F447" s="108"/>
      <c r="G447" s="108"/>
      <c r="H447" s="108"/>
      <c r="I447" s="108"/>
      <c r="K447" s="108"/>
      <c r="M447" s="123"/>
      <c r="O447" s="123"/>
      <c r="Q447" s="108"/>
      <c r="S447" s="123"/>
      <c r="U447" s="123"/>
      <c r="W447" s="108"/>
      <c r="Y447" s="123"/>
      <c r="AA447" s="123"/>
      <c r="AC447" s="108"/>
      <c r="AE447" s="123"/>
      <c r="AG447" s="123"/>
      <c r="AJ447" s="108"/>
    </row>
    <row r="448" spans="4:36" s="172" customFormat="1" ht="15">
      <c r="D448" s="108"/>
      <c r="E448" s="108"/>
      <c r="F448" s="108"/>
      <c r="G448" s="108"/>
      <c r="H448" s="108"/>
      <c r="I448" s="108"/>
      <c r="K448" s="108"/>
      <c r="M448" s="123"/>
      <c r="O448" s="123"/>
      <c r="Q448" s="108"/>
      <c r="S448" s="123"/>
      <c r="U448" s="123"/>
      <c r="W448" s="108"/>
      <c r="Y448" s="123"/>
      <c r="AA448" s="123"/>
      <c r="AC448" s="108"/>
      <c r="AE448" s="123"/>
      <c r="AG448" s="123"/>
      <c r="AJ448" s="108"/>
    </row>
    <row r="449" spans="4:36" s="172" customFormat="1" ht="15">
      <c r="D449" s="108"/>
      <c r="E449" s="108"/>
      <c r="F449" s="108"/>
      <c r="G449" s="108"/>
      <c r="H449" s="108"/>
      <c r="I449" s="108"/>
      <c r="K449" s="108"/>
      <c r="M449" s="123"/>
      <c r="O449" s="123"/>
      <c r="Q449" s="108"/>
      <c r="S449" s="123"/>
      <c r="U449" s="123"/>
      <c r="W449" s="108"/>
      <c r="Y449" s="123"/>
      <c r="AA449" s="123"/>
      <c r="AC449" s="108"/>
      <c r="AE449" s="123"/>
      <c r="AG449" s="123"/>
      <c r="AJ449" s="108"/>
    </row>
    <row r="450" spans="4:36" s="172" customFormat="1" ht="15">
      <c r="D450" s="108"/>
      <c r="E450" s="108"/>
      <c r="F450" s="108"/>
      <c r="G450" s="108"/>
      <c r="H450" s="108"/>
      <c r="I450" s="108"/>
      <c r="K450" s="108"/>
      <c r="M450" s="123"/>
      <c r="O450" s="123"/>
      <c r="Q450" s="108"/>
      <c r="S450" s="123"/>
      <c r="U450" s="123"/>
      <c r="W450" s="108"/>
      <c r="Y450" s="123"/>
      <c r="AA450" s="123"/>
      <c r="AC450" s="108"/>
      <c r="AE450" s="123"/>
      <c r="AG450" s="123"/>
      <c r="AJ450" s="108"/>
    </row>
    <row r="451" spans="4:36" s="172" customFormat="1" ht="15">
      <c r="D451" s="108"/>
      <c r="E451" s="108"/>
      <c r="F451" s="108"/>
      <c r="G451" s="108"/>
      <c r="H451" s="108"/>
      <c r="I451" s="108"/>
      <c r="K451" s="108"/>
      <c r="M451" s="123"/>
      <c r="O451" s="123"/>
      <c r="Q451" s="108"/>
      <c r="S451" s="123"/>
      <c r="U451" s="123"/>
      <c r="W451" s="108"/>
      <c r="Y451" s="123"/>
      <c r="AA451" s="123"/>
      <c r="AC451" s="108"/>
      <c r="AE451" s="123"/>
      <c r="AG451" s="123"/>
      <c r="AJ451" s="108"/>
    </row>
    <row r="452" spans="4:36" s="172" customFormat="1" ht="15">
      <c r="D452" s="108"/>
      <c r="E452" s="108"/>
      <c r="F452" s="108"/>
      <c r="G452" s="108"/>
      <c r="H452" s="108"/>
      <c r="I452" s="108"/>
      <c r="K452" s="108"/>
      <c r="M452" s="123"/>
      <c r="O452" s="123"/>
      <c r="Q452" s="108"/>
      <c r="S452" s="123"/>
      <c r="U452" s="123"/>
      <c r="W452" s="108"/>
      <c r="Y452" s="123"/>
      <c r="AA452" s="123"/>
      <c r="AC452" s="108"/>
      <c r="AE452" s="123"/>
      <c r="AG452" s="123"/>
      <c r="AJ452" s="108"/>
    </row>
    <row r="453" spans="4:36" s="172" customFormat="1" ht="15">
      <c r="D453" s="108"/>
      <c r="E453" s="108"/>
      <c r="F453" s="108"/>
      <c r="G453" s="108"/>
      <c r="H453" s="108"/>
      <c r="I453" s="108"/>
      <c r="K453" s="108"/>
      <c r="M453" s="123"/>
      <c r="O453" s="123"/>
      <c r="Q453" s="108"/>
      <c r="S453" s="123"/>
      <c r="U453" s="123"/>
      <c r="W453" s="108"/>
      <c r="Y453" s="123"/>
      <c r="AA453" s="123"/>
      <c r="AC453" s="108"/>
      <c r="AE453" s="123"/>
      <c r="AG453" s="123"/>
      <c r="AJ453" s="108"/>
    </row>
    <row r="454" spans="4:36" s="172" customFormat="1" ht="15">
      <c r="D454" s="108"/>
      <c r="E454" s="108"/>
      <c r="F454" s="108"/>
      <c r="G454" s="108"/>
      <c r="H454" s="108"/>
      <c r="I454" s="108"/>
      <c r="K454" s="108"/>
      <c r="M454" s="123"/>
      <c r="O454" s="123"/>
      <c r="Q454" s="108"/>
      <c r="S454" s="123"/>
      <c r="U454" s="123"/>
      <c r="W454" s="108"/>
      <c r="Y454" s="123"/>
      <c r="AA454" s="123"/>
      <c r="AC454" s="108"/>
      <c r="AE454" s="123"/>
      <c r="AG454" s="123"/>
      <c r="AJ454" s="108"/>
    </row>
    <row r="455" spans="4:36" s="172" customFormat="1" ht="15">
      <c r="D455" s="108"/>
      <c r="E455" s="108"/>
      <c r="F455" s="108"/>
      <c r="G455" s="108"/>
      <c r="H455" s="108"/>
      <c r="I455" s="108"/>
      <c r="K455" s="108"/>
      <c r="M455" s="123"/>
      <c r="O455" s="123"/>
      <c r="Q455" s="108"/>
      <c r="S455" s="123"/>
      <c r="U455" s="123"/>
      <c r="W455" s="108"/>
      <c r="Y455" s="123"/>
      <c r="AA455" s="123"/>
      <c r="AC455" s="108"/>
      <c r="AE455" s="123"/>
      <c r="AG455" s="123"/>
      <c r="AJ455" s="108"/>
    </row>
    <row r="456" spans="4:36" s="172" customFormat="1" ht="15">
      <c r="D456" s="108"/>
      <c r="E456" s="108"/>
      <c r="F456" s="108"/>
      <c r="G456" s="108"/>
      <c r="H456" s="108"/>
      <c r="I456" s="108"/>
      <c r="K456" s="108"/>
      <c r="M456" s="123"/>
      <c r="O456" s="123"/>
      <c r="Q456" s="108"/>
      <c r="S456" s="123"/>
      <c r="U456" s="123"/>
      <c r="W456" s="108"/>
      <c r="Y456" s="123"/>
      <c r="AA456" s="123"/>
      <c r="AC456" s="108"/>
      <c r="AE456" s="123"/>
      <c r="AG456" s="123"/>
      <c r="AJ456" s="108"/>
    </row>
    <row r="457" spans="4:36" s="172" customFormat="1" ht="15">
      <c r="D457" s="108"/>
      <c r="E457" s="108"/>
      <c r="F457" s="108"/>
      <c r="G457" s="108"/>
      <c r="H457" s="108"/>
      <c r="I457" s="108"/>
      <c r="K457" s="108"/>
      <c r="M457" s="123"/>
      <c r="O457" s="123"/>
      <c r="Q457" s="108"/>
      <c r="S457" s="123"/>
      <c r="U457" s="123"/>
      <c r="W457" s="108"/>
      <c r="Y457" s="123"/>
      <c r="AA457" s="123"/>
      <c r="AC457" s="108"/>
      <c r="AE457" s="123"/>
      <c r="AG457" s="123"/>
      <c r="AJ457" s="108"/>
    </row>
    <row r="458" spans="4:36" s="172" customFormat="1" ht="15">
      <c r="D458" s="108"/>
      <c r="E458" s="108"/>
      <c r="F458" s="108"/>
      <c r="G458" s="108"/>
      <c r="H458" s="108"/>
      <c r="I458" s="108"/>
      <c r="K458" s="108"/>
      <c r="M458" s="123"/>
      <c r="O458" s="123"/>
      <c r="Q458" s="108"/>
      <c r="S458" s="123"/>
      <c r="U458" s="123"/>
      <c r="W458" s="108"/>
      <c r="Y458" s="123"/>
      <c r="AA458" s="123"/>
      <c r="AC458" s="108"/>
      <c r="AE458" s="123"/>
      <c r="AG458" s="123"/>
      <c r="AJ458" s="108"/>
    </row>
    <row r="459" spans="4:36" s="172" customFormat="1" ht="15">
      <c r="D459" s="108"/>
      <c r="E459" s="108"/>
      <c r="F459" s="108"/>
      <c r="G459" s="108"/>
      <c r="H459" s="108"/>
      <c r="I459" s="108"/>
      <c r="K459" s="108"/>
      <c r="M459" s="123"/>
      <c r="O459" s="123"/>
      <c r="Q459" s="108"/>
      <c r="S459" s="123"/>
      <c r="U459" s="123"/>
      <c r="W459" s="108"/>
      <c r="Y459" s="123"/>
      <c r="AA459" s="123"/>
      <c r="AC459" s="108"/>
      <c r="AE459" s="123"/>
      <c r="AG459" s="123"/>
      <c r="AJ459" s="108"/>
    </row>
    <row r="460" spans="4:36" s="172" customFormat="1" ht="15">
      <c r="D460" s="108"/>
      <c r="E460" s="108"/>
      <c r="F460" s="108"/>
      <c r="G460" s="108"/>
      <c r="H460" s="108"/>
      <c r="I460" s="108"/>
      <c r="K460" s="108"/>
      <c r="M460" s="123"/>
      <c r="O460" s="123"/>
      <c r="Q460" s="108"/>
      <c r="S460" s="123"/>
      <c r="U460" s="123"/>
      <c r="W460" s="108"/>
      <c r="Y460" s="123"/>
      <c r="AA460" s="123"/>
      <c r="AC460" s="108"/>
      <c r="AE460" s="123"/>
      <c r="AG460" s="123"/>
      <c r="AJ460" s="108"/>
    </row>
    <row r="461" spans="4:36" s="172" customFormat="1" ht="15">
      <c r="D461" s="108"/>
      <c r="E461" s="108"/>
      <c r="F461" s="108"/>
      <c r="G461" s="108"/>
      <c r="H461" s="108"/>
      <c r="I461" s="108"/>
      <c r="K461" s="108"/>
      <c r="M461" s="123"/>
      <c r="O461" s="123"/>
      <c r="Q461" s="108"/>
      <c r="S461" s="123"/>
      <c r="U461" s="123"/>
      <c r="W461" s="108"/>
      <c r="Y461" s="123"/>
      <c r="AA461" s="123"/>
      <c r="AC461" s="108"/>
      <c r="AE461" s="123"/>
      <c r="AG461" s="123"/>
      <c r="AJ461" s="108"/>
    </row>
    <row r="462" spans="4:36" s="172" customFormat="1" ht="15">
      <c r="D462" s="108"/>
      <c r="E462" s="108"/>
      <c r="F462" s="108"/>
      <c r="G462" s="108"/>
      <c r="H462" s="108"/>
      <c r="I462" s="108"/>
      <c r="K462" s="108"/>
      <c r="M462" s="123"/>
      <c r="O462" s="123"/>
      <c r="Q462" s="108"/>
      <c r="S462" s="123"/>
      <c r="U462" s="123"/>
      <c r="W462" s="108"/>
      <c r="Y462" s="123"/>
      <c r="AA462" s="123"/>
      <c r="AC462" s="108"/>
      <c r="AE462" s="123"/>
      <c r="AG462" s="123"/>
      <c r="AJ462" s="108"/>
    </row>
    <row r="463" spans="4:36" s="172" customFormat="1" ht="15">
      <c r="D463" s="108"/>
      <c r="E463" s="108"/>
      <c r="F463" s="108"/>
      <c r="G463" s="108"/>
      <c r="H463" s="108"/>
      <c r="I463" s="108"/>
      <c r="K463" s="108"/>
      <c r="M463" s="123"/>
      <c r="O463" s="123"/>
      <c r="Q463" s="108"/>
      <c r="S463" s="123"/>
      <c r="U463" s="123"/>
      <c r="W463" s="108"/>
      <c r="Y463" s="123"/>
      <c r="AA463" s="123"/>
      <c r="AC463" s="108"/>
      <c r="AE463" s="123"/>
      <c r="AG463" s="123"/>
      <c r="AJ463" s="108"/>
    </row>
    <row r="464" spans="4:36" s="172" customFormat="1" ht="15">
      <c r="D464" s="108"/>
      <c r="E464" s="108"/>
      <c r="F464" s="108"/>
      <c r="G464" s="108"/>
      <c r="H464" s="108"/>
      <c r="I464" s="108"/>
      <c r="K464" s="108"/>
      <c r="M464" s="123"/>
      <c r="O464" s="123"/>
      <c r="Q464" s="108"/>
      <c r="S464" s="123"/>
      <c r="U464" s="123"/>
      <c r="W464" s="108"/>
      <c r="Y464" s="123"/>
      <c r="AA464" s="123"/>
      <c r="AC464" s="108"/>
      <c r="AE464" s="123"/>
      <c r="AG464" s="123"/>
      <c r="AJ464" s="108"/>
    </row>
    <row r="465" spans="4:36" s="172" customFormat="1" ht="15">
      <c r="D465" s="108"/>
      <c r="E465" s="108"/>
      <c r="F465" s="108"/>
      <c r="G465" s="108"/>
      <c r="H465" s="108"/>
      <c r="I465" s="108"/>
      <c r="K465" s="108"/>
      <c r="M465" s="123"/>
      <c r="O465" s="123"/>
      <c r="Q465" s="108"/>
      <c r="S465" s="123"/>
      <c r="U465" s="123"/>
      <c r="W465" s="108"/>
      <c r="Y465" s="123"/>
      <c r="AA465" s="123"/>
      <c r="AC465" s="108"/>
      <c r="AE465" s="123"/>
      <c r="AG465" s="123"/>
      <c r="AJ465" s="108"/>
    </row>
    <row r="466" spans="4:36" s="172" customFormat="1" ht="15">
      <c r="D466" s="108"/>
      <c r="E466" s="108"/>
      <c r="F466" s="108"/>
      <c r="G466" s="108"/>
      <c r="H466" s="108"/>
      <c r="I466" s="108"/>
      <c r="K466" s="108"/>
      <c r="M466" s="123"/>
      <c r="O466" s="123"/>
      <c r="Q466" s="108"/>
      <c r="S466" s="123"/>
      <c r="U466" s="123"/>
      <c r="W466" s="108"/>
      <c r="Y466" s="123"/>
      <c r="AA466" s="123"/>
      <c r="AC466" s="108"/>
      <c r="AE466" s="123"/>
      <c r="AG466" s="123"/>
      <c r="AJ466" s="108"/>
    </row>
    <row r="467" spans="4:36" s="172" customFormat="1" ht="15">
      <c r="D467" s="108"/>
      <c r="E467" s="108"/>
      <c r="F467" s="108"/>
      <c r="G467" s="108"/>
      <c r="H467" s="108"/>
      <c r="I467" s="108"/>
      <c r="K467" s="108"/>
      <c r="M467" s="123"/>
      <c r="O467" s="123"/>
      <c r="Q467" s="108"/>
      <c r="S467" s="123"/>
      <c r="U467" s="123"/>
      <c r="W467" s="108"/>
      <c r="Y467" s="123"/>
      <c r="AA467" s="123"/>
      <c r="AC467" s="108"/>
      <c r="AE467" s="123"/>
      <c r="AG467" s="123"/>
      <c r="AJ467" s="108"/>
    </row>
    <row r="468" spans="4:36" s="172" customFormat="1" ht="15">
      <c r="D468" s="108"/>
      <c r="E468" s="108"/>
      <c r="F468" s="108"/>
      <c r="G468" s="108"/>
      <c r="H468" s="108"/>
      <c r="I468" s="108"/>
      <c r="K468" s="108"/>
      <c r="M468" s="123"/>
      <c r="O468" s="123"/>
      <c r="Q468" s="108"/>
      <c r="S468" s="123"/>
      <c r="U468" s="123"/>
      <c r="W468" s="108"/>
      <c r="Y468" s="123"/>
      <c r="AA468" s="123"/>
      <c r="AC468" s="108"/>
      <c r="AE468" s="123"/>
      <c r="AG468" s="123"/>
      <c r="AJ468" s="108"/>
    </row>
    <row r="469" spans="4:36" s="172" customFormat="1" ht="15">
      <c r="D469" s="108"/>
      <c r="E469" s="108"/>
      <c r="F469" s="108"/>
      <c r="G469" s="108"/>
      <c r="H469" s="108"/>
      <c r="I469" s="108"/>
      <c r="K469" s="108"/>
      <c r="M469" s="123"/>
      <c r="O469" s="123"/>
      <c r="Q469" s="108"/>
      <c r="S469" s="123"/>
      <c r="U469" s="123"/>
      <c r="W469" s="108"/>
      <c r="Y469" s="123"/>
      <c r="AA469" s="123"/>
      <c r="AC469" s="108"/>
      <c r="AE469" s="123"/>
      <c r="AG469" s="123"/>
      <c r="AJ469" s="108"/>
    </row>
    <row r="470" spans="4:36" s="172" customFormat="1" ht="15">
      <c r="D470" s="108"/>
      <c r="E470" s="108"/>
      <c r="F470" s="108"/>
      <c r="G470" s="108"/>
      <c r="H470" s="108"/>
      <c r="I470" s="108"/>
      <c r="K470" s="108"/>
      <c r="M470" s="123"/>
      <c r="O470" s="123"/>
      <c r="Q470" s="108"/>
      <c r="S470" s="123"/>
      <c r="U470" s="123"/>
      <c r="W470" s="108"/>
      <c r="Y470" s="123"/>
      <c r="AA470" s="123"/>
      <c r="AC470" s="108"/>
      <c r="AE470" s="123"/>
      <c r="AG470" s="123"/>
      <c r="AJ470" s="108"/>
    </row>
    <row r="471" spans="4:36" s="172" customFormat="1" ht="15">
      <c r="D471" s="108"/>
      <c r="E471" s="108"/>
      <c r="F471" s="108"/>
      <c r="G471" s="108"/>
      <c r="H471" s="108"/>
      <c r="I471" s="108"/>
      <c r="K471" s="108"/>
      <c r="M471" s="123"/>
      <c r="O471" s="123"/>
      <c r="Q471" s="108"/>
      <c r="S471" s="123"/>
      <c r="U471" s="123"/>
      <c r="W471" s="108"/>
      <c r="Y471" s="123"/>
      <c r="AA471" s="123"/>
      <c r="AC471" s="108"/>
      <c r="AE471" s="123"/>
      <c r="AG471" s="123"/>
      <c r="AJ471" s="108"/>
    </row>
    <row r="472" spans="4:36" s="172" customFormat="1" ht="15">
      <c r="D472" s="108"/>
      <c r="E472" s="108"/>
      <c r="F472" s="108"/>
      <c r="G472" s="108"/>
      <c r="H472" s="108"/>
      <c r="I472" s="108"/>
      <c r="K472" s="108"/>
      <c r="M472" s="123"/>
      <c r="O472" s="123"/>
      <c r="Q472" s="108"/>
      <c r="S472" s="123"/>
      <c r="U472" s="123"/>
      <c r="W472" s="108"/>
      <c r="Y472" s="123"/>
      <c r="AA472" s="123"/>
      <c r="AC472" s="108"/>
      <c r="AE472" s="123"/>
      <c r="AG472" s="123"/>
      <c r="AJ472" s="108"/>
    </row>
    <row r="473" spans="4:36" s="172" customFormat="1" ht="15">
      <c r="D473" s="108"/>
      <c r="E473" s="108"/>
      <c r="F473" s="108"/>
      <c r="G473" s="108"/>
      <c r="H473" s="108"/>
      <c r="I473" s="108"/>
      <c r="K473" s="108"/>
      <c r="M473" s="123"/>
      <c r="O473" s="123"/>
      <c r="Q473" s="108"/>
      <c r="S473" s="123"/>
      <c r="U473" s="123"/>
      <c r="W473" s="108"/>
      <c r="Y473" s="123"/>
      <c r="AA473" s="123"/>
      <c r="AC473" s="108"/>
      <c r="AE473" s="123"/>
      <c r="AG473" s="123"/>
      <c r="AJ473" s="108"/>
    </row>
    <row r="474" spans="4:36" s="172" customFormat="1" ht="15">
      <c r="D474" s="108"/>
      <c r="E474" s="108"/>
      <c r="F474" s="108"/>
      <c r="G474" s="108"/>
      <c r="H474" s="108"/>
      <c r="I474" s="108"/>
      <c r="K474" s="108"/>
      <c r="M474" s="123"/>
      <c r="O474" s="123"/>
      <c r="Q474" s="108"/>
      <c r="S474" s="123"/>
      <c r="U474" s="123"/>
      <c r="W474" s="108"/>
      <c r="Y474" s="123"/>
      <c r="AA474" s="123"/>
      <c r="AC474" s="108"/>
      <c r="AE474" s="123"/>
      <c r="AG474" s="123"/>
      <c r="AJ474" s="108"/>
    </row>
    <row r="475" spans="4:36" s="172" customFormat="1" ht="15">
      <c r="D475" s="108"/>
      <c r="E475" s="108"/>
      <c r="F475" s="108"/>
      <c r="G475" s="108"/>
      <c r="H475" s="108"/>
      <c r="I475" s="108"/>
      <c r="K475" s="108"/>
      <c r="M475" s="123"/>
      <c r="O475" s="123"/>
      <c r="Q475" s="108"/>
      <c r="S475" s="123"/>
      <c r="U475" s="123"/>
      <c r="W475" s="108"/>
      <c r="Y475" s="123"/>
      <c r="AA475" s="123"/>
      <c r="AC475" s="108"/>
      <c r="AE475" s="123"/>
      <c r="AG475" s="123"/>
      <c r="AJ475" s="108"/>
    </row>
    <row r="476" spans="4:36" s="172" customFormat="1" ht="15">
      <c r="D476" s="108"/>
      <c r="E476" s="108"/>
      <c r="F476" s="108"/>
      <c r="G476" s="108"/>
      <c r="H476" s="108"/>
      <c r="I476" s="108"/>
      <c r="K476" s="108"/>
      <c r="M476" s="123"/>
      <c r="O476" s="123"/>
      <c r="Q476" s="108"/>
      <c r="S476" s="123"/>
      <c r="U476" s="123"/>
      <c r="W476" s="108"/>
      <c r="Y476" s="123"/>
      <c r="AA476" s="123"/>
      <c r="AC476" s="108"/>
      <c r="AE476" s="123"/>
      <c r="AG476" s="123"/>
      <c r="AJ476" s="108"/>
    </row>
    <row r="477" spans="4:36" s="172" customFormat="1" ht="15">
      <c r="D477" s="108"/>
      <c r="E477" s="108"/>
      <c r="F477" s="108"/>
      <c r="G477" s="108"/>
      <c r="H477" s="108"/>
      <c r="I477" s="108"/>
      <c r="K477" s="108"/>
      <c r="M477" s="123"/>
      <c r="O477" s="123"/>
      <c r="Q477" s="108"/>
      <c r="S477" s="123"/>
      <c r="U477" s="123"/>
      <c r="W477" s="108"/>
      <c r="Y477" s="123"/>
      <c r="AA477" s="123"/>
      <c r="AC477" s="108"/>
      <c r="AE477" s="123"/>
      <c r="AG477" s="123"/>
      <c r="AJ477" s="108"/>
    </row>
    <row r="478" spans="4:36" s="172" customFormat="1" ht="15">
      <c r="D478" s="108"/>
      <c r="E478" s="108"/>
      <c r="F478" s="108"/>
      <c r="G478" s="108"/>
      <c r="H478" s="108"/>
      <c r="I478" s="108"/>
      <c r="K478" s="108"/>
      <c r="M478" s="123"/>
      <c r="O478" s="123"/>
      <c r="Q478" s="108"/>
      <c r="S478" s="123"/>
      <c r="U478" s="123"/>
      <c r="W478" s="108"/>
      <c r="Y478" s="123"/>
      <c r="AA478" s="123"/>
      <c r="AC478" s="108"/>
      <c r="AE478" s="123"/>
      <c r="AG478" s="123"/>
      <c r="AJ478" s="108"/>
    </row>
    <row r="479" spans="4:36" s="172" customFormat="1" ht="15">
      <c r="D479" s="108"/>
      <c r="E479" s="108"/>
      <c r="F479" s="108"/>
      <c r="G479" s="108"/>
      <c r="H479" s="108"/>
      <c r="I479" s="108"/>
      <c r="K479" s="108"/>
      <c r="M479" s="123"/>
      <c r="O479" s="123"/>
      <c r="Q479" s="108"/>
      <c r="S479" s="123"/>
      <c r="U479" s="123"/>
      <c r="W479" s="108"/>
      <c r="Y479" s="123"/>
      <c r="AA479" s="123"/>
      <c r="AC479" s="108"/>
      <c r="AE479" s="123"/>
      <c r="AG479" s="123"/>
      <c r="AJ479" s="108"/>
    </row>
    <row r="480" spans="4:36" s="172" customFormat="1" ht="15">
      <c r="D480" s="108"/>
      <c r="E480" s="108"/>
      <c r="F480" s="108"/>
      <c r="G480" s="108"/>
      <c r="H480" s="108"/>
      <c r="I480" s="108"/>
      <c r="K480" s="108"/>
      <c r="M480" s="123"/>
      <c r="O480" s="123"/>
      <c r="Q480" s="108"/>
      <c r="S480" s="123"/>
      <c r="U480" s="123"/>
      <c r="W480" s="108"/>
      <c r="Y480" s="123"/>
      <c r="AA480" s="123"/>
      <c r="AC480" s="108"/>
      <c r="AE480" s="123"/>
      <c r="AG480" s="123"/>
      <c r="AJ480" s="108"/>
    </row>
    <row r="481" spans="1:36" s="172" customFormat="1" ht="15">
      <c r="D481" s="108"/>
      <c r="E481" s="108"/>
      <c r="F481" s="108"/>
      <c r="G481" s="108"/>
      <c r="H481" s="108"/>
      <c r="I481" s="108"/>
      <c r="K481" s="108"/>
      <c r="M481" s="123"/>
      <c r="O481" s="123"/>
      <c r="Q481" s="108"/>
      <c r="S481" s="123"/>
      <c r="U481" s="123"/>
      <c r="W481" s="108"/>
      <c r="Y481" s="123"/>
      <c r="AA481" s="123"/>
      <c r="AC481" s="108"/>
      <c r="AE481" s="123"/>
      <c r="AG481" s="123"/>
      <c r="AJ481" s="108"/>
    </row>
    <row r="482" spans="1:36" s="172" customFormat="1" ht="15">
      <c r="D482" s="108"/>
      <c r="E482" s="108"/>
      <c r="F482" s="108"/>
      <c r="G482" s="108"/>
      <c r="H482" s="108"/>
      <c r="I482" s="108"/>
      <c r="K482" s="108"/>
      <c r="M482" s="123"/>
      <c r="O482" s="123"/>
      <c r="Q482" s="108"/>
      <c r="S482" s="123"/>
      <c r="U482" s="123"/>
      <c r="W482" s="108"/>
      <c r="Y482" s="123"/>
      <c r="AA482" s="123"/>
      <c r="AC482" s="108"/>
      <c r="AE482" s="123"/>
      <c r="AG482" s="123"/>
      <c r="AJ482" s="108"/>
    </row>
    <row r="483" spans="1:36" s="172" customFormat="1" ht="15">
      <c r="D483" s="108"/>
      <c r="E483" s="108"/>
      <c r="F483" s="108"/>
      <c r="G483" s="108"/>
      <c r="H483" s="108"/>
      <c r="I483" s="108"/>
      <c r="K483" s="108"/>
      <c r="M483" s="123"/>
      <c r="O483" s="123"/>
      <c r="Q483" s="108"/>
      <c r="S483" s="123"/>
      <c r="U483" s="123"/>
      <c r="W483" s="108"/>
      <c r="Y483" s="123"/>
      <c r="AA483" s="123"/>
      <c r="AC483" s="108"/>
      <c r="AE483" s="123"/>
      <c r="AG483" s="123"/>
      <c r="AJ483" s="108"/>
    </row>
    <row r="484" spans="1:36" s="172" customFormat="1">
      <c r="A484" s="108"/>
      <c r="C484" s="108"/>
      <c r="D484" s="108"/>
      <c r="E484" s="108"/>
      <c r="F484" s="108"/>
      <c r="G484" s="108"/>
      <c r="H484" s="108"/>
      <c r="I484" s="108"/>
      <c r="K484" s="108"/>
      <c r="M484" s="108"/>
      <c r="O484" s="108"/>
      <c r="Q484" s="108"/>
      <c r="S484" s="108"/>
      <c r="U484" s="108"/>
      <c r="W484" s="108"/>
      <c r="Y484" s="108"/>
      <c r="AA484" s="108"/>
      <c r="AC484" s="108"/>
      <c r="AE484" s="108"/>
      <c r="AG484" s="108"/>
      <c r="AI484" s="108"/>
      <c r="AJ484" s="108"/>
    </row>
    <row r="485" spans="1:36" s="172" customFormat="1">
      <c r="A485" s="108"/>
      <c r="C485" s="108"/>
      <c r="D485" s="108"/>
      <c r="E485" s="108"/>
      <c r="F485" s="108"/>
      <c r="G485" s="108"/>
      <c r="H485" s="108"/>
      <c r="I485" s="108"/>
      <c r="K485" s="108"/>
      <c r="M485" s="108"/>
      <c r="O485" s="108"/>
      <c r="Q485" s="108"/>
      <c r="S485" s="108"/>
      <c r="U485" s="108"/>
      <c r="W485" s="108"/>
      <c r="Y485" s="108"/>
      <c r="AA485" s="108"/>
      <c r="AC485" s="108"/>
      <c r="AE485" s="108"/>
      <c r="AG485" s="108"/>
      <c r="AI485" s="108"/>
      <c r="AJ485" s="108"/>
    </row>
    <row r="486" spans="1:36" s="172" customFormat="1">
      <c r="A486" s="108"/>
      <c r="C486" s="108"/>
      <c r="D486" s="108"/>
      <c r="E486" s="108"/>
      <c r="F486" s="108"/>
      <c r="G486" s="108"/>
      <c r="H486" s="108"/>
      <c r="I486" s="108"/>
      <c r="K486" s="108"/>
      <c r="M486" s="108"/>
      <c r="O486" s="108"/>
      <c r="Q486" s="108"/>
      <c r="S486" s="108"/>
      <c r="U486" s="108"/>
      <c r="W486" s="108"/>
      <c r="Y486" s="108"/>
      <c r="AA486" s="108"/>
      <c r="AC486" s="108"/>
      <c r="AE486" s="108"/>
      <c r="AG486" s="108"/>
      <c r="AI486" s="108"/>
      <c r="AJ486" s="108"/>
    </row>
    <row r="487" spans="1:36" s="172" customFormat="1">
      <c r="A487" s="108"/>
      <c r="C487" s="108"/>
      <c r="D487" s="108"/>
      <c r="E487" s="108"/>
      <c r="F487" s="108"/>
      <c r="G487" s="108"/>
      <c r="H487" s="108"/>
      <c r="I487" s="108"/>
      <c r="K487" s="108"/>
      <c r="M487" s="108"/>
      <c r="O487" s="108"/>
      <c r="Q487" s="108"/>
      <c r="S487" s="108"/>
      <c r="U487" s="108"/>
      <c r="W487" s="108"/>
      <c r="Y487" s="108"/>
      <c r="AA487" s="108"/>
      <c r="AC487" s="108"/>
      <c r="AE487" s="108"/>
      <c r="AG487" s="108"/>
      <c r="AI487" s="108"/>
      <c r="AJ487" s="108"/>
    </row>
    <row r="488" spans="1:36" s="172" customFormat="1">
      <c r="A488" s="108"/>
      <c r="C488" s="108"/>
      <c r="D488" s="108"/>
      <c r="E488" s="108"/>
      <c r="F488" s="108"/>
      <c r="G488" s="108"/>
      <c r="H488" s="108"/>
      <c r="I488" s="108"/>
      <c r="K488" s="108"/>
      <c r="M488" s="108"/>
      <c r="O488" s="108"/>
      <c r="Q488" s="108"/>
      <c r="S488" s="108"/>
      <c r="U488" s="108"/>
      <c r="W488" s="108"/>
      <c r="Y488" s="108"/>
      <c r="AA488" s="108"/>
      <c r="AC488" s="108"/>
      <c r="AE488" s="108"/>
      <c r="AG488" s="108"/>
      <c r="AI488" s="108"/>
      <c r="AJ488" s="108"/>
    </row>
    <row r="489" spans="1:36" s="172" customFormat="1">
      <c r="A489" s="108"/>
      <c r="C489" s="108"/>
      <c r="D489" s="108"/>
      <c r="E489" s="108"/>
      <c r="F489" s="108"/>
      <c r="G489" s="108"/>
      <c r="H489" s="108"/>
      <c r="I489" s="108"/>
      <c r="K489" s="108"/>
      <c r="M489" s="108"/>
      <c r="O489" s="108"/>
      <c r="Q489" s="108"/>
      <c r="S489" s="108"/>
      <c r="U489" s="108"/>
      <c r="W489" s="108"/>
      <c r="Y489" s="108"/>
      <c r="AA489" s="108"/>
      <c r="AC489" s="108"/>
      <c r="AE489" s="108"/>
      <c r="AG489" s="108"/>
      <c r="AI489" s="108"/>
      <c r="AJ489" s="108"/>
    </row>
    <row r="490" spans="1:36" s="172" customFormat="1">
      <c r="A490" s="108"/>
      <c r="C490" s="108"/>
      <c r="D490" s="108"/>
      <c r="E490" s="108"/>
      <c r="F490" s="108"/>
      <c r="G490" s="108"/>
      <c r="H490" s="108"/>
      <c r="I490" s="108"/>
      <c r="K490" s="108"/>
      <c r="M490" s="108"/>
      <c r="O490" s="108"/>
      <c r="Q490" s="108"/>
      <c r="S490" s="108"/>
      <c r="U490" s="108"/>
      <c r="W490" s="108"/>
      <c r="Y490" s="108"/>
      <c r="AA490" s="108"/>
      <c r="AC490" s="108"/>
      <c r="AE490" s="108"/>
      <c r="AG490" s="108"/>
      <c r="AI490" s="108"/>
      <c r="AJ490" s="108"/>
    </row>
    <row r="491" spans="1:36" s="172" customFormat="1">
      <c r="A491" s="108"/>
      <c r="C491" s="108"/>
      <c r="D491" s="108"/>
      <c r="E491" s="108"/>
      <c r="F491" s="108"/>
      <c r="G491" s="108"/>
      <c r="H491" s="108"/>
      <c r="I491" s="108"/>
      <c r="K491" s="108"/>
      <c r="M491" s="108"/>
      <c r="O491" s="108"/>
      <c r="Q491" s="108"/>
      <c r="S491" s="108"/>
      <c r="U491" s="108"/>
      <c r="W491" s="108"/>
      <c r="Y491" s="108"/>
      <c r="AA491" s="108"/>
      <c r="AC491" s="108"/>
      <c r="AE491" s="108"/>
      <c r="AG491" s="108"/>
      <c r="AI491" s="108"/>
      <c r="AJ491" s="108"/>
    </row>
    <row r="492" spans="1:36" s="172" customFormat="1">
      <c r="A492" s="108"/>
      <c r="C492" s="108"/>
      <c r="D492" s="108"/>
      <c r="E492" s="108"/>
      <c r="F492" s="108"/>
      <c r="G492" s="108"/>
      <c r="H492" s="108"/>
      <c r="I492" s="108"/>
      <c r="K492" s="108"/>
      <c r="M492" s="108"/>
      <c r="O492" s="108"/>
      <c r="Q492" s="108"/>
      <c r="S492" s="108"/>
      <c r="U492" s="108"/>
      <c r="W492" s="108"/>
      <c r="Y492" s="108"/>
      <c r="AA492" s="108"/>
      <c r="AC492" s="108"/>
      <c r="AE492" s="108"/>
      <c r="AG492" s="108"/>
      <c r="AI492" s="108"/>
      <c r="AJ492" s="108"/>
    </row>
    <row r="493" spans="1:36" s="172" customFormat="1">
      <c r="A493" s="108"/>
      <c r="C493" s="108"/>
      <c r="D493" s="108"/>
      <c r="E493" s="108"/>
      <c r="F493" s="108"/>
      <c r="G493" s="108"/>
      <c r="H493" s="108"/>
      <c r="I493" s="108"/>
      <c r="K493" s="108"/>
      <c r="M493" s="108"/>
      <c r="O493" s="108"/>
      <c r="Q493" s="108"/>
      <c r="S493" s="108"/>
      <c r="U493" s="108"/>
      <c r="W493" s="108"/>
      <c r="Y493" s="108"/>
      <c r="AA493" s="108"/>
      <c r="AC493" s="108"/>
      <c r="AE493" s="108"/>
      <c r="AG493" s="108"/>
      <c r="AI493" s="108"/>
      <c r="AJ493" s="108"/>
    </row>
    <row r="494" spans="1:36" s="172" customFormat="1">
      <c r="A494" s="108"/>
      <c r="C494" s="108"/>
      <c r="D494" s="108"/>
      <c r="E494" s="108"/>
      <c r="F494" s="108"/>
      <c r="G494" s="108"/>
      <c r="H494" s="108"/>
      <c r="I494" s="108"/>
      <c r="K494" s="108"/>
      <c r="M494" s="108"/>
      <c r="O494" s="108"/>
      <c r="Q494" s="108"/>
      <c r="S494" s="108"/>
      <c r="U494" s="108"/>
      <c r="W494" s="108"/>
      <c r="Y494" s="108"/>
      <c r="AA494" s="108"/>
      <c r="AC494" s="108"/>
      <c r="AE494" s="108"/>
      <c r="AG494" s="108"/>
      <c r="AI494" s="108"/>
      <c r="AJ494" s="108"/>
    </row>
    <row r="495" spans="1:36" s="172" customFormat="1">
      <c r="A495" s="108"/>
      <c r="C495" s="108"/>
      <c r="D495" s="108"/>
      <c r="E495" s="108"/>
      <c r="F495" s="108"/>
      <c r="G495" s="108"/>
      <c r="H495" s="108"/>
      <c r="I495" s="108"/>
      <c r="K495" s="108"/>
      <c r="M495" s="108"/>
      <c r="O495" s="108"/>
      <c r="Q495" s="108"/>
      <c r="S495" s="108"/>
      <c r="U495" s="108"/>
      <c r="W495" s="108"/>
      <c r="Y495" s="108"/>
      <c r="AA495" s="108"/>
      <c r="AC495" s="108"/>
      <c r="AE495" s="108"/>
      <c r="AG495" s="108"/>
      <c r="AI495" s="108"/>
      <c r="AJ495" s="108"/>
    </row>
    <row r="496" spans="1:36" s="172" customFormat="1">
      <c r="A496" s="108"/>
      <c r="C496" s="108"/>
      <c r="D496" s="108"/>
      <c r="E496" s="108"/>
      <c r="F496" s="108"/>
      <c r="G496" s="108"/>
      <c r="H496" s="108"/>
      <c r="I496" s="108"/>
      <c r="K496" s="108"/>
      <c r="M496" s="108"/>
      <c r="O496" s="108"/>
      <c r="Q496" s="108"/>
      <c r="S496" s="108"/>
      <c r="U496" s="108"/>
      <c r="W496" s="108"/>
      <c r="Y496" s="108"/>
      <c r="AA496" s="108"/>
      <c r="AC496" s="108"/>
      <c r="AE496" s="108"/>
      <c r="AG496" s="108"/>
      <c r="AI496" s="108"/>
      <c r="AJ496" s="108"/>
    </row>
    <row r="497" spans="1:36" s="172" customFormat="1">
      <c r="A497" s="108"/>
      <c r="C497" s="108"/>
      <c r="D497" s="108"/>
      <c r="E497" s="108"/>
      <c r="F497" s="108"/>
      <c r="G497" s="108"/>
      <c r="H497" s="108"/>
      <c r="I497" s="108"/>
      <c r="K497" s="108"/>
      <c r="M497" s="108"/>
      <c r="O497" s="108"/>
      <c r="Q497" s="108"/>
      <c r="S497" s="108"/>
      <c r="U497" s="108"/>
      <c r="W497" s="108"/>
      <c r="Y497" s="108"/>
      <c r="AA497" s="108"/>
      <c r="AC497" s="108"/>
      <c r="AE497" s="108"/>
      <c r="AG497" s="108"/>
      <c r="AI497" s="108"/>
      <c r="AJ497" s="108"/>
    </row>
    <row r="498" spans="1:36" s="172" customFormat="1">
      <c r="A498" s="108"/>
      <c r="C498" s="108"/>
      <c r="D498" s="108"/>
      <c r="E498" s="108"/>
      <c r="F498" s="108"/>
      <c r="G498" s="108"/>
      <c r="H498" s="108"/>
      <c r="I498" s="108"/>
      <c r="K498" s="108"/>
      <c r="M498" s="108"/>
      <c r="O498" s="108"/>
      <c r="Q498" s="108"/>
      <c r="S498" s="108"/>
      <c r="U498" s="108"/>
      <c r="W498" s="108"/>
      <c r="Y498" s="108"/>
      <c r="AA498" s="108"/>
      <c r="AC498" s="108"/>
      <c r="AE498" s="108"/>
      <c r="AG498" s="108"/>
      <c r="AI498" s="108"/>
      <c r="AJ498" s="108"/>
    </row>
    <row r="499" spans="1:36">
      <c r="B499" s="172"/>
    </row>
    <row r="500" spans="1:36">
      <c r="B500" s="172"/>
    </row>
    <row r="501" spans="1:36">
      <c r="B501" s="172"/>
    </row>
    <row r="502" spans="1:36">
      <c r="B502" s="172"/>
    </row>
    <row r="503" spans="1:36">
      <c r="B503" s="172"/>
    </row>
    <row r="504" spans="1:36">
      <c r="B504" s="172"/>
    </row>
    <row r="505" spans="1:36">
      <c r="B505" s="172"/>
    </row>
    <row r="506" spans="1:36">
      <c r="B506" s="172"/>
    </row>
    <row r="507" spans="1:36">
      <c r="B507" s="172"/>
    </row>
    <row r="508" spans="1:36">
      <c r="B508" s="172"/>
    </row>
    <row r="509" spans="1:36">
      <c r="B509" s="172"/>
    </row>
    <row r="510" spans="1:36">
      <c r="B510" s="172"/>
    </row>
    <row r="511" spans="1:36">
      <c r="B511" s="172"/>
    </row>
    <row r="512" spans="1:36">
      <c r="B512" s="172"/>
    </row>
    <row r="513" spans="2:2">
      <c r="B513" s="172"/>
    </row>
    <row r="514" spans="2:2">
      <c r="B514" s="172"/>
    </row>
    <row r="515" spans="2:2">
      <c r="B515" s="172"/>
    </row>
    <row r="516" spans="2:2">
      <c r="B516" s="172"/>
    </row>
    <row r="517" spans="2:2">
      <c r="B517" s="172"/>
    </row>
    <row r="518" spans="2:2">
      <c r="B518" s="172"/>
    </row>
  </sheetData>
  <pageMargins left="0.25" right="0.25" top="0.75" bottom="0.75" header="0.3" footer="0.3"/>
  <pageSetup scale="70" fitToHeight="0" orientation="landscape" errors="blank" r:id="rId1"/>
  <headerFooter alignWithMargins="0">
    <oddFooter>&amp;L&amp;F - &amp;A&amp;CPrinted &amp;D - &amp;T&amp;RPage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7"/>
  <sheetViews>
    <sheetView view="pageBreakPreview" zoomScale="85" zoomScaleNormal="100" zoomScaleSheetLayoutView="85" workbookViewId="0">
      <selection activeCell="Q27" sqref="Q27"/>
    </sheetView>
  </sheetViews>
  <sheetFormatPr defaultRowHeight="15"/>
  <cols>
    <col min="1" max="1" width="49.7109375" style="1112" customWidth="1"/>
    <col min="2" max="2" width="21.28515625" style="1112" customWidth="1"/>
    <col min="3" max="3" width="12.28515625" style="1112" customWidth="1"/>
    <col min="4" max="4" width="15.5703125" style="1112" customWidth="1"/>
    <col min="5" max="5" width="4.42578125" style="1112" customWidth="1"/>
    <col min="6" max="16384" width="9.140625" style="1112"/>
  </cols>
  <sheetData>
    <row r="1" spans="1:5">
      <c r="A1" s="277" t="s">
        <v>191</v>
      </c>
      <c r="B1" s="514"/>
    </row>
    <row r="2" spans="1:5">
      <c r="A2" s="277" t="s">
        <v>1847</v>
      </c>
      <c r="B2" s="514"/>
      <c r="E2" s="1161"/>
    </row>
    <row r="3" spans="1:5" ht="9" customHeight="1">
      <c r="A3" s="1162"/>
      <c r="B3" s="1163"/>
    </row>
    <row r="4" spans="1:5">
      <c r="A4" s="1162"/>
      <c r="B4" s="1164">
        <v>12</v>
      </c>
    </row>
    <row r="5" spans="1:5" ht="15.75" thickBot="1">
      <c r="A5" s="1165"/>
      <c r="B5" s="1166" t="s">
        <v>660</v>
      </c>
    </row>
    <row r="6" spans="1:5" ht="15.75" thickBot="1">
      <c r="A6" s="1167" t="s">
        <v>1848</v>
      </c>
      <c r="B6" s="1162"/>
    </row>
    <row r="7" spans="1:5">
      <c r="A7" s="1162"/>
      <c r="B7" s="1162"/>
    </row>
    <row r="8" spans="1:5">
      <c r="A8" s="1162" t="s">
        <v>1849</v>
      </c>
      <c r="B8" s="1162"/>
    </row>
    <row r="9" spans="1:5">
      <c r="A9" s="1168" t="s">
        <v>1850</v>
      </c>
      <c r="B9" s="278">
        <v>433815092.51999998</v>
      </c>
    </row>
    <row r="10" spans="1:5">
      <c r="A10" s="1168" t="s">
        <v>1851</v>
      </c>
      <c r="B10" s="1169">
        <v>554458381</v>
      </c>
    </row>
    <row r="11" spans="1:5">
      <c r="A11" s="1168" t="s">
        <v>1852</v>
      </c>
      <c r="B11" s="1169">
        <v>0</v>
      </c>
    </row>
    <row r="12" spans="1:5">
      <c r="A12" s="1168" t="s">
        <v>1853</v>
      </c>
      <c r="B12" s="1169">
        <v>1596228.77</v>
      </c>
    </row>
    <row r="13" spans="1:5">
      <c r="A13" s="1168" t="s">
        <v>1854</v>
      </c>
      <c r="B13" s="1170">
        <v>186998121.66</v>
      </c>
    </row>
    <row r="14" spans="1:5">
      <c r="A14" s="1171" t="s">
        <v>1855</v>
      </c>
      <c r="B14" s="1165">
        <v>1176867823.95</v>
      </c>
    </row>
    <row r="15" spans="1:5">
      <c r="A15" s="1162"/>
      <c r="B15" s="1172"/>
    </row>
    <row r="16" spans="1:5">
      <c r="A16" s="1173" t="s">
        <v>1856</v>
      </c>
      <c r="B16" s="513">
        <v>167012084.33000001</v>
      </c>
    </row>
    <row r="17" spans="1:2">
      <c r="A17" s="1173" t="s">
        <v>1857</v>
      </c>
      <c r="B17" s="513">
        <v>4820933635.6999998</v>
      </c>
    </row>
    <row r="18" spans="1:2">
      <c r="A18" s="1173" t="s">
        <v>1858</v>
      </c>
      <c r="B18" s="513">
        <v>4681774220.6000004</v>
      </c>
    </row>
    <row r="19" spans="1:2">
      <c r="A19" s="1173" t="s">
        <v>1859</v>
      </c>
      <c r="B19" s="513">
        <v>1087435855.6700001</v>
      </c>
    </row>
    <row r="20" spans="1:2">
      <c r="A20" s="1173" t="s">
        <v>1860</v>
      </c>
      <c r="B20" s="513">
        <v>12624619.890000001</v>
      </c>
    </row>
    <row r="21" spans="1:2">
      <c r="A21" s="1173" t="s">
        <v>1861</v>
      </c>
      <c r="B21" s="1170">
        <v>68032766.659999996</v>
      </c>
    </row>
    <row r="22" spans="1:2">
      <c r="A22" s="1165"/>
      <c r="B22" s="1172"/>
    </row>
    <row r="23" spans="1:2" ht="15.75" thickBot="1">
      <c r="A23" s="1168"/>
      <c r="B23" s="1174">
        <v>12014681006.799999</v>
      </c>
    </row>
    <row r="24" spans="1:2" ht="15.75" thickBot="1">
      <c r="A24" s="1162"/>
      <c r="B24" s="1172"/>
    </row>
    <row r="25" spans="1:2" ht="15.75" thickBot="1">
      <c r="A25" s="1167" t="s">
        <v>1862</v>
      </c>
      <c r="B25" s="1162"/>
    </row>
    <row r="26" spans="1:2">
      <c r="A26" s="1162"/>
      <c r="B26" s="1162"/>
    </row>
    <row r="27" spans="1:2">
      <c r="A27" s="1173" t="s">
        <v>1863</v>
      </c>
      <c r="B27" s="1162"/>
    </row>
    <row r="28" spans="1:2">
      <c r="A28" s="1171" t="s">
        <v>1864</v>
      </c>
      <c r="B28" s="278">
        <v>330522801.86000001</v>
      </c>
    </row>
    <row r="29" spans="1:2">
      <c r="A29" s="1171" t="s">
        <v>1865</v>
      </c>
      <c r="B29" s="1169">
        <v>19223408.300000001</v>
      </c>
    </row>
    <row r="30" spans="1:2">
      <c r="A30" s="1171" t="s">
        <v>1866</v>
      </c>
      <c r="B30" s="1169">
        <v>278038782.83999997</v>
      </c>
    </row>
    <row r="31" spans="1:2">
      <c r="A31" s="1171" t="s">
        <v>1867</v>
      </c>
      <c r="B31" s="1169">
        <v>145196823.22999999</v>
      </c>
    </row>
    <row r="32" spans="1:2">
      <c r="A32" s="1171" t="s">
        <v>1868</v>
      </c>
      <c r="B32" s="1169">
        <v>15803280.310000001</v>
      </c>
    </row>
    <row r="33" spans="1:2">
      <c r="A33" s="1171" t="s">
        <v>1869</v>
      </c>
      <c r="B33" s="1169">
        <v>2154712.29</v>
      </c>
    </row>
    <row r="34" spans="1:2">
      <c r="A34" s="1171" t="s">
        <v>1870</v>
      </c>
      <c r="B34" s="1170">
        <v>11658904.75</v>
      </c>
    </row>
    <row r="35" spans="1:2">
      <c r="A35" s="1175" t="s">
        <v>1871</v>
      </c>
      <c r="B35" s="1165">
        <v>802598713.57999992</v>
      </c>
    </row>
    <row r="36" spans="1:2">
      <c r="A36" s="1173"/>
      <c r="B36" s="1176"/>
    </row>
    <row r="37" spans="1:2">
      <c r="A37" s="1173" t="s">
        <v>1872</v>
      </c>
      <c r="B37" s="1169">
        <v>3899572083.1500001</v>
      </c>
    </row>
    <row r="38" spans="1:2">
      <c r="A38" s="1173" t="s">
        <v>1873</v>
      </c>
      <c r="B38" s="1169">
        <v>31481562.390000001</v>
      </c>
    </row>
    <row r="39" spans="1:2">
      <c r="A39" s="1173" t="s">
        <v>1874</v>
      </c>
      <c r="B39" s="1169">
        <v>0</v>
      </c>
    </row>
    <row r="40" spans="1:2">
      <c r="A40" s="1173" t="s">
        <v>1875</v>
      </c>
      <c r="B40" s="1169">
        <v>316191665.55000001</v>
      </c>
    </row>
    <row r="41" spans="1:2">
      <c r="A41" s="1173" t="s">
        <v>1876</v>
      </c>
      <c r="B41" s="1170">
        <v>690766733.69000006</v>
      </c>
    </row>
    <row r="42" spans="1:2">
      <c r="A42" s="1168" t="s">
        <v>1877</v>
      </c>
      <c r="B42" s="1177">
        <v>5740610758.3600006</v>
      </c>
    </row>
    <row r="43" spans="1:2">
      <c r="A43" s="1162"/>
      <c r="B43" s="1162"/>
    </row>
    <row r="44" spans="1:2">
      <c r="A44" s="1178" t="s">
        <v>1878</v>
      </c>
      <c r="B44" s="1162"/>
    </row>
    <row r="45" spans="1:2">
      <c r="A45" s="1168" t="s">
        <v>1879</v>
      </c>
      <c r="B45" s="1195">
        <v>4187568381.0300002</v>
      </c>
    </row>
    <row r="46" spans="1:2">
      <c r="A46" s="1168" t="s">
        <v>1880</v>
      </c>
      <c r="B46" s="1196">
        <v>115742741.39</v>
      </c>
    </row>
    <row r="47" spans="1:2">
      <c r="A47" s="1168" t="s">
        <v>1881</v>
      </c>
      <c r="B47" s="1196">
        <v>108413316.98</v>
      </c>
    </row>
    <row r="48" spans="1:2">
      <c r="A48" s="1168" t="s">
        <v>1882</v>
      </c>
      <c r="B48" s="1195">
        <v>0</v>
      </c>
    </row>
    <row r="49" spans="1:4">
      <c r="A49" s="1168" t="s">
        <v>1883</v>
      </c>
      <c r="B49" s="1198">
        <v>1856945978.6099999</v>
      </c>
    </row>
    <row r="50" spans="1:4">
      <c r="A50" s="1171" t="s">
        <v>1884</v>
      </c>
      <c r="B50" s="1165">
        <v>6268670418.0099993</v>
      </c>
    </row>
    <row r="51" spans="1:4">
      <c r="A51" s="1173" t="s">
        <v>1885</v>
      </c>
      <c r="B51" s="1170">
        <v>5399821.4199999999</v>
      </c>
    </row>
    <row r="52" spans="1:4">
      <c r="A52" s="1171" t="s">
        <v>1886</v>
      </c>
      <c r="B52" s="1179">
        <v>6274070239.4299994</v>
      </c>
    </row>
    <row r="53" spans="1:4">
      <c r="A53" s="1171"/>
      <c r="B53" s="1162"/>
    </row>
    <row r="54" spans="1:4" ht="15.75" thickBot="1">
      <c r="A54" s="1168"/>
      <c r="B54" s="1174">
        <v>12014680997.790001</v>
      </c>
    </row>
    <row r="56" spans="1:4" ht="15.75" thickBot="1"/>
    <row r="57" spans="1:4">
      <c r="A57" s="1199"/>
      <c r="B57" s="1200" t="s">
        <v>1887</v>
      </c>
      <c r="C57" s="1200"/>
      <c r="D57" s="1201" t="s">
        <v>1888</v>
      </c>
    </row>
    <row r="58" spans="1:4">
      <c r="A58" s="1202" t="s">
        <v>1889</v>
      </c>
      <c r="B58" s="1203">
        <f>B37+B34</f>
        <v>3911230987.9000001</v>
      </c>
      <c r="C58" s="1204">
        <f>B58/B60</f>
        <v>0.3840073946369969</v>
      </c>
      <c r="D58" s="1205">
        <v>0.4</v>
      </c>
    </row>
    <row r="59" spans="1:4">
      <c r="A59" s="1202" t="s">
        <v>1890</v>
      </c>
      <c r="B59" s="1207">
        <f>B52</f>
        <v>6274070239.4299994</v>
      </c>
      <c r="C59" s="1204">
        <f>B59/B60</f>
        <v>0.61599260536300304</v>
      </c>
      <c r="D59" s="1205">
        <v>0.6</v>
      </c>
    </row>
    <row r="60" spans="1:4">
      <c r="A60" s="1202" t="s">
        <v>1891</v>
      </c>
      <c r="B60" s="1208">
        <f>SUM(B58:B59)</f>
        <v>10185301227.33</v>
      </c>
      <c r="C60" s="1206"/>
      <c r="D60" s="1209"/>
    </row>
    <row r="61" spans="1:4" ht="15.75" thickBot="1">
      <c r="A61" s="1210"/>
      <c r="B61" s="1211"/>
      <c r="C61" s="1211"/>
      <c r="D61" s="1212"/>
    </row>
    <row r="62" spans="1:4" ht="15.75" thickBot="1">
      <c r="A62" s="1193"/>
      <c r="B62" s="1193"/>
      <c r="C62" s="1193"/>
      <c r="D62" s="1193"/>
    </row>
    <row r="63" spans="1:4">
      <c r="A63" s="1213"/>
      <c r="B63" s="1214" t="s">
        <v>1892</v>
      </c>
      <c r="C63" s="1215"/>
      <c r="D63" s="1193"/>
    </row>
    <row r="64" spans="1:4">
      <c r="A64" s="1202" t="s">
        <v>1893</v>
      </c>
      <c r="B64" s="1216">
        <f>-('WCI IS'!D28+'WCI IS'!D29)</f>
        <v>120124180.94999993</v>
      </c>
      <c r="C64" s="1217"/>
      <c r="D64" s="1206"/>
    </row>
    <row r="65" spans="1:4">
      <c r="A65" s="1202" t="s">
        <v>1889</v>
      </c>
      <c r="B65" s="1218">
        <f>B58</f>
        <v>3911230987.9000001</v>
      </c>
      <c r="C65" s="1217"/>
      <c r="D65" s="1206"/>
    </row>
    <row r="66" spans="1:4">
      <c r="A66" s="1219"/>
      <c r="B66" s="1206"/>
      <c r="C66" s="1209"/>
      <c r="D66" s="1206"/>
    </row>
    <row r="67" spans="1:4" ht="15.75" thickBot="1">
      <c r="A67" s="1220" t="s">
        <v>1892</v>
      </c>
      <c r="B67" s="1221">
        <f>B64/B65</f>
        <v>3.071262764117556E-2</v>
      </c>
      <c r="C67" s="1222"/>
      <c r="D67" s="1206"/>
    </row>
  </sheetData>
  <pageMargins left="0.7" right="0.7" top="0.75" bottom="0.75" header="0.3" footer="0.3"/>
  <pageSetup scale="66" orientation="portrait" r:id="rId1"/>
  <rowBreaks count="1" manualBreakCount="1">
    <brk id="5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2"/>
  <sheetViews>
    <sheetView view="pageBreakPreview" topLeftCell="B29" zoomScale="115" zoomScaleNormal="100" zoomScaleSheetLayoutView="115" workbookViewId="0">
      <selection activeCell="Q27" sqref="Q27"/>
    </sheetView>
  </sheetViews>
  <sheetFormatPr defaultRowHeight="15" outlineLevelRow="1" outlineLevelCol="1"/>
  <cols>
    <col min="1" max="1" width="27.5703125" style="243" hidden="1" customWidth="1" outlineLevel="1"/>
    <col min="2" max="2" width="44.28515625" style="243" customWidth="1" collapsed="1"/>
    <col min="3" max="3" width="1.140625" style="243" customWidth="1"/>
    <col min="4" max="4" width="17.140625" style="243" customWidth="1"/>
    <col min="5" max="5" width="0.7109375" style="243" customWidth="1"/>
    <col min="6" max="6" width="0.85546875" style="243" customWidth="1"/>
    <col min="7" max="256" width="9.140625" style="243"/>
    <col min="257" max="257" width="0" style="243" hidden="1" customWidth="1"/>
    <col min="258" max="258" width="32.28515625" style="243" customWidth="1"/>
    <col min="259" max="259" width="1.140625" style="243" customWidth="1"/>
    <col min="260" max="260" width="16.7109375" style="243" customWidth="1"/>
    <col min="261" max="261" width="0.7109375" style="243" customWidth="1"/>
    <col min="262" max="512" width="9.140625" style="243"/>
    <col min="513" max="513" width="0" style="243" hidden="1" customWidth="1"/>
    <col min="514" max="514" width="32.28515625" style="243" customWidth="1"/>
    <col min="515" max="515" width="1.140625" style="243" customWidth="1"/>
    <col min="516" max="516" width="16.7109375" style="243" customWidth="1"/>
    <col min="517" max="517" width="0.7109375" style="243" customWidth="1"/>
    <col min="518" max="768" width="9.140625" style="243"/>
    <col min="769" max="769" width="0" style="243" hidden="1" customWidth="1"/>
    <col min="770" max="770" width="32.28515625" style="243" customWidth="1"/>
    <col min="771" max="771" width="1.140625" style="243" customWidth="1"/>
    <col min="772" max="772" width="16.7109375" style="243" customWidth="1"/>
    <col min="773" max="773" width="0.7109375" style="243" customWidth="1"/>
    <col min="774" max="1024" width="9.140625" style="243"/>
    <col min="1025" max="1025" width="0" style="243" hidden="1" customWidth="1"/>
    <col min="1026" max="1026" width="32.28515625" style="243" customWidth="1"/>
    <col min="1027" max="1027" width="1.140625" style="243" customWidth="1"/>
    <col min="1028" max="1028" width="16.7109375" style="243" customWidth="1"/>
    <col min="1029" max="1029" width="0.7109375" style="243" customWidth="1"/>
    <col min="1030" max="1280" width="9.140625" style="243"/>
    <col min="1281" max="1281" width="0" style="243" hidden="1" customWidth="1"/>
    <col min="1282" max="1282" width="32.28515625" style="243" customWidth="1"/>
    <col min="1283" max="1283" width="1.140625" style="243" customWidth="1"/>
    <col min="1284" max="1284" width="16.7109375" style="243" customWidth="1"/>
    <col min="1285" max="1285" width="0.7109375" style="243" customWidth="1"/>
    <col min="1286" max="1536" width="9.140625" style="243"/>
    <col min="1537" max="1537" width="0" style="243" hidden="1" customWidth="1"/>
    <col min="1538" max="1538" width="32.28515625" style="243" customWidth="1"/>
    <col min="1539" max="1539" width="1.140625" style="243" customWidth="1"/>
    <col min="1540" max="1540" width="16.7109375" style="243" customWidth="1"/>
    <col min="1541" max="1541" width="0.7109375" style="243" customWidth="1"/>
    <col min="1542" max="1792" width="9.140625" style="243"/>
    <col min="1793" max="1793" width="0" style="243" hidden="1" customWidth="1"/>
    <col min="1794" max="1794" width="32.28515625" style="243" customWidth="1"/>
    <col min="1795" max="1795" width="1.140625" style="243" customWidth="1"/>
    <col min="1796" max="1796" width="16.7109375" style="243" customWidth="1"/>
    <col min="1797" max="1797" width="0.7109375" style="243" customWidth="1"/>
    <col min="1798" max="2048" width="9.140625" style="243"/>
    <col min="2049" max="2049" width="0" style="243" hidden="1" customWidth="1"/>
    <col min="2050" max="2050" width="32.28515625" style="243" customWidth="1"/>
    <col min="2051" max="2051" width="1.140625" style="243" customWidth="1"/>
    <col min="2052" max="2052" width="16.7109375" style="243" customWidth="1"/>
    <col min="2053" max="2053" width="0.7109375" style="243" customWidth="1"/>
    <col min="2054" max="2304" width="9.140625" style="243"/>
    <col min="2305" max="2305" width="0" style="243" hidden="1" customWidth="1"/>
    <col min="2306" max="2306" width="32.28515625" style="243" customWidth="1"/>
    <col min="2307" max="2307" width="1.140625" style="243" customWidth="1"/>
    <col min="2308" max="2308" width="16.7109375" style="243" customWidth="1"/>
    <col min="2309" max="2309" width="0.7109375" style="243" customWidth="1"/>
    <col min="2310" max="2560" width="9.140625" style="243"/>
    <col min="2561" max="2561" width="0" style="243" hidden="1" customWidth="1"/>
    <col min="2562" max="2562" width="32.28515625" style="243" customWidth="1"/>
    <col min="2563" max="2563" width="1.140625" style="243" customWidth="1"/>
    <col min="2564" max="2564" width="16.7109375" style="243" customWidth="1"/>
    <col min="2565" max="2565" width="0.7109375" style="243" customWidth="1"/>
    <col min="2566" max="2816" width="9.140625" style="243"/>
    <col min="2817" max="2817" width="0" style="243" hidden="1" customWidth="1"/>
    <col min="2818" max="2818" width="32.28515625" style="243" customWidth="1"/>
    <col min="2819" max="2819" width="1.140625" style="243" customWidth="1"/>
    <col min="2820" max="2820" width="16.7109375" style="243" customWidth="1"/>
    <col min="2821" max="2821" width="0.7109375" style="243" customWidth="1"/>
    <col min="2822" max="3072" width="9.140625" style="243"/>
    <col min="3073" max="3073" width="0" style="243" hidden="1" customWidth="1"/>
    <col min="3074" max="3074" width="32.28515625" style="243" customWidth="1"/>
    <col min="3075" max="3075" width="1.140625" style="243" customWidth="1"/>
    <col min="3076" max="3076" width="16.7109375" style="243" customWidth="1"/>
    <col min="3077" max="3077" width="0.7109375" style="243" customWidth="1"/>
    <col min="3078" max="3328" width="9.140625" style="243"/>
    <col min="3329" max="3329" width="0" style="243" hidden="1" customWidth="1"/>
    <col min="3330" max="3330" width="32.28515625" style="243" customWidth="1"/>
    <col min="3331" max="3331" width="1.140625" style="243" customWidth="1"/>
    <col min="3332" max="3332" width="16.7109375" style="243" customWidth="1"/>
    <col min="3333" max="3333" width="0.7109375" style="243" customWidth="1"/>
    <col min="3334" max="3584" width="9.140625" style="243"/>
    <col min="3585" max="3585" width="0" style="243" hidden="1" customWidth="1"/>
    <col min="3586" max="3586" width="32.28515625" style="243" customWidth="1"/>
    <col min="3587" max="3587" width="1.140625" style="243" customWidth="1"/>
    <col min="3588" max="3588" width="16.7109375" style="243" customWidth="1"/>
    <col min="3589" max="3589" width="0.7109375" style="243" customWidth="1"/>
    <col min="3590" max="3840" width="9.140625" style="243"/>
    <col min="3841" max="3841" width="0" style="243" hidden="1" customWidth="1"/>
    <col min="3842" max="3842" width="32.28515625" style="243" customWidth="1"/>
    <col min="3843" max="3843" width="1.140625" style="243" customWidth="1"/>
    <col min="3844" max="3844" width="16.7109375" style="243" customWidth="1"/>
    <col min="3845" max="3845" width="0.7109375" style="243" customWidth="1"/>
    <col min="3846" max="4096" width="9.140625" style="243"/>
    <col min="4097" max="4097" width="0" style="243" hidden="1" customWidth="1"/>
    <col min="4098" max="4098" width="32.28515625" style="243" customWidth="1"/>
    <col min="4099" max="4099" width="1.140625" style="243" customWidth="1"/>
    <col min="4100" max="4100" width="16.7109375" style="243" customWidth="1"/>
    <col min="4101" max="4101" width="0.7109375" style="243" customWidth="1"/>
    <col min="4102" max="4352" width="9.140625" style="243"/>
    <col min="4353" max="4353" width="0" style="243" hidden="1" customWidth="1"/>
    <col min="4354" max="4354" width="32.28515625" style="243" customWidth="1"/>
    <col min="4355" max="4355" width="1.140625" style="243" customWidth="1"/>
    <col min="4356" max="4356" width="16.7109375" style="243" customWidth="1"/>
    <col min="4357" max="4357" width="0.7109375" style="243" customWidth="1"/>
    <col min="4358" max="4608" width="9.140625" style="243"/>
    <col min="4609" max="4609" width="0" style="243" hidden="1" customWidth="1"/>
    <col min="4610" max="4610" width="32.28515625" style="243" customWidth="1"/>
    <col min="4611" max="4611" width="1.140625" style="243" customWidth="1"/>
    <col min="4612" max="4612" width="16.7109375" style="243" customWidth="1"/>
    <col min="4613" max="4613" width="0.7109375" style="243" customWidth="1"/>
    <col min="4614" max="4864" width="9.140625" style="243"/>
    <col min="4865" max="4865" width="0" style="243" hidden="1" customWidth="1"/>
    <col min="4866" max="4866" width="32.28515625" style="243" customWidth="1"/>
    <col min="4867" max="4867" width="1.140625" style="243" customWidth="1"/>
    <col min="4868" max="4868" width="16.7109375" style="243" customWidth="1"/>
    <col min="4869" max="4869" width="0.7109375" style="243" customWidth="1"/>
    <col min="4870" max="5120" width="9.140625" style="243"/>
    <col min="5121" max="5121" width="0" style="243" hidden="1" customWidth="1"/>
    <col min="5122" max="5122" width="32.28515625" style="243" customWidth="1"/>
    <col min="5123" max="5123" width="1.140625" style="243" customWidth="1"/>
    <col min="5124" max="5124" width="16.7109375" style="243" customWidth="1"/>
    <col min="5125" max="5125" width="0.7109375" style="243" customWidth="1"/>
    <col min="5126" max="5376" width="9.140625" style="243"/>
    <col min="5377" max="5377" width="0" style="243" hidden="1" customWidth="1"/>
    <col min="5378" max="5378" width="32.28515625" style="243" customWidth="1"/>
    <col min="5379" max="5379" width="1.140625" style="243" customWidth="1"/>
    <col min="5380" max="5380" width="16.7109375" style="243" customWidth="1"/>
    <col min="5381" max="5381" width="0.7109375" style="243" customWidth="1"/>
    <col min="5382" max="5632" width="9.140625" style="243"/>
    <col min="5633" max="5633" width="0" style="243" hidden="1" customWidth="1"/>
    <col min="5634" max="5634" width="32.28515625" style="243" customWidth="1"/>
    <col min="5635" max="5635" width="1.140625" style="243" customWidth="1"/>
    <col min="5636" max="5636" width="16.7109375" style="243" customWidth="1"/>
    <col min="5637" max="5637" width="0.7109375" style="243" customWidth="1"/>
    <col min="5638" max="5888" width="9.140625" style="243"/>
    <col min="5889" max="5889" width="0" style="243" hidden="1" customWidth="1"/>
    <col min="5890" max="5890" width="32.28515625" style="243" customWidth="1"/>
    <col min="5891" max="5891" width="1.140625" style="243" customWidth="1"/>
    <col min="5892" max="5892" width="16.7109375" style="243" customWidth="1"/>
    <col min="5893" max="5893" width="0.7109375" style="243" customWidth="1"/>
    <col min="5894" max="6144" width="9.140625" style="243"/>
    <col min="6145" max="6145" width="0" style="243" hidden="1" customWidth="1"/>
    <col min="6146" max="6146" width="32.28515625" style="243" customWidth="1"/>
    <col min="6147" max="6147" width="1.140625" style="243" customWidth="1"/>
    <col min="6148" max="6148" width="16.7109375" style="243" customWidth="1"/>
    <col min="6149" max="6149" width="0.7109375" style="243" customWidth="1"/>
    <col min="6150" max="6400" width="9.140625" style="243"/>
    <col min="6401" max="6401" width="0" style="243" hidden="1" customWidth="1"/>
    <col min="6402" max="6402" width="32.28515625" style="243" customWidth="1"/>
    <col min="6403" max="6403" width="1.140625" style="243" customWidth="1"/>
    <col min="6404" max="6404" width="16.7109375" style="243" customWidth="1"/>
    <col min="6405" max="6405" width="0.7109375" style="243" customWidth="1"/>
    <col min="6406" max="6656" width="9.140625" style="243"/>
    <col min="6657" max="6657" width="0" style="243" hidden="1" customWidth="1"/>
    <col min="6658" max="6658" width="32.28515625" style="243" customWidth="1"/>
    <col min="6659" max="6659" width="1.140625" style="243" customWidth="1"/>
    <col min="6660" max="6660" width="16.7109375" style="243" customWidth="1"/>
    <col min="6661" max="6661" width="0.7109375" style="243" customWidth="1"/>
    <col min="6662" max="6912" width="9.140625" style="243"/>
    <col min="6913" max="6913" width="0" style="243" hidden="1" customWidth="1"/>
    <col min="6914" max="6914" width="32.28515625" style="243" customWidth="1"/>
    <col min="6915" max="6915" width="1.140625" style="243" customWidth="1"/>
    <col min="6916" max="6916" width="16.7109375" style="243" customWidth="1"/>
    <col min="6917" max="6917" width="0.7109375" style="243" customWidth="1"/>
    <col min="6918" max="7168" width="9.140625" style="243"/>
    <col min="7169" max="7169" width="0" style="243" hidden="1" customWidth="1"/>
    <col min="7170" max="7170" width="32.28515625" style="243" customWidth="1"/>
    <col min="7171" max="7171" width="1.140625" style="243" customWidth="1"/>
    <col min="7172" max="7172" width="16.7109375" style="243" customWidth="1"/>
    <col min="7173" max="7173" width="0.7109375" style="243" customWidth="1"/>
    <col min="7174" max="7424" width="9.140625" style="243"/>
    <col min="7425" max="7425" width="0" style="243" hidden="1" customWidth="1"/>
    <col min="7426" max="7426" width="32.28515625" style="243" customWidth="1"/>
    <col min="7427" max="7427" width="1.140625" style="243" customWidth="1"/>
    <col min="7428" max="7428" width="16.7109375" style="243" customWidth="1"/>
    <col min="7429" max="7429" width="0.7109375" style="243" customWidth="1"/>
    <col min="7430" max="7680" width="9.140625" style="243"/>
    <col min="7681" max="7681" width="0" style="243" hidden="1" customWidth="1"/>
    <col min="7682" max="7682" width="32.28515625" style="243" customWidth="1"/>
    <col min="7683" max="7683" width="1.140625" style="243" customWidth="1"/>
    <col min="7684" max="7684" width="16.7109375" style="243" customWidth="1"/>
    <col min="7685" max="7685" width="0.7109375" style="243" customWidth="1"/>
    <col min="7686" max="7936" width="9.140625" style="243"/>
    <col min="7937" max="7937" width="0" style="243" hidden="1" customWidth="1"/>
    <col min="7938" max="7938" width="32.28515625" style="243" customWidth="1"/>
    <col min="7939" max="7939" width="1.140625" style="243" customWidth="1"/>
    <col min="7940" max="7940" width="16.7109375" style="243" customWidth="1"/>
    <col min="7941" max="7941" width="0.7109375" style="243" customWidth="1"/>
    <col min="7942" max="8192" width="9.140625" style="243"/>
    <col min="8193" max="8193" width="0" style="243" hidden="1" customWidth="1"/>
    <col min="8194" max="8194" width="32.28515625" style="243" customWidth="1"/>
    <col min="8195" max="8195" width="1.140625" style="243" customWidth="1"/>
    <col min="8196" max="8196" width="16.7109375" style="243" customWidth="1"/>
    <col min="8197" max="8197" width="0.7109375" style="243" customWidth="1"/>
    <col min="8198" max="8448" width="9.140625" style="243"/>
    <col min="8449" max="8449" width="0" style="243" hidden="1" customWidth="1"/>
    <col min="8450" max="8450" width="32.28515625" style="243" customWidth="1"/>
    <col min="8451" max="8451" width="1.140625" style="243" customWidth="1"/>
    <col min="8452" max="8452" width="16.7109375" style="243" customWidth="1"/>
    <col min="8453" max="8453" width="0.7109375" style="243" customWidth="1"/>
    <col min="8454" max="8704" width="9.140625" style="243"/>
    <col min="8705" max="8705" width="0" style="243" hidden="1" customWidth="1"/>
    <col min="8706" max="8706" width="32.28515625" style="243" customWidth="1"/>
    <col min="8707" max="8707" width="1.140625" style="243" customWidth="1"/>
    <col min="8708" max="8708" width="16.7109375" style="243" customWidth="1"/>
    <col min="8709" max="8709" width="0.7109375" style="243" customWidth="1"/>
    <col min="8710" max="8960" width="9.140625" style="243"/>
    <col min="8961" max="8961" width="0" style="243" hidden="1" customWidth="1"/>
    <col min="8962" max="8962" width="32.28515625" style="243" customWidth="1"/>
    <col min="8963" max="8963" width="1.140625" style="243" customWidth="1"/>
    <col min="8964" max="8964" width="16.7109375" style="243" customWidth="1"/>
    <col min="8965" max="8965" width="0.7109375" style="243" customWidth="1"/>
    <col min="8966" max="9216" width="9.140625" style="243"/>
    <col min="9217" max="9217" width="0" style="243" hidden="1" customWidth="1"/>
    <col min="9218" max="9218" width="32.28515625" style="243" customWidth="1"/>
    <col min="9219" max="9219" width="1.140625" style="243" customWidth="1"/>
    <col min="9220" max="9220" width="16.7109375" style="243" customWidth="1"/>
    <col min="9221" max="9221" width="0.7109375" style="243" customWidth="1"/>
    <col min="9222" max="9472" width="9.140625" style="243"/>
    <col min="9473" max="9473" width="0" style="243" hidden="1" customWidth="1"/>
    <col min="9474" max="9474" width="32.28515625" style="243" customWidth="1"/>
    <col min="9475" max="9475" width="1.140625" style="243" customWidth="1"/>
    <col min="9476" max="9476" width="16.7109375" style="243" customWidth="1"/>
    <col min="9477" max="9477" width="0.7109375" style="243" customWidth="1"/>
    <col min="9478" max="9728" width="9.140625" style="243"/>
    <col min="9729" max="9729" width="0" style="243" hidden="1" customWidth="1"/>
    <col min="9730" max="9730" width="32.28515625" style="243" customWidth="1"/>
    <col min="9731" max="9731" width="1.140625" style="243" customWidth="1"/>
    <col min="9732" max="9732" width="16.7109375" style="243" customWidth="1"/>
    <col min="9733" max="9733" width="0.7109375" style="243" customWidth="1"/>
    <col min="9734" max="9984" width="9.140625" style="243"/>
    <col min="9985" max="9985" width="0" style="243" hidden="1" customWidth="1"/>
    <col min="9986" max="9986" width="32.28515625" style="243" customWidth="1"/>
    <col min="9987" max="9987" width="1.140625" style="243" customWidth="1"/>
    <col min="9988" max="9988" width="16.7109375" style="243" customWidth="1"/>
    <col min="9989" max="9989" width="0.7109375" style="243" customWidth="1"/>
    <col min="9990" max="10240" width="9.140625" style="243"/>
    <col min="10241" max="10241" width="0" style="243" hidden="1" customWidth="1"/>
    <col min="10242" max="10242" width="32.28515625" style="243" customWidth="1"/>
    <col min="10243" max="10243" width="1.140625" style="243" customWidth="1"/>
    <col min="10244" max="10244" width="16.7109375" style="243" customWidth="1"/>
    <col min="10245" max="10245" width="0.7109375" style="243" customWidth="1"/>
    <col min="10246" max="10496" width="9.140625" style="243"/>
    <col min="10497" max="10497" width="0" style="243" hidden="1" customWidth="1"/>
    <col min="10498" max="10498" width="32.28515625" style="243" customWidth="1"/>
    <col min="10499" max="10499" width="1.140625" style="243" customWidth="1"/>
    <col min="10500" max="10500" width="16.7109375" style="243" customWidth="1"/>
    <col min="10501" max="10501" width="0.7109375" style="243" customWidth="1"/>
    <col min="10502" max="10752" width="9.140625" style="243"/>
    <col min="10753" max="10753" width="0" style="243" hidden="1" customWidth="1"/>
    <col min="10754" max="10754" width="32.28515625" style="243" customWidth="1"/>
    <col min="10755" max="10755" width="1.140625" style="243" customWidth="1"/>
    <col min="10756" max="10756" width="16.7109375" style="243" customWidth="1"/>
    <col min="10757" max="10757" width="0.7109375" style="243" customWidth="1"/>
    <col min="10758" max="11008" width="9.140625" style="243"/>
    <col min="11009" max="11009" width="0" style="243" hidden="1" customWidth="1"/>
    <col min="11010" max="11010" width="32.28515625" style="243" customWidth="1"/>
    <col min="11011" max="11011" width="1.140625" style="243" customWidth="1"/>
    <col min="11012" max="11012" width="16.7109375" style="243" customWidth="1"/>
    <col min="11013" max="11013" width="0.7109375" style="243" customWidth="1"/>
    <col min="11014" max="11264" width="9.140625" style="243"/>
    <col min="11265" max="11265" width="0" style="243" hidden="1" customWidth="1"/>
    <col min="11266" max="11266" width="32.28515625" style="243" customWidth="1"/>
    <col min="11267" max="11267" width="1.140625" style="243" customWidth="1"/>
    <col min="11268" max="11268" width="16.7109375" style="243" customWidth="1"/>
    <col min="11269" max="11269" width="0.7109375" style="243" customWidth="1"/>
    <col min="11270" max="11520" width="9.140625" style="243"/>
    <col min="11521" max="11521" width="0" style="243" hidden="1" customWidth="1"/>
    <col min="11522" max="11522" width="32.28515625" style="243" customWidth="1"/>
    <col min="11523" max="11523" width="1.140625" style="243" customWidth="1"/>
    <col min="11524" max="11524" width="16.7109375" style="243" customWidth="1"/>
    <col min="11525" max="11525" width="0.7109375" style="243" customWidth="1"/>
    <col min="11526" max="11776" width="9.140625" style="243"/>
    <col min="11777" max="11777" width="0" style="243" hidden="1" customWidth="1"/>
    <col min="11778" max="11778" width="32.28515625" style="243" customWidth="1"/>
    <col min="11779" max="11779" width="1.140625" style="243" customWidth="1"/>
    <col min="11780" max="11780" width="16.7109375" style="243" customWidth="1"/>
    <col min="11781" max="11781" width="0.7109375" style="243" customWidth="1"/>
    <col min="11782" max="12032" width="9.140625" style="243"/>
    <col min="12033" max="12033" width="0" style="243" hidden="1" customWidth="1"/>
    <col min="12034" max="12034" width="32.28515625" style="243" customWidth="1"/>
    <col min="12035" max="12035" width="1.140625" style="243" customWidth="1"/>
    <col min="12036" max="12036" width="16.7109375" style="243" customWidth="1"/>
    <col min="12037" max="12037" width="0.7109375" style="243" customWidth="1"/>
    <col min="12038" max="12288" width="9.140625" style="243"/>
    <col min="12289" max="12289" width="0" style="243" hidden="1" customWidth="1"/>
    <col min="12290" max="12290" width="32.28515625" style="243" customWidth="1"/>
    <col min="12291" max="12291" width="1.140625" style="243" customWidth="1"/>
    <col min="12292" max="12292" width="16.7109375" style="243" customWidth="1"/>
    <col min="12293" max="12293" width="0.7109375" style="243" customWidth="1"/>
    <col min="12294" max="12544" width="9.140625" style="243"/>
    <col min="12545" max="12545" width="0" style="243" hidden="1" customWidth="1"/>
    <col min="12546" max="12546" width="32.28515625" style="243" customWidth="1"/>
    <col min="12547" max="12547" width="1.140625" style="243" customWidth="1"/>
    <col min="12548" max="12548" width="16.7109375" style="243" customWidth="1"/>
    <col min="12549" max="12549" width="0.7109375" style="243" customWidth="1"/>
    <col min="12550" max="12800" width="9.140625" style="243"/>
    <col min="12801" max="12801" width="0" style="243" hidden="1" customWidth="1"/>
    <col min="12802" max="12802" width="32.28515625" style="243" customWidth="1"/>
    <col min="12803" max="12803" width="1.140625" style="243" customWidth="1"/>
    <col min="12804" max="12804" width="16.7109375" style="243" customWidth="1"/>
    <col min="12805" max="12805" width="0.7109375" style="243" customWidth="1"/>
    <col min="12806" max="13056" width="9.140625" style="243"/>
    <col min="13057" max="13057" width="0" style="243" hidden="1" customWidth="1"/>
    <col min="13058" max="13058" width="32.28515625" style="243" customWidth="1"/>
    <col min="13059" max="13059" width="1.140625" style="243" customWidth="1"/>
    <col min="13060" max="13060" width="16.7109375" style="243" customWidth="1"/>
    <col min="13061" max="13061" width="0.7109375" style="243" customWidth="1"/>
    <col min="13062" max="13312" width="9.140625" style="243"/>
    <col min="13313" max="13313" width="0" style="243" hidden="1" customWidth="1"/>
    <col min="13314" max="13314" width="32.28515625" style="243" customWidth="1"/>
    <col min="13315" max="13315" width="1.140625" style="243" customWidth="1"/>
    <col min="13316" max="13316" width="16.7109375" style="243" customWidth="1"/>
    <col min="13317" max="13317" width="0.7109375" style="243" customWidth="1"/>
    <col min="13318" max="13568" width="9.140625" style="243"/>
    <col min="13569" max="13569" width="0" style="243" hidden="1" customWidth="1"/>
    <col min="13570" max="13570" width="32.28515625" style="243" customWidth="1"/>
    <col min="13571" max="13571" width="1.140625" style="243" customWidth="1"/>
    <col min="13572" max="13572" width="16.7109375" style="243" customWidth="1"/>
    <col min="13573" max="13573" width="0.7109375" style="243" customWidth="1"/>
    <col min="13574" max="13824" width="9.140625" style="243"/>
    <col min="13825" max="13825" width="0" style="243" hidden="1" customWidth="1"/>
    <col min="13826" max="13826" width="32.28515625" style="243" customWidth="1"/>
    <col min="13827" max="13827" width="1.140625" style="243" customWidth="1"/>
    <col min="13828" max="13828" width="16.7109375" style="243" customWidth="1"/>
    <col min="13829" max="13829" width="0.7109375" style="243" customWidth="1"/>
    <col min="13830" max="14080" width="9.140625" style="243"/>
    <col min="14081" max="14081" width="0" style="243" hidden="1" customWidth="1"/>
    <col min="14082" max="14082" width="32.28515625" style="243" customWidth="1"/>
    <col min="14083" max="14083" width="1.140625" style="243" customWidth="1"/>
    <col min="14084" max="14084" width="16.7109375" style="243" customWidth="1"/>
    <col min="14085" max="14085" width="0.7109375" style="243" customWidth="1"/>
    <col min="14086" max="14336" width="9.140625" style="243"/>
    <col min="14337" max="14337" width="0" style="243" hidden="1" customWidth="1"/>
    <col min="14338" max="14338" width="32.28515625" style="243" customWidth="1"/>
    <col min="14339" max="14339" width="1.140625" style="243" customWidth="1"/>
    <col min="14340" max="14340" width="16.7109375" style="243" customWidth="1"/>
    <col min="14341" max="14341" width="0.7109375" style="243" customWidth="1"/>
    <col min="14342" max="14592" width="9.140625" style="243"/>
    <col min="14593" max="14593" width="0" style="243" hidden="1" customWidth="1"/>
    <col min="14594" max="14594" width="32.28515625" style="243" customWidth="1"/>
    <col min="14595" max="14595" width="1.140625" style="243" customWidth="1"/>
    <col min="14596" max="14596" width="16.7109375" style="243" customWidth="1"/>
    <col min="14597" max="14597" width="0.7109375" style="243" customWidth="1"/>
    <col min="14598" max="14848" width="9.140625" style="243"/>
    <col min="14849" max="14849" width="0" style="243" hidden="1" customWidth="1"/>
    <col min="14850" max="14850" width="32.28515625" style="243" customWidth="1"/>
    <col min="14851" max="14851" width="1.140625" style="243" customWidth="1"/>
    <col min="14852" max="14852" width="16.7109375" style="243" customWidth="1"/>
    <col min="14853" max="14853" width="0.7109375" style="243" customWidth="1"/>
    <col min="14854" max="15104" width="9.140625" style="243"/>
    <col min="15105" max="15105" width="0" style="243" hidden="1" customWidth="1"/>
    <col min="15106" max="15106" width="32.28515625" style="243" customWidth="1"/>
    <col min="15107" max="15107" width="1.140625" style="243" customWidth="1"/>
    <col min="15108" max="15108" width="16.7109375" style="243" customWidth="1"/>
    <col min="15109" max="15109" width="0.7109375" style="243" customWidth="1"/>
    <col min="15110" max="15360" width="9.140625" style="243"/>
    <col min="15361" max="15361" width="0" style="243" hidden="1" customWidth="1"/>
    <col min="15362" max="15362" width="32.28515625" style="243" customWidth="1"/>
    <col min="15363" max="15363" width="1.140625" style="243" customWidth="1"/>
    <col min="15364" max="15364" width="16.7109375" style="243" customWidth="1"/>
    <col min="15365" max="15365" width="0.7109375" style="243" customWidth="1"/>
    <col min="15366" max="15616" width="9.140625" style="243"/>
    <col min="15617" max="15617" width="0" style="243" hidden="1" customWidth="1"/>
    <col min="15618" max="15618" width="32.28515625" style="243" customWidth="1"/>
    <col min="15619" max="15619" width="1.140625" style="243" customWidth="1"/>
    <col min="15620" max="15620" width="16.7109375" style="243" customWidth="1"/>
    <col min="15621" max="15621" width="0.7109375" style="243" customWidth="1"/>
    <col min="15622" max="15872" width="9.140625" style="243"/>
    <col min="15873" max="15873" width="0" style="243" hidden="1" customWidth="1"/>
    <col min="15874" max="15874" width="32.28515625" style="243" customWidth="1"/>
    <col min="15875" max="15875" width="1.140625" style="243" customWidth="1"/>
    <col min="15876" max="15876" width="16.7109375" style="243" customWidth="1"/>
    <col min="15877" max="15877" width="0.7109375" style="243" customWidth="1"/>
    <col min="15878" max="16128" width="9.140625" style="243"/>
    <col min="16129" max="16129" width="0" style="243" hidden="1" customWidth="1"/>
    <col min="16130" max="16130" width="32.28515625" style="243" customWidth="1"/>
    <col min="16131" max="16131" width="1.140625" style="243" customWidth="1"/>
    <col min="16132" max="16132" width="16.7109375" style="243" customWidth="1"/>
    <col min="16133" max="16133" width="0.7109375" style="243" customWidth="1"/>
    <col min="16134" max="16384" width="9.140625" style="243"/>
  </cols>
  <sheetData>
    <row r="1" spans="2:5" hidden="1" outlineLevel="1">
      <c r="B1" s="243" t="s">
        <v>1814</v>
      </c>
      <c r="D1" s="243" t="s">
        <v>358</v>
      </c>
    </row>
    <row r="2" spans="2:5" hidden="1" outlineLevel="1">
      <c r="B2" s="243" t="s">
        <v>196</v>
      </c>
      <c r="D2" s="243" t="s">
        <v>358</v>
      </c>
    </row>
    <row r="3" spans="2:5" hidden="1" outlineLevel="1">
      <c r="B3" s="243" t="s">
        <v>653</v>
      </c>
      <c r="D3" s="243" t="s">
        <v>358</v>
      </c>
    </row>
    <row r="4" spans="2:5" hidden="1" outlineLevel="1">
      <c r="B4" s="243" t="s">
        <v>654</v>
      </c>
      <c r="D4" s="243" t="s">
        <v>655</v>
      </c>
    </row>
    <row r="5" spans="2:5" hidden="1" outlineLevel="1">
      <c r="B5" s="243" t="s">
        <v>1815</v>
      </c>
      <c r="D5" s="243" t="s">
        <v>19</v>
      </c>
    </row>
    <row r="6" spans="2:5" hidden="1" outlineLevel="1">
      <c r="B6" s="243" t="s">
        <v>1816</v>
      </c>
      <c r="D6" s="243" t="s">
        <v>659</v>
      </c>
    </row>
    <row r="7" spans="2:5" hidden="1" outlineLevel="1">
      <c r="B7" s="243" t="s">
        <v>1817</v>
      </c>
      <c r="D7" s="1151" t="s">
        <v>657</v>
      </c>
    </row>
    <row r="8" spans="2:5" hidden="1" outlineLevel="1">
      <c r="B8" s="243" t="s">
        <v>1818</v>
      </c>
      <c r="D8" s="1152">
        <v>2017</v>
      </c>
    </row>
    <row r="9" spans="2:5" hidden="1" outlineLevel="1">
      <c r="B9" s="243" t="s">
        <v>1819</v>
      </c>
      <c r="D9" s="1152"/>
    </row>
    <row r="10" spans="2:5" hidden="1" outlineLevel="1"/>
    <row r="11" spans="2:5" collapsed="1">
      <c r="B11" s="277" t="s">
        <v>191</v>
      </c>
      <c r="C11" s="277"/>
      <c r="E11" s="277"/>
    </row>
    <row r="12" spans="2:5">
      <c r="B12" s="277" t="s">
        <v>0</v>
      </c>
      <c r="C12" s="277"/>
      <c r="E12" s="277"/>
    </row>
    <row r="13" spans="2:5">
      <c r="B13" s="277"/>
      <c r="C13" s="277"/>
      <c r="E13" s="277"/>
    </row>
    <row r="14" spans="2:5">
      <c r="D14" s="1153" t="s">
        <v>1820</v>
      </c>
    </row>
    <row r="15" spans="2:5">
      <c r="D15" s="1153" t="s">
        <v>1037</v>
      </c>
    </row>
    <row r="16" spans="2:5">
      <c r="D16" s="1154" t="s">
        <v>1821</v>
      </c>
    </row>
    <row r="17" spans="1:5">
      <c r="D17" s="1155"/>
    </row>
    <row r="18" spans="1:5">
      <c r="A18" s="1112" t="s">
        <v>1822</v>
      </c>
      <c r="B18" s="243" t="s">
        <v>346</v>
      </c>
      <c r="D18" s="278">
        <v>4630487873.8900003</v>
      </c>
    </row>
    <row r="19" spans="1:5">
      <c r="B19" s="243" t="s">
        <v>1823</v>
      </c>
      <c r="D19" s="278"/>
    </row>
    <row r="20" spans="1:5">
      <c r="A20" s="1112" t="s">
        <v>1824</v>
      </c>
      <c r="B20" s="243" t="s">
        <v>1825</v>
      </c>
      <c r="D20" s="278">
        <v>2704775375.0599999</v>
      </c>
      <c r="E20" s="1156"/>
    </row>
    <row r="21" spans="1:5">
      <c r="A21" s="1112" t="s">
        <v>1826</v>
      </c>
      <c r="B21" s="243" t="s">
        <v>1827</v>
      </c>
      <c r="D21" s="278">
        <v>509638110.58999997</v>
      </c>
      <c r="E21" s="1156"/>
    </row>
    <row r="22" spans="1:5">
      <c r="A22" s="1014" t="s">
        <v>1828</v>
      </c>
      <c r="B22" s="243" t="s">
        <v>1829</v>
      </c>
      <c r="D22" s="278">
        <v>530186728.83999997</v>
      </c>
      <c r="E22" s="1156"/>
    </row>
    <row r="23" spans="1:5">
      <c r="A23" s="1157" t="s">
        <v>1830</v>
      </c>
      <c r="B23" s="243" t="s">
        <v>1831</v>
      </c>
      <c r="D23" s="278">
        <v>102297050.47</v>
      </c>
      <c r="E23" s="1156"/>
    </row>
    <row r="24" spans="1:5">
      <c r="A24" s="1110" t="s">
        <v>1832</v>
      </c>
      <c r="B24" s="243" t="s">
        <v>1833</v>
      </c>
      <c r="D24" s="278">
        <v>156139501.46000001</v>
      </c>
      <c r="E24" s="1156"/>
    </row>
    <row r="25" spans="1:5">
      <c r="A25" s="1158">
        <v>91005</v>
      </c>
      <c r="B25" s="243" t="s">
        <v>1834</v>
      </c>
      <c r="D25" s="278">
        <v>353128.3</v>
      </c>
      <c r="E25" s="1156"/>
    </row>
    <row r="26" spans="1:5">
      <c r="B26" s="243" t="s">
        <v>1835</v>
      </c>
      <c r="D26" s="1156">
        <f>D18-SUM(D20:D25)</f>
        <v>627097979.17000008</v>
      </c>
      <c r="E26" s="1156"/>
    </row>
    <row r="27" spans="1:5">
      <c r="D27" s="1156"/>
      <c r="E27" s="1156"/>
    </row>
    <row r="28" spans="1:5">
      <c r="A28" s="1110" t="s">
        <v>303</v>
      </c>
      <c r="B28" s="243" t="s">
        <v>1836</v>
      </c>
      <c r="D28" s="278">
        <v>-661463165.76999998</v>
      </c>
      <c r="E28" s="1156"/>
    </row>
    <row r="29" spans="1:5">
      <c r="A29" s="1110" t="s">
        <v>305</v>
      </c>
      <c r="B29" s="243" t="s">
        <v>1837</v>
      </c>
      <c r="D29" s="278">
        <v>541338984.82000005</v>
      </c>
      <c r="E29" s="1156"/>
    </row>
    <row r="30" spans="1:5">
      <c r="A30" s="1112" t="s">
        <v>307</v>
      </c>
      <c r="B30" s="243" t="s">
        <v>1838</v>
      </c>
      <c r="D30" s="278">
        <v>3736296.45</v>
      </c>
      <c r="E30" s="1156"/>
    </row>
    <row r="31" spans="1:5">
      <c r="A31" s="1112" t="s">
        <v>1839</v>
      </c>
      <c r="B31" s="243" t="s">
        <v>1840</v>
      </c>
      <c r="D31" s="278">
        <v>-2199929.7400000002</v>
      </c>
      <c r="E31" s="1156"/>
    </row>
    <row r="32" spans="1:5">
      <c r="D32" s="1156"/>
      <c r="E32" s="1156"/>
    </row>
    <row r="33" spans="1:5">
      <c r="B33" s="243" t="s">
        <v>1841</v>
      </c>
      <c r="D33" s="1156">
        <f>SUM(D26:D31)</f>
        <v>508510164.93000013</v>
      </c>
      <c r="E33" s="1156"/>
    </row>
    <row r="34" spans="1:5">
      <c r="D34" s="1156"/>
      <c r="E34" s="1156"/>
    </row>
    <row r="35" spans="1:5">
      <c r="A35" s="1110" t="s">
        <v>313</v>
      </c>
      <c r="B35" s="243" t="s">
        <v>1842</v>
      </c>
      <c r="D35" s="278">
        <v>68909621.25</v>
      </c>
      <c r="E35" s="1156"/>
    </row>
    <row r="36" spans="1:5">
      <c r="D36" s="1156"/>
      <c r="E36" s="1156"/>
    </row>
    <row r="37" spans="1:5">
      <c r="B37" s="243" t="s">
        <v>1843</v>
      </c>
      <c r="D37" s="1156">
        <f>SUM(D33:D35)</f>
        <v>577419786.18000007</v>
      </c>
      <c r="E37" s="1156"/>
    </row>
    <row r="38" spans="1:5">
      <c r="B38" s="243" t="s">
        <v>1844</v>
      </c>
      <c r="D38" s="1156"/>
      <c r="E38" s="1156"/>
    </row>
    <row r="39" spans="1:5">
      <c r="A39" s="1110" t="s">
        <v>316</v>
      </c>
      <c r="B39" s="243" t="s">
        <v>1845</v>
      </c>
      <c r="D39" s="278">
        <v>-602300.93000000005</v>
      </c>
      <c r="E39" s="1156"/>
    </row>
    <row r="40" spans="1:5">
      <c r="D40" s="1159"/>
    </row>
    <row r="41" spans="1:5" ht="15.75" thickBot="1">
      <c r="B41" s="243" t="s">
        <v>1846</v>
      </c>
      <c r="D41" s="1160">
        <f>SUM(D37:D39)</f>
        <v>576817485.25000012</v>
      </c>
    </row>
    <row r="42" spans="1:5">
      <c r="D42" s="1159"/>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84"/>
  <sheetViews>
    <sheetView showGridLines="0" view="pageBreakPreview" topLeftCell="E9" zoomScaleNormal="80" zoomScaleSheetLayoutView="100" workbookViewId="0">
      <pane ySplit="11" topLeftCell="A41" activePane="bottomLeft" state="frozen"/>
      <selection activeCell="Q27" sqref="Q27"/>
      <selection pane="bottomLeft" activeCell="Q27" sqref="Q27"/>
    </sheetView>
  </sheetViews>
  <sheetFormatPr defaultRowHeight="12.75" outlineLevelRow="1"/>
  <cols>
    <col min="1" max="1" width="1.85546875" style="1018" customWidth="1"/>
    <col min="2" max="2" width="44.28515625" style="1018" customWidth="1"/>
    <col min="3" max="3" width="13.140625" style="1018" customWidth="1"/>
    <col min="4" max="4" width="12.85546875" style="1018" customWidth="1"/>
    <col min="5" max="5" width="12.42578125" style="1018" customWidth="1"/>
    <col min="6" max="6" width="12.28515625" style="1018" customWidth="1"/>
    <col min="7" max="7" width="17.42578125" style="1018" customWidth="1"/>
    <col min="8" max="8" width="5.5703125" style="1018" customWidth="1"/>
    <col min="9" max="9" width="29" style="1018" customWidth="1"/>
    <col min="10" max="10" width="11.85546875" style="1018" customWidth="1"/>
    <col min="11" max="11" width="7" style="1018" customWidth="1"/>
    <col min="12" max="12" width="13.140625" style="1018" customWidth="1"/>
    <col min="13" max="13" width="7.140625" style="1018" customWidth="1"/>
    <col min="14" max="14" width="38" style="1018" customWidth="1"/>
    <col min="15" max="15" width="6.85546875" style="1018" customWidth="1"/>
    <col min="16" max="16" width="18.28515625" style="1018" customWidth="1"/>
    <col min="17" max="17" width="8.140625" style="1018" customWidth="1"/>
    <col min="18" max="18" width="14.140625" style="1017" customWidth="1"/>
    <col min="19" max="20" width="1.5703125" style="1017" customWidth="1"/>
    <col min="21" max="21" width="12.5703125" style="1017" customWidth="1"/>
    <col min="22" max="22" width="12.42578125" style="1017" customWidth="1"/>
    <col min="23" max="23" width="9" style="1017" customWidth="1"/>
    <col min="24" max="25" width="10" style="1017" customWidth="1"/>
    <col min="26" max="26" width="7" style="1017" customWidth="1"/>
    <col min="27" max="27" width="8" style="1017" customWidth="1"/>
    <col min="28" max="28" width="11" style="1017" customWidth="1"/>
    <col min="29" max="29" width="8.7109375" style="1017" customWidth="1"/>
    <col min="30" max="30" width="7" style="1017" customWidth="1"/>
    <col min="31" max="38" width="7.7109375" style="1017" customWidth="1"/>
    <col min="39" max="41" width="8.85546875" style="1017" hidden="1" customWidth="1"/>
    <col min="42" max="43" width="8.85546875" style="1017" customWidth="1"/>
    <col min="44" max="44" width="9.140625" style="1017" customWidth="1"/>
    <col min="45" max="45" width="9.140625" style="1017" hidden="1" customWidth="1"/>
    <col min="46" max="46" width="9.140625" style="1017" customWidth="1"/>
    <col min="47" max="16384" width="9.140625" style="1017"/>
  </cols>
  <sheetData>
    <row r="1" spans="1:43" hidden="1" outlineLevel="1">
      <c r="A1" s="1623" t="b">
        <v>1</v>
      </c>
      <c r="B1" s="1623"/>
      <c r="C1" s="1623"/>
      <c r="D1" s="1623"/>
      <c r="E1" s="1623"/>
      <c r="F1" s="1623"/>
      <c r="G1" s="1623"/>
      <c r="H1" s="1623"/>
      <c r="I1" s="1623"/>
      <c r="J1" s="1623"/>
      <c r="K1" s="1623"/>
      <c r="L1" s="1623"/>
      <c r="M1" s="1623"/>
      <c r="N1" s="1623"/>
      <c r="O1" s="1623"/>
      <c r="P1" s="1623"/>
      <c r="Q1" s="1623"/>
      <c r="R1" s="1016"/>
      <c r="S1" s="1016"/>
      <c r="T1" s="1016"/>
      <c r="U1" s="1016"/>
      <c r="V1" s="1016"/>
      <c r="W1" s="1016"/>
      <c r="X1" s="1016"/>
      <c r="Y1" s="1016"/>
      <c r="Z1" s="1016"/>
      <c r="AA1" s="1016"/>
      <c r="AB1" s="1016"/>
      <c r="AC1" s="1016"/>
      <c r="AD1" s="1016"/>
      <c r="AE1" s="1016"/>
      <c r="AF1" s="1016"/>
      <c r="AG1" s="1016"/>
      <c r="AH1" s="1016"/>
      <c r="AI1" s="1016"/>
      <c r="AJ1" s="1016"/>
      <c r="AK1" s="1016"/>
      <c r="AL1" s="1016"/>
      <c r="AM1" s="1016"/>
      <c r="AN1" s="1016"/>
      <c r="AO1" s="1016"/>
      <c r="AP1" s="1016"/>
      <c r="AQ1" s="1016"/>
    </row>
    <row r="2" spans="1:43" hidden="1" outlineLevel="1">
      <c r="B2" s="1018" t="s">
        <v>1239</v>
      </c>
      <c r="C2" s="1018" t="s">
        <v>1238</v>
      </c>
      <c r="D2" s="1018" t="s">
        <v>1237</v>
      </c>
      <c r="E2" s="1018" t="s">
        <v>1236</v>
      </c>
      <c r="F2" s="1018" t="s">
        <v>1235</v>
      </c>
      <c r="G2" s="1018" t="s">
        <v>1234</v>
      </c>
      <c r="H2" s="1018" t="s">
        <v>1233</v>
      </c>
      <c r="I2" s="1018" t="s">
        <v>1232</v>
      </c>
      <c r="J2" s="1018" t="s">
        <v>1165</v>
      </c>
      <c r="K2" s="1018" t="s">
        <v>1231</v>
      </c>
      <c r="L2" s="1018" t="s">
        <v>1230</v>
      </c>
      <c r="M2" s="1018" t="s">
        <v>1229</v>
      </c>
      <c r="N2" s="1018" t="s">
        <v>1228</v>
      </c>
      <c r="O2" s="1018" t="s">
        <v>1227</v>
      </c>
      <c r="P2" s="1018" t="s">
        <v>1226</v>
      </c>
      <c r="Q2" s="1018" t="s">
        <v>1225</v>
      </c>
      <c r="R2" s="1017" t="s">
        <v>1224</v>
      </c>
      <c r="S2" s="1017" t="s">
        <v>1223</v>
      </c>
      <c r="T2" s="1017" t="s">
        <v>1222</v>
      </c>
      <c r="U2" s="1017" t="s">
        <v>1221</v>
      </c>
      <c r="V2" s="1017" t="s">
        <v>1220</v>
      </c>
      <c r="W2" s="1017" t="s">
        <v>1219</v>
      </c>
      <c r="X2" s="1017" t="s">
        <v>1218</v>
      </c>
      <c r="Y2" s="1017" t="s">
        <v>1217</v>
      </c>
      <c r="Z2" s="1017" t="s">
        <v>1216</v>
      </c>
      <c r="AA2" s="1017" t="s">
        <v>1215</v>
      </c>
      <c r="AB2" s="1017" t="s">
        <v>1214</v>
      </c>
      <c r="AC2" s="1017" t="s">
        <v>1213</v>
      </c>
      <c r="AD2" s="1017" t="s">
        <v>1212</v>
      </c>
      <c r="AE2" s="1017" t="s">
        <v>1211</v>
      </c>
      <c r="AF2" s="1017" t="s">
        <v>1210</v>
      </c>
      <c r="AG2" s="1017" t="s">
        <v>1209</v>
      </c>
      <c r="AH2" s="1017" t="s">
        <v>1208</v>
      </c>
      <c r="AI2" s="1017" t="s">
        <v>1207</v>
      </c>
      <c r="AJ2" s="1017" t="s">
        <v>1206</v>
      </c>
      <c r="AK2" s="1017" t="s">
        <v>1205</v>
      </c>
      <c r="AL2" s="1017" t="s">
        <v>1204</v>
      </c>
      <c r="AM2" s="1017" t="s">
        <v>1203</v>
      </c>
      <c r="AN2" s="1017" t="s">
        <v>1135</v>
      </c>
      <c r="AO2" s="1017" t="s">
        <v>1202</v>
      </c>
      <c r="AP2" s="1017" t="s">
        <v>1201</v>
      </c>
      <c r="AQ2" s="1018"/>
    </row>
    <row r="3" spans="1:43" hidden="1" outlineLevel="1">
      <c r="A3" s="1623" t="s">
        <v>1200</v>
      </c>
      <c r="B3" s="1623"/>
      <c r="C3" s="1623"/>
      <c r="D3" s="1623"/>
      <c r="E3" s="1623"/>
      <c r="F3" s="1623"/>
      <c r="G3" s="1623"/>
      <c r="H3" s="1623"/>
      <c r="I3" s="1623"/>
      <c r="J3" s="1623"/>
      <c r="K3" s="1623"/>
      <c r="L3" s="1623"/>
      <c r="M3" s="1623"/>
      <c r="N3" s="1623"/>
      <c r="O3" s="1623"/>
      <c r="P3" s="1623"/>
      <c r="Q3" s="1623"/>
      <c r="R3" s="1016"/>
      <c r="S3" s="1016"/>
      <c r="T3" s="1016"/>
      <c r="U3" s="1016"/>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row>
    <row r="4" spans="1:43" hidden="1" outlineLevel="1">
      <c r="Q4" s="1018" t="str">
        <f ca="1">_xll.ReportDrill('[52]JE Lookup'!B1,,_xll.PairGroup(_xll.Pair(G20:G63,'[52]JE Lookup'!N8),_xll.Pair(AB20:AB63,'[52]JE Lookup'!N7)),"JE Lookup")</f>
        <v>OK!: ReportDrill 'JE Lookup' Formula OK [jAction{}]</v>
      </c>
      <c r="U4" s="1017" t="str">
        <f ca="1">_xll.ReportDrill(,"APDrill",_xll.PairGroup(_xll.PairExt(AQ20:AQ63,"H8")),"AP Detail")</f>
        <v>OK!: ReportDrill 'AP Detail' Formula OK [jAction{}]</v>
      </c>
      <c r="Y4" s="1017" t="str">
        <f ca="1">_xll.ReportDrill(,"JEStaged_DrillToDetail",_xll.PairGroup(_xll.PairExt(Q19:Q63,"dControlNum",TRUE),_xll.PairExt(AP19:AP63,"dDistrict",TRUE),_xll.PairExt(AO19:AO63,"dApplyMonth",TRUE)),"JE Staged Details")</f>
        <v>OK!: ReportDrill 'JE Staged Details' Formula OK [jAction{}]</v>
      </c>
    </row>
    <row r="5" spans="1:43" hidden="1" outlineLevel="1">
      <c r="B5" s="1018" t="str">
        <f ca="1">_xll.ReportRange("JEQuery_WithStaged",B20:AS62,B2:AS2,,_xll.Param(I12,DateTo,IF(M12="","all",M12),M13,M14,M15,P12,P13,P14,P15,EntrieShownLimit,DateFrom,DateTo),TRUE)</f>
        <v>OK!: ReportRange Formula OK [jAction{}]</v>
      </c>
      <c r="Q5" s="1018" t="str">
        <f ca="1">_xll.ReportDrill('[52]JE Lookup'!B1,,_xll.PairGroup(_xll.Pair(V20:V63,'[52]JE Lookup'!N8),_xll.Pair(AS20:AS63,'[52]JE Lookup'!N7)),"I/C Originating JE")</f>
        <v>OK!: ReportDrill 'I/C Originating JE' Formula OK [jAction{}]</v>
      </c>
    </row>
    <row r="6" spans="1:43" hidden="1" outlineLevel="1">
      <c r="B6" s="1019" t="s">
        <v>1199</v>
      </c>
      <c r="D6" s="1018">
        <v>10000</v>
      </c>
    </row>
    <row r="7" spans="1:43" hidden="1" outlineLevel="1">
      <c r="A7" s="1623" t="s">
        <v>1198</v>
      </c>
      <c r="B7" s="1623"/>
      <c r="C7" s="1623"/>
      <c r="D7" s="1623"/>
      <c r="E7" s="1623"/>
      <c r="F7" s="1623"/>
      <c r="G7" s="1623"/>
      <c r="H7" s="1623"/>
      <c r="I7" s="1623"/>
      <c r="J7" s="1623"/>
      <c r="K7" s="1623"/>
      <c r="L7" s="1623"/>
      <c r="M7" s="1623"/>
      <c r="N7" s="1623"/>
      <c r="O7" s="1623"/>
      <c r="P7" s="1623"/>
      <c r="Q7" s="1623"/>
      <c r="R7" s="1016"/>
      <c r="S7" s="1016"/>
      <c r="T7" s="1016"/>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row>
    <row r="8" spans="1:43" hidden="1" outlineLevel="1">
      <c r="B8" s="1031" t="s">
        <v>1197</v>
      </c>
      <c r="C8" s="1018" t="str">
        <f>IF(DateFrom="",CurrentMonth,DateFrom)</f>
        <v>2017-01</v>
      </c>
      <c r="E8" s="1031" t="s">
        <v>1196</v>
      </c>
      <c r="G8" s="1018" t="str">
        <f>IF(DateTo="",CurrentMonth,DateTo)</f>
        <v>2017-12</v>
      </c>
      <c r="I8" s="1031" t="s">
        <v>1195</v>
      </c>
      <c r="J8" s="1624" t="str">
        <f ca="1">TEXT(NOW() - 15,"yyyy-mm")</f>
        <v>2018-01</v>
      </c>
    </row>
    <row r="9" spans="1:43" collapsed="1">
      <c r="B9" s="1019" t="s">
        <v>1194</v>
      </c>
      <c r="G9" s="1625" t="s">
        <v>1193</v>
      </c>
      <c r="P9" s="1024"/>
      <c r="U9" s="1019"/>
    </row>
    <row r="10" spans="1:43">
      <c r="B10" s="1018" t="s">
        <v>1192</v>
      </c>
      <c r="G10" s="1626"/>
      <c r="P10" s="1024"/>
      <c r="U10" s="1019"/>
    </row>
    <row r="11" spans="1:43">
      <c r="G11" s="1026" t="s">
        <v>1191</v>
      </c>
      <c r="H11" s="1027"/>
      <c r="I11" s="1627"/>
      <c r="L11" s="1027" t="s">
        <v>1190</v>
      </c>
      <c r="M11" s="1027"/>
      <c r="N11" s="1027"/>
      <c r="O11" s="1027"/>
      <c r="P11" s="1027"/>
      <c r="U11" s="1018"/>
    </row>
    <row r="12" spans="1:43" s="1019" customFormat="1">
      <c r="H12" s="1029" t="s">
        <v>1189</v>
      </c>
      <c r="I12" s="1030" t="s">
        <v>1188</v>
      </c>
      <c r="K12" s="1031"/>
      <c r="L12" s="1019" t="s">
        <v>1187</v>
      </c>
      <c r="M12" s="1030" t="s">
        <v>193</v>
      </c>
      <c r="O12" s="1029" t="s">
        <v>1186</v>
      </c>
      <c r="P12" s="1032"/>
      <c r="Z12" s="1017"/>
      <c r="AA12" s="1017"/>
      <c r="AB12" s="1017"/>
      <c r="AH12" s="1017"/>
      <c r="AI12" s="1017"/>
      <c r="AJ12" s="1017"/>
      <c r="AK12" s="1017"/>
      <c r="AL12" s="1017"/>
    </row>
    <row r="13" spans="1:43" s="1019" customFormat="1">
      <c r="H13" s="1029" t="s">
        <v>1185</v>
      </c>
      <c r="I13" s="1030" t="s">
        <v>197</v>
      </c>
      <c r="K13" s="1031"/>
      <c r="L13" s="1019" t="s">
        <v>1184</v>
      </c>
      <c r="M13" s="1030" t="s">
        <v>1575</v>
      </c>
      <c r="N13" s="1018"/>
      <c r="O13" s="1029" t="s">
        <v>1182</v>
      </c>
      <c r="P13" s="1033"/>
      <c r="Q13" s="1628"/>
      <c r="Z13" s="1017"/>
      <c r="AA13" s="1017"/>
      <c r="AB13" s="1017"/>
      <c r="AH13" s="1017"/>
      <c r="AI13" s="1017"/>
      <c r="AJ13" s="1017"/>
      <c r="AK13" s="1017"/>
      <c r="AL13" s="1017"/>
    </row>
    <row r="14" spans="1:43">
      <c r="L14" s="1019" t="s">
        <v>196</v>
      </c>
      <c r="M14" s="1030" t="s">
        <v>195</v>
      </c>
      <c r="O14" s="1029" t="s">
        <v>1181</v>
      </c>
      <c r="P14" s="1033"/>
      <c r="Q14" s="1628"/>
    </row>
    <row r="15" spans="1:43">
      <c r="L15" s="1019" t="s">
        <v>653</v>
      </c>
      <c r="M15" s="1030" t="s">
        <v>195</v>
      </c>
      <c r="O15" s="1029" t="s">
        <v>1180</v>
      </c>
      <c r="P15" s="1035" t="s">
        <v>1179</v>
      </c>
    </row>
    <row r="16" spans="1:43">
      <c r="B16" s="1036" t="s">
        <v>1178</v>
      </c>
      <c r="C16" s="1629"/>
      <c r="D16" s="1038">
        <f>SUM(D19:D63)</f>
        <v>820298.84999999986</v>
      </c>
      <c r="E16" s="1038">
        <f>SUM(E19:E63)</f>
        <v>0</v>
      </c>
      <c r="F16" s="1018" t="s">
        <v>1177</v>
      </c>
      <c r="N16" s="1630"/>
      <c r="O16" s="1630"/>
      <c r="P16" s="1630"/>
      <c r="Q16" s="1630"/>
    </row>
    <row r="17" spans="1:45">
      <c r="B17" s="1036" t="s">
        <v>1176</v>
      </c>
      <c r="C17" s="1629"/>
      <c r="D17" s="1040">
        <f>COUNT(D20:D64)</f>
        <v>42</v>
      </c>
      <c r="E17" s="1040">
        <f>COUNT(E20:E64)</f>
        <v>42</v>
      </c>
      <c r="F17" s="1018" t="s">
        <v>1175</v>
      </c>
      <c r="G17" s="1631" t="str">
        <f>""&amp;EntrieShownLimit</f>
        <v>10000</v>
      </c>
    </row>
    <row r="18" spans="1:45">
      <c r="O18" s="1632"/>
      <c r="R18" s="1043" t="s">
        <v>1174</v>
      </c>
      <c r="S18" s="1044"/>
      <c r="T18" s="1044"/>
      <c r="U18" s="1044"/>
      <c r="V18" s="1044"/>
      <c r="W18" s="1044"/>
      <c r="X18" s="1044"/>
      <c r="Y18" s="1044"/>
      <c r="Z18" s="1045"/>
      <c r="AA18" s="1045"/>
      <c r="AB18" s="1045"/>
      <c r="AC18" s="1045"/>
      <c r="AD18" s="1045"/>
      <c r="AE18" s="1045"/>
      <c r="AF18" s="1045"/>
      <c r="AG18" s="1045"/>
      <c r="AH18" s="1045"/>
      <c r="AI18" s="1045"/>
      <c r="AJ18" s="1045"/>
      <c r="AK18" s="1045"/>
      <c r="AL18" s="1045"/>
      <c r="AM18" s="1045"/>
      <c r="AN18" s="1045"/>
      <c r="AO18" s="1045"/>
      <c r="AP18" s="1045"/>
      <c r="AQ18" s="1045"/>
    </row>
    <row r="19" spans="1:45" s="1610" customFormat="1" ht="29.25" customHeight="1" thickBot="1">
      <c r="A19" s="1633"/>
      <c r="B19" s="1634" t="s">
        <v>1173</v>
      </c>
      <c r="C19" s="1635" t="s">
        <v>1172</v>
      </c>
      <c r="D19" s="1049" t="s">
        <v>1171</v>
      </c>
      <c r="E19" s="1049" t="s">
        <v>1170</v>
      </c>
      <c r="F19" s="1049" t="s">
        <v>1169</v>
      </c>
      <c r="G19" s="1050" t="s">
        <v>1168</v>
      </c>
      <c r="H19" s="1634" t="s">
        <v>1167</v>
      </c>
      <c r="I19" s="1634" t="s">
        <v>1166</v>
      </c>
      <c r="J19" s="1634" t="s">
        <v>1165</v>
      </c>
      <c r="K19" s="1634" t="s">
        <v>1164</v>
      </c>
      <c r="L19" s="1634" t="s">
        <v>1163</v>
      </c>
      <c r="M19" s="1634" t="s">
        <v>1162</v>
      </c>
      <c r="N19" s="1634" t="s">
        <v>1161</v>
      </c>
      <c r="O19" s="1636" t="s">
        <v>1160</v>
      </c>
      <c r="P19" s="1634" t="s">
        <v>1159</v>
      </c>
      <c r="Q19" s="1634" t="s">
        <v>1158</v>
      </c>
      <c r="R19" s="1606" t="s">
        <v>1157</v>
      </c>
      <c r="S19" s="1606" t="s">
        <v>1156</v>
      </c>
      <c r="T19" s="1606" t="s">
        <v>1155</v>
      </c>
      <c r="U19" s="1606" t="s">
        <v>1154</v>
      </c>
      <c r="V19" s="1606" t="s">
        <v>1153</v>
      </c>
      <c r="W19" s="1606" t="s">
        <v>1152</v>
      </c>
      <c r="X19" s="1606" t="s">
        <v>1151</v>
      </c>
      <c r="Y19" s="1606" t="s">
        <v>1150</v>
      </c>
      <c r="Z19" s="1606" t="s">
        <v>1149</v>
      </c>
      <c r="AA19" s="1606" t="s">
        <v>1148</v>
      </c>
      <c r="AB19" s="1606" t="s">
        <v>1147</v>
      </c>
      <c r="AC19" s="1608" t="s">
        <v>1146</v>
      </c>
      <c r="AD19" s="1608" t="s">
        <v>1145</v>
      </c>
      <c r="AE19" s="1608" t="s">
        <v>1144</v>
      </c>
      <c r="AF19" s="1608" t="s">
        <v>1143</v>
      </c>
      <c r="AG19" s="1608" t="s">
        <v>1142</v>
      </c>
      <c r="AH19" s="1608" t="s">
        <v>1141</v>
      </c>
      <c r="AI19" s="1607" t="s">
        <v>1140</v>
      </c>
      <c r="AJ19" s="1607" t="s">
        <v>1139</v>
      </c>
      <c r="AK19" s="1607" t="s">
        <v>1138</v>
      </c>
      <c r="AL19" s="1607" t="s">
        <v>1137</v>
      </c>
      <c r="AM19" s="1607" t="s">
        <v>1136</v>
      </c>
      <c r="AN19" s="1607" t="s">
        <v>1135</v>
      </c>
      <c r="AO19" s="1609" t="s">
        <v>1134</v>
      </c>
      <c r="AP19" s="1609" t="s">
        <v>1133</v>
      </c>
      <c r="AQ19" s="1609" t="s">
        <v>1132</v>
      </c>
    </row>
    <row r="20" spans="1:45" s="792" customFormat="1">
      <c r="A20" s="1018"/>
      <c r="B20" s="1018" t="s">
        <v>1576</v>
      </c>
      <c r="C20" s="1637">
        <v>42766</v>
      </c>
      <c r="D20" s="1055">
        <v>-1627.6</v>
      </c>
      <c r="E20" s="1055">
        <v>0</v>
      </c>
      <c r="F20" s="1056" t="s">
        <v>657</v>
      </c>
      <c r="G20" s="1018" t="s">
        <v>1577</v>
      </c>
      <c r="H20" s="1638" t="s">
        <v>1071</v>
      </c>
      <c r="I20" s="1018" t="s">
        <v>1092</v>
      </c>
      <c r="J20" s="1018" t="s">
        <v>1119</v>
      </c>
      <c r="K20" s="1018" t="s">
        <v>1068</v>
      </c>
      <c r="L20" s="1624"/>
      <c r="M20" s="1624"/>
      <c r="N20" s="1624" t="s">
        <v>1578</v>
      </c>
      <c r="O20" s="1632"/>
      <c r="P20" s="1624"/>
      <c r="Q20" s="1624"/>
      <c r="U20" s="792" t="s">
        <v>1579</v>
      </c>
      <c r="V20" s="792" t="s">
        <v>1580</v>
      </c>
      <c r="X20" s="859">
        <v>42744</v>
      </c>
      <c r="Y20" s="859">
        <v>42744</v>
      </c>
      <c r="AA20" s="859"/>
      <c r="AB20" s="792" t="s">
        <v>1066</v>
      </c>
      <c r="AC20" s="792">
        <v>0</v>
      </c>
      <c r="AD20" s="792">
        <v>0</v>
      </c>
      <c r="AE20" s="792">
        <v>0</v>
      </c>
      <c r="AF20" s="792">
        <v>0</v>
      </c>
      <c r="AG20" s="792">
        <v>5</v>
      </c>
      <c r="AH20" s="792">
        <v>1</v>
      </c>
      <c r="AI20" s="792">
        <v>40101</v>
      </c>
      <c r="AJ20" s="792">
        <v>2120</v>
      </c>
      <c r="AK20" s="792">
        <v>0</v>
      </c>
      <c r="AL20" s="792">
        <v>0</v>
      </c>
      <c r="AO20" s="1491"/>
      <c r="AP20" s="1491"/>
      <c r="AQ20" s="792" t="str">
        <f>IF(LEFT(U20,2)="VO",U20,"")</f>
        <v/>
      </c>
      <c r="AS20" s="792" t="str">
        <f>IF(RIGHT(K20,2)="IC",IF(OR(AB20="wci_canada",AB20="wci_can_corp"),"wci_can_Corp","wci_corp"),AB20)</f>
        <v>wci_corp</v>
      </c>
    </row>
    <row r="21" spans="1:45" s="792" customFormat="1">
      <c r="A21" s="1018"/>
      <c r="B21" s="1018" t="s">
        <v>1576</v>
      </c>
      <c r="C21" s="1637">
        <v>42766</v>
      </c>
      <c r="D21" s="1055">
        <v>1640.93</v>
      </c>
      <c r="E21" s="1055">
        <v>0</v>
      </c>
      <c r="F21" s="1056" t="s">
        <v>657</v>
      </c>
      <c r="G21" s="1018" t="s">
        <v>1581</v>
      </c>
      <c r="H21" s="1638" t="s">
        <v>1071</v>
      </c>
      <c r="I21" s="1018" t="s">
        <v>1582</v>
      </c>
      <c r="J21" s="1018" t="s">
        <v>1119</v>
      </c>
      <c r="K21" s="1018" t="s">
        <v>1068</v>
      </c>
      <c r="L21" s="1624"/>
      <c r="M21" s="1624"/>
      <c r="N21" s="1624" t="s">
        <v>1583</v>
      </c>
      <c r="O21" s="1632"/>
      <c r="P21" s="1624"/>
      <c r="Q21" s="1624"/>
      <c r="U21" s="792" t="s">
        <v>1584</v>
      </c>
      <c r="V21" s="792" t="s">
        <v>1584</v>
      </c>
      <c r="X21" s="859">
        <v>42769</v>
      </c>
      <c r="Y21" s="859">
        <v>42769</v>
      </c>
      <c r="AA21" s="859"/>
      <c r="AB21" s="792" t="s">
        <v>1066</v>
      </c>
      <c r="AC21" s="792">
        <v>0</v>
      </c>
      <c r="AD21" s="792">
        <v>0</v>
      </c>
      <c r="AE21" s="792">
        <v>0</v>
      </c>
      <c r="AF21" s="792">
        <v>0</v>
      </c>
      <c r="AG21" s="792">
        <v>0</v>
      </c>
      <c r="AH21" s="792">
        <v>1</v>
      </c>
      <c r="AI21" s="792">
        <v>40101</v>
      </c>
      <c r="AJ21" s="792">
        <v>2120</v>
      </c>
      <c r="AK21" s="792">
        <v>0</v>
      </c>
      <c r="AL21" s="792">
        <v>0</v>
      </c>
      <c r="AO21" s="1491"/>
      <c r="AP21" s="1491"/>
      <c r="AQ21" s="792" t="str">
        <f t="shared" ref="AQ21:AQ61" si="0">IF(LEFT(U21,2)="VO",U21,"")</f>
        <v/>
      </c>
      <c r="AS21" s="792" t="str">
        <f t="shared" ref="AS21:AS61" si="1">IF(RIGHT(K21,2)="IC",IF(OR(AB21="wci_canada",AB21="wci_can_corp"),"wci_can_Corp","wci_corp"),AB21)</f>
        <v>wci_corp</v>
      </c>
    </row>
    <row r="22" spans="1:45" s="792" customFormat="1">
      <c r="A22" s="1018"/>
      <c r="B22" s="1018" t="s">
        <v>1576</v>
      </c>
      <c r="C22" s="1637">
        <v>42766</v>
      </c>
      <c r="D22" s="1055">
        <v>60448.62</v>
      </c>
      <c r="E22" s="1055">
        <v>0</v>
      </c>
      <c r="F22" s="1056" t="s">
        <v>657</v>
      </c>
      <c r="G22" s="1018" t="s">
        <v>1585</v>
      </c>
      <c r="H22" s="1638" t="s">
        <v>1071</v>
      </c>
      <c r="I22" s="1018" t="s">
        <v>1092</v>
      </c>
      <c r="J22" s="1018" t="s">
        <v>1084</v>
      </c>
      <c r="K22" s="1018" t="s">
        <v>1068</v>
      </c>
      <c r="L22" s="1624"/>
      <c r="M22" s="1624"/>
      <c r="N22" s="1624" t="s">
        <v>1586</v>
      </c>
      <c r="O22" s="1632"/>
      <c r="P22" s="1624"/>
      <c r="Q22" s="1624"/>
      <c r="U22" s="792" t="s">
        <v>1587</v>
      </c>
      <c r="V22" s="792" t="s">
        <v>1587</v>
      </c>
      <c r="X22" s="859">
        <v>42772</v>
      </c>
      <c r="Y22" s="859">
        <v>42773</v>
      </c>
      <c r="AA22" s="859"/>
      <c r="AB22" s="792" t="s">
        <v>1066</v>
      </c>
      <c r="AC22" s="792">
        <v>0</v>
      </c>
      <c r="AD22" s="792">
        <v>0</v>
      </c>
      <c r="AE22" s="792">
        <v>0</v>
      </c>
      <c r="AF22" s="792">
        <v>0</v>
      </c>
      <c r="AG22" s="792">
        <v>0</v>
      </c>
      <c r="AH22" s="792">
        <v>1</v>
      </c>
      <c r="AI22" s="792">
        <v>40101</v>
      </c>
      <c r="AJ22" s="792">
        <v>2120</v>
      </c>
      <c r="AK22" s="792">
        <v>0</v>
      </c>
      <c r="AL22" s="792">
        <v>0</v>
      </c>
      <c r="AO22" s="1491"/>
      <c r="AP22" s="1491"/>
      <c r="AQ22" s="792" t="str">
        <f t="shared" si="0"/>
        <v/>
      </c>
      <c r="AS22" s="792" t="str">
        <f t="shared" si="1"/>
        <v>wci_corp</v>
      </c>
    </row>
    <row r="23" spans="1:45" s="792" customFormat="1">
      <c r="A23" s="1018"/>
      <c r="B23" s="1018" t="s">
        <v>1576</v>
      </c>
      <c r="C23" s="1637">
        <v>42766</v>
      </c>
      <c r="D23" s="1055">
        <v>51.38</v>
      </c>
      <c r="E23" s="1055">
        <v>0</v>
      </c>
      <c r="F23" s="1056" t="s">
        <v>657</v>
      </c>
      <c r="G23" s="1018" t="s">
        <v>1585</v>
      </c>
      <c r="H23" s="1638" t="s">
        <v>1071</v>
      </c>
      <c r="I23" s="1018" t="s">
        <v>1092</v>
      </c>
      <c r="J23" s="1018" t="s">
        <v>1084</v>
      </c>
      <c r="K23" s="1018" t="s">
        <v>1068</v>
      </c>
      <c r="L23" s="1624"/>
      <c r="M23" s="1624"/>
      <c r="N23" s="1624" t="s">
        <v>1588</v>
      </c>
      <c r="O23" s="1632"/>
      <c r="P23" s="1624"/>
      <c r="Q23" s="1624"/>
      <c r="U23" s="792" t="s">
        <v>1587</v>
      </c>
      <c r="V23" s="792" t="s">
        <v>1587</v>
      </c>
      <c r="X23" s="859">
        <v>42772</v>
      </c>
      <c r="Y23" s="859">
        <v>42773</v>
      </c>
      <c r="AA23" s="859"/>
      <c r="AB23" s="792" t="s">
        <v>1066</v>
      </c>
      <c r="AC23" s="792">
        <v>0</v>
      </c>
      <c r="AD23" s="792">
        <v>0</v>
      </c>
      <c r="AE23" s="792">
        <v>0</v>
      </c>
      <c r="AF23" s="792">
        <v>0</v>
      </c>
      <c r="AG23" s="792">
        <v>0</v>
      </c>
      <c r="AH23" s="792">
        <v>1</v>
      </c>
      <c r="AI23" s="792">
        <v>40101</v>
      </c>
      <c r="AJ23" s="792">
        <v>2120</v>
      </c>
      <c r="AK23" s="792">
        <v>0</v>
      </c>
      <c r="AL23" s="792">
        <v>0</v>
      </c>
      <c r="AO23" s="1491"/>
      <c r="AP23" s="1491"/>
      <c r="AQ23" s="792" t="str">
        <f t="shared" si="0"/>
        <v/>
      </c>
      <c r="AS23" s="792" t="str">
        <f t="shared" si="1"/>
        <v>wci_corp</v>
      </c>
    </row>
    <row r="24" spans="1:45" s="792" customFormat="1">
      <c r="A24" s="1018"/>
      <c r="B24" s="1018" t="s">
        <v>1576</v>
      </c>
      <c r="C24" s="1637">
        <v>42779</v>
      </c>
      <c r="D24" s="1055">
        <v>60448.62</v>
      </c>
      <c r="E24" s="1055">
        <v>0</v>
      </c>
      <c r="F24" s="1056" t="s">
        <v>657</v>
      </c>
      <c r="G24" s="1018" t="s">
        <v>1589</v>
      </c>
      <c r="H24" s="1638" t="s">
        <v>1071</v>
      </c>
      <c r="I24" s="1018" t="s">
        <v>1099</v>
      </c>
      <c r="J24" s="1018" t="s">
        <v>1243</v>
      </c>
      <c r="K24" s="1018" t="s">
        <v>1068</v>
      </c>
      <c r="L24" s="1624" t="s">
        <v>1590</v>
      </c>
      <c r="M24" s="1624"/>
      <c r="N24" s="1624" t="s">
        <v>1591</v>
      </c>
      <c r="O24" s="1632">
        <v>42766</v>
      </c>
      <c r="P24" s="1624" t="s">
        <v>1592</v>
      </c>
      <c r="Q24" s="1639">
        <v>42736</v>
      </c>
      <c r="R24" s="792" t="s">
        <v>1593</v>
      </c>
      <c r="U24" s="792" t="s">
        <v>1594</v>
      </c>
      <c r="V24" s="792" t="s">
        <v>1595</v>
      </c>
      <c r="W24" s="792">
        <v>2195</v>
      </c>
      <c r="X24" s="859">
        <v>42779</v>
      </c>
      <c r="Y24" s="859">
        <v>42787</v>
      </c>
      <c r="Z24" s="792">
        <v>60448.6</v>
      </c>
      <c r="AA24" s="859">
        <v>42776</v>
      </c>
      <c r="AB24" s="792" t="s">
        <v>1066</v>
      </c>
      <c r="AC24" s="792">
        <v>0</v>
      </c>
      <c r="AD24" s="792">
        <v>0</v>
      </c>
      <c r="AE24" s="792">
        <v>0</v>
      </c>
      <c r="AF24" s="792">
        <v>0</v>
      </c>
      <c r="AG24" s="792">
        <v>0</v>
      </c>
      <c r="AH24" s="792">
        <v>1</v>
      </c>
      <c r="AI24" s="792">
        <v>40101</v>
      </c>
      <c r="AJ24" s="792">
        <v>2120</v>
      </c>
      <c r="AK24" s="792">
        <v>0</v>
      </c>
      <c r="AL24" s="792">
        <v>0</v>
      </c>
      <c r="AO24" s="1491"/>
      <c r="AP24" s="1491"/>
      <c r="AQ24" s="792" t="str">
        <f t="shared" si="0"/>
        <v>VO04199194</v>
      </c>
      <c r="AS24" s="792" t="str">
        <f t="shared" si="1"/>
        <v>wci_corp</v>
      </c>
    </row>
    <row r="25" spans="1:45" s="792" customFormat="1">
      <c r="A25" s="1018"/>
      <c r="B25" s="1018" t="s">
        <v>1576</v>
      </c>
      <c r="C25" s="1637">
        <v>42794</v>
      </c>
      <c r="D25" s="1055">
        <v>-60448.62</v>
      </c>
      <c r="E25" s="1055">
        <v>0</v>
      </c>
      <c r="F25" s="1056" t="s">
        <v>657</v>
      </c>
      <c r="G25" s="1018" t="s">
        <v>1596</v>
      </c>
      <c r="H25" s="1638" t="s">
        <v>1071</v>
      </c>
      <c r="I25" s="1018" t="s">
        <v>1092</v>
      </c>
      <c r="J25" s="1018" t="s">
        <v>1084</v>
      </c>
      <c r="K25" s="1018" t="s">
        <v>1068</v>
      </c>
      <c r="L25" s="1624"/>
      <c r="M25" s="1624"/>
      <c r="N25" s="1624" t="s">
        <v>1586</v>
      </c>
      <c r="O25" s="1632"/>
      <c r="P25" s="1624"/>
      <c r="Q25" s="1624"/>
      <c r="U25" s="792" t="s">
        <v>1587</v>
      </c>
      <c r="V25" s="792" t="s">
        <v>1597</v>
      </c>
      <c r="X25" s="859">
        <v>42773</v>
      </c>
      <c r="Y25" s="859">
        <v>42773</v>
      </c>
      <c r="AA25" s="859"/>
      <c r="AB25" s="792" t="s">
        <v>1066</v>
      </c>
      <c r="AC25" s="792">
        <v>0</v>
      </c>
      <c r="AD25" s="792">
        <v>0</v>
      </c>
      <c r="AE25" s="792">
        <v>0</v>
      </c>
      <c r="AF25" s="792">
        <v>0</v>
      </c>
      <c r="AG25" s="792">
        <v>5</v>
      </c>
      <c r="AH25" s="792">
        <v>1</v>
      </c>
      <c r="AI25" s="792">
        <v>40101</v>
      </c>
      <c r="AJ25" s="792">
        <v>2120</v>
      </c>
      <c r="AK25" s="792">
        <v>0</v>
      </c>
      <c r="AL25" s="792">
        <v>0</v>
      </c>
      <c r="AO25" s="1491"/>
      <c r="AP25" s="1491"/>
      <c r="AQ25" s="792" t="str">
        <f t="shared" si="0"/>
        <v/>
      </c>
      <c r="AS25" s="792" t="str">
        <f t="shared" si="1"/>
        <v>wci_corp</v>
      </c>
    </row>
    <row r="26" spans="1:45" s="792" customFormat="1">
      <c r="A26" s="1018"/>
      <c r="B26" s="1018" t="s">
        <v>1576</v>
      </c>
      <c r="C26" s="1637">
        <v>42794</v>
      </c>
      <c r="D26" s="1055">
        <v>-51.38</v>
      </c>
      <c r="E26" s="1055">
        <v>0</v>
      </c>
      <c r="F26" s="1056" t="s">
        <v>657</v>
      </c>
      <c r="G26" s="1018" t="s">
        <v>1596</v>
      </c>
      <c r="H26" s="1638" t="s">
        <v>1071</v>
      </c>
      <c r="I26" s="1018" t="s">
        <v>1092</v>
      </c>
      <c r="J26" s="1018" t="s">
        <v>1084</v>
      </c>
      <c r="K26" s="1018" t="s">
        <v>1068</v>
      </c>
      <c r="L26" s="1624"/>
      <c r="M26" s="1624"/>
      <c r="N26" s="1624" t="s">
        <v>1588</v>
      </c>
      <c r="O26" s="1632"/>
      <c r="P26" s="1624"/>
      <c r="Q26" s="1624"/>
      <c r="U26" s="792" t="s">
        <v>1587</v>
      </c>
      <c r="V26" s="792" t="s">
        <v>1597</v>
      </c>
      <c r="X26" s="859">
        <v>42773</v>
      </c>
      <c r="Y26" s="859">
        <v>42773</v>
      </c>
      <c r="AA26" s="859"/>
      <c r="AB26" s="792" t="s">
        <v>1066</v>
      </c>
      <c r="AC26" s="792">
        <v>0</v>
      </c>
      <c r="AD26" s="792">
        <v>0</v>
      </c>
      <c r="AE26" s="792">
        <v>0</v>
      </c>
      <c r="AF26" s="792">
        <v>0</v>
      </c>
      <c r="AG26" s="792">
        <v>5</v>
      </c>
      <c r="AH26" s="792">
        <v>1</v>
      </c>
      <c r="AI26" s="792">
        <v>40101</v>
      </c>
      <c r="AJ26" s="792">
        <v>2120</v>
      </c>
      <c r="AK26" s="792">
        <v>0</v>
      </c>
      <c r="AL26" s="792">
        <v>0</v>
      </c>
      <c r="AO26" s="1491"/>
      <c r="AP26" s="1491"/>
      <c r="AQ26" s="792" t="str">
        <f t="shared" si="0"/>
        <v/>
      </c>
      <c r="AS26" s="792" t="str">
        <f t="shared" si="1"/>
        <v>wci_corp</v>
      </c>
    </row>
    <row r="27" spans="1:45" s="792" customFormat="1">
      <c r="A27" s="1018"/>
      <c r="B27" s="1018" t="s">
        <v>1576</v>
      </c>
      <c r="C27" s="1637">
        <v>42794</v>
      </c>
      <c r="D27" s="1055">
        <v>1859.05</v>
      </c>
      <c r="E27" s="1055">
        <v>0</v>
      </c>
      <c r="F27" s="1056" t="s">
        <v>657</v>
      </c>
      <c r="G27" s="1018" t="s">
        <v>1598</v>
      </c>
      <c r="H27" s="1638" t="s">
        <v>1071</v>
      </c>
      <c r="I27" s="1018" t="s">
        <v>1582</v>
      </c>
      <c r="J27" s="1018" t="s">
        <v>1084</v>
      </c>
      <c r="K27" s="1018" t="s">
        <v>1068</v>
      </c>
      <c r="L27" s="1624"/>
      <c r="M27" s="1624"/>
      <c r="N27" s="1624" t="s">
        <v>1583</v>
      </c>
      <c r="O27" s="1632"/>
      <c r="P27" s="1624"/>
      <c r="Q27" s="1624"/>
      <c r="U27" s="792" t="s">
        <v>1599</v>
      </c>
      <c r="V27" s="792" t="s">
        <v>1599</v>
      </c>
      <c r="X27" s="859">
        <v>42796</v>
      </c>
      <c r="Y27" s="859">
        <v>42796</v>
      </c>
      <c r="AA27" s="859"/>
      <c r="AB27" s="792" t="s">
        <v>1066</v>
      </c>
      <c r="AC27" s="792">
        <v>0</v>
      </c>
      <c r="AD27" s="792">
        <v>0</v>
      </c>
      <c r="AE27" s="792">
        <v>0</v>
      </c>
      <c r="AF27" s="792">
        <v>0</v>
      </c>
      <c r="AG27" s="792">
        <v>0</v>
      </c>
      <c r="AH27" s="792">
        <v>1</v>
      </c>
      <c r="AI27" s="792">
        <v>40101</v>
      </c>
      <c r="AJ27" s="792">
        <v>2120</v>
      </c>
      <c r="AK27" s="792">
        <v>0</v>
      </c>
      <c r="AL27" s="792">
        <v>0</v>
      </c>
      <c r="AO27" s="1491"/>
      <c r="AP27" s="1491"/>
      <c r="AQ27" s="792" t="str">
        <f t="shared" si="0"/>
        <v/>
      </c>
      <c r="AS27" s="792" t="str">
        <f t="shared" si="1"/>
        <v>wci_corp</v>
      </c>
    </row>
    <row r="28" spans="1:45" s="792" customFormat="1">
      <c r="A28" s="1018"/>
      <c r="B28" s="1018" t="s">
        <v>1576</v>
      </c>
      <c r="C28" s="1637">
        <v>42794</v>
      </c>
      <c r="D28" s="1055">
        <v>55269.1</v>
      </c>
      <c r="E28" s="1055">
        <v>0</v>
      </c>
      <c r="F28" s="1056" t="s">
        <v>657</v>
      </c>
      <c r="G28" s="1018" t="s">
        <v>1353</v>
      </c>
      <c r="H28" s="1638" t="s">
        <v>1071</v>
      </c>
      <c r="I28" s="1018" t="s">
        <v>1092</v>
      </c>
      <c r="J28" s="1018" t="s">
        <v>1084</v>
      </c>
      <c r="K28" s="1018" t="s">
        <v>1068</v>
      </c>
      <c r="L28" s="1624"/>
      <c r="M28" s="1624"/>
      <c r="N28" s="1624" t="s">
        <v>1586</v>
      </c>
      <c r="O28" s="1632"/>
      <c r="P28" s="1624"/>
      <c r="Q28" s="1624"/>
      <c r="U28" s="792" t="s">
        <v>1354</v>
      </c>
      <c r="V28" s="792" t="s">
        <v>1354</v>
      </c>
      <c r="X28" s="859">
        <v>42800</v>
      </c>
      <c r="Y28" s="859">
        <v>42801</v>
      </c>
      <c r="AA28" s="859"/>
      <c r="AB28" s="792" t="s">
        <v>1066</v>
      </c>
      <c r="AC28" s="792">
        <v>0</v>
      </c>
      <c r="AD28" s="792">
        <v>0</v>
      </c>
      <c r="AE28" s="792">
        <v>0</v>
      </c>
      <c r="AF28" s="792">
        <v>0</v>
      </c>
      <c r="AG28" s="792">
        <v>0</v>
      </c>
      <c r="AH28" s="792">
        <v>1</v>
      </c>
      <c r="AI28" s="792">
        <v>40101</v>
      </c>
      <c r="AJ28" s="792">
        <v>2120</v>
      </c>
      <c r="AK28" s="792">
        <v>0</v>
      </c>
      <c r="AL28" s="792">
        <v>0</v>
      </c>
      <c r="AO28" s="1491"/>
      <c r="AP28" s="1491"/>
      <c r="AQ28" s="792" t="str">
        <f t="shared" si="0"/>
        <v/>
      </c>
      <c r="AS28" s="792" t="str">
        <f t="shared" si="1"/>
        <v>wci_corp</v>
      </c>
    </row>
    <row r="29" spans="1:45" s="792" customFormat="1">
      <c r="A29" s="1018"/>
      <c r="B29" s="1018" t="s">
        <v>1576</v>
      </c>
      <c r="C29" s="1637">
        <v>42803</v>
      </c>
      <c r="D29" s="1055">
        <v>55269.1</v>
      </c>
      <c r="E29" s="1055">
        <v>0</v>
      </c>
      <c r="F29" s="1056" t="s">
        <v>657</v>
      </c>
      <c r="G29" s="1018" t="s">
        <v>1600</v>
      </c>
      <c r="H29" s="1638" t="s">
        <v>1071</v>
      </c>
      <c r="I29" s="1018" t="s">
        <v>1099</v>
      </c>
      <c r="J29" s="1018" t="s">
        <v>1243</v>
      </c>
      <c r="K29" s="1018" t="s">
        <v>1068</v>
      </c>
      <c r="L29" s="1624" t="s">
        <v>1590</v>
      </c>
      <c r="M29" s="1624"/>
      <c r="N29" s="1624" t="s">
        <v>1591</v>
      </c>
      <c r="O29" s="1632">
        <v>42794</v>
      </c>
      <c r="P29" s="1624" t="s">
        <v>1592</v>
      </c>
      <c r="Q29" s="1639">
        <v>42767</v>
      </c>
      <c r="R29" s="792" t="s">
        <v>1593</v>
      </c>
      <c r="U29" s="792" t="s">
        <v>1601</v>
      </c>
      <c r="V29" s="792" t="s">
        <v>1602</v>
      </c>
      <c r="W29" s="792">
        <v>2195</v>
      </c>
      <c r="X29" s="859">
        <v>42803</v>
      </c>
      <c r="Y29" s="859">
        <v>42808</v>
      </c>
      <c r="Z29" s="792">
        <v>55269.1</v>
      </c>
      <c r="AA29" s="859">
        <v>42804</v>
      </c>
      <c r="AB29" s="792" t="s">
        <v>1066</v>
      </c>
      <c r="AC29" s="792">
        <v>0</v>
      </c>
      <c r="AD29" s="792">
        <v>0</v>
      </c>
      <c r="AE29" s="792">
        <v>0</v>
      </c>
      <c r="AF29" s="792">
        <v>0</v>
      </c>
      <c r="AG29" s="792">
        <v>0</v>
      </c>
      <c r="AH29" s="792">
        <v>1</v>
      </c>
      <c r="AI29" s="792">
        <v>40101</v>
      </c>
      <c r="AJ29" s="792">
        <v>2120</v>
      </c>
      <c r="AK29" s="792">
        <v>0</v>
      </c>
      <c r="AL29" s="792">
        <v>0</v>
      </c>
      <c r="AO29" s="1491"/>
      <c r="AP29" s="1491"/>
      <c r="AQ29" s="792" t="str">
        <f t="shared" si="0"/>
        <v>VO04224883</v>
      </c>
      <c r="AS29" s="792" t="str">
        <f t="shared" si="1"/>
        <v>wci_corp</v>
      </c>
    </row>
    <row r="30" spans="1:45" s="792" customFormat="1">
      <c r="A30" s="1018"/>
      <c r="B30" s="1018" t="s">
        <v>1576</v>
      </c>
      <c r="C30" s="1637">
        <v>42825</v>
      </c>
      <c r="D30" s="1055">
        <v>-55269.1</v>
      </c>
      <c r="E30" s="1055">
        <v>0</v>
      </c>
      <c r="F30" s="1056" t="s">
        <v>657</v>
      </c>
      <c r="G30" s="1018" t="s">
        <v>1355</v>
      </c>
      <c r="H30" s="1638" t="s">
        <v>1071</v>
      </c>
      <c r="I30" s="1018" t="s">
        <v>1092</v>
      </c>
      <c r="J30" s="1018" t="s">
        <v>1119</v>
      </c>
      <c r="K30" s="1018" t="s">
        <v>1068</v>
      </c>
      <c r="L30" s="1624"/>
      <c r="M30" s="1624"/>
      <c r="N30" s="1624" t="s">
        <v>1586</v>
      </c>
      <c r="O30" s="1632"/>
      <c r="P30" s="1624"/>
      <c r="Q30" s="1624"/>
      <c r="U30" s="792" t="s">
        <v>1354</v>
      </c>
      <c r="V30" s="792" t="s">
        <v>1356</v>
      </c>
      <c r="X30" s="859">
        <v>42801</v>
      </c>
      <c r="Y30" s="859">
        <v>42801</v>
      </c>
      <c r="AA30" s="859"/>
      <c r="AB30" s="792" t="s">
        <v>1066</v>
      </c>
      <c r="AC30" s="792">
        <v>0</v>
      </c>
      <c r="AD30" s="792">
        <v>0</v>
      </c>
      <c r="AE30" s="792">
        <v>0</v>
      </c>
      <c r="AF30" s="792">
        <v>0</v>
      </c>
      <c r="AG30" s="792">
        <v>5</v>
      </c>
      <c r="AH30" s="792">
        <v>1</v>
      </c>
      <c r="AI30" s="792">
        <v>40101</v>
      </c>
      <c r="AJ30" s="792">
        <v>2120</v>
      </c>
      <c r="AK30" s="792">
        <v>0</v>
      </c>
      <c r="AL30" s="792">
        <v>0</v>
      </c>
      <c r="AO30" s="1491"/>
      <c r="AP30" s="1491"/>
      <c r="AQ30" s="792" t="str">
        <f t="shared" si="0"/>
        <v/>
      </c>
      <c r="AS30" s="792" t="str">
        <f t="shared" si="1"/>
        <v>wci_corp</v>
      </c>
    </row>
    <row r="31" spans="1:45" s="792" customFormat="1">
      <c r="A31" s="1018"/>
      <c r="B31" s="1018" t="s">
        <v>1576</v>
      </c>
      <c r="C31" s="1637">
        <v>42825</v>
      </c>
      <c r="D31" s="1055">
        <v>68117.72</v>
      </c>
      <c r="E31" s="1055">
        <v>0</v>
      </c>
      <c r="F31" s="1056" t="s">
        <v>657</v>
      </c>
      <c r="G31" s="1018" t="s">
        <v>1603</v>
      </c>
      <c r="H31" s="1638" t="s">
        <v>1071</v>
      </c>
      <c r="I31" s="1018" t="s">
        <v>1099</v>
      </c>
      <c r="J31" s="1018" t="s">
        <v>1243</v>
      </c>
      <c r="K31" s="1018" t="s">
        <v>1068</v>
      </c>
      <c r="L31" s="1624" t="s">
        <v>1590</v>
      </c>
      <c r="M31" s="1624"/>
      <c r="N31" s="1624" t="s">
        <v>1591</v>
      </c>
      <c r="O31" s="1632">
        <v>42825</v>
      </c>
      <c r="P31" s="1624" t="s">
        <v>1592</v>
      </c>
      <c r="Q31" s="1639">
        <v>42795</v>
      </c>
      <c r="R31" s="792" t="s">
        <v>1593</v>
      </c>
      <c r="U31" s="792" t="s">
        <v>1604</v>
      </c>
      <c r="V31" s="792" t="s">
        <v>1605</v>
      </c>
      <c r="W31" s="792">
        <v>2195</v>
      </c>
      <c r="X31" s="859">
        <v>42829</v>
      </c>
      <c r="Y31" s="859">
        <v>42830</v>
      </c>
      <c r="Z31" s="792">
        <v>68117.7</v>
      </c>
      <c r="AA31" s="859">
        <v>42835</v>
      </c>
      <c r="AB31" s="792" t="s">
        <v>1066</v>
      </c>
      <c r="AC31" s="792">
        <v>0</v>
      </c>
      <c r="AD31" s="792">
        <v>0</v>
      </c>
      <c r="AE31" s="792">
        <v>0</v>
      </c>
      <c r="AF31" s="792">
        <v>0</v>
      </c>
      <c r="AG31" s="792">
        <v>0</v>
      </c>
      <c r="AH31" s="792">
        <v>1</v>
      </c>
      <c r="AI31" s="792">
        <v>40101</v>
      </c>
      <c r="AJ31" s="792">
        <v>2120</v>
      </c>
      <c r="AK31" s="792">
        <v>0</v>
      </c>
      <c r="AL31" s="792">
        <v>0</v>
      </c>
      <c r="AO31" s="1491"/>
      <c r="AP31" s="1491"/>
      <c r="AQ31" s="792" t="str">
        <f t="shared" si="0"/>
        <v>VO04250254</v>
      </c>
      <c r="AS31" s="792" t="str">
        <f t="shared" si="1"/>
        <v>wci_corp</v>
      </c>
    </row>
    <row r="32" spans="1:45" s="792" customFormat="1">
      <c r="A32" s="1018"/>
      <c r="B32" s="1018" t="s">
        <v>1576</v>
      </c>
      <c r="C32" s="1637">
        <v>42825</v>
      </c>
      <c r="D32" s="1055">
        <v>2469.77</v>
      </c>
      <c r="E32" s="1055">
        <v>0</v>
      </c>
      <c r="F32" s="1056" t="s">
        <v>657</v>
      </c>
      <c r="G32" s="1018" t="s">
        <v>1606</v>
      </c>
      <c r="H32" s="1638" t="s">
        <v>1071</v>
      </c>
      <c r="I32" s="1018" t="s">
        <v>1582</v>
      </c>
      <c r="J32" s="1018" t="s">
        <v>1119</v>
      </c>
      <c r="K32" s="1018" t="s">
        <v>1068</v>
      </c>
      <c r="L32" s="1624"/>
      <c r="M32" s="1624"/>
      <c r="N32" s="1624" t="s">
        <v>1583</v>
      </c>
      <c r="O32" s="1632"/>
      <c r="P32" s="1624"/>
      <c r="Q32" s="1624"/>
      <c r="U32" s="792" t="s">
        <v>1607</v>
      </c>
      <c r="V32" s="792" t="s">
        <v>1607</v>
      </c>
      <c r="X32" s="859">
        <v>42829</v>
      </c>
      <c r="Y32" s="859">
        <v>42830</v>
      </c>
      <c r="AA32" s="859"/>
      <c r="AB32" s="792" t="s">
        <v>1066</v>
      </c>
      <c r="AC32" s="792">
        <v>0</v>
      </c>
      <c r="AD32" s="792">
        <v>0</v>
      </c>
      <c r="AE32" s="792">
        <v>0</v>
      </c>
      <c r="AF32" s="792">
        <v>0</v>
      </c>
      <c r="AG32" s="792">
        <v>0</v>
      </c>
      <c r="AH32" s="792">
        <v>1</v>
      </c>
      <c r="AI32" s="792">
        <v>40101</v>
      </c>
      <c r="AJ32" s="792">
        <v>2120</v>
      </c>
      <c r="AK32" s="792">
        <v>0</v>
      </c>
      <c r="AL32" s="792">
        <v>0</v>
      </c>
      <c r="AO32" s="1491"/>
      <c r="AP32" s="1491"/>
      <c r="AQ32" s="792" t="str">
        <f t="shared" si="0"/>
        <v/>
      </c>
      <c r="AS32" s="792" t="str">
        <f t="shared" si="1"/>
        <v>wci_corp</v>
      </c>
    </row>
    <row r="33" spans="1:45" s="792" customFormat="1">
      <c r="A33" s="1018"/>
      <c r="B33" s="1018" t="s">
        <v>1576</v>
      </c>
      <c r="C33" s="1637">
        <v>42855</v>
      </c>
      <c r="D33" s="1055">
        <v>1943.61</v>
      </c>
      <c r="E33" s="1055">
        <v>0</v>
      </c>
      <c r="F33" s="1056" t="s">
        <v>657</v>
      </c>
      <c r="G33" s="1018" t="s">
        <v>1608</v>
      </c>
      <c r="H33" s="1638" t="s">
        <v>1071</v>
      </c>
      <c r="I33" s="1018" t="s">
        <v>1582</v>
      </c>
      <c r="J33" s="1018" t="s">
        <v>1084</v>
      </c>
      <c r="K33" s="1018" t="s">
        <v>1068</v>
      </c>
      <c r="L33" s="1624"/>
      <c r="M33" s="1624"/>
      <c r="N33" s="1624" t="s">
        <v>1583</v>
      </c>
      <c r="O33" s="1632"/>
      <c r="P33" s="1624"/>
      <c r="Q33" s="1624"/>
      <c r="U33" s="792" t="s">
        <v>1609</v>
      </c>
      <c r="V33" s="792" t="s">
        <v>1609</v>
      </c>
      <c r="X33" s="859">
        <v>42857</v>
      </c>
      <c r="Y33" s="859">
        <v>42857</v>
      </c>
      <c r="AA33" s="859"/>
      <c r="AB33" s="792" t="s">
        <v>1066</v>
      </c>
      <c r="AC33" s="792">
        <v>0</v>
      </c>
      <c r="AD33" s="792">
        <v>0</v>
      </c>
      <c r="AE33" s="792">
        <v>0</v>
      </c>
      <c r="AF33" s="792">
        <v>0</v>
      </c>
      <c r="AG33" s="792">
        <v>0</v>
      </c>
      <c r="AH33" s="792">
        <v>1</v>
      </c>
      <c r="AI33" s="792">
        <v>40101</v>
      </c>
      <c r="AJ33" s="792">
        <v>2120</v>
      </c>
      <c r="AK33" s="792">
        <v>0</v>
      </c>
      <c r="AL33" s="792">
        <v>0</v>
      </c>
      <c r="AO33" s="1491"/>
      <c r="AP33" s="1491"/>
      <c r="AQ33" s="792" t="str">
        <f t="shared" si="0"/>
        <v/>
      </c>
      <c r="AS33" s="792" t="str">
        <f t="shared" si="1"/>
        <v>wci_corp</v>
      </c>
    </row>
    <row r="34" spans="1:45" s="792" customFormat="1">
      <c r="A34" s="1018"/>
      <c r="B34" s="1018" t="s">
        <v>1576</v>
      </c>
      <c r="C34" s="1637">
        <v>42855</v>
      </c>
      <c r="D34" s="1055">
        <v>60258.18</v>
      </c>
      <c r="E34" s="1055">
        <v>0</v>
      </c>
      <c r="F34" s="1056" t="s">
        <v>657</v>
      </c>
      <c r="G34" s="1018" t="s">
        <v>1357</v>
      </c>
      <c r="H34" s="1638" t="s">
        <v>1071</v>
      </c>
      <c r="I34" s="1018" t="s">
        <v>1092</v>
      </c>
      <c r="J34" s="1018" t="s">
        <v>1084</v>
      </c>
      <c r="K34" s="1018" t="s">
        <v>1068</v>
      </c>
      <c r="L34" s="1624"/>
      <c r="M34" s="1624"/>
      <c r="N34" s="1624" t="s">
        <v>1586</v>
      </c>
      <c r="O34" s="1632"/>
      <c r="P34" s="1624"/>
      <c r="Q34" s="1624"/>
      <c r="U34" s="792" t="s">
        <v>1358</v>
      </c>
      <c r="V34" s="792" t="s">
        <v>1358</v>
      </c>
      <c r="X34" s="859">
        <v>42859</v>
      </c>
      <c r="Y34" s="859">
        <v>42860</v>
      </c>
      <c r="AA34" s="859"/>
      <c r="AB34" s="792" t="s">
        <v>1066</v>
      </c>
      <c r="AC34" s="792">
        <v>0</v>
      </c>
      <c r="AD34" s="792">
        <v>0</v>
      </c>
      <c r="AE34" s="792">
        <v>0</v>
      </c>
      <c r="AF34" s="792">
        <v>0</v>
      </c>
      <c r="AG34" s="792">
        <v>0</v>
      </c>
      <c r="AH34" s="792">
        <v>1</v>
      </c>
      <c r="AI34" s="792">
        <v>40101</v>
      </c>
      <c r="AJ34" s="792">
        <v>2120</v>
      </c>
      <c r="AK34" s="792">
        <v>0</v>
      </c>
      <c r="AL34" s="792">
        <v>0</v>
      </c>
      <c r="AO34" s="1491"/>
      <c r="AP34" s="1491"/>
      <c r="AQ34" s="792" t="str">
        <f t="shared" si="0"/>
        <v/>
      </c>
      <c r="AS34" s="792" t="str">
        <f t="shared" si="1"/>
        <v>wci_corp</v>
      </c>
    </row>
    <row r="35" spans="1:45" s="792" customFormat="1">
      <c r="A35" s="1018"/>
      <c r="B35" s="1018" t="s">
        <v>1576</v>
      </c>
      <c r="C35" s="1637">
        <v>42863</v>
      </c>
      <c r="D35" s="1055">
        <v>60258.18</v>
      </c>
      <c r="E35" s="1055">
        <v>0</v>
      </c>
      <c r="F35" s="1056" t="s">
        <v>657</v>
      </c>
      <c r="G35" s="1018" t="s">
        <v>1610</v>
      </c>
      <c r="H35" s="1638" t="s">
        <v>1071</v>
      </c>
      <c r="I35" s="1018" t="s">
        <v>1099</v>
      </c>
      <c r="J35" s="1018" t="s">
        <v>1243</v>
      </c>
      <c r="K35" s="1018" t="s">
        <v>1068</v>
      </c>
      <c r="L35" s="1624" t="s">
        <v>1590</v>
      </c>
      <c r="M35" s="1624"/>
      <c r="N35" s="1624" t="s">
        <v>1591</v>
      </c>
      <c r="O35" s="1632">
        <v>42854</v>
      </c>
      <c r="P35" s="1624" t="s">
        <v>1592</v>
      </c>
      <c r="Q35" s="1639">
        <v>42826</v>
      </c>
      <c r="R35" s="792" t="s">
        <v>1593</v>
      </c>
      <c r="U35" s="792" t="s">
        <v>1611</v>
      </c>
      <c r="V35" s="792" t="s">
        <v>1612</v>
      </c>
      <c r="W35" s="792">
        <v>2195</v>
      </c>
      <c r="X35" s="859">
        <v>42863</v>
      </c>
      <c r="Y35" s="859">
        <v>42863</v>
      </c>
      <c r="Z35" s="792">
        <v>60258.2</v>
      </c>
      <c r="AA35" s="859">
        <v>42864</v>
      </c>
      <c r="AB35" s="792" t="s">
        <v>1066</v>
      </c>
      <c r="AC35" s="792">
        <v>0</v>
      </c>
      <c r="AD35" s="792">
        <v>0</v>
      </c>
      <c r="AE35" s="792">
        <v>0</v>
      </c>
      <c r="AF35" s="792">
        <v>0</v>
      </c>
      <c r="AG35" s="792">
        <v>0</v>
      </c>
      <c r="AH35" s="792">
        <v>1</v>
      </c>
      <c r="AI35" s="792">
        <v>40101</v>
      </c>
      <c r="AJ35" s="792">
        <v>2120</v>
      </c>
      <c r="AK35" s="792">
        <v>0</v>
      </c>
      <c r="AL35" s="792">
        <v>0</v>
      </c>
      <c r="AO35" s="1491"/>
      <c r="AP35" s="1491"/>
      <c r="AQ35" s="792" t="str">
        <f t="shared" si="0"/>
        <v>VO04280813</v>
      </c>
      <c r="AS35" s="792" t="str">
        <f t="shared" si="1"/>
        <v>wci_corp</v>
      </c>
    </row>
    <row r="36" spans="1:45" s="792" customFormat="1">
      <c r="A36" s="1018"/>
      <c r="B36" s="1018" t="s">
        <v>1576</v>
      </c>
      <c r="C36" s="1637">
        <v>42886</v>
      </c>
      <c r="D36" s="1055">
        <v>-60258.18</v>
      </c>
      <c r="E36" s="1055">
        <v>0</v>
      </c>
      <c r="F36" s="1056" t="s">
        <v>657</v>
      </c>
      <c r="G36" s="1018" t="s">
        <v>1359</v>
      </c>
      <c r="H36" s="1638" t="s">
        <v>1071</v>
      </c>
      <c r="I36" s="1018" t="s">
        <v>1092</v>
      </c>
      <c r="J36" s="1018" t="s">
        <v>1302</v>
      </c>
      <c r="K36" s="1018" t="s">
        <v>1068</v>
      </c>
      <c r="L36" s="1624"/>
      <c r="M36" s="1624"/>
      <c r="N36" s="1624" t="s">
        <v>1586</v>
      </c>
      <c r="O36" s="1632"/>
      <c r="P36" s="1624"/>
      <c r="Q36" s="1624"/>
      <c r="U36" s="792" t="s">
        <v>1358</v>
      </c>
      <c r="V36" s="792" t="s">
        <v>1360</v>
      </c>
      <c r="X36" s="859">
        <v>42860</v>
      </c>
      <c r="Y36" s="859">
        <v>42860</v>
      </c>
      <c r="AA36" s="859"/>
      <c r="AB36" s="792" t="s">
        <v>1066</v>
      </c>
      <c r="AC36" s="792">
        <v>0</v>
      </c>
      <c r="AD36" s="792">
        <v>0</v>
      </c>
      <c r="AE36" s="792">
        <v>0</v>
      </c>
      <c r="AF36" s="792">
        <v>0</v>
      </c>
      <c r="AG36" s="792">
        <v>5</v>
      </c>
      <c r="AH36" s="792">
        <v>1</v>
      </c>
      <c r="AI36" s="792">
        <v>40101</v>
      </c>
      <c r="AJ36" s="792">
        <v>2120</v>
      </c>
      <c r="AK36" s="792">
        <v>0</v>
      </c>
      <c r="AL36" s="792">
        <v>0</v>
      </c>
      <c r="AO36" s="1491"/>
      <c r="AP36" s="1491"/>
      <c r="AQ36" s="792" t="str">
        <f t="shared" si="0"/>
        <v/>
      </c>
      <c r="AS36" s="792" t="str">
        <f t="shared" si="1"/>
        <v>wci_corp</v>
      </c>
    </row>
    <row r="37" spans="1:45" s="792" customFormat="1">
      <c r="A37" s="1018"/>
      <c r="B37" s="1018" t="s">
        <v>1576</v>
      </c>
      <c r="C37" s="1637">
        <v>42886</v>
      </c>
      <c r="D37" s="1055">
        <v>2027.34</v>
      </c>
      <c r="E37" s="1055">
        <v>0</v>
      </c>
      <c r="F37" s="1056" t="s">
        <v>657</v>
      </c>
      <c r="G37" s="1018" t="s">
        <v>1613</v>
      </c>
      <c r="H37" s="1638" t="s">
        <v>1071</v>
      </c>
      <c r="I37" s="1018" t="s">
        <v>1582</v>
      </c>
      <c r="J37" s="1018" t="s">
        <v>1302</v>
      </c>
      <c r="K37" s="1018" t="s">
        <v>1068</v>
      </c>
      <c r="L37" s="1624"/>
      <c r="M37" s="1624"/>
      <c r="N37" s="1624" t="s">
        <v>1583</v>
      </c>
      <c r="O37" s="1632"/>
      <c r="P37" s="1624"/>
      <c r="Q37" s="1624"/>
      <c r="U37" s="792" t="s">
        <v>1614</v>
      </c>
      <c r="V37" s="792" t="s">
        <v>1614</v>
      </c>
      <c r="X37" s="859">
        <v>42888</v>
      </c>
      <c r="Y37" s="859">
        <v>42891</v>
      </c>
      <c r="AA37" s="859"/>
      <c r="AB37" s="792" t="s">
        <v>1066</v>
      </c>
      <c r="AC37" s="792">
        <v>0</v>
      </c>
      <c r="AD37" s="792">
        <v>0</v>
      </c>
      <c r="AE37" s="792">
        <v>0</v>
      </c>
      <c r="AF37" s="792">
        <v>0</v>
      </c>
      <c r="AG37" s="792">
        <v>0</v>
      </c>
      <c r="AH37" s="792">
        <v>1</v>
      </c>
      <c r="AI37" s="792">
        <v>40101</v>
      </c>
      <c r="AJ37" s="792">
        <v>2120</v>
      </c>
      <c r="AK37" s="792">
        <v>0</v>
      </c>
      <c r="AL37" s="792">
        <v>0</v>
      </c>
      <c r="AO37" s="1491"/>
      <c r="AP37" s="1491"/>
      <c r="AQ37" s="792" t="str">
        <f t="shared" si="0"/>
        <v/>
      </c>
      <c r="AS37" s="792" t="str">
        <f t="shared" si="1"/>
        <v>wci_corp</v>
      </c>
    </row>
    <row r="38" spans="1:45" s="792" customFormat="1">
      <c r="A38" s="1018"/>
      <c r="B38" s="1018" t="s">
        <v>1576</v>
      </c>
      <c r="C38" s="1637">
        <v>42886</v>
      </c>
      <c r="D38" s="1055">
        <v>71201.259999999995</v>
      </c>
      <c r="E38" s="1055">
        <v>0</v>
      </c>
      <c r="F38" s="1056" t="s">
        <v>657</v>
      </c>
      <c r="G38" s="1018" t="s">
        <v>1615</v>
      </c>
      <c r="H38" s="1638" t="s">
        <v>1071</v>
      </c>
      <c r="I38" s="1018" t="s">
        <v>1092</v>
      </c>
      <c r="J38" s="1018" t="s">
        <v>1084</v>
      </c>
      <c r="K38" s="1018" t="s">
        <v>1068</v>
      </c>
      <c r="L38" s="1624"/>
      <c r="M38" s="1624"/>
      <c r="N38" s="1624" t="s">
        <v>1586</v>
      </c>
      <c r="O38" s="1632"/>
      <c r="P38" s="1624"/>
      <c r="Q38" s="1624"/>
      <c r="U38" s="792" t="s">
        <v>1616</v>
      </c>
      <c r="V38" s="792" t="s">
        <v>1616</v>
      </c>
      <c r="X38" s="859">
        <v>42892</v>
      </c>
      <c r="Y38" s="859">
        <v>42892</v>
      </c>
      <c r="AA38" s="859"/>
      <c r="AB38" s="792" t="s">
        <v>1066</v>
      </c>
      <c r="AC38" s="792">
        <v>0</v>
      </c>
      <c r="AD38" s="792">
        <v>0</v>
      </c>
      <c r="AE38" s="792">
        <v>0</v>
      </c>
      <c r="AF38" s="792">
        <v>0</v>
      </c>
      <c r="AG38" s="792">
        <v>0</v>
      </c>
      <c r="AH38" s="792">
        <v>1</v>
      </c>
      <c r="AI38" s="792">
        <v>40101</v>
      </c>
      <c r="AJ38" s="792">
        <v>2120</v>
      </c>
      <c r="AK38" s="792">
        <v>0</v>
      </c>
      <c r="AL38" s="792">
        <v>0</v>
      </c>
      <c r="AO38" s="1491"/>
      <c r="AP38" s="1491"/>
      <c r="AQ38" s="792" t="str">
        <f t="shared" si="0"/>
        <v/>
      </c>
      <c r="AS38" s="792" t="str">
        <f t="shared" si="1"/>
        <v>wci_corp</v>
      </c>
    </row>
    <row r="39" spans="1:45" s="792" customFormat="1">
      <c r="A39" s="1018"/>
      <c r="B39" s="1018" t="s">
        <v>1576</v>
      </c>
      <c r="C39" s="1637">
        <v>42894</v>
      </c>
      <c r="D39" s="1055">
        <v>71201.259999999995</v>
      </c>
      <c r="E39" s="1055">
        <v>0</v>
      </c>
      <c r="F39" s="1056" t="s">
        <v>657</v>
      </c>
      <c r="G39" s="1018" t="s">
        <v>1617</v>
      </c>
      <c r="H39" s="1638" t="s">
        <v>1071</v>
      </c>
      <c r="I39" s="1018" t="s">
        <v>1099</v>
      </c>
      <c r="J39" s="1018" t="s">
        <v>1243</v>
      </c>
      <c r="K39" s="1018" t="s">
        <v>1068</v>
      </c>
      <c r="L39" s="1624" t="s">
        <v>1590</v>
      </c>
      <c r="M39" s="1624"/>
      <c r="N39" s="1624" t="s">
        <v>1591</v>
      </c>
      <c r="O39" s="1632">
        <v>42886</v>
      </c>
      <c r="P39" s="1624" t="s">
        <v>1592</v>
      </c>
      <c r="Q39" s="1639">
        <v>42856</v>
      </c>
      <c r="R39" s="792" t="s">
        <v>1593</v>
      </c>
      <c r="U39" s="792" t="s">
        <v>1618</v>
      </c>
      <c r="V39" s="792" t="s">
        <v>1619</v>
      </c>
      <c r="W39" s="792">
        <v>2195</v>
      </c>
      <c r="X39" s="859">
        <v>42894</v>
      </c>
      <c r="Y39" s="859">
        <v>42894</v>
      </c>
      <c r="Z39" s="792">
        <v>71201.3</v>
      </c>
      <c r="AA39" s="859">
        <v>42896</v>
      </c>
      <c r="AB39" s="792" t="s">
        <v>1066</v>
      </c>
      <c r="AC39" s="792">
        <v>0</v>
      </c>
      <c r="AD39" s="792">
        <v>0</v>
      </c>
      <c r="AE39" s="792">
        <v>0</v>
      </c>
      <c r="AF39" s="792">
        <v>0</v>
      </c>
      <c r="AG39" s="792">
        <v>0</v>
      </c>
      <c r="AH39" s="792">
        <v>1</v>
      </c>
      <c r="AI39" s="792">
        <v>40101</v>
      </c>
      <c r="AJ39" s="792">
        <v>2120</v>
      </c>
      <c r="AK39" s="792">
        <v>0</v>
      </c>
      <c r="AL39" s="792">
        <v>0</v>
      </c>
      <c r="AO39" s="1491"/>
      <c r="AP39" s="1491"/>
      <c r="AQ39" s="792" t="str">
        <f t="shared" si="0"/>
        <v>VO04312527</v>
      </c>
      <c r="AS39" s="792" t="str">
        <f t="shared" si="1"/>
        <v>wci_corp</v>
      </c>
    </row>
    <row r="40" spans="1:45" s="792" customFormat="1">
      <c r="A40" s="1018"/>
      <c r="B40" s="1018" t="s">
        <v>1576</v>
      </c>
      <c r="C40" s="1637">
        <v>42916</v>
      </c>
      <c r="D40" s="1055">
        <v>-71201.259999999995</v>
      </c>
      <c r="E40" s="1055">
        <v>0</v>
      </c>
      <c r="F40" s="1056" t="s">
        <v>657</v>
      </c>
      <c r="G40" s="1018" t="s">
        <v>1620</v>
      </c>
      <c r="H40" s="1638" t="s">
        <v>1071</v>
      </c>
      <c r="I40" s="1018" t="s">
        <v>1092</v>
      </c>
      <c r="J40" s="1018" t="s">
        <v>1084</v>
      </c>
      <c r="K40" s="1018" t="s">
        <v>1068</v>
      </c>
      <c r="L40" s="1624"/>
      <c r="M40" s="1624"/>
      <c r="N40" s="1624" t="s">
        <v>1586</v>
      </c>
      <c r="O40" s="1632"/>
      <c r="P40" s="1624"/>
      <c r="Q40" s="1624"/>
      <c r="U40" s="792" t="s">
        <v>1616</v>
      </c>
      <c r="V40" s="792" t="s">
        <v>1621</v>
      </c>
      <c r="X40" s="859">
        <v>42892</v>
      </c>
      <c r="Y40" s="859">
        <v>42893</v>
      </c>
      <c r="AA40" s="859"/>
      <c r="AB40" s="792" t="s">
        <v>1066</v>
      </c>
      <c r="AC40" s="792">
        <v>0</v>
      </c>
      <c r="AD40" s="792">
        <v>0</v>
      </c>
      <c r="AE40" s="792">
        <v>0</v>
      </c>
      <c r="AF40" s="792">
        <v>0</v>
      </c>
      <c r="AG40" s="792">
        <v>5</v>
      </c>
      <c r="AH40" s="792">
        <v>1</v>
      </c>
      <c r="AI40" s="792">
        <v>40101</v>
      </c>
      <c r="AJ40" s="792">
        <v>2120</v>
      </c>
      <c r="AK40" s="792">
        <v>0</v>
      </c>
      <c r="AL40" s="792">
        <v>0</v>
      </c>
      <c r="AO40" s="1491"/>
      <c r="AP40" s="1491"/>
      <c r="AQ40" s="792" t="str">
        <f t="shared" si="0"/>
        <v/>
      </c>
      <c r="AS40" s="792" t="str">
        <f t="shared" si="1"/>
        <v>wci_corp</v>
      </c>
    </row>
    <row r="41" spans="1:45" s="792" customFormat="1">
      <c r="A41" s="1018"/>
      <c r="B41" s="1018" t="s">
        <v>1576</v>
      </c>
      <c r="C41" s="1637">
        <v>42916</v>
      </c>
      <c r="D41" s="1055">
        <v>71224.58</v>
      </c>
      <c r="E41" s="1055">
        <v>0</v>
      </c>
      <c r="F41" s="1056" t="s">
        <v>657</v>
      </c>
      <c r="G41" s="1018" t="s">
        <v>1622</v>
      </c>
      <c r="H41" s="1638" t="s">
        <v>1071</v>
      </c>
      <c r="I41" s="1018" t="s">
        <v>1099</v>
      </c>
      <c r="J41" s="1018" t="s">
        <v>1243</v>
      </c>
      <c r="K41" s="1018" t="s">
        <v>1068</v>
      </c>
      <c r="L41" s="1624" t="s">
        <v>1590</v>
      </c>
      <c r="M41" s="1624"/>
      <c r="N41" s="1624" t="s">
        <v>1591</v>
      </c>
      <c r="O41" s="1632">
        <v>42916</v>
      </c>
      <c r="P41" s="1624" t="s">
        <v>1592</v>
      </c>
      <c r="Q41" s="1639">
        <v>42887</v>
      </c>
      <c r="R41" s="792" t="s">
        <v>1593</v>
      </c>
      <c r="U41" s="792" t="s">
        <v>1623</v>
      </c>
      <c r="V41" s="792" t="s">
        <v>1624</v>
      </c>
      <c r="W41" s="792">
        <v>2195</v>
      </c>
      <c r="X41" s="859">
        <v>42921</v>
      </c>
      <c r="Y41" s="859">
        <v>42921</v>
      </c>
      <c r="Z41" s="792">
        <v>71224.600000000006</v>
      </c>
      <c r="AA41" s="859">
        <v>42926</v>
      </c>
      <c r="AB41" s="792" t="s">
        <v>1066</v>
      </c>
      <c r="AC41" s="792">
        <v>0</v>
      </c>
      <c r="AD41" s="792">
        <v>0</v>
      </c>
      <c r="AE41" s="792">
        <v>0</v>
      </c>
      <c r="AF41" s="792">
        <v>0</v>
      </c>
      <c r="AG41" s="792">
        <v>0</v>
      </c>
      <c r="AH41" s="792">
        <v>1</v>
      </c>
      <c r="AI41" s="792">
        <v>40101</v>
      </c>
      <c r="AJ41" s="792">
        <v>2120</v>
      </c>
      <c r="AK41" s="792">
        <v>0</v>
      </c>
      <c r="AL41" s="792">
        <v>0</v>
      </c>
      <c r="AO41" s="1491"/>
      <c r="AP41" s="1491"/>
      <c r="AQ41" s="792" t="str">
        <f t="shared" si="0"/>
        <v>VO04338885</v>
      </c>
      <c r="AS41" s="792" t="str">
        <f t="shared" si="1"/>
        <v>wci_corp</v>
      </c>
    </row>
    <row r="42" spans="1:45" s="792" customFormat="1">
      <c r="A42" s="1018"/>
      <c r="B42" s="1018" t="s">
        <v>1576</v>
      </c>
      <c r="C42" s="1637">
        <v>42916</v>
      </c>
      <c r="D42" s="1055">
        <v>2910.97</v>
      </c>
      <c r="E42" s="1055">
        <v>0</v>
      </c>
      <c r="F42" s="1056" t="s">
        <v>657</v>
      </c>
      <c r="G42" s="1018" t="s">
        <v>1625</v>
      </c>
      <c r="H42" s="1638" t="s">
        <v>1071</v>
      </c>
      <c r="I42" s="1018" t="s">
        <v>1582</v>
      </c>
      <c r="J42" s="1018" t="s">
        <v>1084</v>
      </c>
      <c r="K42" s="1018" t="s">
        <v>1068</v>
      </c>
      <c r="L42" s="1624"/>
      <c r="M42" s="1624"/>
      <c r="N42" s="1624" t="s">
        <v>1583</v>
      </c>
      <c r="O42" s="1632"/>
      <c r="P42" s="1624"/>
      <c r="Q42" s="1624"/>
      <c r="U42" s="792" t="s">
        <v>1626</v>
      </c>
      <c r="V42" s="792" t="s">
        <v>1626</v>
      </c>
      <c r="X42" s="859">
        <v>42921</v>
      </c>
      <c r="Y42" s="859">
        <v>42922</v>
      </c>
      <c r="AA42" s="859"/>
      <c r="AB42" s="792" t="s">
        <v>1066</v>
      </c>
      <c r="AC42" s="792">
        <v>0</v>
      </c>
      <c r="AD42" s="792">
        <v>0</v>
      </c>
      <c r="AE42" s="792">
        <v>0</v>
      </c>
      <c r="AF42" s="792">
        <v>0</v>
      </c>
      <c r="AG42" s="792">
        <v>0</v>
      </c>
      <c r="AH42" s="792">
        <v>1</v>
      </c>
      <c r="AI42" s="792">
        <v>40101</v>
      </c>
      <c r="AJ42" s="792">
        <v>2120</v>
      </c>
      <c r="AK42" s="792">
        <v>0</v>
      </c>
      <c r="AL42" s="792">
        <v>0</v>
      </c>
      <c r="AO42" s="1491"/>
      <c r="AP42" s="1491"/>
      <c r="AQ42" s="792" t="str">
        <f t="shared" si="0"/>
        <v/>
      </c>
      <c r="AS42" s="792" t="str">
        <f t="shared" si="1"/>
        <v>wci_corp</v>
      </c>
    </row>
    <row r="43" spans="1:45" s="792" customFormat="1">
      <c r="A43" s="1018"/>
      <c r="B43" s="1018" t="s">
        <v>1576</v>
      </c>
      <c r="C43" s="1637">
        <v>42947</v>
      </c>
      <c r="D43" s="1055">
        <v>2279.52</v>
      </c>
      <c r="E43" s="1055">
        <v>0</v>
      </c>
      <c r="F43" s="1056" t="s">
        <v>657</v>
      </c>
      <c r="G43" s="1018" t="s">
        <v>1627</v>
      </c>
      <c r="H43" s="1638" t="s">
        <v>1071</v>
      </c>
      <c r="I43" s="1018" t="s">
        <v>1582</v>
      </c>
      <c r="J43" s="1018" t="s">
        <v>1084</v>
      </c>
      <c r="K43" s="1018" t="s">
        <v>1068</v>
      </c>
      <c r="L43" s="1624"/>
      <c r="M43" s="1624"/>
      <c r="N43" s="1624" t="s">
        <v>1583</v>
      </c>
      <c r="O43" s="1632"/>
      <c r="P43" s="1624"/>
      <c r="Q43" s="1624"/>
      <c r="U43" s="792" t="s">
        <v>1628</v>
      </c>
      <c r="V43" s="792" t="s">
        <v>1628</v>
      </c>
      <c r="X43" s="859">
        <v>42949</v>
      </c>
      <c r="Y43" s="859">
        <v>42949</v>
      </c>
      <c r="AA43" s="859"/>
      <c r="AB43" s="792" t="s">
        <v>1066</v>
      </c>
      <c r="AC43" s="792">
        <v>0</v>
      </c>
      <c r="AD43" s="792">
        <v>0</v>
      </c>
      <c r="AE43" s="792">
        <v>0</v>
      </c>
      <c r="AF43" s="792">
        <v>0</v>
      </c>
      <c r="AG43" s="792">
        <v>0</v>
      </c>
      <c r="AH43" s="792">
        <v>1</v>
      </c>
      <c r="AI43" s="792">
        <v>40101</v>
      </c>
      <c r="AJ43" s="792">
        <v>2120</v>
      </c>
      <c r="AK43" s="792">
        <v>0</v>
      </c>
      <c r="AL43" s="792">
        <v>0</v>
      </c>
      <c r="AO43" s="1491"/>
      <c r="AP43" s="1491"/>
      <c r="AQ43" s="792" t="str">
        <f t="shared" si="0"/>
        <v/>
      </c>
      <c r="AS43" s="792" t="str">
        <f t="shared" si="1"/>
        <v>wci_corp</v>
      </c>
    </row>
    <row r="44" spans="1:45" s="792" customFormat="1">
      <c r="A44" s="1018"/>
      <c r="B44" s="1018" t="s">
        <v>1576</v>
      </c>
      <c r="C44" s="1637">
        <v>42947</v>
      </c>
      <c r="D44" s="1055">
        <v>67332.960000000006</v>
      </c>
      <c r="E44" s="1055">
        <v>0</v>
      </c>
      <c r="F44" s="1056" t="s">
        <v>657</v>
      </c>
      <c r="G44" s="1018" t="s">
        <v>1101</v>
      </c>
      <c r="H44" s="1638" t="s">
        <v>1071</v>
      </c>
      <c r="I44" s="1018" t="s">
        <v>1092</v>
      </c>
      <c r="J44" s="1018" t="s">
        <v>1084</v>
      </c>
      <c r="K44" s="1018" t="s">
        <v>1068</v>
      </c>
      <c r="L44" s="1624"/>
      <c r="M44" s="1624"/>
      <c r="N44" s="1624" t="s">
        <v>1586</v>
      </c>
      <c r="O44" s="1632"/>
      <c r="P44" s="1624"/>
      <c r="Q44" s="1624"/>
      <c r="U44" s="792" t="s">
        <v>1091</v>
      </c>
      <c r="V44" s="792" t="s">
        <v>1091</v>
      </c>
      <c r="X44" s="859">
        <v>42951</v>
      </c>
      <c r="Y44" s="859">
        <v>42954</v>
      </c>
      <c r="AA44" s="859"/>
      <c r="AB44" s="792" t="s">
        <v>1066</v>
      </c>
      <c r="AC44" s="792">
        <v>0</v>
      </c>
      <c r="AD44" s="792">
        <v>0</v>
      </c>
      <c r="AE44" s="792">
        <v>0</v>
      </c>
      <c r="AF44" s="792">
        <v>0</v>
      </c>
      <c r="AG44" s="792">
        <v>0</v>
      </c>
      <c r="AH44" s="792">
        <v>1</v>
      </c>
      <c r="AI44" s="792">
        <v>40101</v>
      </c>
      <c r="AJ44" s="792">
        <v>2120</v>
      </c>
      <c r="AK44" s="792">
        <v>0</v>
      </c>
      <c r="AL44" s="792">
        <v>0</v>
      </c>
      <c r="AO44" s="1491"/>
      <c r="AP44" s="1491"/>
      <c r="AQ44" s="792" t="str">
        <f t="shared" si="0"/>
        <v/>
      </c>
      <c r="AS44" s="792" t="str">
        <f t="shared" si="1"/>
        <v>wci_corp</v>
      </c>
    </row>
    <row r="45" spans="1:45" s="792" customFormat="1">
      <c r="A45" s="1018"/>
      <c r="B45" s="1018" t="s">
        <v>1576</v>
      </c>
      <c r="C45" s="1637">
        <v>42955</v>
      </c>
      <c r="D45" s="1055">
        <v>67332.960000000006</v>
      </c>
      <c r="E45" s="1055">
        <v>0</v>
      </c>
      <c r="F45" s="1056" t="s">
        <v>657</v>
      </c>
      <c r="G45" s="1018" t="s">
        <v>1629</v>
      </c>
      <c r="H45" s="1638" t="s">
        <v>1071</v>
      </c>
      <c r="I45" s="1018" t="s">
        <v>1099</v>
      </c>
      <c r="J45" s="1018" t="s">
        <v>1243</v>
      </c>
      <c r="K45" s="1018" t="s">
        <v>1068</v>
      </c>
      <c r="L45" s="1624" t="s">
        <v>1590</v>
      </c>
      <c r="M45" s="1624"/>
      <c r="N45" s="1624" t="s">
        <v>1591</v>
      </c>
      <c r="O45" s="1632">
        <v>42947</v>
      </c>
      <c r="P45" s="1624" t="s">
        <v>1592</v>
      </c>
      <c r="Q45" s="1639">
        <v>42917</v>
      </c>
      <c r="R45" s="792" t="s">
        <v>1593</v>
      </c>
      <c r="U45" s="792" t="s">
        <v>1630</v>
      </c>
      <c r="V45" s="792" t="s">
        <v>1631</v>
      </c>
      <c r="W45" s="792">
        <v>2195</v>
      </c>
      <c r="X45" s="859">
        <v>42955</v>
      </c>
      <c r="Y45" s="859">
        <v>42955</v>
      </c>
      <c r="Z45" s="792">
        <v>67333</v>
      </c>
      <c r="AA45" s="859">
        <v>42957</v>
      </c>
      <c r="AB45" s="792" t="s">
        <v>1066</v>
      </c>
      <c r="AC45" s="792">
        <v>0</v>
      </c>
      <c r="AD45" s="792">
        <v>0</v>
      </c>
      <c r="AE45" s="792">
        <v>0</v>
      </c>
      <c r="AF45" s="792">
        <v>0</v>
      </c>
      <c r="AG45" s="792">
        <v>0</v>
      </c>
      <c r="AH45" s="792">
        <v>1</v>
      </c>
      <c r="AI45" s="792">
        <v>40101</v>
      </c>
      <c r="AJ45" s="792">
        <v>2120</v>
      </c>
      <c r="AK45" s="792">
        <v>0</v>
      </c>
      <c r="AL45" s="792">
        <v>0</v>
      </c>
      <c r="AO45" s="1491"/>
      <c r="AP45" s="1491"/>
      <c r="AQ45" s="792" t="str">
        <f t="shared" si="0"/>
        <v>VO04371775</v>
      </c>
      <c r="AS45" s="792" t="str">
        <f t="shared" si="1"/>
        <v>wci_corp</v>
      </c>
    </row>
    <row r="46" spans="1:45" s="792" customFormat="1">
      <c r="A46" s="1018"/>
      <c r="B46" s="1018" t="s">
        <v>1576</v>
      </c>
      <c r="C46" s="1637">
        <v>42978</v>
      </c>
      <c r="D46" s="1055">
        <v>-67332.960000000006</v>
      </c>
      <c r="E46" s="1055">
        <v>0</v>
      </c>
      <c r="F46" s="1056" t="s">
        <v>657</v>
      </c>
      <c r="G46" s="1018" t="s">
        <v>1093</v>
      </c>
      <c r="H46" s="1638" t="s">
        <v>1071</v>
      </c>
      <c r="I46" s="1018" t="s">
        <v>1092</v>
      </c>
      <c r="J46" s="1018" t="s">
        <v>1084</v>
      </c>
      <c r="K46" s="1018" t="s">
        <v>1068</v>
      </c>
      <c r="L46" s="1624"/>
      <c r="M46" s="1624"/>
      <c r="N46" s="1624" t="s">
        <v>1586</v>
      </c>
      <c r="O46" s="1632"/>
      <c r="P46" s="1624"/>
      <c r="Q46" s="1624"/>
      <c r="U46" s="792" t="s">
        <v>1091</v>
      </c>
      <c r="V46" s="792" t="s">
        <v>1090</v>
      </c>
      <c r="X46" s="859">
        <v>42954</v>
      </c>
      <c r="Y46" s="859">
        <v>42954</v>
      </c>
      <c r="AA46" s="859"/>
      <c r="AB46" s="792" t="s">
        <v>1066</v>
      </c>
      <c r="AC46" s="792">
        <v>0</v>
      </c>
      <c r="AD46" s="792">
        <v>0</v>
      </c>
      <c r="AE46" s="792">
        <v>0</v>
      </c>
      <c r="AF46" s="792">
        <v>0</v>
      </c>
      <c r="AG46" s="792">
        <v>5</v>
      </c>
      <c r="AH46" s="792">
        <v>1</v>
      </c>
      <c r="AI46" s="792">
        <v>40101</v>
      </c>
      <c r="AJ46" s="792">
        <v>2120</v>
      </c>
      <c r="AK46" s="792">
        <v>0</v>
      </c>
      <c r="AL46" s="792">
        <v>0</v>
      </c>
      <c r="AO46" s="1491"/>
      <c r="AP46" s="1491"/>
      <c r="AQ46" s="792" t="str">
        <f t="shared" si="0"/>
        <v/>
      </c>
      <c r="AS46" s="792" t="str">
        <f t="shared" si="1"/>
        <v>wci_corp</v>
      </c>
    </row>
    <row r="47" spans="1:45" s="792" customFormat="1">
      <c r="A47" s="1018"/>
      <c r="B47" s="1018" t="s">
        <v>1576</v>
      </c>
      <c r="C47" s="1637">
        <v>42978</v>
      </c>
      <c r="D47" s="1055">
        <v>75640.539999999994</v>
      </c>
      <c r="E47" s="1055">
        <v>0</v>
      </c>
      <c r="F47" s="1056" t="s">
        <v>657</v>
      </c>
      <c r="G47" s="1018" t="s">
        <v>1632</v>
      </c>
      <c r="H47" s="1638" t="s">
        <v>1071</v>
      </c>
      <c r="I47" s="1018" t="s">
        <v>1099</v>
      </c>
      <c r="J47" s="1018" t="s">
        <v>1098</v>
      </c>
      <c r="K47" s="1018" t="s">
        <v>1068</v>
      </c>
      <c r="L47" s="1624" t="s">
        <v>1590</v>
      </c>
      <c r="M47" s="1624"/>
      <c r="N47" s="1624" t="s">
        <v>1591</v>
      </c>
      <c r="O47" s="1632">
        <v>42978</v>
      </c>
      <c r="P47" s="1624" t="s">
        <v>1592</v>
      </c>
      <c r="Q47" s="1639">
        <v>42948</v>
      </c>
      <c r="R47" s="792" t="s">
        <v>1593</v>
      </c>
      <c r="U47" s="792" t="s">
        <v>1633</v>
      </c>
      <c r="V47" s="792" t="s">
        <v>1634</v>
      </c>
      <c r="W47" s="792">
        <v>2195</v>
      </c>
      <c r="X47" s="859">
        <v>42983</v>
      </c>
      <c r="Y47" s="859">
        <v>42983</v>
      </c>
      <c r="Z47" s="792">
        <v>75640.5</v>
      </c>
      <c r="AA47" s="859">
        <v>42988</v>
      </c>
      <c r="AB47" s="792" t="s">
        <v>1066</v>
      </c>
      <c r="AC47" s="792">
        <v>0</v>
      </c>
      <c r="AD47" s="792">
        <v>0</v>
      </c>
      <c r="AE47" s="792">
        <v>0</v>
      </c>
      <c r="AF47" s="792">
        <v>0</v>
      </c>
      <c r="AG47" s="792">
        <v>0</v>
      </c>
      <c r="AH47" s="792">
        <v>1</v>
      </c>
      <c r="AI47" s="792">
        <v>40101</v>
      </c>
      <c r="AJ47" s="792">
        <v>2120</v>
      </c>
      <c r="AK47" s="792">
        <v>0</v>
      </c>
      <c r="AL47" s="792">
        <v>0</v>
      </c>
      <c r="AO47" s="1491"/>
      <c r="AP47" s="1491"/>
      <c r="AQ47" s="792" t="str">
        <f t="shared" si="0"/>
        <v>VO04401051</v>
      </c>
      <c r="AS47" s="792" t="str">
        <f t="shared" si="1"/>
        <v>wci_corp</v>
      </c>
    </row>
    <row r="48" spans="1:45" s="792" customFormat="1">
      <c r="A48" s="1018"/>
      <c r="B48" s="1018" t="s">
        <v>1576</v>
      </c>
      <c r="C48" s="1637">
        <v>42978</v>
      </c>
      <c r="D48" s="1055">
        <v>2814.43</v>
      </c>
      <c r="E48" s="1055">
        <v>0</v>
      </c>
      <c r="F48" s="1056" t="s">
        <v>657</v>
      </c>
      <c r="G48" s="1018" t="s">
        <v>1635</v>
      </c>
      <c r="H48" s="1638" t="s">
        <v>1071</v>
      </c>
      <c r="I48" s="1018" t="s">
        <v>1582</v>
      </c>
      <c r="J48" s="1018" t="s">
        <v>1084</v>
      </c>
      <c r="K48" s="1018" t="s">
        <v>1068</v>
      </c>
      <c r="L48" s="1624"/>
      <c r="M48" s="1624"/>
      <c r="N48" s="1624" t="s">
        <v>1583</v>
      </c>
      <c r="O48" s="1632"/>
      <c r="P48" s="1624"/>
      <c r="Q48" s="1624"/>
      <c r="U48" s="792" t="s">
        <v>1636</v>
      </c>
      <c r="V48" s="792" t="s">
        <v>1636</v>
      </c>
      <c r="X48" s="859">
        <v>42983</v>
      </c>
      <c r="Y48" s="859">
        <v>42984</v>
      </c>
      <c r="AA48" s="859"/>
      <c r="AB48" s="792" t="s">
        <v>1066</v>
      </c>
      <c r="AC48" s="792">
        <v>0</v>
      </c>
      <c r="AD48" s="792">
        <v>0</v>
      </c>
      <c r="AE48" s="792">
        <v>0</v>
      </c>
      <c r="AF48" s="792">
        <v>0</v>
      </c>
      <c r="AG48" s="792">
        <v>0</v>
      </c>
      <c r="AH48" s="792">
        <v>1</v>
      </c>
      <c r="AI48" s="792">
        <v>40101</v>
      </c>
      <c r="AJ48" s="792">
        <v>2120</v>
      </c>
      <c r="AK48" s="792">
        <v>0</v>
      </c>
      <c r="AL48" s="792">
        <v>0</v>
      </c>
      <c r="AO48" s="1491"/>
      <c r="AP48" s="1491"/>
      <c r="AQ48" s="792" t="str">
        <f t="shared" si="0"/>
        <v/>
      </c>
      <c r="AS48" s="792" t="str">
        <f t="shared" si="1"/>
        <v>wci_corp</v>
      </c>
    </row>
    <row r="49" spans="1:45" s="792" customFormat="1">
      <c r="A49" s="1018"/>
      <c r="B49" s="1018" t="s">
        <v>1576</v>
      </c>
      <c r="C49" s="1637">
        <v>43008</v>
      </c>
      <c r="D49" s="1055">
        <v>65638.38</v>
      </c>
      <c r="E49" s="1055">
        <v>0</v>
      </c>
      <c r="F49" s="1056" t="s">
        <v>657</v>
      </c>
      <c r="G49" s="1018" t="s">
        <v>1637</v>
      </c>
      <c r="H49" s="1638" t="s">
        <v>1071</v>
      </c>
      <c r="I49" s="1018" t="s">
        <v>1099</v>
      </c>
      <c r="J49" s="1018" t="s">
        <v>1243</v>
      </c>
      <c r="K49" s="1018" t="s">
        <v>1068</v>
      </c>
      <c r="L49" s="1624" t="s">
        <v>1590</v>
      </c>
      <c r="M49" s="1624"/>
      <c r="N49" s="1624" t="s">
        <v>1591</v>
      </c>
      <c r="O49" s="1632">
        <v>43008</v>
      </c>
      <c r="P49" s="1624" t="s">
        <v>1592</v>
      </c>
      <c r="Q49" s="1639">
        <v>42979</v>
      </c>
      <c r="R49" s="792" t="s">
        <v>1593</v>
      </c>
      <c r="U49" s="792" t="s">
        <v>1638</v>
      </c>
      <c r="V49" s="792" t="s">
        <v>1639</v>
      </c>
      <c r="W49" s="792">
        <v>2195</v>
      </c>
      <c r="X49" s="859">
        <v>43011</v>
      </c>
      <c r="Y49" s="859">
        <v>43011</v>
      </c>
      <c r="Z49" s="792">
        <v>65638.399999999994</v>
      </c>
      <c r="AA49" s="859">
        <v>43018</v>
      </c>
      <c r="AB49" s="792" t="s">
        <v>1066</v>
      </c>
      <c r="AC49" s="792">
        <v>0</v>
      </c>
      <c r="AD49" s="792">
        <v>0</v>
      </c>
      <c r="AE49" s="792">
        <v>0</v>
      </c>
      <c r="AF49" s="792">
        <v>0</v>
      </c>
      <c r="AG49" s="792">
        <v>0</v>
      </c>
      <c r="AH49" s="792">
        <v>1</v>
      </c>
      <c r="AI49" s="792">
        <v>40101</v>
      </c>
      <c r="AJ49" s="792">
        <v>2120</v>
      </c>
      <c r="AK49" s="792">
        <v>0</v>
      </c>
      <c r="AL49" s="792">
        <v>0</v>
      </c>
      <c r="AO49" s="1491"/>
      <c r="AP49" s="1491"/>
      <c r="AQ49" s="792" t="str">
        <f t="shared" si="0"/>
        <v>VO04430024</v>
      </c>
      <c r="AS49" s="792" t="str">
        <f t="shared" si="1"/>
        <v>wci_corp</v>
      </c>
    </row>
    <row r="50" spans="1:45" s="792" customFormat="1">
      <c r="A50" s="1018"/>
      <c r="B50" s="1018" t="s">
        <v>1576</v>
      </c>
      <c r="C50" s="1637">
        <v>43008</v>
      </c>
      <c r="D50" s="1055">
        <v>2520.87</v>
      </c>
      <c r="E50" s="1055">
        <v>0</v>
      </c>
      <c r="F50" s="1056" t="s">
        <v>657</v>
      </c>
      <c r="G50" s="1018" t="s">
        <v>1640</v>
      </c>
      <c r="H50" s="1638" t="s">
        <v>1071</v>
      </c>
      <c r="I50" s="1018" t="s">
        <v>1582</v>
      </c>
      <c r="J50" s="1018" t="s">
        <v>1084</v>
      </c>
      <c r="K50" s="1018" t="s">
        <v>1068</v>
      </c>
      <c r="L50" s="1624"/>
      <c r="M50" s="1624"/>
      <c r="N50" s="1624" t="s">
        <v>1583</v>
      </c>
      <c r="O50" s="1632"/>
      <c r="P50" s="1624"/>
      <c r="Q50" s="1624"/>
      <c r="U50" s="792" t="s">
        <v>1641</v>
      </c>
      <c r="V50" s="792" t="s">
        <v>1641</v>
      </c>
      <c r="X50" s="859">
        <v>43011</v>
      </c>
      <c r="Y50" s="859">
        <v>43011</v>
      </c>
      <c r="AA50" s="859"/>
      <c r="AB50" s="792" t="s">
        <v>1066</v>
      </c>
      <c r="AC50" s="792">
        <v>0</v>
      </c>
      <c r="AD50" s="792">
        <v>0</v>
      </c>
      <c r="AE50" s="792">
        <v>0</v>
      </c>
      <c r="AF50" s="792">
        <v>0</v>
      </c>
      <c r="AG50" s="792">
        <v>0</v>
      </c>
      <c r="AH50" s="792">
        <v>1</v>
      </c>
      <c r="AI50" s="792">
        <v>40101</v>
      </c>
      <c r="AJ50" s="792">
        <v>2120</v>
      </c>
      <c r="AK50" s="792">
        <v>0</v>
      </c>
      <c r="AL50" s="792">
        <v>0</v>
      </c>
      <c r="AO50" s="1491"/>
      <c r="AP50" s="1491"/>
      <c r="AQ50" s="792" t="str">
        <f t="shared" si="0"/>
        <v/>
      </c>
      <c r="AS50" s="792" t="str">
        <f t="shared" si="1"/>
        <v>wci_corp</v>
      </c>
    </row>
    <row r="51" spans="1:45" s="792" customFormat="1">
      <c r="A51" s="1018"/>
      <c r="B51" s="1018" t="s">
        <v>1576</v>
      </c>
      <c r="C51" s="1637">
        <v>43039</v>
      </c>
      <c r="D51" s="1055">
        <v>2219.44</v>
      </c>
      <c r="E51" s="1055">
        <v>0</v>
      </c>
      <c r="F51" s="1056" t="s">
        <v>657</v>
      </c>
      <c r="G51" s="1018" t="s">
        <v>1642</v>
      </c>
      <c r="H51" s="1638" t="s">
        <v>1071</v>
      </c>
      <c r="I51" s="1018" t="s">
        <v>1582</v>
      </c>
      <c r="J51" s="1018" t="s">
        <v>1084</v>
      </c>
      <c r="K51" s="1018" t="s">
        <v>1068</v>
      </c>
      <c r="L51" s="1624"/>
      <c r="M51" s="1624"/>
      <c r="N51" s="1624" t="s">
        <v>1583</v>
      </c>
      <c r="O51" s="1632"/>
      <c r="P51" s="1624"/>
      <c r="Q51" s="1624"/>
      <c r="U51" s="792" t="s">
        <v>1643</v>
      </c>
      <c r="V51" s="792" t="s">
        <v>1643</v>
      </c>
      <c r="X51" s="859">
        <v>43041</v>
      </c>
      <c r="Y51" s="859">
        <v>43042</v>
      </c>
      <c r="AA51" s="859"/>
      <c r="AB51" s="792" t="s">
        <v>1066</v>
      </c>
      <c r="AC51" s="792">
        <v>0</v>
      </c>
      <c r="AD51" s="792">
        <v>0</v>
      </c>
      <c r="AE51" s="792">
        <v>0</v>
      </c>
      <c r="AF51" s="792">
        <v>0</v>
      </c>
      <c r="AG51" s="792">
        <v>0</v>
      </c>
      <c r="AH51" s="792">
        <v>1</v>
      </c>
      <c r="AI51" s="792">
        <v>40101</v>
      </c>
      <c r="AJ51" s="792">
        <v>2120</v>
      </c>
      <c r="AK51" s="792">
        <v>0</v>
      </c>
      <c r="AL51" s="792">
        <v>0</v>
      </c>
      <c r="AO51" s="1491"/>
      <c r="AP51" s="1491"/>
      <c r="AQ51" s="792" t="str">
        <f t="shared" si="0"/>
        <v/>
      </c>
      <c r="AS51" s="792" t="str">
        <f t="shared" si="1"/>
        <v>wci_corp</v>
      </c>
    </row>
    <row r="52" spans="1:45" s="792" customFormat="1">
      <c r="A52" s="1018"/>
      <c r="B52" s="1018" t="s">
        <v>1576</v>
      </c>
      <c r="C52" s="1637">
        <v>43039</v>
      </c>
      <c r="D52" s="1055">
        <v>71104.2</v>
      </c>
      <c r="E52" s="1055">
        <v>0</v>
      </c>
      <c r="F52" s="1056" t="s">
        <v>657</v>
      </c>
      <c r="G52" s="1018" t="s">
        <v>1644</v>
      </c>
      <c r="H52" s="1638" t="s">
        <v>1071</v>
      </c>
      <c r="I52" s="1018" t="s">
        <v>1092</v>
      </c>
      <c r="J52" s="1018" t="s">
        <v>1069</v>
      </c>
      <c r="K52" s="1018" t="s">
        <v>1068</v>
      </c>
      <c r="L52" s="1624"/>
      <c r="M52" s="1624"/>
      <c r="N52" s="1624" t="s">
        <v>1586</v>
      </c>
      <c r="O52" s="1632"/>
      <c r="P52" s="1624"/>
      <c r="Q52" s="1624"/>
      <c r="U52" s="792" t="s">
        <v>1645</v>
      </c>
      <c r="V52" s="792" t="s">
        <v>1645</v>
      </c>
      <c r="X52" s="859">
        <v>43046</v>
      </c>
      <c r="Y52" s="859">
        <v>43046</v>
      </c>
      <c r="AA52" s="859"/>
      <c r="AB52" s="792" t="s">
        <v>1066</v>
      </c>
      <c r="AC52" s="792">
        <v>0</v>
      </c>
      <c r="AD52" s="792">
        <v>0</v>
      </c>
      <c r="AE52" s="792">
        <v>0</v>
      </c>
      <c r="AF52" s="792">
        <v>0</v>
      </c>
      <c r="AG52" s="792">
        <v>0</v>
      </c>
      <c r="AH52" s="792">
        <v>1</v>
      </c>
      <c r="AI52" s="792">
        <v>40101</v>
      </c>
      <c r="AJ52" s="792">
        <v>2120</v>
      </c>
      <c r="AK52" s="792">
        <v>0</v>
      </c>
      <c r="AL52" s="792">
        <v>0</v>
      </c>
      <c r="AO52" s="1491"/>
      <c r="AP52" s="1491"/>
      <c r="AQ52" s="792" t="str">
        <f t="shared" si="0"/>
        <v/>
      </c>
      <c r="AS52" s="792" t="str">
        <f t="shared" si="1"/>
        <v>wci_corp</v>
      </c>
    </row>
    <row r="53" spans="1:45" s="792" customFormat="1">
      <c r="A53" s="1018"/>
      <c r="B53" s="1018" t="s">
        <v>1576</v>
      </c>
      <c r="C53" s="1637">
        <v>43045</v>
      </c>
      <c r="D53" s="1055">
        <v>71104.2</v>
      </c>
      <c r="E53" s="1055">
        <v>0</v>
      </c>
      <c r="F53" s="1056" t="s">
        <v>657</v>
      </c>
      <c r="G53" s="1018" t="s">
        <v>1646</v>
      </c>
      <c r="H53" s="1638" t="s">
        <v>1071</v>
      </c>
      <c r="I53" s="1018" t="s">
        <v>1099</v>
      </c>
      <c r="J53" s="1018" t="s">
        <v>1243</v>
      </c>
      <c r="K53" s="1018" t="s">
        <v>1068</v>
      </c>
      <c r="L53" s="1624" t="s">
        <v>1590</v>
      </c>
      <c r="M53" s="1624"/>
      <c r="N53" s="1624" t="s">
        <v>1591</v>
      </c>
      <c r="O53" s="1632">
        <v>43039</v>
      </c>
      <c r="P53" s="1624" t="s">
        <v>1592</v>
      </c>
      <c r="Q53" s="1639">
        <v>43009</v>
      </c>
      <c r="R53" s="792" t="s">
        <v>1593</v>
      </c>
      <c r="U53" s="792" t="s">
        <v>1647</v>
      </c>
      <c r="V53" s="792" t="s">
        <v>1648</v>
      </c>
      <c r="W53" s="792">
        <v>2195</v>
      </c>
      <c r="X53" s="859">
        <v>43046</v>
      </c>
      <c r="Y53" s="859">
        <v>43046</v>
      </c>
      <c r="Z53" s="792">
        <v>71104.2</v>
      </c>
      <c r="AA53" s="859">
        <v>43049</v>
      </c>
      <c r="AB53" s="792" t="s">
        <v>1066</v>
      </c>
      <c r="AC53" s="792">
        <v>0</v>
      </c>
      <c r="AD53" s="792">
        <v>0</v>
      </c>
      <c r="AE53" s="792">
        <v>0</v>
      </c>
      <c r="AF53" s="792">
        <v>0</v>
      </c>
      <c r="AG53" s="792">
        <v>0</v>
      </c>
      <c r="AH53" s="792">
        <v>1</v>
      </c>
      <c r="AI53" s="792">
        <v>40101</v>
      </c>
      <c r="AJ53" s="792">
        <v>2120</v>
      </c>
      <c r="AK53" s="792">
        <v>0</v>
      </c>
      <c r="AL53" s="792">
        <v>0</v>
      </c>
      <c r="AO53" s="1491"/>
      <c r="AP53" s="1491"/>
      <c r="AQ53" s="792" t="str">
        <f t="shared" si="0"/>
        <v>VO04469608</v>
      </c>
      <c r="AS53" s="792" t="str">
        <f t="shared" si="1"/>
        <v>wci_corp</v>
      </c>
    </row>
    <row r="54" spans="1:45" s="792" customFormat="1">
      <c r="A54" s="1018"/>
      <c r="B54" s="1018" t="s">
        <v>1576</v>
      </c>
      <c r="C54" s="1637">
        <v>43069</v>
      </c>
      <c r="D54" s="1055">
        <v>-71104.2</v>
      </c>
      <c r="E54" s="1055">
        <v>0</v>
      </c>
      <c r="F54" s="1056" t="s">
        <v>657</v>
      </c>
      <c r="G54" s="1018" t="s">
        <v>1649</v>
      </c>
      <c r="H54" s="1638" t="s">
        <v>1071</v>
      </c>
      <c r="I54" s="1018" t="s">
        <v>1092</v>
      </c>
      <c r="J54" s="1018" t="s">
        <v>1084</v>
      </c>
      <c r="K54" s="1018" t="s">
        <v>1068</v>
      </c>
      <c r="L54" s="1624"/>
      <c r="M54" s="1624"/>
      <c r="N54" s="1624" t="s">
        <v>1586</v>
      </c>
      <c r="O54" s="1632"/>
      <c r="P54" s="1624"/>
      <c r="Q54" s="1624"/>
      <c r="U54" s="792" t="s">
        <v>1645</v>
      </c>
      <c r="V54" s="792" t="s">
        <v>1650</v>
      </c>
      <c r="X54" s="859">
        <v>43046</v>
      </c>
      <c r="Y54" s="859">
        <v>43046</v>
      </c>
      <c r="AA54" s="859"/>
      <c r="AB54" s="792" t="s">
        <v>1066</v>
      </c>
      <c r="AC54" s="792">
        <v>0</v>
      </c>
      <c r="AD54" s="792">
        <v>0</v>
      </c>
      <c r="AE54" s="792">
        <v>0</v>
      </c>
      <c r="AF54" s="792">
        <v>0</v>
      </c>
      <c r="AG54" s="792">
        <v>5</v>
      </c>
      <c r="AH54" s="792">
        <v>1</v>
      </c>
      <c r="AI54" s="792">
        <v>40101</v>
      </c>
      <c r="AJ54" s="792">
        <v>2120</v>
      </c>
      <c r="AK54" s="792">
        <v>0</v>
      </c>
      <c r="AL54" s="792">
        <v>0</v>
      </c>
      <c r="AO54" s="1491"/>
      <c r="AP54" s="1491"/>
      <c r="AQ54" s="792" t="str">
        <f t="shared" si="0"/>
        <v/>
      </c>
      <c r="AS54" s="792" t="str">
        <f t="shared" si="1"/>
        <v>wci_corp</v>
      </c>
    </row>
    <row r="55" spans="1:45" s="792" customFormat="1">
      <c r="A55" s="1018"/>
      <c r="B55" s="1018" t="s">
        <v>1576</v>
      </c>
      <c r="C55" s="1637">
        <v>43069</v>
      </c>
      <c r="D55" s="1055">
        <v>351.54</v>
      </c>
      <c r="E55" s="1055">
        <v>0</v>
      </c>
      <c r="F55" s="1056" t="s">
        <v>657</v>
      </c>
      <c r="G55" s="1018" t="s">
        <v>1082</v>
      </c>
      <c r="H55" s="1638" t="s">
        <v>1071</v>
      </c>
      <c r="I55" s="1018" t="s">
        <v>1081</v>
      </c>
      <c r="J55" s="1018" t="s">
        <v>1069</v>
      </c>
      <c r="K55" s="1018" t="s">
        <v>1068</v>
      </c>
      <c r="L55" s="1624"/>
      <c r="M55" s="1624"/>
      <c r="N55" s="1624" t="s">
        <v>1651</v>
      </c>
      <c r="O55" s="1632"/>
      <c r="P55" s="1624"/>
      <c r="Q55" s="1624"/>
      <c r="U55" s="792" t="s">
        <v>1080</v>
      </c>
      <c r="V55" s="792" t="s">
        <v>1080</v>
      </c>
      <c r="X55" s="859">
        <v>43073</v>
      </c>
      <c r="Y55" s="859">
        <v>43073</v>
      </c>
      <c r="AA55" s="859"/>
      <c r="AB55" s="792" t="s">
        <v>1066</v>
      </c>
      <c r="AC55" s="792">
        <v>0</v>
      </c>
      <c r="AD55" s="792">
        <v>0</v>
      </c>
      <c r="AE55" s="792">
        <v>0</v>
      </c>
      <c r="AF55" s="792">
        <v>0</v>
      </c>
      <c r="AG55" s="792">
        <v>0</v>
      </c>
      <c r="AH55" s="792">
        <v>1</v>
      </c>
      <c r="AI55" s="792">
        <v>40101</v>
      </c>
      <c r="AJ55" s="792">
        <v>2120</v>
      </c>
      <c r="AK55" s="792">
        <v>0</v>
      </c>
      <c r="AL55" s="792">
        <v>0</v>
      </c>
      <c r="AO55" s="1491"/>
      <c r="AP55" s="1491"/>
      <c r="AQ55" s="792" t="str">
        <f t="shared" si="0"/>
        <v/>
      </c>
      <c r="AS55" s="792" t="str">
        <f t="shared" si="1"/>
        <v>wci_corp</v>
      </c>
    </row>
    <row r="56" spans="1:45" s="792" customFormat="1">
      <c r="A56" s="1018"/>
      <c r="B56" s="1018" t="s">
        <v>1576</v>
      </c>
      <c r="C56" s="1637">
        <v>43069</v>
      </c>
      <c r="D56" s="1055">
        <v>2957.27</v>
      </c>
      <c r="E56" s="1055">
        <v>0</v>
      </c>
      <c r="F56" s="1056" t="s">
        <v>657</v>
      </c>
      <c r="G56" s="1018" t="s">
        <v>1652</v>
      </c>
      <c r="H56" s="1638" t="s">
        <v>1071</v>
      </c>
      <c r="I56" s="1018" t="s">
        <v>1582</v>
      </c>
      <c r="J56" s="1018" t="s">
        <v>1076</v>
      </c>
      <c r="K56" s="1018" t="s">
        <v>1068</v>
      </c>
      <c r="L56" s="1624"/>
      <c r="M56" s="1624"/>
      <c r="N56" s="1624" t="s">
        <v>1583</v>
      </c>
      <c r="O56" s="1632"/>
      <c r="P56" s="1624"/>
      <c r="Q56" s="1624"/>
      <c r="U56" s="792" t="s">
        <v>1653</v>
      </c>
      <c r="V56" s="792" t="s">
        <v>1653</v>
      </c>
      <c r="X56" s="859">
        <v>43073</v>
      </c>
      <c r="Y56" s="859">
        <v>43073</v>
      </c>
      <c r="AA56" s="859"/>
      <c r="AB56" s="792" t="s">
        <v>1066</v>
      </c>
      <c r="AC56" s="792">
        <v>0</v>
      </c>
      <c r="AD56" s="792">
        <v>0</v>
      </c>
      <c r="AE56" s="792">
        <v>0</v>
      </c>
      <c r="AF56" s="792">
        <v>0</v>
      </c>
      <c r="AG56" s="792">
        <v>0</v>
      </c>
      <c r="AH56" s="792">
        <v>1</v>
      </c>
      <c r="AI56" s="792">
        <v>40101</v>
      </c>
      <c r="AJ56" s="792">
        <v>2120</v>
      </c>
      <c r="AK56" s="792">
        <v>0</v>
      </c>
      <c r="AL56" s="792">
        <v>0</v>
      </c>
      <c r="AO56" s="1491"/>
      <c r="AP56" s="1491"/>
      <c r="AQ56" s="792" t="str">
        <f t="shared" si="0"/>
        <v/>
      </c>
      <c r="AS56" s="792" t="str">
        <f t="shared" si="1"/>
        <v>wci_corp</v>
      </c>
    </row>
    <row r="57" spans="1:45" s="792" customFormat="1">
      <c r="A57" s="1018"/>
      <c r="B57" s="1018" t="s">
        <v>1576</v>
      </c>
      <c r="C57" s="1637">
        <v>43069</v>
      </c>
      <c r="D57" s="1055">
        <v>70620.210000000006</v>
      </c>
      <c r="E57" s="1055">
        <v>0</v>
      </c>
      <c r="F57" s="1056" t="s">
        <v>657</v>
      </c>
      <c r="G57" s="1018" t="s">
        <v>1654</v>
      </c>
      <c r="H57" s="1638" t="s">
        <v>1071</v>
      </c>
      <c r="I57" s="1018" t="s">
        <v>1092</v>
      </c>
      <c r="J57" s="1018" t="s">
        <v>1076</v>
      </c>
      <c r="K57" s="1018" t="s">
        <v>1068</v>
      </c>
      <c r="L57" s="1624"/>
      <c r="M57" s="1624"/>
      <c r="N57" s="1624" t="s">
        <v>1655</v>
      </c>
      <c r="O57" s="1632"/>
      <c r="P57" s="1624"/>
      <c r="Q57" s="1624"/>
      <c r="U57" s="792" t="s">
        <v>1656</v>
      </c>
      <c r="V57" s="792" t="s">
        <v>1656</v>
      </c>
      <c r="X57" s="859">
        <v>43075</v>
      </c>
      <c r="Y57" s="859">
        <v>43076</v>
      </c>
      <c r="AA57" s="859"/>
      <c r="AB57" s="792" t="s">
        <v>1066</v>
      </c>
      <c r="AC57" s="792">
        <v>0</v>
      </c>
      <c r="AD57" s="792">
        <v>0</v>
      </c>
      <c r="AE57" s="792">
        <v>0</v>
      </c>
      <c r="AF57" s="792">
        <v>0</v>
      </c>
      <c r="AG57" s="792">
        <v>0</v>
      </c>
      <c r="AH57" s="792">
        <v>1</v>
      </c>
      <c r="AI57" s="792">
        <v>40101</v>
      </c>
      <c r="AJ57" s="792">
        <v>2120</v>
      </c>
      <c r="AK57" s="792">
        <v>0</v>
      </c>
      <c r="AL57" s="792">
        <v>0</v>
      </c>
      <c r="AO57" s="1491"/>
      <c r="AP57" s="1491"/>
      <c r="AQ57" s="792" t="str">
        <f t="shared" si="0"/>
        <v/>
      </c>
      <c r="AS57" s="792" t="str">
        <f t="shared" si="1"/>
        <v>wci_corp</v>
      </c>
    </row>
    <row r="58" spans="1:45" s="792" customFormat="1">
      <c r="A58" s="1018"/>
      <c r="B58" s="1018" t="s">
        <v>1576</v>
      </c>
      <c r="C58" s="1637">
        <v>43083</v>
      </c>
      <c r="D58" s="1055">
        <v>70620.210000000006</v>
      </c>
      <c r="E58" s="1055">
        <v>0</v>
      </c>
      <c r="F58" s="1056" t="s">
        <v>657</v>
      </c>
      <c r="G58" s="1018" t="s">
        <v>1657</v>
      </c>
      <c r="H58" s="1638" t="s">
        <v>1071</v>
      </c>
      <c r="I58" s="1018" t="s">
        <v>1099</v>
      </c>
      <c r="J58" s="1018" t="s">
        <v>1243</v>
      </c>
      <c r="K58" s="1018" t="s">
        <v>1068</v>
      </c>
      <c r="L58" s="1624" t="s">
        <v>1658</v>
      </c>
      <c r="M58" s="1624"/>
      <c r="N58" s="1624" t="s">
        <v>1591</v>
      </c>
      <c r="O58" s="1632">
        <v>43069</v>
      </c>
      <c r="P58" s="1624" t="s">
        <v>1592</v>
      </c>
      <c r="Q58" s="1639">
        <v>43040</v>
      </c>
      <c r="R58" s="792" t="s">
        <v>1659</v>
      </c>
      <c r="U58" s="792" t="s">
        <v>1660</v>
      </c>
      <c r="V58" s="792" t="s">
        <v>1661</v>
      </c>
      <c r="W58" s="792">
        <v>2195</v>
      </c>
      <c r="X58" s="859">
        <v>43083</v>
      </c>
      <c r="Y58" s="859">
        <v>43083</v>
      </c>
      <c r="Z58" s="792">
        <v>70620.2</v>
      </c>
      <c r="AA58" s="859">
        <v>43079</v>
      </c>
      <c r="AB58" s="792" t="s">
        <v>1066</v>
      </c>
      <c r="AC58" s="792">
        <v>0</v>
      </c>
      <c r="AD58" s="792">
        <v>0</v>
      </c>
      <c r="AE58" s="792">
        <v>0</v>
      </c>
      <c r="AF58" s="792">
        <v>0</v>
      </c>
      <c r="AG58" s="792">
        <v>0</v>
      </c>
      <c r="AH58" s="792">
        <v>1</v>
      </c>
      <c r="AI58" s="792">
        <v>40101</v>
      </c>
      <c r="AJ58" s="792">
        <v>2120</v>
      </c>
      <c r="AK58" s="792">
        <v>0</v>
      </c>
      <c r="AL58" s="792">
        <v>0</v>
      </c>
      <c r="AO58" s="1491"/>
      <c r="AP58" s="1491"/>
      <c r="AQ58" s="792" t="str">
        <f t="shared" si="0"/>
        <v>VO04506393</v>
      </c>
      <c r="AS58" s="792" t="str">
        <f t="shared" si="1"/>
        <v>wci_corp</v>
      </c>
    </row>
    <row r="59" spans="1:45" s="792" customFormat="1">
      <c r="A59" s="1018"/>
      <c r="B59" s="1018" t="s">
        <v>1576</v>
      </c>
      <c r="C59" s="1637">
        <v>43100</v>
      </c>
      <c r="D59" s="1055">
        <v>-70620.210000000006</v>
      </c>
      <c r="E59" s="1055">
        <v>0</v>
      </c>
      <c r="F59" s="1056" t="s">
        <v>657</v>
      </c>
      <c r="G59" s="1018" t="s">
        <v>1662</v>
      </c>
      <c r="H59" s="1638" t="s">
        <v>1071</v>
      </c>
      <c r="I59" s="1018" t="s">
        <v>1092</v>
      </c>
      <c r="J59" s="1018" t="s">
        <v>1069</v>
      </c>
      <c r="K59" s="1018" t="s">
        <v>1068</v>
      </c>
      <c r="L59" s="1624"/>
      <c r="M59" s="1624"/>
      <c r="N59" s="1624" t="s">
        <v>1655</v>
      </c>
      <c r="O59" s="1632"/>
      <c r="P59" s="1624"/>
      <c r="Q59" s="1624"/>
      <c r="U59" s="792" t="s">
        <v>1656</v>
      </c>
      <c r="V59" s="792" t="s">
        <v>1663</v>
      </c>
      <c r="X59" s="859">
        <v>43076</v>
      </c>
      <c r="Y59" s="859">
        <v>43076</v>
      </c>
      <c r="AA59" s="859"/>
      <c r="AB59" s="792" t="s">
        <v>1066</v>
      </c>
      <c r="AC59" s="792">
        <v>0</v>
      </c>
      <c r="AD59" s="792">
        <v>0</v>
      </c>
      <c r="AE59" s="792">
        <v>0</v>
      </c>
      <c r="AF59" s="792">
        <v>0</v>
      </c>
      <c r="AG59" s="792">
        <v>5</v>
      </c>
      <c r="AH59" s="792">
        <v>1</v>
      </c>
      <c r="AI59" s="792">
        <v>40101</v>
      </c>
      <c r="AJ59" s="792">
        <v>2120</v>
      </c>
      <c r="AK59" s="792">
        <v>0</v>
      </c>
      <c r="AL59" s="792">
        <v>0</v>
      </c>
      <c r="AO59" s="1491"/>
      <c r="AP59" s="1491"/>
      <c r="AQ59" s="792" t="str">
        <f t="shared" si="0"/>
        <v/>
      </c>
      <c r="AS59" s="792" t="str">
        <f t="shared" si="1"/>
        <v>wci_corp</v>
      </c>
    </row>
    <row r="60" spans="1:45" s="792" customFormat="1">
      <c r="A60" s="1018"/>
      <c r="B60" s="1018" t="s">
        <v>1576</v>
      </c>
      <c r="C60" s="1637">
        <v>43100</v>
      </c>
      <c r="D60" s="1055">
        <v>2425.3200000000002</v>
      </c>
      <c r="E60" s="1055">
        <v>0</v>
      </c>
      <c r="F60" s="1056" t="s">
        <v>657</v>
      </c>
      <c r="G60" s="1018" t="s">
        <v>1664</v>
      </c>
      <c r="H60" s="1638" t="s">
        <v>1071</v>
      </c>
      <c r="I60" s="1018" t="s">
        <v>1582</v>
      </c>
      <c r="J60" s="1018" t="s">
        <v>1084</v>
      </c>
      <c r="K60" s="1018" t="s">
        <v>1068</v>
      </c>
      <c r="L60" s="1624"/>
      <c r="M60" s="1624"/>
      <c r="N60" s="1624" t="s">
        <v>1583</v>
      </c>
      <c r="O60" s="1632"/>
      <c r="P60" s="1624"/>
      <c r="Q60" s="1624"/>
      <c r="U60" s="792" t="s">
        <v>1665</v>
      </c>
      <c r="V60" s="792" t="s">
        <v>1665</v>
      </c>
      <c r="X60" s="859">
        <v>43103</v>
      </c>
      <c r="Y60" s="859">
        <v>43103</v>
      </c>
      <c r="AA60" s="859"/>
      <c r="AB60" s="792" t="s">
        <v>1066</v>
      </c>
      <c r="AC60" s="792">
        <v>0</v>
      </c>
      <c r="AD60" s="792">
        <v>0</v>
      </c>
      <c r="AE60" s="792">
        <v>0</v>
      </c>
      <c r="AF60" s="792">
        <v>0</v>
      </c>
      <c r="AG60" s="792">
        <v>0</v>
      </c>
      <c r="AH60" s="792">
        <v>1</v>
      </c>
      <c r="AI60" s="792">
        <v>40101</v>
      </c>
      <c r="AJ60" s="792">
        <v>2120</v>
      </c>
      <c r="AK60" s="792">
        <v>0</v>
      </c>
      <c r="AL60" s="792">
        <v>0</v>
      </c>
      <c r="AO60" s="1491"/>
      <c r="AP60" s="1491"/>
      <c r="AQ60" s="792" t="str">
        <f t="shared" si="0"/>
        <v/>
      </c>
      <c r="AS60" s="792" t="str">
        <f t="shared" si="1"/>
        <v>wci_corp</v>
      </c>
    </row>
    <row r="61" spans="1:45" s="792" customFormat="1">
      <c r="A61" s="1018"/>
      <c r="B61" s="1018" t="s">
        <v>1576</v>
      </c>
      <c r="C61" s="1637">
        <v>43100</v>
      </c>
      <c r="D61" s="1055">
        <v>56650.64</v>
      </c>
      <c r="E61" s="1055">
        <v>0</v>
      </c>
      <c r="F61" s="1056" t="s">
        <v>657</v>
      </c>
      <c r="G61" s="1018" t="s">
        <v>1666</v>
      </c>
      <c r="H61" s="1638" t="s">
        <v>1071</v>
      </c>
      <c r="I61" s="1018" t="s">
        <v>1092</v>
      </c>
      <c r="J61" s="1018" t="s">
        <v>1076</v>
      </c>
      <c r="K61" s="1018" t="s">
        <v>1068</v>
      </c>
      <c r="L61" s="1624"/>
      <c r="M61" s="1624"/>
      <c r="N61" s="1624" t="s">
        <v>1655</v>
      </c>
      <c r="O61" s="1632"/>
      <c r="P61" s="1624"/>
      <c r="Q61" s="1624"/>
      <c r="U61" s="792" t="s">
        <v>1667</v>
      </c>
      <c r="V61" s="792" t="s">
        <v>1667</v>
      </c>
      <c r="X61" s="859">
        <v>43105</v>
      </c>
      <c r="Y61" s="859">
        <v>43105</v>
      </c>
      <c r="AA61" s="859"/>
      <c r="AB61" s="792" t="s">
        <v>1066</v>
      </c>
      <c r="AC61" s="792">
        <v>0</v>
      </c>
      <c r="AD61" s="792">
        <v>0</v>
      </c>
      <c r="AE61" s="792">
        <v>0</v>
      </c>
      <c r="AF61" s="792">
        <v>0</v>
      </c>
      <c r="AG61" s="792">
        <v>0</v>
      </c>
      <c r="AH61" s="792">
        <v>1</v>
      </c>
      <c r="AI61" s="792">
        <v>40101</v>
      </c>
      <c r="AJ61" s="792">
        <v>2120</v>
      </c>
      <c r="AK61" s="792">
        <v>0</v>
      </c>
      <c r="AL61" s="792">
        <v>0</v>
      </c>
      <c r="AO61" s="1491"/>
      <c r="AP61" s="1491"/>
      <c r="AQ61" s="792" t="str">
        <f t="shared" si="0"/>
        <v/>
      </c>
      <c r="AS61" s="792" t="str">
        <f t="shared" si="1"/>
        <v>wci_corp</v>
      </c>
    </row>
    <row r="62" spans="1:45">
      <c r="C62" s="1637"/>
      <c r="D62" s="1640"/>
      <c r="E62" s="1640"/>
      <c r="F62" s="1640"/>
      <c r="H62" s="1031"/>
    </row>
    <row r="63" spans="1:45">
      <c r="B63" s="1641" t="s">
        <v>1065</v>
      </c>
      <c r="C63" s="1641"/>
      <c r="D63" s="1642"/>
      <c r="E63" s="1642"/>
      <c r="F63" s="1642"/>
      <c r="G63" s="1641"/>
      <c r="H63" s="1643"/>
      <c r="I63" s="1641"/>
      <c r="J63" s="1641"/>
      <c r="K63" s="1641"/>
      <c r="L63" s="1641"/>
      <c r="M63" s="1641"/>
      <c r="N63" s="1641"/>
      <c r="O63" s="1641"/>
      <c r="P63" s="1641"/>
      <c r="Q63" s="1641"/>
      <c r="R63" s="1059"/>
      <c r="S63" s="1059"/>
      <c r="T63" s="1059"/>
      <c r="U63" s="1059"/>
      <c r="V63" s="1059"/>
      <c r="W63" s="1059"/>
      <c r="X63" s="1059"/>
      <c r="Y63" s="1059"/>
      <c r="Z63" s="1059"/>
      <c r="AA63" s="1059"/>
      <c r="AB63" s="1059"/>
      <c r="AC63" s="1059"/>
      <c r="AD63" s="1059"/>
      <c r="AE63" s="1059"/>
      <c r="AF63" s="1059"/>
      <c r="AG63" s="1059"/>
      <c r="AH63" s="1059"/>
      <c r="AI63" s="1059"/>
      <c r="AJ63" s="1059"/>
      <c r="AK63" s="1059"/>
      <c r="AL63" s="1059"/>
      <c r="AM63" s="1059"/>
      <c r="AN63" s="1059"/>
      <c r="AO63" s="1059"/>
      <c r="AP63" s="1062"/>
    </row>
    <row r="64" spans="1:45" ht="6.75" customHeight="1">
      <c r="H64" s="1031"/>
    </row>
    <row r="65" spans="2:8" ht="6.75" customHeight="1">
      <c r="H65" s="1031"/>
    </row>
    <row r="66" spans="2:8">
      <c r="H66" s="1031"/>
    </row>
    <row r="67" spans="2:8">
      <c r="B67" s="1644" t="s">
        <v>1064</v>
      </c>
      <c r="C67" s="496" t="s">
        <v>1063</v>
      </c>
      <c r="D67" s="496"/>
      <c r="H67" s="1031"/>
    </row>
    <row r="68" spans="2:8">
      <c r="B68" s="1645" t="s">
        <v>1586</v>
      </c>
      <c r="C68" s="296">
        <v>0</v>
      </c>
      <c r="D68" s="496"/>
      <c r="H68" s="1031"/>
    </row>
    <row r="69" spans="2:8">
      <c r="B69" s="1645" t="s">
        <v>1588</v>
      </c>
      <c r="C69" s="296">
        <v>0</v>
      </c>
      <c r="D69" s="496"/>
      <c r="H69" s="1031"/>
    </row>
    <row r="70" spans="2:8">
      <c r="B70" s="1645" t="s">
        <v>1578</v>
      </c>
      <c r="C70" s="296">
        <v>-1627.6</v>
      </c>
      <c r="D70" s="496"/>
      <c r="H70" s="1031"/>
    </row>
    <row r="71" spans="2:8">
      <c r="B71" s="1646" t="s">
        <v>1583</v>
      </c>
      <c r="C71" s="1647">
        <v>28068.519999999997</v>
      </c>
      <c r="D71" s="496"/>
      <c r="H71" s="1031"/>
    </row>
    <row r="72" spans="2:8">
      <c r="B72" s="1645" t="s">
        <v>1651</v>
      </c>
      <c r="C72" s="296">
        <v>351.54</v>
      </c>
      <c r="D72" s="496"/>
      <c r="H72" s="1031"/>
    </row>
    <row r="73" spans="2:8">
      <c r="B73" s="1645" t="s">
        <v>1655</v>
      </c>
      <c r="C73" s="296">
        <v>56650.64</v>
      </c>
      <c r="D73" s="496"/>
      <c r="H73" s="1031"/>
    </row>
    <row r="74" spans="2:8">
      <c r="B74" s="1645" t="s">
        <v>1591</v>
      </c>
      <c r="C74" s="296">
        <v>736855.75</v>
      </c>
      <c r="D74" s="496"/>
      <c r="H74" s="1031"/>
    </row>
    <row r="75" spans="2:8">
      <c r="B75" s="1645" t="s">
        <v>1042</v>
      </c>
      <c r="C75" s="296">
        <v>820298.85</v>
      </c>
      <c r="D75" s="496"/>
      <c r="H75" s="1031"/>
    </row>
    <row r="76" spans="2:8">
      <c r="B76" s="496"/>
      <c r="C76" s="496"/>
      <c r="D76" s="496"/>
      <c r="H76" s="1031"/>
    </row>
    <row r="77" spans="2:8">
      <c r="B77" s="496"/>
      <c r="C77" s="496"/>
      <c r="D77" s="496"/>
      <c r="H77" s="1031"/>
    </row>
    <row r="78" spans="2:8">
      <c r="B78" s="1648" t="s">
        <v>1583</v>
      </c>
      <c r="C78" s="1649">
        <v>28068.519999999997</v>
      </c>
      <c r="D78" s="496"/>
      <c r="H78" s="1031"/>
    </row>
    <row r="79" spans="2:8">
      <c r="B79" s="496"/>
      <c r="C79" s="496"/>
      <c r="D79" s="496"/>
      <c r="H79" s="1031"/>
    </row>
    <row r="80" spans="2:8">
      <c r="B80" s="496"/>
      <c r="C80" s="496"/>
      <c r="D80" s="496"/>
      <c r="H80" s="1031"/>
    </row>
    <row r="81" spans="2:8">
      <c r="B81" s="496"/>
      <c r="C81" s="496"/>
      <c r="D81" s="496"/>
      <c r="H81" s="1031"/>
    </row>
    <row r="82" spans="2:8">
      <c r="B82" s="496"/>
      <c r="C82" s="496"/>
      <c r="D82" s="496"/>
    </row>
    <row r="83" spans="2:8">
      <c r="B83" s="496"/>
      <c r="C83" s="496"/>
      <c r="D83" s="496"/>
    </row>
    <row r="84" spans="2:8">
      <c r="B84" s="496"/>
      <c r="C84" s="496"/>
      <c r="D84" s="496"/>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43"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63"/>
  <sheetViews>
    <sheetView showGridLines="0" view="pageBreakPreview" topLeftCell="B9" zoomScale="85" zoomScaleNormal="80" zoomScaleSheetLayoutView="85" workbookViewId="0">
      <pane ySplit="11" topLeftCell="A20" activePane="bottomLeft" state="frozen"/>
      <selection activeCell="Q27" sqref="Q27"/>
      <selection pane="bottomLeft" activeCell="Q27" sqref="Q27"/>
    </sheetView>
  </sheetViews>
  <sheetFormatPr defaultRowHeight="12.75" outlineLevelRow="1"/>
  <cols>
    <col min="1" max="1" width="2.7109375" style="1017" customWidth="1"/>
    <col min="2" max="2" width="31.7109375" style="1017" customWidth="1"/>
    <col min="3" max="3" width="15.140625" style="1017" customWidth="1"/>
    <col min="4" max="4" width="13" style="1017" customWidth="1"/>
    <col min="5" max="5" width="13.140625" style="1017" customWidth="1"/>
    <col min="6" max="6" width="12.28515625" style="1017" customWidth="1"/>
    <col min="7" max="7" width="19" style="1017" customWidth="1"/>
    <col min="8" max="8" width="7.85546875" style="1017" customWidth="1"/>
    <col min="9" max="9" width="30.28515625" style="1017" customWidth="1"/>
    <col min="10" max="10" width="10.28515625" style="1017" customWidth="1"/>
    <col min="11" max="11" width="7" style="1017" customWidth="1"/>
    <col min="12" max="12" width="15.140625" style="1017" customWidth="1"/>
    <col min="13" max="13" width="15" style="1017" customWidth="1"/>
    <col min="14" max="14" width="32.28515625" style="1017" customWidth="1"/>
    <col min="15" max="15" width="11.42578125" style="1017" customWidth="1"/>
    <col min="16" max="16" width="18.140625" style="1017" customWidth="1"/>
    <col min="17" max="17" width="18" style="1017" customWidth="1"/>
    <col min="18" max="18" width="14.140625" style="1017" customWidth="1"/>
    <col min="19" max="19" width="17.7109375" style="1017" customWidth="1"/>
    <col min="20" max="20" width="12.7109375" style="1017" customWidth="1"/>
    <col min="21" max="21" width="15.85546875" style="1017" customWidth="1"/>
    <col min="22" max="22" width="13.7109375" style="1017" bestFit="1" customWidth="1"/>
    <col min="23" max="23" width="13.28515625" style="1017" customWidth="1"/>
    <col min="24" max="24" width="12.28515625" style="1017" customWidth="1"/>
    <col min="25" max="25" width="11.5703125" style="1017" customWidth="1"/>
    <col min="26" max="26" width="9.85546875" style="1017" customWidth="1"/>
    <col min="27" max="27" width="11.42578125" style="1017" customWidth="1"/>
    <col min="28" max="28" width="11" style="1017" customWidth="1"/>
    <col min="29" max="29" width="11.5703125" style="1017" customWidth="1"/>
    <col min="30" max="30" width="7" style="1017" customWidth="1"/>
    <col min="31" max="31" width="11.140625" style="1017" customWidth="1"/>
    <col min="32" max="32" width="11" style="1017" customWidth="1"/>
    <col min="33" max="33" width="8.5703125" style="1017" customWidth="1"/>
    <col min="34" max="34" width="8.42578125" style="1017" customWidth="1"/>
    <col min="35" max="36" width="10.28515625" style="1017" customWidth="1"/>
    <col min="37" max="37" width="10.140625" style="1017" customWidth="1"/>
    <col min="38" max="38" width="10.42578125" style="1017" customWidth="1"/>
    <col min="39" max="39" width="21.140625" style="1017" customWidth="1"/>
    <col min="40" max="42" width="18.85546875" style="1017" customWidth="1"/>
    <col min="43" max="43" width="20.42578125" style="1017" customWidth="1"/>
    <col min="44" max="44" width="9.140625" style="1017" customWidth="1"/>
    <col min="45" max="45" width="9.140625" style="1017" hidden="1" customWidth="1"/>
    <col min="46" max="46" width="9.140625" style="1017" customWidth="1"/>
    <col min="47" max="16384" width="9.140625" style="1017"/>
  </cols>
  <sheetData>
    <row r="1" spans="1:43" hidden="1" outlineLevel="1">
      <c r="A1" s="1016" t="b">
        <v>1</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c r="AC1" s="1016"/>
      <c r="AD1" s="1016"/>
      <c r="AE1" s="1016"/>
      <c r="AF1" s="1016"/>
      <c r="AG1" s="1016"/>
      <c r="AH1" s="1016"/>
      <c r="AI1" s="1016"/>
      <c r="AJ1" s="1016"/>
      <c r="AK1" s="1016"/>
      <c r="AL1" s="1016"/>
      <c r="AM1" s="1016"/>
      <c r="AN1" s="1016"/>
      <c r="AO1" s="1016"/>
      <c r="AP1" s="1016"/>
      <c r="AQ1" s="1016"/>
    </row>
    <row r="2" spans="1:43" hidden="1" outlineLevel="1">
      <c r="B2" s="1017" t="s">
        <v>1239</v>
      </c>
      <c r="C2" s="1017" t="s">
        <v>1238</v>
      </c>
      <c r="D2" s="1018" t="s">
        <v>1237</v>
      </c>
      <c r="E2" s="1018" t="s">
        <v>1236</v>
      </c>
      <c r="F2" s="1018" t="s">
        <v>1235</v>
      </c>
      <c r="G2" s="1017" t="s">
        <v>1234</v>
      </c>
      <c r="H2" s="1017" t="s">
        <v>1233</v>
      </c>
      <c r="I2" s="1017" t="s">
        <v>1232</v>
      </c>
      <c r="J2" s="1017" t="s">
        <v>1165</v>
      </c>
      <c r="K2" s="1017" t="s">
        <v>1231</v>
      </c>
      <c r="L2" s="1017" t="s">
        <v>1230</v>
      </c>
      <c r="M2" s="1017" t="s">
        <v>1229</v>
      </c>
      <c r="N2" s="1017" t="s">
        <v>1228</v>
      </c>
      <c r="O2" s="1017" t="s">
        <v>1227</v>
      </c>
      <c r="P2" s="1017" t="s">
        <v>1226</v>
      </c>
      <c r="Q2" s="1017" t="s">
        <v>1225</v>
      </c>
      <c r="R2" s="1017" t="s">
        <v>1224</v>
      </c>
      <c r="S2" s="1017" t="s">
        <v>1223</v>
      </c>
      <c r="T2" s="1017" t="s">
        <v>1222</v>
      </c>
      <c r="U2" s="1017" t="s">
        <v>1221</v>
      </c>
      <c r="V2" s="1017" t="s">
        <v>1220</v>
      </c>
      <c r="W2" s="1017" t="s">
        <v>1219</v>
      </c>
      <c r="X2" s="1017" t="s">
        <v>1218</v>
      </c>
      <c r="Y2" s="1017" t="s">
        <v>1217</v>
      </c>
      <c r="Z2" s="1017" t="s">
        <v>1216</v>
      </c>
      <c r="AA2" s="1017" t="s">
        <v>1215</v>
      </c>
      <c r="AB2" s="1017" t="s">
        <v>1214</v>
      </c>
      <c r="AC2" s="1017" t="s">
        <v>1213</v>
      </c>
      <c r="AD2" s="1017" t="s">
        <v>1212</v>
      </c>
      <c r="AE2" s="1017" t="s">
        <v>1211</v>
      </c>
      <c r="AF2" s="1017" t="s">
        <v>1210</v>
      </c>
      <c r="AG2" s="1017" t="s">
        <v>1209</v>
      </c>
      <c r="AH2" s="1017" t="s">
        <v>1208</v>
      </c>
      <c r="AI2" s="1017" t="s">
        <v>1207</v>
      </c>
      <c r="AJ2" s="1017" t="s">
        <v>1206</v>
      </c>
      <c r="AK2" s="1017" t="s">
        <v>1205</v>
      </c>
      <c r="AL2" s="1017" t="s">
        <v>1204</v>
      </c>
      <c r="AM2" s="1017" t="s">
        <v>1203</v>
      </c>
      <c r="AN2" s="1017" t="s">
        <v>1135</v>
      </c>
      <c r="AO2" s="1017" t="s">
        <v>1202</v>
      </c>
      <c r="AP2" s="1017" t="s">
        <v>1201</v>
      </c>
      <c r="AQ2" s="1018"/>
    </row>
    <row r="3" spans="1:43" hidden="1" outlineLevel="1">
      <c r="A3" s="1016" t="s">
        <v>1200</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row>
    <row r="4" spans="1:43" hidden="1" outlineLevel="1">
      <c r="Q4" s="1017" t="str">
        <f ca="1">_xll.ReportDrill('[52]JE Lookup'!B1,,_xll.PairGroup(_xll.Pair(G20:G43,'[52]JE Lookup'!N8),_xll.Pair(AB20:AB43,'[52]JE Lookup'!N7)),"JE Lookup")</f>
        <v>OK!: ReportDrill 'JE Lookup' Formula OK [jAction{}]</v>
      </c>
      <c r="U4" s="1017" t="str">
        <f ca="1">_xll.ReportDrill(,"APDrill",_xll.PairGroup(_xll.PairExt(AQ20:AQ43,"H8")),"AP Detail")</f>
        <v>OK!: ReportDrill 'AP Detail' Formula OK [jAction{}]</v>
      </c>
      <c r="Y4" s="1017" t="str">
        <f ca="1">_xll.ReportDrill(,"JEStaged_DrillToDetail",_xll.PairGroup(_xll.PairExt(Q19:Q43,"dControlNum",TRUE),_xll.PairExt(AP19:AP43,"dDistrict",TRUE),_xll.PairExt(AO19:AO43,"dApplyMonth",TRUE)),"JE Staged Details")</f>
        <v>OK!: ReportDrill 'JE Staged Details' Formula OK [jAction{}]</v>
      </c>
    </row>
    <row r="5" spans="1:43" hidden="1" outlineLevel="1">
      <c r="B5" s="1017" t="str">
        <f ca="1">_xll.ReportRange("JEQuery_WithStaged",B20:AS42,B2:AS2,,_xll.Param(I12,DateTo,IF(M12="","all",M12),M13,M14,M15,P12,P13,P14,P15,EntrieShownLimit,DateFrom,DateTo),TRUE)</f>
        <v>OK!: ReportRange Formula OK [jAction{}]</v>
      </c>
      <c r="Q5" s="1017" t="str">
        <f ca="1">_xll.ReportDrill('[52]JE Lookup'!B1,,_xll.PairGroup(_xll.Pair(V20:V43,'[52]JE Lookup'!N8),_xll.Pair(AS20:AS43,'[52]JE Lookup'!N7)),"I/C Originating JE")</f>
        <v>OK!: ReportDrill 'I/C Originating JE' Formula OK [jAction{}]</v>
      </c>
    </row>
    <row r="6" spans="1:43" hidden="1" outlineLevel="1">
      <c r="B6" s="1019" t="s">
        <v>1199</v>
      </c>
      <c r="D6" s="1017">
        <v>10000</v>
      </c>
    </row>
    <row r="7" spans="1:43" hidden="1" outlineLevel="1">
      <c r="A7" s="1016" t="s">
        <v>1198</v>
      </c>
      <c r="B7" s="1016"/>
      <c r="C7" s="1016"/>
      <c r="D7" s="1016"/>
      <c r="E7" s="1016"/>
      <c r="F7" s="1016"/>
      <c r="G7" s="1016"/>
      <c r="H7" s="1016"/>
      <c r="I7" s="1016"/>
      <c r="J7" s="1016"/>
      <c r="K7" s="1016"/>
      <c r="L7" s="1016"/>
      <c r="M7" s="1016"/>
      <c r="N7" s="1016"/>
      <c r="O7" s="1016"/>
      <c r="P7" s="1016"/>
      <c r="Q7" s="1016"/>
      <c r="R7" s="1016"/>
      <c r="S7" s="1016"/>
      <c r="T7" s="1016"/>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row>
    <row r="8" spans="1:43" hidden="1" outlineLevel="1">
      <c r="B8" s="1020" t="s">
        <v>1197</v>
      </c>
      <c r="C8" s="1017" t="str">
        <f>IF(DateFrom="",CurrentMonth,DateFrom)</f>
        <v>2017-01</v>
      </c>
      <c r="E8" s="1020" t="s">
        <v>1196</v>
      </c>
      <c r="G8" s="1017" t="str">
        <f>IF(DateTo="",CurrentMonth,DateTo)</f>
        <v>2017-12</v>
      </c>
      <c r="I8" s="1020" t="s">
        <v>1195</v>
      </c>
      <c r="J8" s="1021" t="str">
        <f ca="1">TEXT(NOW() - 15,"yyyy-mm")</f>
        <v>2018-01</v>
      </c>
    </row>
    <row r="9" spans="1:43" ht="18" collapsed="1">
      <c r="B9" s="1022" t="s">
        <v>1194</v>
      </c>
      <c r="G9" s="1023" t="s">
        <v>1193</v>
      </c>
      <c r="P9" s="1024"/>
      <c r="U9" s="1019"/>
    </row>
    <row r="10" spans="1:43" ht="14.25">
      <c r="B10" s="1018" t="s">
        <v>1192</v>
      </c>
      <c r="G10" s="1025"/>
      <c r="P10" s="1024"/>
      <c r="U10" s="1019"/>
    </row>
    <row r="11" spans="1:43">
      <c r="G11" s="1026" t="s">
        <v>1191</v>
      </c>
      <c r="H11" s="1027"/>
      <c r="I11" s="1028"/>
      <c r="L11" s="1027" t="s">
        <v>1190</v>
      </c>
      <c r="M11" s="1027"/>
      <c r="N11" s="1027"/>
      <c r="O11" s="1027"/>
      <c r="P11" s="1027"/>
      <c r="U11" s="1018"/>
    </row>
    <row r="12" spans="1:43" s="1019" customFormat="1">
      <c r="H12" s="1029" t="s">
        <v>1189</v>
      </c>
      <c r="I12" s="1030" t="s">
        <v>1188</v>
      </c>
      <c r="K12" s="1031"/>
      <c r="L12" s="1019" t="s">
        <v>1187</v>
      </c>
      <c r="M12" s="1030" t="s">
        <v>193</v>
      </c>
      <c r="O12" s="1029" t="s">
        <v>1186</v>
      </c>
      <c r="P12" s="1032"/>
      <c r="Z12" s="1017"/>
      <c r="AA12" s="1017"/>
      <c r="AB12" s="1017"/>
      <c r="AH12" s="1017"/>
      <c r="AI12" s="1017"/>
      <c r="AJ12" s="1017"/>
      <c r="AK12" s="1017"/>
      <c r="AL12" s="1017"/>
    </row>
    <row r="13" spans="1:43" s="1019" customFormat="1">
      <c r="H13" s="1029" t="s">
        <v>1185</v>
      </c>
      <c r="I13" s="1030" t="s">
        <v>197</v>
      </c>
      <c r="K13" s="1031"/>
      <c r="L13" s="1019" t="s">
        <v>1184</v>
      </c>
      <c r="M13" s="1030" t="s">
        <v>1753</v>
      </c>
      <c r="N13" s="1017"/>
      <c r="O13" s="1029" t="s">
        <v>1182</v>
      </c>
      <c r="P13" s="1033"/>
      <c r="Q13" s="1034"/>
      <c r="Z13" s="1017"/>
      <c r="AA13" s="1017"/>
      <c r="AB13" s="1017"/>
      <c r="AH13" s="1017"/>
      <c r="AI13" s="1017"/>
      <c r="AJ13" s="1017"/>
      <c r="AK13" s="1017"/>
      <c r="AL13" s="1017"/>
    </row>
    <row r="14" spans="1:43">
      <c r="L14" s="1019" t="s">
        <v>196</v>
      </c>
      <c r="M14" s="1030" t="s">
        <v>195</v>
      </c>
      <c r="O14" s="1029" t="s">
        <v>1181</v>
      </c>
      <c r="P14" s="1033"/>
      <c r="Q14" s="1034"/>
    </row>
    <row r="15" spans="1:43">
      <c r="L15" s="1019" t="s">
        <v>653</v>
      </c>
      <c r="M15" s="1030" t="s">
        <v>195</v>
      </c>
      <c r="O15" s="1029" t="s">
        <v>1180</v>
      </c>
      <c r="P15" s="1035" t="s">
        <v>1179</v>
      </c>
    </row>
    <row r="16" spans="1:43">
      <c r="B16" s="1036" t="s">
        <v>1178</v>
      </c>
      <c r="C16" s="1037"/>
      <c r="D16" s="1038">
        <f>SUM(D19:D43)</f>
        <v>69801.970000000016</v>
      </c>
      <c r="E16" s="1038">
        <f>SUM(E19:E43)</f>
        <v>0</v>
      </c>
      <c r="F16" s="1017" t="s">
        <v>1177</v>
      </c>
      <c r="N16" s="1039"/>
      <c r="O16" s="1039"/>
      <c r="P16" s="1039"/>
      <c r="Q16" s="1039"/>
    </row>
    <row r="17" spans="2:45">
      <c r="B17" s="1036" t="s">
        <v>1176</v>
      </c>
      <c r="C17" s="1037"/>
      <c r="D17" s="1040">
        <f>COUNT(D20:D44)</f>
        <v>22</v>
      </c>
      <c r="E17" s="1040">
        <f>COUNT(E20:E44)</f>
        <v>22</v>
      </c>
      <c r="F17" s="1018" t="s">
        <v>1175</v>
      </c>
      <c r="G17" s="1041" t="str">
        <f>""&amp;EntrieShownLimit</f>
        <v>10000</v>
      </c>
    </row>
    <row r="18" spans="2:45">
      <c r="O18" s="1042"/>
      <c r="R18" s="1043" t="s">
        <v>1174</v>
      </c>
      <c r="S18" s="1044"/>
      <c r="T18" s="1044"/>
      <c r="U18" s="1044"/>
      <c r="V18" s="1044"/>
      <c r="W18" s="1044"/>
      <c r="X18" s="1044"/>
      <c r="Y18" s="1044"/>
      <c r="Z18" s="1045"/>
      <c r="AA18" s="1045"/>
      <c r="AB18" s="1045"/>
      <c r="AC18" s="1045"/>
      <c r="AD18" s="1045"/>
      <c r="AE18" s="1045"/>
      <c r="AF18" s="1045"/>
      <c r="AG18" s="1045"/>
      <c r="AH18" s="1045"/>
      <c r="AI18" s="1045"/>
      <c r="AJ18" s="1045"/>
      <c r="AK18" s="1045"/>
      <c r="AL18" s="1045"/>
      <c r="AM18" s="1045"/>
      <c r="AN18" s="1045"/>
      <c r="AO18" s="1045"/>
      <c r="AP18" s="1045"/>
      <c r="AQ18" s="1045"/>
    </row>
    <row r="19" spans="2:45" s="1046" customFormat="1" ht="29.25" customHeight="1" thickBot="1">
      <c r="B19" s="1047" t="s">
        <v>1173</v>
      </c>
      <c r="C19" s="1048" t="s">
        <v>1172</v>
      </c>
      <c r="D19" s="1049" t="s">
        <v>1171</v>
      </c>
      <c r="E19" s="1049" t="s">
        <v>1170</v>
      </c>
      <c r="F19" s="1049" t="s">
        <v>1169</v>
      </c>
      <c r="G19" s="1050" t="s">
        <v>1168</v>
      </c>
      <c r="H19" s="1047" t="s">
        <v>1167</v>
      </c>
      <c r="I19" s="1047" t="s">
        <v>1166</v>
      </c>
      <c r="J19" s="1047" t="s">
        <v>1165</v>
      </c>
      <c r="K19" s="1047" t="s">
        <v>1164</v>
      </c>
      <c r="L19" s="1047" t="s">
        <v>1163</v>
      </c>
      <c r="M19" s="1047" t="s">
        <v>1162</v>
      </c>
      <c r="N19" s="1047" t="s">
        <v>1161</v>
      </c>
      <c r="O19" s="1051" t="s">
        <v>1160</v>
      </c>
      <c r="P19" s="1047" t="s">
        <v>1159</v>
      </c>
      <c r="Q19" s="1047" t="s">
        <v>1158</v>
      </c>
      <c r="R19" s="1047" t="s">
        <v>1157</v>
      </c>
      <c r="S19" s="1047" t="s">
        <v>1156</v>
      </c>
      <c r="T19" s="1047" t="s">
        <v>1155</v>
      </c>
      <c r="U19" s="1047" t="s">
        <v>1154</v>
      </c>
      <c r="V19" s="1047" t="s">
        <v>1153</v>
      </c>
      <c r="W19" s="1047" t="s">
        <v>1152</v>
      </c>
      <c r="X19" s="1047" t="s">
        <v>1151</v>
      </c>
      <c r="Y19" s="1047" t="s">
        <v>1150</v>
      </c>
      <c r="Z19" s="1047" t="s">
        <v>1149</v>
      </c>
      <c r="AA19" s="1047" t="s">
        <v>1148</v>
      </c>
      <c r="AB19" s="1047" t="s">
        <v>1147</v>
      </c>
      <c r="AC19" s="1052" t="s">
        <v>1146</v>
      </c>
      <c r="AD19" s="1052" t="s">
        <v>1145</v>
      </c>
      <c r="AE19" s="1052" t="s">
        <v>1144</v>
      </c>
      <c r="AF19" s="1052" t="s">
        <v>1143</v>
      </c>
      <c r="AG19" s="1052" t="s">
        <v>1142</v>
      </c>
      <c r="AH19" s="1052" t="s">
        <v>1141</v>
      </c>
      <c r="AI19" s="1048" t="s">
        <v>1140</v>
      </c>
      <c r="AJ19" s="1048" t="s">
        <v>1139</v>
      </c>
      <c r="AK19" s="1048" t="s">
        <v>1138</v>
      </c>
      <c r="AL19" s="1048" t="s">
        <v>1137</v>
      </c>
      <c r="AM19" s="1048" t="s">
        <v>1136</v>
      </c>
      <c r="AN19" s="1048" t="s">
        <v>1135</v>
      </c>
      <c r="AO19" s="1053" t="s">
        <v>1134</v>
      </c>
      <c r="AP19" s="1053" t="s">
        <v>1133</v>
      </c>
      <c r="AQ19" s="1053" t="s">
        <v>1132</v>
      </c>
    </row>
    <row r="20" spans="2:45">
      <c r="B20" s="1017" t="s">
        <v>1754</v>
      </c>
      <c r="C20" s="1054">
        <v>42766</v>
      </c>
      <c r="D20" s="1055">
        <v>3305.48</v>
      </c>
      <c r="E20" s="1055">
        <v>0</v>
      </c>
      <c r="F20" s="1056" t="s">
        <v>657</v>
      </c>
      <c r="G20" s="1017" t="s">
        <v>1755</v>
      </c>
      <c r="H20" s="1057" t="s">
        <v>1071</v>
      </c>
      <c r="I20" s="1017" t="s">
        <v>1099</v>
      </c>
      <c r="J20" s="1017" t="s">
        <v>1243</v>
      </c>
      <c r="K20" s="1017" t="s">
        <v>1068</v>
      </c>
      <c r="L20" s="1021" t="s">
        <v>1756</v>
      </c>
      <c r="M20" s="1021"/>
      <c r="N20" s="1021" t="s">
        <v>1757</v>
      </c>
      <c r="O20" s="1042">
        <v>42762</v>
      </c>
      <c r="P20" s="1021" t="s">
        <v>1758</v>
      </c>
      <c r="Q20" s="1021" t="s">
        <v>1759</v>
      </c>
      <c r="R20" s="1017" t="s">
        <v>1760</v>
      </c>
      <c r="U20" s="1017" t="s">
        <v>1761</v>
      </c>
      <c r="V20" s="1017" t="s">
        <v>1762</v>
      </c>
      <c r="W20" s="1017">
        <v>2195</v>
      </c>
      <c r="X20" s="1054">
        <v>42768</v>
      </c>
      <c r="Y20" s="1054">
        <v>42769</v>
      </c>
      <c r="Z20" s="1017">
        <v>3305.48</v>
      </c>
      <c r="AA20" s="1054">
        <v>42772</v>
      </c>
      <c r="AB20" s="1017" t="s">
        <v>1066</v>
      </c>
      <c r="AC20" s="1017">
        <v>0</v>
      </c>
      <c r="AD20" s="1017">
        <v>0</v>
      </c>
      <c r="AE20" s="1017">
        <v>0</v>
      </c>
      <c r="AF20" s="1017">
        <v>0</v>
      </c>
      <c r="AG20" s="1017">
        <v>0</v>
      </c>
      <c r="AH20" s="1017">
        <v>1</v>
      </c>
      <c r="AI20" s="1017">
        <v>40121</v>
      </c>
      <c r="AJ20" s="1017">
        <v>2120</v>
      </c>
      <c r="AK20" s="1017">
        <v>0</v>
      </c>
      <c r="AL20" s="1017">
        <v>0</v>
      </c>
      <c r="AO20" s="1057"/>
      <c r="AP20" s="1057"/>
      <c r="AQ20" s="1017" t="str">
        <f>IF(LEFT(U20,2)="VO",U20,"")</f>
        <v>VO04190431</v>
      </c>
      <c r="AS20" s="1017" t="str">
        <f>IF(RIGHT(K20,2)="IC",IF(OR(AB20="wci_canada",AB20="wci_can_corp"),"wci_can_Corp","wci_corp"),AB20)</f>
        <v>wci_corp</v>
      </c>
    </row>
    <row r="21" spans="2:45">
      <c r="B21" s="1017" t="s">
        <v>1754</v>
      </c>
      <c r="C21" s="1054">
        <v>42794</v>
      </c>
      <c r="D21" s="1055">
        <v>4772.21</v>
      </c>
      <c r="E21" s="1055">
        <v>0</v>
      </c>
      <c r="F21" s="1056" t="s">
        <v>657</v>
      </c>
      <c r="G21" s="1017" t="s">
        <v>1353</v>
      </c>
      <c r="H21" s="1057" t="s">
        <v>1071</v>
      </c>
      <c r="I21" s="1017" t="s">
        <v>1092</v>
      </c>
      <c r="J21" s="1017" t="s">
        <v>1084</v>
      </c>
      <c r="K21" s="1017" t="s">
        <v>1068</v>
      </c>
      <c r="L21" s="1021"/>
      <c r="M21" s="1021"/>
      <c r="N21" s="1021" t="s">
        <v>1763</v>
      </c>
      <c r="O21" s="1042"/>
      <c r="P21" s="1021"/>
      <c r="Q21" s="1021"/>
      <c r="U21" s="1017" t="s">
        <v>1354</v>
      </c>
      <c r="V21" s="1017" t="s">
        <v>1354</v>
      </c>
      <c r="X21" s="1054">
        <v>42800</v>
      </c>
      <c r="Y21" s="1054">
        <v>42801</v>
      </c>
      <c r="AA21" s="1054"/>
      <c r="AB21" s="1017" t="s">
        <v>1066</v>
      </c>
      <c r="AC21" s="1017">
        <v>0</v>
      </c>
      <c r="AD21" s="1017">
        <v>0</v>
      </c>
      <c r="AE21" s="1017">
        <v>0</v>
      </c>
      <c r="AF21" s="1017">
        <v>0</v>
      </c>
      <c r="AG21" s="1017">
        <v>0</v>
      </c>
      <c r="AH21" s="1017">
        <v>1</v>
      </c>
      <c r="AI21" s="1017">
        <v>40121</v>
      </c>
      <c r="AJ21" s="1017">
        <v>2120</v>
      </c>
      <c r="AK21" s="1017">
        <v>0</v>
      </c>
      <c r="AL21" s="1017">
        <v>0</v>
      </c>
      <c r="AO21" s="1057"/>
      <c r="AP21" s="1057"/>
      <c r="AQ21" s="1017" t="str">
        <f t="shared" ref="AQ21:AQ41" si="0">IF(LEFT(U21,2)="VO",U21,"")</f>
        <v/>
      </c>
      <c r="AS21" s="1017" t="str">
        <f t="shared" ref="AS21:AS41" si="1">IF(RIGHT(K21,2)="IC",IF(OR(AB21="wci_canada",AB21="wci_can_corp"),"wci_can_Corp","wci_corp"),AB21)</f>
        <v>wci_corp</v>
      </c>
    </row>
    <row r="22" spans="2:45">
      <c r="B22" s="1017" t="s">
        <v>1754</v>
      </c>
      <c r="C22" s="1054">
        <v>42803</v>
      </c>
      <c r="D22" s="1055">
        <v>4772.21</v>
      </c>
      <c r="E22" s="1055">
        <v>0</v>
      </c>
      <c r="F22" s="1056" t="s">
        <v>657</v>
      </c>
      <c r="G22" s="1017" t="s">
        <v>1600</v>
      </c>
      <c r="H22" s="1057" t="s">
        <v>1071</v>
      </c>
      <c r="I22" s="1017" t="s">
        <v>1099</v>
      </c>
      <c r="J22" s="1017" t="s">
        <v>1243</v>
      </c>
      <c r="K22" s="1017" t="s">
        <v>1068</v>
      </c>
      <c r="L22" s="1021" t="s">
        <v>1756</v>
      </c>
      <c r="M22" s="1021"/>
      <c r="N22" s="1021" t="s">
        <v>1757</v>
      </c>
      <c r="O22" s="1042">
        <v>42793</v>
      </c>
      <c r="P22" s="1021" t="s">
        <v>1758</v>
      </c>
      <c r="Q22" s="1021" t="s">
        <v>1764</v>
      </c>
      <c r="R22" s="1017" t="s">
        <v>1760</v>
      </c>
      <c r="U22" s="1017" t="s">
        <v>1765</v>
      </c>
      <c r="V22" s="1017" t="s">
        <v>1602</v>
      </c>
      <c r="W22" s="1017">
        <v>2195</v>
      </c>
      <c r="X22" s="1054">
        <v>42803</v>
      </c>
      <c r="Y22" s="1054">
        <v>42808</v>
      </c>
      <c r="Z22" s="1017">
        <v>4772.21</v>
      </c>
      <c r="AA22" s="1054">
        <v>42803</v>
      </c>
      <c r="AB22" s="1017" t="s">
        <v>1066</v>
      </c>
      <c r="AC22" s="1017">
        <v>0</v>
      </c>
      <c r="AD22" s="1017">
        <v>0</v>
      </c>
      <c r="AE22" s="1017">
        <v>0</v>
      </c>
      <c r="AF22" s="1017">
        <v>0</v>
      </c>
      <c r="AG22" s="1017">
        <v>0</v>
      </c>
      <c r="AH22" s="1017">
        <v>1</v>
      </c>
      <c r="AI22" s="1017">
        <v>40121</v>
      </c>
      <c r="AJ22" s="1017">
        <v>2120</v>
      </c>
      <c r="AK22" s="1017">
        <v>0</v>
      </c>
      <c r="AL22" s="1017">
        <v>0</v>
      </c>
      <c r="AO22" s="1057"/>
      <c r="AP22" s="1057"/>
      <c r="AQ22" s="1017" t="str">
        <f t="shared" si="0"/>
        <v>VO04224884</v>
      </c>
      <c r="AS22" s="1017" t="str">
        <f t="shared" si="1"/>
        <v>wci_corp</v>
      </c>
    </row>
    <row r="23" spans="2:45">
      <c r="B23" s="1017" t="s">
        <v>1754</v>
      </c>
      <c r="C23" s="1054">
        <v>42825</v>
      </c>
      <c r="D23" s="1055">
        <v>-4772.21</v>
      </c>
      <c r="E23" s="1055">
        <v>0</v>
      </c>
      <c r="F23" s="1056" t="s">
        <v>657</v>
      </c>
      <c r="G23" s="1017" t="s">
        <v>1355</v>
      </c>
      <c r="H23" s="1057" t="s">
        <v>1071</v>
      </c>
      <c r="I23" s="1017" t="s">
        <v>1092</v>
      </c>
      <c r="J23" s="1017" t="s">
        <v>1119</v>
      </c>
      <c r="K23" s="1017" t="s">
        <v>1068</v>
      </c>
      <c r="L23" s="1021"/>
      <c r="M23" s="1021"/>
      <c r="N23" s="1021" t="s">
        <v>1763</v>
      </c>
      <c r="O23" s="1042"/>
      <c r="P23" s="1021"/>
      <c r="Q23" s="1021"/>
      <c r="U23" s="1017" t="s">
        <v>1354</v>
      </c>
      <c r="V23" s="1017" t="s">
        <v>1356</v>
      </c>
      <c r="X23" s="1054">
        <v>42801</v>
      </c>
      <c r="Y23" s="1054">
        <v>42801</v>
      </c>
      <c r="AA23" s="1054"/>
      <c r="AB23" s="1017" t="s">
        <v>1066</v>
      </c>
      <c r="AC23" s="1017">
        <v>0</v>
      </c>
      <c r="AD23" s="1017">
        <v>0</v>
      </c>
      <c r="AE23" s="1017">
        <v>0</v>
      </c>
      <c r="AF23" s="1017">
        <v>0</v>
      </c>
      <c r="AG23" s="1017">
        <v>5</v>
      </c>
      <c r="AH23" s="1017">
        <v>1</v>
      </c>
      <c r="AI23" s="1017">
        <v>40121</v>
      </c>
      <c r="AJ23" s="1017">
        <v>2120</v>
      </c>
      <c r="AK23" s="1017">
        <v>0</v>
      </c>
      <c r="AL23" s="1017">
        <v>0</v>
      </c>
      <c r="AO23" s="1057"/>
      <c r="AP23" s="1057"/>
      <c r="AQ23" s="1017" t="str">
        <f t="shared" si="0"/>
        <v/>
      </c>
      <c r="AS23" s="1017" t="str">
        <f t="shared" si="1"/>
        <v>wci_corp</v>
      </c>
    </row>
    <row r="24" spans="2:45">
      <c r="B24" s="1017" t="s">
        <v>1754</v>
      </c>
      <c r="C24" s="1054">
        <v>42825</v>
      </c>
      <c r="D24" s="1055">
        <v>6324.63</v>
      </c>
      <c r="E24" s="1055">
        <v>0</v>
      </c>
      <c r="F24" s="1056" t="s">
        <v>657</v>
      </c>
      <c r="G24" s="1017" t="s">
        <v>1603</v>
      </c>
      <c r="H24" s="1057" t="s">
        <v>1071</v>
      </c>
      <c r="I24" s="1017" t="s">
        <v>1099</v>
      </c>
      <c r="J24" s="1017" t="s">
        <v>1243</v>
      </c>
      <c r="K24" s="1017" t="s">
        <v>1068</v>
      </c>
      <c r="L24" s="1021" t="s">
        <v>1756</v>
      </c>
      <c r="M24" s="1021"/>
      <c r="N24" s="1021" t="s">
        <v>1757</v>
      </c>
      <c r="O24" s="1042">
        <v>42821</v>
      </c>
      <c r="P24" s="1021" t="s">
        <v>1758</v>
      </c>
      <c r="Q24" s="1021" t="s">
        <v>1766</v>
      </c>
      <c r="R24" s="1017" t="s">
        <v>1760</v>
      </c>
      <c r="U24" s="1017" t="s">
        <v>1767</v>
      </c>
      <c r="V24" s="1017" t="s">
        <v>1605</v>
      </c>
      <c r="W24" s="1017">
        <v>2195</v>
      </c>
      <c r="X24" s="1054">
        <v>42829</v>
      </c>
      <c r="Y24" s="1054">
        <v>42830</v>
      </c>
      <c r="Z24" s="1017">
        <v>6324.63</v>
      </c>
      <c r="AA24" s="1054">
        <v>42831</v>
      </c>
      <c r="AB24" s="1017" t="s">
        <v>1066</v>
      </c>
      <c r="AC24" s="1017">
        <v>0</v>
      </c>
      <c r="AD24" s="1017">
        <v>0</v>
      </c>
      <c r="AE24" s="1017">
        <v>0</v>
      </c>
      <c r="AF24" s="1017">
        <v>0</v>
      </c>
      <c r="AG24" s="1017">
        <v>0</v>
      </c>
      <c r="AH24" s="1017">
        <v>1</v>
      </c>
      <c r="AI24" s="1017">
        <v>40121</v>
      </c>
      <c r="AJ24" s="1017">
        <v>2120</v>
      </c>
      <c r="AK24" s="1017">
        <v>0</v>
      </c>
      <c r="AL24" s="1017">
        <v>0</v>
      </c>
      <c r="AO24" s="1057"/>
      <c r="AP24" s="1057"/>
      <c r="AQ24" s="1017" t="str">
        <f t="shared" si="0"/>
        <v>VO04250218</v>
      </c>
      <c r="AS24" s="1017" t="str">
        <f t="shared" si="1"/>
        <v>wci_corp</v>
      </c>
    </row>
    <row r="25" spans="2:45">
      <c r="B25" s="1017" t="s">
        <v>1754</v>
      </c>
      <c r="C25" s="1054">
        <v>42855</v>
      </c>
      <c r="D25" s="1055">
        <v>7169.15</v>
      </c>
      <c r="E25" s="1055">
        <v>0</v>
      </c>
      <c r="F25" s="1056" t="s">
        <v>657</v>
      </c>
      <c r="G25" s="1017" t="s">
        <v>1357</v>
      </c>
      <c r="H25" s="1057" t="s">
        <v>1071</v>
      </c>
      <c r="I25" s="1017" t="s">
        <v>1092</v>
      </c>
      <c r="J25" s="1017" t="s">
        <v>1084</v>
      </c>
      <c r="K25" s="1017" t="s">
        <v>1068</v>
      </c>
      <c r="L25" s="1021"/>
      <c r="M25" s="1021"/>
      <c r="N25" s="1021" t="s">
        <v>1763</v>
      </c>
      <c r="O25" s="1042"/>
      <c r="P25" s="1021"/>
      <c r="Q25" s="1021"/>
      <c r="U25" s="1017" t="s">
        <v>1358</v>
      </c>
      <c r="V25" s="1017" t="s">
        <v>1358</v>
      </c>
      <c r="X25" s="1054">
        <v>42859</v>
      </c>
      <c r="Y25" s="1054">
        <v>42860</v>
      </c>
      <c r="AA25" s="1054"/>
      <c r="AB25" s="1017" t="s">
        <v>1066</v>
      </c>
      <c r="AC25" s="1017">
        <v>0</v>
      </c>
      <c r="AD25" s="1017">
        <v>0</v>
      </c>
      <c r="AE25" s="1017">
        <v>0</v>
      </c>
      <c r="AF25" s="1017">
        <v>0</v>
      </c>
      <c r="AG25" s="1017">
        <v>0</v>
      </c>
      <c r="AH25" s="1017">
        <v>1</v>
      </c>
      <c r="AI25" s="1017">
        <v>40121</v>
      </c>
      <c r="AJ25" s="1017">
        <v>2120</v>
      </c>
      <c r="AK25" s="1017">
        <v>0</v>
      </c>
      <c r="AL25" s="1017">
        <v>0</v>
      </c>
      <c r="AO25" s="1057"/>
      <c r="AP25" s="1057"/>
      <c r="AQ25" s="1017" t="str">
        <f t="shared" si="0"/>
        <v/>
      </c>
      <c r="AS25" s="1017" t="str">
        <f t="shared" si="1"/>
        <v>wci_corp</v>
      </c>
    </row>
    <row r="26" spans="2:45">
      <c r="B26" s="1017" t="s">
        <v>1754</v>
      </c>
      <c r="C26" s="1054">
        <v>42863</v>
      </c>
      <c r="D26" s="1055">
        <v>7169.15</v>
      </c>
      <c r="E26" s="1055">
        <v>0</v>
      </c>
      <c r="F26" s="1056" t="s">
        <v>657</v>
      </c>
      <c r="G26" s="1017" t="s">
        <v>1610</v>
      </c>
      <c r="H26" s="1057" t="s">
        <v>1071</v>
      </c>
      <c r="I26" s="1017" t="s">
        <v>1099</v>
      </c>
      <c r="J26" s="1017" t="s">
        <v>1243</v>
      </c>
      <c r="K26" s="1017" t="s">
        <v>1068</v>
      </c>
      <c r="L26" s="1021" t="s">
        <v>1756</v>
      </c>
      <c r="M26" s="1021"/>
      <c r="N26" s="1021" t="s">
        <v>1757</v>
      </c>
      <c r="O26" s="1042">
        <v>42852</v>
      </c>
      <c r="P26" s="1021" t="s">
        <v>1758</v>
      </c>
      <c r="Q26" s="1021" t="s">
        <v>1768</v>
      </c>
      <c r="R26" s="1017" t="s">
        <v>1760</v>
      </c>
      <c r="U26" s="1017" t="s">
        <v>1769</v>
      </c>
      <c r="V26" s="1017" t="s">
        <v>1612</v>
      </c>
      <c r="W26" s="1017">
        <v>2195</v>
      </c>
      <c r="X26" s="1054">
        <v>42863</v>
      </c>
      <c r="Y26" s="1054">
        <v>42863</v>
      </c>
      <c r="Z26" s="1017">
        <v>7169.15</v>
      </c>
      <c r="AA26" s="1054">
        <v>42862</v>
      </c>
      <c r="AB26" s="1017" t="s">
        <v>1066</v>
      </c>
      <c r="AC26" s="1017">
        <v>0</v>
      </c>
      <c r="AD26" s="1017">
        <v>0</v>
      </c>
      <c r="AE26" s="1017">
        <v>0</v>
      </c>
      <c r="AF26" s="1017">
        <v>0</v>
      </c>
      <c r="AG26" s="1017">
        <v>0</v>
      </c>
      <c r="AH26" s="1017">
        <v>1</v>
      </c>
      <c r="AI26" s="1017">
        <v>40121</v>
      </c>
      <c r="AJ26" s="1017">
        <v>2120</v>
      </c>
      <c r="AK26" s="1017">
        <v>0</v>
      </c>
      <c r="AL26" s="1017">
        <v>0</v>
      </c>
      <c r="AO26" s="1057"/>
      <c r="AP26" s="1057"/>
      <c r="AQ26" s="1017" t="str">
        <f t="shared" si="0"/>
        <v>VO04280800</v>
      </c>
      <c r="AS26" s="1017" t="str">
        <f t="shared" si="1"/>
        <v>wci_corp</v>
      </c>
    </row>
    <row r="27" spans="2:45">
      <c r="B27" s="1017" t="s">
        <v>1754</v>
      </c>
      <c r="C27" s="1054">
        <v>42886</v>
      </c>
      <c r="D27" s="1055">
        <v>-7169.15</v>
      </c>
      <c r="E27" s="1055">
        <v>0</v>
      </c>
      <c r="F27" s="1056" t="s">
        <v>657</v>
      </c>
      <c r="G27" s="1017" t="s">
        <v>1359</v>
      </c>
      <c r="H27" s="1057" t="s">
        <v>1071</v>
      </c>
      <c r="I27" s="1017" t="s">
        <v>1092</v>
      </c>
      <c r="J27" s="1017" t="s">
        <v>1302</v>
      </c>
      <c r="K27" s="1017" t="s">
        <v>1068</v>
      </c>
      <c r="L27" s="1021"/>
      <c r="M27" s="1021"/>
      <c r="N27" s="1021" t="s">
        <v>1763</v>
      </c>
      <c r="O27" s="1042"/>
      <c r="P27" s="1021"/>
      <c r="Q27" s="1021"/>
      <c r="U27" s="1017" t="s">
        <v>1358</v>
      </c>
      <c r="V27" s="1017" t="s">
        <v>1360</v>
      </c>
      <c r="X27" s="1054">
        <v>42860</v>
      </c>
      <c r="Y27" s="1054">
        <v>42860</v>
      </c>
      <c r="AA27" s="1054"/>
      <c r="AB27" s="1017" t="s">
        <v>1066</v>
      </c>
      <c r="AC27" s="1017">
        <v>0</v>
      </c>
      <c r="AD27" s="1017">
        <v>0</v>
      </c>
      <c r="AE27" s="1017">
        <v>0</v>
      </c>
      <c r="AF27" s="1017">
        <v>0</v>
      </c>
      <c r="AG27" s="1017">
        <v>5</v>
      </c>
      <c r="AH27" s="1017">
        <v>1</v>
      </c>
      <c r="AI27" s="1017">
        <v>40121</v>
      </c>
      <c r="AJ27" s="1017">
        <v>2120</v>
      </c>
      <c r="AK27" s="1017">
        <v>0</v>
      </c>
      <c r="AL27" s="1017">
        <v>0</v>
      </c>
      <c r="AO27" s="1057"/>
      <c r="AP27" s="1057"/>
      <c r="AQ27" s="1017" t="str">
        <f t="shared" si="0"/>
        <v/>
      </c>
      <c r="AS27" s="1017" t="str">
        <f t="shared" si="1"/>
        <v>wci_corp</v>
      </c>
    </row>
    <row r="28" spans="2:45">
      <c r="B28" s="1017" t="s">
        <v>1754</v>
      </c>
      <c r="C28" s="1054">
        <v>42886</v>
      </c>
      <c r="D28" s="1055">
        <v>5058.41</v>
      </c>
      <c r="E28" s="1055">
        <v>0</v>
      </c>
      <c r="F28" s="1056" t="s">
        <v>657</v>
      </c>
      <c r="G28" s="1017" t="s">
        <v>1770</v>
      </c>
      <c r="H28" s="1057" t="s">
        <v>1071</v>
      </c>
      <c r="I28" s="1017" t="s">
        <v>1099</v>
      </c>
      <c r="J28" s="1017" t="s">
        <v>1243</v>
      </c>
      <c r="K28" s="1017" t="s">
        <v>1068</v>
      </c>
      <c r="L28" s="1021" t="s">
        <v>1756</v>
      </c>
      <c r="M28" s="1021"/>
      <c r="N28" s="1021" t="s">
        <v>1757</v>
      </c>
      <c r="O28" s="1042">
        <v>42882</v>
      </c>
      <c r="P28" s="1021" t="s">
        <v>1758</v>
      </c>
      <c r="Q28" s="1021" t="s">
        <v>1771</v>
      </c>
      <c r="R28" s="1017" t="s">
        <v>1760</v>
      </c>
      <c r="U28" s="1017" t="s">
        <v>1772</v>
      </c>
      <c r="V28" s="1017" t="s">
        <v>1773</v>
      </c>
      <c r="W28" s="1017">
        <v>2195</v>
      </c>
      <c r="X28" s="1054">
        <v>42887</v>
      </c>
      <c r="Y28" s="1054">
        <v>42887</v>
      </c>
      <c r="Z28" s="1017">
        <v>5058.41</v>
      </c>
      <c r="AA28" s="1054">
        <v>42892</v>
      </c>
      <c r="AB28" s="1017" t="s">
        <v>1066</v>
      </c>
      <c r="AC28" s="1017">
        <v>0</v>
      </c>
      <c r="AD28" s="1017">
        <v>0</v>
      </c>
      <c r="AE28" s="1017">
        <v>0</v>
      </c>
      <c r="AF28" s="1017">
        <v>0</v>
      </c>
      <c r="AG28" s="1017">
        <v>0</v>
      </c>
      <c r="AH28" s="1017">
        <v>1</v>
      </c>
      <c r="AI28" s="1017">
        <v>40121</v>
      </c>
      <c r="AJ28" s="1017">
        <v>2120</v>
      </c>
      <c r="AK28" s="1017">
        <v>0</v>
      </c>
      <c r="AL28" s="1017">
        <v>0</v>
      </c>
      <c r="AO28" s="1057"/>
      <c r="AP28" s="1057"/>
      <c r="AQ28" s="1017" t="str">
        <f t="shared" si="0"/>
        <v>VO04305539</v>
      </c>
      <c r="AS28" s="1017" t="str">
        <f t="shared" si="1"/>
        <v>wci_corp</v>
      </c>
    </row>
    <row r="29" spans="2:45">
      <c r="B29" s="1017" t="s">
        <v>1754</v>
      </c>
      <c r="C29" s="1054">
        <v>42916</v>
      </c>
      <c r="D29" s="1055">
        <v>6319.21</v>
      </c>
      <c r="E29" s="1055">
        <v>0</v>
      </c>
      <c r="F29" s="1056" t="s">
        <v>657</v>
      </c>
      <c r="G29" s="1017" t="s">
        <v>1774</v>
      </c>
      <c r="H29" s="1057" t="s">
        <v>1071</v>
      </c>
      <c r="I29" s="1017" t="s">
        <v>1099</v>
      </c>
      <c r="J29" s="1017" t="s">
        <v>1243</v>
      </c>
      <c r="K29" s="1017" t="s">
        <v>1068</v>
      </c>
      <c r="L29" s="1021" t="s">
        <v>1756</v>
      </c>
      <c r="M29" s="1021"/>
      <c r="N29" s="1021" t="s">
        <v>1757</v>
      </c>
      <c r="O29" s="1042">
        <v>42913</v>
      </c>
      <c r="P29" s="1021" t="s">
        <v>1758</v>
      </c>
      <c r="Q29" s="1021" t="s">
        <v>1775</v>
      </c>
      <c r="R29" s="1017" t="s">
        <v>1760</v>
      </c>
      <c r="U29" s="1017" t="s">
        <v>1776</v>
      </c>
      <c r="V29" s="1017" t="s">
        <v>1777</v>
      </c>
      <c r="W29" s="1017">
        <v>2195</v>
      </c>
      <c r="X29" s="1054">
        <v>42921</v>
      </c>
      <c r="Y29" s="1054">
        <v>42921</v>
      </c>
      <c r="Z29" s="1017">
        <v>6319.21</v>
      </c>
      <c r="AA29" s="1054">
        <v>42923</v>
      </c>
      <c r="AB29" s="1017" t="s">
        <v>1066</v>
      </c>
      <c r="AC29" s="1017">
        <v>0</v>
      </c>
      <c r="AD29" s="1017">
        <v>0</v>
      </c>
      <c r="AE29" s="1017">
        <v>0</v>
      </c>
      <c r="AF29" s="1017">
        <v>0</v>
      </c>
      <c r="AG29" s="1017">
        <v>0</v>
      </c>
      <c r="AH29" s="1017">
        <v>1</v>
      </c>
      <c r="AI29" s="1017">
        <v>40121</v>
      </c>
      <c r="AJ29" s="1017">
        <v>2120</v>
      </c>
      <c r="AK29" s="1017">
        <v>0</v>
      </c>
      <c r="AL29" s="1017">
        <v>0</v>
      </c>
      <c r="AO29" s="1057"/>
      <c r="AP29" s="1057"/>
      <c r="AQ29" s="1017" t="str">
        <f t="shared" si="0"/>
        <v>VO04338645</v>
      </c>
      <c r="AS29" s="1017" t="str">
        <f t="shared" si="1"/>
        <v>wci_corp</v>
      </c>
    </row>
    <row r="30" spans="2:45">
      <c r="B30" s="1017" t="s">
        <v>1754</v>
      </c>
      <c r="C30" s="1054">
        <v>42947</v>
      </c>
      <c r="D30" s="1055">
        <v>3212.19</v>
      </c>
      <c r="E30" s="1055">
        <v>0</v>
      </c>
      <c r="F30" s="1056" t="s">
        <v>657</v>
      </c>
      <c r="G30" s="1017" t="s">
        <v>1101</v>
      </c>
      <c r="H30" s="1057" t="s">
        <v>1071</v>
      </c>
      <c r="I30" s="1017" t="s">
        <v>1092</v>
      </c>
      <c r="J30" s="1017" t="s">
        <v>1084</v>
      </c>
      <c r="K30" s="1017" t="s">
        <v>1068</v>
      </c>
      <c r="L30" s="1021"/>
      <c r="M30" s="1021"/>
      <c r="N30" s="1021" t="s">
        <v>1763</v>
      </c>
      <c r="O30" s="1042"/>
      <c r="P30" s="1021"/>
      <c r="Q30" s="1021"/>
      <c r="U30" s="1017" t="s">
        <v>1091</v>
      </c>
      <c r="V30" s="1017" t="s">
        <v>1091</v>
      </c>
      <c r="X30" s="1054">
        <v>42951</v>
      </c>
      <c r="Y30" s="1054">
        <v>42954</v>
      </c>
      <c r="AA30" s="1054"/>
      <c r="AB30" s="1017" t="s">
        <v>1066</v>
      </c>
      <c r="AC30" s="1017">
        <v>0</v>
      </c>
      <c r="AD30" s="1017">
        <v>0</v>
      </c>
      <c r="AE30" s="1017">
        <v>0</v>
      </c>
      <c r="AF30" s="1017">
        <v>0</v>
      </c>
      <c r="AG30" s="1017">
        <v>0</v>
      </c>
      <c r="AH30" s="1017">
        <v>1</v>
      </c>
      <c r="AI30" s="1017">
        <v>40121</v>
      </c>
      <c r="AJ30" s="1017">
        <v>2120</v>
      </c>
      <c r="AK30" s="1017">
        <v>0</v>
      </c>
      <c r="AL30" s="1017">
        <v>0</v>
      </c>
      <c r="AO30" s="1057"/>
      <c r="AP30" s="1057"/>
      <c r="AQ30" s="1017" t="str">
        <f t="shared" si="0"/>
        <v/>
      </c>
      <c r="AS30" s="1017" t="str">
        <f t="shared" si="1"/>
        <v>wci_corp</v>
      </c>
    </row>
    <row r="31" spans="2:45">
      <c r="B31" s="1017" t="s">
        <v>1754</v>
      </c>
      <c r="C31" s="1054">
        <v>42955</v>
      </c>
      <c r="D31" s="1055">
        <v>3212.19</v>
      </c>
      <c r="E31" s="1055">
        <v>0</v>
      </c>
      <c r="F31" s="1056" t="s">
        <v>657</v>
      </c>
      <c r="G31" s="1017" t="s">
        <v>1629</v>
      </c>
      <c r="H31" s="1057" t="s">
        <v>1071</v>
      </c>
      <c r="I31" s="1017" t="s">
        <v>1099</v>
      </c>
      <c r="J31" s="1017" t="s">
        <v>1243</v>
      </c>
      <c r="K31" s="1017" t="s">
        <v>1068</v>
      </c>
      <c r="L31" s="1021" t="s">
        <v>1756</v>
      </c>
      <c r="M31" s="1021"/>
      <c r="N31" s="1021" t="s">
        <v>1757</v>
      </c>
      <c r="O31" s="1042">
        <v>42943</v>
      </c>
      <c r="P31" s="1021" t="s">
        <v>1758</v>
      </c>
      <c r="Q31" s="1021" t="s">
        <v>1778</v>
      </c>
      <c r="R31" s="1017" t="s">
        <v>1760</v>
      </c>
      <c r="U31" s="1017" t="s">
        <v>1779</v>
      </c>
      <c r="V31" s="1017" t="s">
        <v>1631</v>
      </c>
      <c r="W31" s="1017">
        <v>2195</v>
      </c>
      <c r="X31" s="1054">
        <v>42955</v>
      </c>
      <c r="Y31" s="1054">
        <v>42955</v>
      </c>
      <c r="Z31" s="1017">
        <v>3212.19</v>
      </c>
      <c r="AA31" s="1054">
        <v>42953</v>
      </c>
      <c r="AB31" s="1017" t="s">
        <v>1066</v>
      </c>
      <c r="AC31" s="1017">
        <v>0</v>
      </c>
      <c r="AD31" s="1017">
        <v>0</v>
      </c>
      <c r="AE31" s="1017">
        <v>0</v>
      </c>
      <c r="AF31" s="1017">
        <v>0</v>
      </c>
      <c r="AG31" s="1017">
        <v>0</v>
      </c>
      <c r="AH31" s="1017">
        <v>1</v>
      </c>
      <c r="AI31" s="1017">
        <v>40121</v>
      </c>
      <c r="AJ31" s="1017">
        <v>2120</v>
      </c>
      <c r="AK31" s="1017">
        <v>0</v>
      </c>
      <c r="AL31" s="1017">
        <v>0</v>
      </c>
      <c r="AO31" s="1057"/>
      <c r="AP31" s="1057"/>
      <c r="AQ31" s="1017" t="str">
        <f t="shared" si="0"/>
        <v>VO04371774</v>
      </c>
      <c r="AS31" s="1017" t="str">
        <f t="shared" si="1"/>
        <v>wci_corp</v>
      </c>
    </row>
    <row r="32" spans="2:45">
      <c r="B32" s="1017" t="s">
        <v>1754</v>
      </c>
      <c r="C32" s="1054">
        <v>42978</v>
      </c>
      <c r="D32" s="1055">
        <v>-3212.19</v>
      </c>
      <c r="E32" s="1055">
        <v>0</v>
      </c>
      <c r="F32" s="1056" t="s">
        <v>657</v>
      </c>
      <c r="G32" s="1017" t="s">
        <v>1093</v>
      </c>
      <c r="H32" s="1057" t="s">
        <v>1071</v>
      </c>
      <c r="I32" s="1017" t="s">
        <v>1092</v>
      </c>
      <c r="J32" s="1017" t="s">
        <v>1084</v>
      </c>
      <c r="K32" s="1017" t="s">
        <v>1068</v>
      </c>
      <c r="L32" s="1021"/>
      <c r="M32" s="1021"/>
      <c r="N32" s="1021" t="s">
        <v>1763</v>
      </c>
      <c r="O32" s="1042"/>
      <c r="P32" s="1021"/>
      <c r="Q32" s="1021"/>
      <c r="U32" s="1017" t="s">
        <v>1091</v>
      </c>
      <c r="V32" s="1017" t="s">
        <v>1090</v>
      </c>
      <c r="X32" s="1054">
        <v>42954</v>
      </c>
      <c r="Y32" s="1054">
        <v>42954</v>
      </c>
      <c r="AA32" s="1054"/>
      <c r="AB32" s="1017" t="s">
        <v>1066</v>
      </c>
      <c r="AC32" s="1017">
        <v>0</v>
      </c>
      <c r="AD32" s="1017">
        <v>0</v>
      </c>
      <c r="AE32" s="1017">
        <v>0</v>
      </c>
      <c r="AF32" s="1017">
        <v>0</v>
      </c>
      <c r="AG32" s="1017">
        <v>5</v>
      </c>
      <c r="AH32" s="1017">
        <v>1</v>
      </c>
      <c r="AI32" s="1017">
        <v>40121</v>
      </c>
      <c r="AJ32" s="1017">
        <v>2120</v>
      </c>
      <c r="AK32" s="1017">
        <v>0</v>
      </c>
      <c r="AL32" s="1017">
        <v>0</v>
      </c>
      <c r="AO32" s="1057"/>
      <c r="AP32" s="1057"/>
      <c r="AQ32" s="1017" t="str">
        <f t="shared" si="0"/>
        <v/>
      </c>
      <c r="AS32" s="1017" t="str">
        <f t="shared" si="1"/>
        <v>wci_corp</v>
      </c>
    </row>
    <row r="33" spans="2:45">
      <c r="B33" s="1017" t="s">
        <v>1754</v>
      </c>
      <c r="C33" s="1054">
        <v>42978</v>
      </c>
      <c r="D33" s="1055">
        <v>6993.53</v>
      </c>
      <c r="E33" s="1055">
        <v>0</v>
      </c>
      <c r="F33" s="1056" t="s">
        <v>657</v>
      </c>
      <c r="G33" s="1017" t="s">
        <v>1780</v>
      </c>
      <c r="H33" s="1057" t="s">
        <v>1071</v>
      </c>
      <c r="I33" s="1017" t="s">
        <v>1099</v>
      </c>
      <c r="J33" s="1017" t="s">
        <v>1098</v>
      </c>
      <c r="K33" s="1017" t="s">
        <v>1068</v>
      </c>
      <c r="L33" s="1021" t="s">
        <v>1756</v>
      </c>
      <c r="M33" s="1021"/>
      <c r="N33" s="1021" t="s">
        <v>1757</v>
      </c>
      <c r="O33" s="1042">
        <v>42974</v>
      </c>
      <c r="P33" s="1021" t="s">
        <v>1758</v>
      </c>
      <c r="Q33" s="1021" t="s">
        <v>1781</v>
      </c>
      <c r="R33" s="1017" t="s">
        <v>1760</v>
      </c>
      <c r="U33" s="1017" t="s">
        <v>1782</v>
      </c>
      <c r="V33" s="1017" t="s">
        <v>1783</v>
      </c>
      <c r="W33" s="1017">
        <v>2195</v>
      </c>
      <c r="X33" s="1054">
        <v>42983</v>
      </c>
      <c r="Y33" s="1054">
        <v>42983</v>
      </c>
      <c r="Z33" s="1017">
        <v>6993.53</v>
      </c>
      <c r="AA33" s="1054">
        <v>42984</v>
      </c>
      <c r="AB33" s="1017" t="s">
        <v>1066</v>
      </c>
      <c r="AC33" s="1017">
        <v>0</v>
      </c>
      <c r="AD33" s="1017">
        <v>0</v>
      </c>
      <c r="AE33" s="1017">
        <v>0</v>
      </c>
      <c r="AF33" s="1017">
        <v>0</v>
      </c>
      <c r="AG33" s="1017">
        <v>0</v>
      </c>
      <c r="AH33" s="1017">
        <v>1</v>
      </c>
      <c r="AI33" s="1017">
        <v>40121</v>
      </c>
      <c r="AJ33" s="1017">
        <v>2120</v>
      </c>
      <c r="AK33" s="1017">
        <v>0</v>
      </c>
      <c r="AL33" s="1017">
        <v>0</v>
      </c>
      <c r="AO33" s="1057"/>
      <c r="AP33" s="1057"/>
      <c r="AQ33" s="1017" t="str">
        <f t="shared" si="0"/>
        <v>VO04399804</v>
      </c>
      <c r="AS33" s="1017" t="str">
        <f t="shared" si="1"/>
        <v>wci_corp</v>
      </c>
    </row>
    <row r="34" spans="2:45">
      <c r="B34" s="1017" t="s">
        <v>1754</v>
      </c>
      <c r="C34" s="1054">
        <v>43008</v>
      </c>
      <c r="D34" s="1055">
        <v>6657.45</v>
      </c>
      <c r="E34" s="1055">
        <v>0</v>
      </c>
      <c r="F34" s="1056" t="s">
        <v>657</v>
      </c>
      <c r="G34" s="1017" t="s">
        <v>1784</v>
      </c>
      <c r="H34" s="1057" t="s">
        <v>1071</v>
      </c>
      <c r="I34" s="1017" t="s">
        <v>1099</v>
      </c>
      <c r="J34" s="1017" t="s">
        <v>1243</v>
      </c>
      <c r="K34" s="1017" t="s">
        <v>1068</v>
      </c>
      <c r="L34" s="1021" t="s">
        <v>1756</v>
      </c>
      <c r="M34" s="1021"/>
      <c r="N34" s="1021" t="s">
        <v>1757</v>
      </c>
      <c r="O34" s="1042">
        <v>43005</v>
      </c>
      <c r="P34" s="1021" t="s">
        <v>1758</v>
      </c>
      <c r="Q34" s="1021" t="s">
        <v>1785</v>
      </c>
      <c r="R34" s="1017" t="s">
        <v>1760</v>
      </c>
      <c r="U34" s="1017" t="s">
        <v>1786</v>
      </c>
      <c r="V34" s="1017" t="s">
        <v>1787</v>
      </c>
      <c r="W34" s="1017">
        <v>2195</v>
      </c>
      <c r="X34" s="1054">
        <v>43011</v>
      </c>
      <c r="Y34" s="1054">
        <v>43011</v>
      </c>
      <c r="Z34" s="1017">
        <v>6657.45</v>
      </c>
      <c r="AA34" s="1054">
        <v>43015</v>
      </c>
      <c r="AB34" s="1017" t="s">
        <v>1066</v>
      </c>
      <c r="AC34" s="1017">
        <v>0</v>
      </c>
      <c r="AD34" s="1017">
        <v>0</v>
      </c>
      <c r="AE34" s="1017">
        <v>0</v>
      </c>
      <c r="AF34" s="1017">
        <v>0</v>
      </c>
      <c r="AG34" s="1017">
        <v>0</v>
      </c>
      <c r="AH34" s="1017">
        <v>1</v>
      </c>
      <c r="AI34" s="1017">
        <v>40121</v>
      </c>
      <c r="AJ34" s="1017">
        <v>2120</v>
      </c>
      <c r="AK34" s="1017">
        <v>0</v>
      </c>
      <c r="AL34" s="1017">
        <v>0</v>
      </c>
      <c r="AO34" s="1057"/>
      <c r="AP34" s="1057"/>
      <c r="AQ34" s="1017" t="str">
        <f t="shared" si="0"/>
        <v>VO04429959</v>
      </c>
      <c r="AS34" s="1017" t="str">
        <f t="shared" si="1"/>
        <v>wci_corp</v>
      </c>
    </row>
    <row r="35" spans="2:45">
      <c r="B35" s="1017" t="s">
        <v>1754</v>
      </c>
      <c r="C35" s="1054">
        <v>43039</v>
      </c>
      <c r="D35" s="1055">
        <v>8236.99</v>
      </c>
      <c r="E35" s="1055">
        <v>0</v>
      </c>
      <c r="F35" s="1056" t="s">
        <v>657</v>
      </c>
      <c r="G35" s="1017" t="s">
        <v>1644</v>
      </c>
      <c r="H35" s="1057" t="s">
        <v>1071</v>
      </c>
      <c r="I35" s="1017" t="s">
        <v>1092</v>
      </c>
      <c r="J35" s="1017" t="s">
        <v>1069</v>
      </c>
      <c r="K35" s="1017" t="s">
        <v>1068</v>
      </c>
      <c r="L35" s="1021"/>
      <c r="M35" s="1021"/>
      <c r="N35" s="1021" t="s">
        <v>1763</v>
      </c>
      <c r="O35" s="1042"/>
      <c r="P35" s="1021"/>
      <c r="Q35" s="1021"/>
      <c r="U35" s="1017" t="s">
        <v>1645</v>
      </c>
      <c r="V35" s="1017" t="s">
        <v>1645</v>
      </c>
      <c r="X35" s="1054">
        <v>43046</v>
      </c>
      <c r="Y35" s="1054">
        <v>43046</v>
      </c>
      <c r="AA35" s="1054"/>
      <c r="AB35" s="1017" t="s">
        <v>1066</v>
      </c>
      <c r="AC35" s="1017">
        <v>0</v>
      </c>
      <c r="AD35" s="1017">
        <v>0</v>
      </c>
      <c r="AE35" s="1017">
        <v>0</v>
      </c>
      <c r="AF35" s="1017">
        <v>0</v>
      </c>
      <c r="AG35" s="1017">
        <v>0</v>
      </c>
      <c r="AH35" s="1017">
        <v>1</v>
      </c>
      <c r="AI35" s="1017">
        <v>40121</v>
      </c>
      <c r="AJ35" s="1017">
        <v>2120</v>
      </c>
      <c r="AK35" s="1017">
        <v>0</v>
      </c>
      <c r="AL35" s="1017">
        <v>0</v>
      </c>
      <c r="AO35" s="1057"/>
      <c r="AP35" s="1057"/>
      <c r="AQ35" s="1017" t="str">
        <f t="shared" si="0"/>
        <v/>
      </c>
      <c r="AS35" s="1017" t="str">
        <f t="shared" si="1"/>
        <v>wci_corp</v>
      </c>
    </row>
    <row r="36" spans="2:45">
      <c r="B36" s="1017" t="s">
        <v>1754</v>
      </c>
      <c r="C36" s="1054">
        <v>43045</v>
      </c>
      <c r="D36" s="1055">
        <v>8236.99</v>
      </c>
      <c r="E36" s="1055">
        <v>0</v>
      </c>
      <c r="F36" s="1056" t="s">
        <v>657</v>
      </c>
      <c r="G36" s="1017" t="s">
        <v>1646</v>
      </c>
      <c r="H36" s="1057" t="s">
        <v>1071</v>
      </c>
      <c r="I36" s="1017" t="s">
        <v>1099</v>
      </c>
      <c r="J36" s="1017" t="s">
        <v>1243</v>
      </c>
      <c r="K36" s="1017" t="s">
        <v>1068</v>
      </c>
      <c r="L36" s="1021" t="s">
        <v>1756</v>
      </c>
      <c r="M36" s="1021"/>
      <c r="N36" s="1021" t="s">
        <v>1757</v>
      </c>
      <c r="O36" s="1042">
        <v>43035</v>
      </c>
      <c r="P36" s="1021" t="s">
        <v>1758</v>
      </c>
      <c r="Q36" s="1021" t="s">
        <v>1788</v>
      </c>
      <c r="R36" s="1017" t="s">
        <v>1760</v>
      </c>
      <c r="U36" s="1017" t="s">
        <v>1789</v>
      </c>
      <c r="V36" s="1017" t="s">
        <v>1648</v>
      </c>
      <c r="W36" s="1017">
        <v>2195</v>
      </c>
      <c r="X36" s="1054">
        <v>43046</v>
      </c>
      <c r="Y36" s="1054">
        <v>43046</v>
      </c>
      <c r="Z36" s="1017">
        <v>8236.99</v>
      </c>
      <c r="AA36" s="1054">
        <v>43045</v>
      </c>
      <c r="AB36" s="1017" t="s">
        <v>1066</v>
      </c>
      <c r="AC36" s="1017">
        <v>0</v>
      </c>
      <c r="AD36" s="1017">
        <v>0</v>
      </c>
      <c r="AE36" s="1017">
        <v>0</v>
      </c>
      <c r="AF36" s="1017">
        <v>0</v>
      </c>
      <c r="AG36" s="1017">
        <v>0</v>
      </c>
      <c r="AH36" s="1017">
        <v>1</v>
      </c>
      <c r="AI36" s="1017">
        <v>40121</v>
      </c>
      <c r="AJ36" s="1017">
        <v>2120</v>
      </c>
      <c r="AK36" s="1017">
        <v>0</v>
      </c>
      <c r="AL36" s="1017">
        <v>0</v>
      </c>
      <c r="AO36" s="1057"/>
      <c r="AP36" s="1057"/>
      <c r="AQ36" s="1017" t="str">
        <f t="shared" si="0"/>
        <v>VO04469589</v>
      </c>
      <c r="AS36" s="1017" t="str">
        <f t="shared" si="1"/>
        <v>wci_corp</v>
      </c>
    </row>
    <row r="37" spans="2:45">
      <c r="B37" s="1017" t="s">
        <v>1754</v>
      </c>
      <c r="C37" s="1054">
        <v>43069</v>
      </c>
      <c r="D37" s="1055">
        <v>-8236.99</v>
      </c>
      <c r="E37" s="1055">
        <v>0</v>
      </c>
      <c r="F37" s="1056" t="s">
        <v>657</v>
      </c>
      <c r="G37" s="1017" t="s">
        <v>1649</v>
      </c>
      <c r="H37" s="1057" t="s">
        <v>1071</v>
      </c>
      <c r="I37" s="1017" t="s">
        <v>1092</v>
      </c>
      <c r="J37" s="1017" t="s">
        <v>1084</v>
      </c>
      <c r="K37" s="1017" t="s">
        <v>1068</v>
      </c>
      <c r="L37" s="1021"/>
      <c r="M37" s="1021"/>
      <c r="N37" s="1021" t="s">
        <v>1763</v>
      </c>
      <c r="O37" s="1042"/>
      <c r="P37" s="1021"/>
      <c r="Q37" s="1021"/>
      <c r="U37" s="1017" t="s">
        <v>1645</v>
      </c>
      <c r="V37" s="1017" t="s">
        <v>1650</v>
      </c>
      <c r="X37" s="1054">
        <v>43046</v>
      </c>
      <c r="Y37" s="1054">
        <v>43046</v>
      </c>
      <c r="AA37" s="1054"/>
      <c r="AB37" s="1017" t="s">
        <v>1066</v>
      </c>
      <c r="AC37" s="1017">
        <v>0</v>
      </c>
      <c r="AD37" s="1017">
        <v>0</v>
      </c>
      <c r="AE37" s="1017">
        <v>0</v>
      </c>
      <c r="AF37" s="1017">
        <v>0</v>
      </c>
      <c r="AG37" s="1017">
        <v>5</v>
      </c>
      <c r="AH37" s="1017">
        <v>1</v>
      </c>
      <c r="AI37" s="1017">
        <v>40121</v>
      </c>
      <c r="AJ37" s="1017">
        <v>2120</v>
      </c>
      <c r="AK37" s="1017">
        <v>0</v>
      </c>
      <c r="AL37" s="1017">
        <v>0</v>
      </c>
      <c r="AO37" s="1057"/>
      <c r="AP37" s="1057"/>
      <c r="AQ37" s="1017" t="str">
        <f t="shared" si="0"/>
        <v/>
      </c>
      <c r="AS37" s="1017" t="str">
        <f t="shared" si="1"/>
        <v>wci_corp</v>
      </c>
    </row>
    <row r="38" spans="2:45">
      <c r="B38" s="1017" t="s">
        <v>1754</v>
      </c>
      <c r="C38" s="1054">
        <v>43069</v>
      </c>
      <c r="D38" s="1055">
        <v>6242.23</v>
      </c>
      <c r="E38" s="1055">
        <v>0</v>
      </c>
      <c r="F38" s="1056" t="s">
        <v>657</v>
      </c>
      <c r="G38" s="1017" t="s">
        <v>1654</v>
      </c>
      <c r="H38" s="1057" t="s">
        <v>1071</v>
      </c>
      <c r="I38" s="1017" t="s">
        <v>1092</v>
      </c>
      <c r="J38" s="1017" t="s">
        <v>1076</v>
      </c>
      <c r="K38" s="1017" t="s">
        <v>1068</v>
      </c>
      <c r="L38" s="1021"/>
      <c r="M38" s="1021"/>
      <c r="N38" s="1021" t="s">
        <v>1790</v>
      </c>
      <c r="O38" s="1042"/>
      <c r="P38" s="1021"/>
      <c r="Q38" s="1021"/>
      <c r="U38" s="1017" t="s">
        <v>1656</v>
      </c>
      <c r="V38" s="1017" t="s">
        <v>1656</v>
      </c>
      <c r="X38" s="1054">
        <v>43075</v>
      </c>
      <c r="Y38" s="1054">
        <v>43076</v>
      </c>
      <c r="AA38" s="1054"/>
      <c r="AB38" s="1017" t="s">
        <v>1066</v>
      </c>
      <c r="AC38" s="1017">
        <v>0</v>
      </c>
      <c r="AD38" s="1017">
        <v>0</v>
      </c>
      <c r="AE38" s="1017">
        <v>0</v>
      </c>
      <c r="AF38" s="1017">
        <v>0</v>
      </c>
      <c r="AG38" s="1017">
        <v>0</v>
      </c>
      <c r="AH38" s="1017">
        <v>1</v>
      </c>
      <c r="AI38" s="1017">
        <v>40121</v>
      </c>
      <c r="AJ38" s="1017">
        <v>2120</v>
      </c>
      <c r="AK38" s="1017">
        <v>0</v>
      </c>
      <c r="AL38" s="1017">
        <v>0</v>
      </c>
      <c r="AO38" s="1057"/>
      <c r="AP38" s="1057"/>
      <c r="AQ38" s="1017" t="str">
        <f t="shared" si="0"/>
        <v/>
      </c>
      <c r="AS38" s="1017" t="str">
        <f t="shared" si="1"/>
        <v>wci_corp</v>
      </c>
    </row>
    <row r="39" spans="2:45">
      <c r="B39" s="1017" t="s">
        <v>1754</v>
      </c>
      <c r="C39" s="1054">
        <v>43075</v>
      </c>
      <c r="D39" s="1055">
        <v>6242.23</v>
      </c>
      <c r="E39" s="1055">
        <v>0</v>
      </c>
      <c r="F39" s="1056" t="s">
        <v>657</v>
      </c>
      <c r="G39" s="1017" t="s">
        <v>1791</v>
      </c>
      <c r="H39" s="1057" t="s">
        <v>1071</v>
      </c>
      <c r="I39" s="1017" t="s">
        <v>1099</v>
      </c>
      <c r="J39" s="1017" t="s">
        <v>1243</v>
      </c>
      <c r="K39" s="1017" t="s">
        <v>1068</v>
      </c>
      <c r="L39" s="1021" t="s">
        <v>1792</v>
      </c>
      <c r="M39" s="1021"/>
      <c r="N39" s="1021" t="s">
        <v>1757</v>
      </c>
      <c r="O39" s="1042">
        <v>43066</v>
      </c>
      <c r="P39" s="1021" t="s">
        <v>1758</v>
      </c>
      <c r="Q39" s="1021" t="s">
        <v>1793</v>
      </c>
      <c r="R39" s="1017" t="s">
        <v>1794</v>
      </c>
      <c r="U39" s="1017" t="s">
        <v>1795</v>
      </c>
      <c r="V39" s="1017" t="s">
        <v>1796</v>
      </c>
      <c r="W39" s="1017">
        <v>2195</v>
      </c>
      <c r="X39" s="1054">
        <v>43075</v>
      </c>
      <c r="Y39" s="1054">
        <v>43075</v>
      </c>
      <c r="Z39" s="1017">
        <v>6242.23</v>
      </c>
      <c r="AA39" s="1054">
        <v>43076</v>
      </c>
      <c r="AB39" s="1017" t="s">
        <v>1066</v>
      </c>
      <c r="AC39" s="1017">
        <v>0</v>
      </c>
      <c r="AD39" s="1017">
        <v>0</v>
      </c>
      <c r="AE39" s="1017">
        <v>0</v>
      </c>
      <c r="AF39" s="1017">
        <v>0</v>
      </c>
      <c r="AG39" s="1017">
        <v>0</v>
      </c>
      <c r="AH39" s="1017">
        <v>1</v>
      </c>
      <c r="AI39" s="1017">
        <v>40121</v>
      </c>
      <c r="AJ39" s="1017">
        <v>2120</v>
      </c>
      <c r="AK39" s="1017">
        <v>0</v>
      </c>
      <c r="AL39" s="1017">
        <v>0</v>
      </c>
      <c r="AO39" s="1057"/>
      <c r="AP39" s="1057"/>
      <c r="AQ39" s="1017" t="str">
        <f t="shared" si="0"/>
        <v>VO04497690</v>
      </c>
      <c r="AS39" s="1017" t="str">
        <f t="shared" si="1"/>
        <v>wci_corp</v>
      </c>
    </row>
    <row r="40" spans="2:45">
      <c r="B40" s="1017" t="s">
        <v>1754</v>
      </c>
      <c r="C40" s="1054">
        <v>43100</v>
      </c>
      <c r="D40" s="1055">
        <v>-6242.23</v>
      </c>
      <c r="E40" s="1055">
        <v>0</v>
      </c>
      <c r="F40" s="1056" t="s">
        <v>657</v>
      </c>
      <c r="G40" s="1017" t="s">
        <v>1662</v>
      </c>
      <c r="H40" s="1057" t="s">
        <v>1071</v>
      </c>
      <c r="I40" s="1017" t="s">
        <v>1092</v>
      </c>
      <c r="J40" s="1017" t="s">
        <v>1069</v>
      </c>
      <c r="K40" s="1017" t="s">
        <v>1068</v>
      </c>
      <c r="L40" s="1021"/>
      <c r="M40" s="1021"/>
      <c r="N40" s="1021" t="s">
        <v>1790</v>
      </c>
      <c r="O40" s="1042"/>
      <c r="P40" s="1021"/>
      <c r="Q40" s="1021"/>
      <c r="U40" s="1017" t="s">
        <v>1656</v>
      </c>
      <c r="V40" s="1017" t="s">
        <v>1663</v>
      </c>
      <c r="X40" s="1054">
        <v>43076</v>
      </c>
      <c r="Y40" s="1054">
        <v>43076</v>
      </c>
      <c r="AA40" s="1054"/>
      <c r="AB40" s="1017" t="s">
        <v>1066</v>
      </c>
      <c r="AC40" s="1017">
        <v>0</v>
      </c>
      <c r="AD40" s="1017">
        <v>0</v>
      </c>
      <c r="AE40" s="1017">
        <v>0</v>
      </c>
      <c r="AF40" s="1017">
        <v>0</v>
      </c>
      <c r="AG40" s="1017">
        <v>5</v>
      </c>
      <c r="AH40" s="1017">
        <v>1</v>
      </c>
      <c r="AI40" s="1017">
        <v>40121</v>
      </c>
      <c r="AJ40" s="1017">
        <v>2120</v>
      </c>
      <c r="AK40" s="1017">
        <v>0</v>
      </c>
      <c r="AL40" s="1017">
        <v>0</v>
      </c>
      <c r="AO40" s="1057"/>
      <c r="AP40" s="1057"/>
      <c r="AQ40" s="1017" t="str">
        <f t="shared" si="0"/>
        <v/>
      </c>
      <c r="AS40" s="1017" t="str">
        <f t="shared" si="1"/>
        <v>wci_corp</v>
      </c>
    </row>
    <row r="41" spans="2:45">
      <c r="B41" s="1017" t="s">
        <v>1754</v>
      </c>
      <c r="C41" s="1054">
        <v>43100</v>
      </c>
      <c r="D41" s="1055">
        <v>5510.49</v>
      </c>
      <c r="E41" s="1055">
        <v>0</v>
      </c>
      <c r="F41" s="1056" t="s">
        <v>657</v>
      </c>
      <c r="G41" s="1017" t="s">
        <v>1666</v>
      </c>
      <c r="H41" s="1057" t="s">
        <v>1071</v>
      </c>
      <c r="I41" s="1017" t="s">
        <v>1092</v>
      </c>
      <c r="J41" s="1017" t="s">
        <v>1076</v>
      </c>
      <c r="K41" s="1017" t="s">
        <v>1068</v>
      </c>
      <c r="L41" s="1021"/>
      <c r="M41" s="1021"/>
      <c r="N41" s="1021" t="s">
        <v>1790</v>
      </c>
      <c r="O41" s="1042"/>
      <c r="P41" s="1021"/>
      <c r="Q41" s="1021"/>
      <c r="U41" s="1017" t="s">
        <v>1667</v>
      </c>
      <c r="V41" s="1017" t="s">
        <v>1667</v>
      </c>
      <c r="X41" s="1054">
        <v>43105</v>
      </c>
      <c r="Y41" s="1054">
        <v>43105</v>
      </c>
      <c r="AA41" s="1054"/>
      <c r="AB41" s="1017" t="s">
        <v>1066</v>
      </c>
      <c r="AC41" s="1017">
        <v>0</v>
      </c>
      <c r="AD41" s="1017">
        <v>0</v>
      </c>
      <c r="AE41" s="1017">
        <v>0</v>
      </c>
      <c r="AF41" s="1017">
        <v>0</v>
      </c>
      <c r="AG41" s="1017">
        <v>0</v>
      </c>
      <c r="AH41" s="1017">
        <v>1</v>
      </c>
      <c r="AI41" s="1017">
        <v>40121</v>
      </c>
      <c r="AJ41" s="1017">
        <v>2120</v>
      </c>
      <c r="AK41" s="1017">
        <v>0</v>
      </c>
      <c r="AL41" s="1017">
        <v>0</v>
      </c>
      <c r="AO41" s="1057"/>
      <c r="AP41" s="1057"/>
      <c r="AQ41" s="1017" t="str">
        <f t="shared" si="0"/>
        <v/>
      </c>
      <c r="AS41" s="1017" t="str">
        <f t="shared" si="1"/>
        <v>wci_corp</v>
      </c>
    </row>
    <row r="42" spans="2:45">
      <c r="C42" s="1054"/>
      <c r="D42" s="1058"/>
      <c r="E42" s="1058"/>
      <c r="F42" s="1058"/>
      <c r="H42" s="1020"/>
    </row>
    <row r="43" spans="2:45">
      <c r="B43" s="1059" t="s">
        <v>1065</v>
      </c>
      <c r="C43" s="1059"/>
      <c r="D43" s="1060"/>
      <c r="E43" s="1060"/>
      <c r="F43" s="1060"/>
      <c r="G43" s="1059"/>
      <c r="H43" s="1061"/>
      <c r="I43" s="1059"/>
      <c r="J43" s="1059"/>
      <c r="K43" s="1059"/>
      <c r="L43" s="1059"/>
      <c r="M43" s="1059"/>
      <c r="N43" s="1059"/>
      <c r="O43" s="1059"/>
      <c r="P43" s="1059"/>
      <c r="Q43" s="1059"/>
      <c r="R43" s="1059"/>
      <c r="S43" s="1059"/>
      <c r="T43" s="1059"/>
      <c r="U43" s="1059"/>
      <c r="V43" s="1059"/>
      <c r="W43" s="1059"/>
      <c r="X43" s="1059"/>
      <c r="Y43" s="1059"/>
      <c r="Z43" s="1059"/>
      <c r="AA43" s="1059"/>
      <c r="AB43" s="1059"/>
      <c r="AC43" s="1059"/>
      <c r="AD43" s="1059"/>
      <c r="AE43" s="1059"/>
      <c r="AF43" s="1059"/>
      <c r="AG43" s="1059"/>
      <c r="AH43" s="1059"/>
      <c r="AI43" s="1059"/>
      <c r="AJ43" s="1059"/>
      <c r="AK43" s="1059"/>
      <c r="AL43" s="1059"/>
      <c r="AM43" s="1059"/>
      <c r="AN43" s="1059"/>
      <c r="AO43" s="1059"/>
      <c r="AP43" s="1062"/>
    </row>
    <row r="44" spans="2:45">
      <c r="H44" s="1020"/>
    </row>
    <row r="45" spans="2:45">
      <c r="H45" s="1020"/>
    </row>
    <row r="46" spans="2:45" ht="15">
      <c r="B46" s="504" t="s">
        <v>1064</v>
      </c>
      <c r="C46" t="s">
        <v>1063</v>
      </c>
      <c r="D46"/>
      <c r="H46" s="1020"/>
    </row>
    <row r="47" spans="2:45" ht="15">
      <c r="B47" s="1088" t="s">
        <v>1763</v>
      </c>
      <c r="C47" s="1013">
        <v>0</v>
      </c>
      <c r="D47"/>
      <c r="H47" s="1020"/>
    </row>
    <row r="48" spans="2:45" ht="15">
      <c r="B48" s="1088" t="s">
        <v>1757</v>
      </c>
      <c r="C48" s="1013">
        <v>64291.479999999996</v>
      </c>
      <c r="D48"/>
      <c r="H48" s="1020"/>
    </row>
    <row r="49" spans="2:8" ht="15">
      <c r="B49" s="1088" t="s">
        <v>1790</v>
      </c>
      <c r="C49" s="1013">
        <v>5510.49</v>
      </c>
      <c r="D49"/>
      <c r="H49" s="1020"/>
    </row>
    <row r="50" spans="2:8" ht="15">
      <c r="B50" s="1088" t="s">
        <v>1042</v>
      </c>
      <c r="C50" s="1013">
        <v>69801.97</v>
      </c>
      <c r="D50"/>
      <c r="H50" s="1020"/>
    </row>
    <row r="51" spans="2:8" ht="15">
      <c r="B51"/>
      <c r="C51"/>
      <c r="D51"/>
      <c r="H51" s="1020"/>
    </row>
    <row r="52" spans="2:8" ht="15">
      <c r="B52"/>
      <c r="C52"/>
      <c r="D52"/>
      <c r="H52" s="1020"/>
    </row>
    <row r="53" spans="2:8" ht="15">
      <c r="B53"/>
      <c r="C53"/>
      <c r="D53"/>
      <c r="H53" s="1020"/>
    </row>
    <row r="54" spans="2:8" ht="15">
      <c r="B54"/>
      <c r="C54"/>
      <c r="D54"/>
      <c r="H54" s="1020"/>
    </row>
    <row r="55" spans="2:8" ht="15">
      <c r="B55"/>
      <c r="C55"/>
      <c r="D55"/>
      <c r="H55" s="1020"/>
    </row>
    <row r="56" spans="2:8" ht="15">
      <c r="B56"/>
      <c r="C56"/>
      <c r="D56"/>
      <c r="H56" s="1020"/>
    </row>
    <row r="57" spans="2:8" ht="15">
      <c r="B57"/>
      <c r="C57"/>
      <c r="D57"/>
      <c r="H57" s="1020"/>
    </row>
    <row r="58" spans="2:8" ht="15">
      <c r="B58"/>
      <c r="C58"/>
      <c r="D58"/>
      <c r="H58" s="1020"/>
    </row>
    <row r="59" spans="2:8" ht="15">
      <c r="B59"/>
      <c r="C59"/>
      <c r="D59"/>
      <c r="H59" s="1020"/>
    </row>
    <row r="60" spans="2:8" ht="15">
      <c r="B60"/>
      <c r="C60"/>
      <c r="D60"/>
      <c r="H60" s="1020"/>
    </row>
    <row r="61" spans="2:8" ht="15">
      <c r="B61"/>
      <c r="C61"/>
      <c r="D61"/>
      <c r="H61" s="1020"/>
    </row>
    <row r="62" spans="2:8" ht="15">
      <c r="B62"/>
      <c r="C62"/>
      <c r="D62"/>
    </row>
    <row r="63" spans="2:8" ht="15">
      <c r="B63"/>
      <c r="C63"/>
      <c r="D63"/>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46"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146"/>
  <sheetViews>
    <sheetView showGridLines="0" view="pageBreakPreview" topLeftCell="A9" zoomScale="85" zoomScaleNormal="80" zoomScaleSheetLayoutView="85" workbookViewId="0">
      <pane ySplit="11" topLeftCell="A114" activePane="bottomLeft" state="frozen"/>
      <selection activeCell="Q27" sqref="Q27"/>
      <selection pane="bottomLeft" activeCell="Q27" sqref="Q27"/>
    </sheetView>
  </sheetViews>
  <sheetFormatPr defaultRowHeight="12.75" outlineLevelRow="1"/>
  <cols>
    <col min="1" max="1" width="0.5703125" style="1017" customWidth="1"/>
    <col min="2" max="2" width="42.42578125" style="1017" customWidth="1"/>
    <col min="3" max="3" width="17.140625" style="1017" customWidth="1"/>
    <col min="4" max="4" width="16.85546875" style="1017" customWidth="1"/>
    <col min="5" max="5" width="15.28515625" style="1017" customWidth="1"/>
    <col min="6" max="6" width="11.140625" style="1017" customWidth="1"/>
    <col min="7" max="7" width="19.85546875" style="1017" customWidth="1"/>
    <col min="8" max="8" width="6.5703125" style="1017" customWidth="1"/>
    <col min="9" max="9" width="32.28515625" style="1017" customWidth="1"/>
    <col min="10" max="10" width="13.28515625" style="1017" customWidth="1"/>
    <col min="11" max="11" width="10" style="1017" customWidth="1"/>
    <col min="12" max="12" width="13.140625" style="1017" customWidth="1"/>
    <col min="13" max="13" width="11.7109375" style="1017" customWidth="1"/>
    <col min="14" max="14" width="42.85546875" style="1017" customWidth="1"/>
    <col min="15" max="15" width="10.42578125" style="1017" customWidth="1"/>
    <col min="16" max="16" width="21.85546875" style="1017" customWidth="1"/>
    <col min="17" max="17" width="18" style="1017" customWidth="1"/>
    <col min="18" max="18" width="14.140625" style="1017" customWidth="1"/>
    <col min="19" max="19" width="17.7109375" style="1017" customWidth="1"/>
    <col min="20" max="20" width="12.7109375" style="1017" customWidth="1"/>
    <col min="21" max="21" width="15.85546875" style="1017" customWidth="1"/>
    <col min="22" max="22" width="13.7109375" style="1017" bestFit="1" customWidth="1"/>
    <col min="23" max="23" width="13.28515625" style="1017" customWidth="1"/>
    <col min="24" max="24" width="12.28515625" style="1017" customWidth="1"/>
    <col min="25" max="25" width="11.5703125" style="1017" customWidth="1"/>
    <col min="26" max="26" width="9.85546875" style="1017" customWidth="1"/>
    <col min="27" max="27" width="11.42578125" style="1017" customWidth="1"/>
    <col min="28" max="28" width="11" style="1017" customWidth="1"/>
    <col min="29" max="29" width="11.5703125" style="1017" customWidth="1"/>
    <col min="30" max="30" width="7" style="1017" customWidth="1"/>
    <col min="31" max="31" width="11.140625" style="1017" customWidth="1"/>
    <col min="32" max="32" width="11" style="1017" customWidth="1"/>
    <col min="33" max="33" width="8.5703125" style="1017" customWidth="1"/>
    <col min="34" max="34" width="8.42578125" style="1017" customWidth="1"/>
    <col min="35" max="36" width="10.28515625" style="1017" customWidth="1"/>
    <col min="37" max="37" width="10.140625" style="1017" customWidth="1"/>
    <col min="38" max="38" width="10.42578125" style="1017" customWidth="1"/>
    <col min="39" max="39" width="21.140625" style="1017" customWidth="1"/>
    <col min="40" max="42" width="18.85546875" style="1017" customWidth="1"/>
    <col min="43" max="43" width="20.42578125" style="1017" customWidth="1"/>
    <col min="44" max="44" width="9.140625" style="1017" customWidth="1"/>
    <col min="45" max="45" width="9.140625" style="1017" hidden="1" customWidth="1"/>
    <col min="46" max="46" width="9.140625" style="1017" customWidth="1"/>
    <col min="47" max="16384" width="9.140625" style="1017"/>
  </cols>
  <sheetData>
    <row r="1" spans="1:43" hidden="1" outlineLevel="1">
      <c r="A1" s="1016" t="b">
        <v>1</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c r="AC1" s="1016"/>
      <c r="AD1" s="1016"/>
      <c r="AE1" s="1016"/>
      <c r="AF1" s="1016"/>
      <c r="AG1" s="1016"/>
      <c r="AH1" s="1016"/>
      <c r="AI1" s="1016"/>
      <c r="AJ1" s="1016"/>
      <c r="AK1" s="1016"/>
      <c r="AL1" s="1016"/>
      <c r="AM1" s="1016"/>
      <c r="AN1" s="1016"/>
      <c r="AO1" s="1016"/>
      <c r="AP1" s="1016"/>
      <c r="AQ1" s="1016"/>
    </row>
    <row r="2" spans="1:43" hidden="1" outlineLevel="1">
      <c r="B2" s="1017" t="s">
        <v>1239</v>
      </c>
      <c r="C2" s="1017" t="s">
        <v>1238</v>
      </c>
      <c r="D2" s="1018" t="s">
        <v>1237</v>
      </c>
      <c r="E2" s="1018" t="s">
        <v>1236</v>
      </c>
      <c r="F2" s="1018" t="s">
        <v>1235</v>
      </c>
      <c r="G2" s="1017" t="s">
        <v>1234</v>
      </c>
      <c r="H2" s="1017" t="s">
        <v>1233</v>
      </c>
      <c r="I2" s="1017" t="s">
        <v>1232</v>
      </c>
      <c r="J2" s="1017" t="s">
        <v>1165</v>
      </c>
      <c r="K2" s="1017" t="s">
        <v>1231</v>
      </c>
      <c r="L2" s="1017" t="s">
        <v>1230</v>
      </c>
      <c r="M2" s="1017" t="s">
        <v>1229</v>
      </c>
      <c r="N2" s="1017" t="s">
        <v>1228</v>
      </c>
      <c r="O2" s="1017" t="s">
        <v>1227</v>
      </c>
      <c r="P2" s="1017" t="s">
        <v>1226</v>
      </c>
      <c r="Q2" s="1017" t="s">
        <v>1225</v>
      </c>
      <c r="R2" s="1017" t="s">
        <v>1224</v>
      </c>
      <c r="S2" s="1017" t="s">
        <v>1223</v>
      </c>
      <c r="T2" s="1017" t="s">
        <v>1222</v>
      </c>
      <c r="U2" s="1017" t="s">
        <v>1221</v>
      </c>
      <c r="V2" s="1017" t="s">
        <v>1220</v>
      </c>
      <c r="W2" s="1017" t="s">
        <v>1219</v>
      </c>
      <c r="X2" s="1017" t="s">
        <v>1218</v>
      </c>
      <c r="Y2" s="1017" t="s">
        <v>1217</v>
      </c>
      <c r="Z2" s="1017" t="s">
        <v>1216</v>
      </c>
      <c r="AA2" s="1017" t="s">
        <v>1215</v>
      </c>
      <c r="AB2" s="1017" t="s">
        <v>1214</v>
      </c>
      <c r="AC2" s="1017" t="s">
        <v>1213</v>
      </c>
      <c r="AD2" s="1017" t="s">
        <v>1212</v>
      </c>
      <c r="AE2" s="1017" t="s">
        <v>1211</v>
      </c>
      <c r="AF2" s="1017" t="s">
        <v>1210</v>
      </c>
      <c r="AG2" s="1017" t="s">
        <v>1209</v>
      </c>
      <c r="AH2" s="1017" t="s">
        <v>1208</v>
      </c>
      <c r="AI2" s="1017" t="s">
        <v>1207</v>
      </c>
      <c r="AJ2" s="1017" t="s">
        <v>1206</v>
      </c>
      <c r="AK2" s="1017" t="s">
        <v>1205</v>
      </c>
      <c r="AL2" s="1017" t="s">
        <v>1204</v>
      </c>
      <c r="AM2" s="1017" t="s">
        <v>1203</v>
      </c>
      <c r="AN2" s="1017" t="s">
        <v>1135</v>
      </c>
      <c r="AO2" s="1017" t="s">
        <v>1202</v>
      </c>
      <c r="AP2" s="1017" t="s">
        <v>1201</v>
      </c>
      <c r="AQ2" s="1018"/>
    </row>
    <row r="3" spans="1:43" hidden="1" outlineLevel="1">
      <c r="A3" s="1016" t="s">
        <v>1200</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row>
    <row r="4" spans="1:43" hidden="1" outlineLevel="1">
      <c r="Q4" s="1017" t="str">
        <f ca="1">_xll.ReportDrill('[52]JE Lookup'!B1,,_xll.PairGroup(_xll.Pair(G20:G125,'[52]JE Lookup'!N8),_xll.Pair(AB20:AB125,'[52]JE Lookup'!N7)),"JE Lookup")</f>
        <v>OK!: ReportDrill 'JE Lookup' Formula OK [jAction{}]</v>
      </c>
      <c r="U4" s="1017" t="str">
        <f ca="1">_xll.ReportDrill(,"APDrill",_xll.PairGroup(_xll.PairExt(AQ20:AQ125,"H8")),"AP Detail")</f>
        <v>OK!: ReportDrill 'AP Detail' Formula OK [jAction{}]</v>
      </c>
      <c r="Y4" s="1017" t="str">
        <f ca="1">_xll.ReportDrill(,"JEStaged_DrillToDetail",_xll.PairGroup(_xll.PairExt(Q19:Q125,"dControlNum",TRUE),_xll.PairExt(AP19:AP125,"dDistrict",TRUE),_xll.PairExt(AO19:AO125,"dApplyMonth",TRUE)),"JE Staged Details")</f>
        <v>OK!: ReportDrill 'JE Staged Details' Formula OK [jAction{}]</v>
      </c>
    </row>
    <row r="5" spans="1:43" hidden="1" outlineLevel="1">
      <c r="B5" s="1017" t="str">
        <f ca="1">_xll.ReportRange("JEQuery_WithStaged",B20:AS124,B2:AS2,,_xll.Param(I12,DateTo,IF(M12="","all",M12),M13,M14,M15,P12,P13,P14,P15,EntrieShownLimit,DateFrom,DateTo),TRUE)</f>
        <v>OK!: ReportRange Formula OK [jAction{}]</v>
      </c>
      <c r="Q5" s="1017" t="str">
        <f ca="1">_xll.ReportDrill('[52]JE Lookup'!B1,,_xll.PairGroup(_xll.Pair(V20:V125,'[52]JE Lookup'!N8),_xll.Pair(AS20:AS125,'[52]JE Lookup'!N7)),"I/C Originating JE")</f>
        <v>OK!: ReportDrill 'I/C Originating JE' Formula OK [jAction{}]</v>
      </c>
    </row>
    <row r="6" spans="1:43" hidden="1" outlineLevel="1">
      <c r="B6" s="1019" t="s">
        <v>1199</v>
      </c>
      <c r="D6" s="1017">
        <v>10000</v>
      </c>
    </row>
    <row r="7" spans="1:43" hidden="1" outlineLevel="1">
      <c r="A7" s="1016" t="s">
        <v>1198</v>
      </c>
      <c r="B7" s="1016"/>
      <c r="C7" s="1016"/>
      <c r="D7" s="1016"/>
      <c r="E7" s="1016"/>
      <c r="F7" s="1016"/>
      <c r="G7" s="1016"/>
      <c r="H7" s="1016"/>
      <c r="I7" s="1016"/>
      <c r="J7" s="1016"/>
      <c r="K7" s="1016"/>
      <c r="L7" s="1016"/>
      <c r="M7" s="1016"/>
      <c r="N7" s="1016"/>
      <c r="O7" s="1016"/>
      <c r="P7" s="1016"/>
      <c r="Q7" s="1016"/>
      <c r="R7" s="1016"/>
      <c r="S7" s="1016"/>
      <c r="T7" s="1016"/>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row>
    <row r="8" spans="1:43" hidden="1" outlineLevel="1">
      <c r="B8" s="1020" t="s">
        <v>1197</v>
      </c>
      <c r="C8" s="1017" t="str">
        <f>IF(DateFrom="",CurrentMonth,DateFrom)</f>
        <v>2017-01</v>
      </c>
      <c r="E8" s="1020" t="s">
        <v>1196</v>
      </c>
      <c r="G8" s="1017" t="str">
        <f>IF(DateTo="",CurrentMonth,DateTo)</f>
        <v>2017-12</v>
      </c>
      <c r="I8" s="1020" t="s">
        <v>1195</v>
      </c>
      <c r="J8" s="1021" t="str">
        <f ca="1">TEXT(NOW() - 15,"yyyy-mm")</f>
        <v>2018-01</v>
      </c>
    </row>
    <row r="9" spans="1:43" ht="18" collapsed="1">
      <c r="B9" s="1022" t="s">
        <v>1194</v>
      </c>
      <c r="G9" s="1023" t="s">
        <v>1193</v>
      </c>
      <c r="P9" s="1024"/>
      <c r="U9" s="1019"/>
    </row>
    <row r="10" spans="1:43" ht="14.25" hidden="1">
      <c r="B10" s="1018" t="s">
        <v>1192</v>
      </c>
      <c r="G10" s="1025"/>
      <c r="P10" s="1024"/>
      <c r="U10" s="1019"/>
    </row>
    <row r="11" spans="1:43">
      <c r="G11" s="1026" t="s">
        <v>1191</v>
      </c>
      <c r="H11" s="1027"/>
      <c r="I11" s="1028"/>
      <c r="L11" s="1027" t="s">
        <v>1190</v>
      </c>
      <c r="M11" s="1027"/>
      <c r="N11" s="1027"/>
      <c r="O11" s="1027"/>
      <c r="P11" s="1027"/>
      <c r="U11" s="1018"/>
    </row>
    <row r="12" spans="1:43" s="1019" customFormat="1">
      <c r="H12" s="1029" t="s">
        <v>1189</v>
      </c>
      <c r="I12" s="1030" t="s">
        <v>1188</v>
      </c>
      <c r="K12" s="1031"/>
      <c r="L12" s="1019" t="s">
        <v>1187</v>
      </c>
      <c r="M12" s="1030" t="s">
        <v>193</v>
      </c>
      <c r="O12" s="1029" t="s">
        <v>1186</v>
      </c>
      <c r="P12" s="1032"/>
      <c r="Z12" s="1017"/>
      <c r="AA12" s="1017"/>
      <c r="AB12" s="1017"/>
      <c r="AH12" s="1017"/>
      <c r="AI12" s="1017"/>
      <c r="AJ12" s="1017"/>
      <c r="AK12" s="1017"/>
      <c r="AL12" s="1017"/>
    </row>
    <row r="13" spans="1:43" s="1019" customFormat="1">
      <c r="H13" s="1029" t="s">
        <v>1185</v>
      </c>
      <c r="I13" s="1030" t="s">
        <v>197</v>
      </c>
      <c r="K13" s="1031"/>
      <c r="L13" s="1019" t="s">
        <v>1184</v>
      </c>
      <c r="M13" s="1030" t="s">
        <v>1668</v>
      </c>
      <c r="N13" s="1017"/>
      <c r="O13" s="1029" t="s">
        <v>1182</v>
      </c>
      <c r="P13" s="1033"/>
      <c r="Q13" s="1034"/>
      <c r="Z13" s="1017"/>
      <c r="AA13" s="1017"/>
      <c r="AB13" s="1017"/>
      <c r="AH13" s="1017"/>
      <c r="AI13" s="1017"/>
      <c r="AJ13" s="1017"/>
      <c r="AK13" s="1017"/>
      <c r="AL13" s="1017"/>
    </row>
    <row r="14" spans="1:43">
      <c r="L14" s="1019" t="s">
        <v>196</v>
      </c>
      <c r="M14" s="1030" t="s">
        <v>195</v>
      </c>
      <c r="O14" s="1029" t="s">
        <v>1181</v>
      </c>
      <c r="P14" s="1033"/>
      <c r="Q14" s="1034"/>
    </row>
    <row r="15" spans="1:43">
      <c r="L15" s="1019" t="s">
        <v>653</v>
      </c>
      <c r="M15" s="1030" t="s">
        <v>195</v>
      </c>
      <c r="O15" s="1029" t="s">
        <v>1180</v>
      </c>
      <c r="P15" s="1035" t="s">
        <v>1179</v>
      </c>
    </row>
    <row r="16" spans="1:43">
      <c r="B16" s="1036" t="s">
        <v>1178</v>
      </c>
      <c r="C16" s="1037"/>
      <c r="D16" s="1038">
        <f>SUM(D19:D125)</f>
        <v>157419.25999999998</v>
      </c>
      <c r="E16" s="1038">
        <f>SUM(E19:E125)</f>
        <v>0</v>
      </c>
      <c r="F16" s="1017" t="s">
        <v>1177</v>
      </c>
      <c r="N16" s="1039"/>
      <c r="O16" s="1039"/>
      <c r="P16" s="1039"/>
      <c r="Q16" s="1039"/>
    </row>
    <row r="17" spans="2:45">
      <c r="B17" s="1036" t="s">
        <v>1176</v>
      </c>
      <c r="C17" s="1037"/>
      <c r="D17" s="1040">
        <f>COUNT(D20:D126)</f>
        <v>104</v>
      </c>
      <c r="E17" s="1040">
        <f>COUNT(E20:E126)</f>
        <v>104</v>
      </c>
      <c r="F17" s="1018" t="s">
        <v>1175</v>
      </c>
      <c r="G17" s="1041" t="str">
        <f>""&amp;EntrieShownLimit</f>
        <v>10000</v>
      </c>
    </row>
    <row r="18" spans="2:45" ht="5.25" customHeight="1">
      <c r="O18" s="1042"/>
      <c r="R18" s="1043" t="s">
        <v>1174</v>
      </c>
      <c r="S18" s="1044"/>
      <c r="T18" s="1044"/>
      <c r="U18" s="1044"/>
      <c r="V18" s="1044"/>
      <c r="W18" s="1044"/>
      <c r="X18" s="1044"/>
      <c r="Y18" s="1044"/>
      <c r="Z18" s="1045"/>
      <c r="AA18" s="1045"/>
      <c r="AB18" s="1045"/>
      <c r="AC18" s="1045"/>
      <c r="AD18" s="1045"/>
      <c r="AE18" s="1045"/>
      <c r="AF18" s="1045"/>
      <c r="AG18" s="1045"/>
      <c r="AH18" s="1045"/>
      <c r="AI18" s="1045"/>
      <c r="AJ18" s="1045"/>
      <c r="AK18" s="1045"/>
      <c r="AL18" s="1045"/>
      <c r="AM18" s="1045"/>
      <c r="AN18" s="1045"/>
      <c r="AO18" s="1045"/>
      <c r="AP18" s="1045"/>
      <c r="AQ18" s="1045"/>
    </row>
    <row r="19" spans="2:45" s="1046" customFormat="1" ht="29.25" customHeight="1" thickBot="1">
      <c r="B19" s="1047" t="s">
        <v>1173</v>
      </c>
      <c r="C19" s="1048" t="s">
        <v>1172</v>
      </c>
      <c r="D19" s="1049" t="s">
        <v>1171</v>
      </c>
      <c r="E19" s="1049" t="s">
        <v>1170</v>
      </c>
      <c r="F19" s="1049" t="s">
        <v>1169</v>
      </c>
      <c r="G19" s="1050" t="s">
        <v>1168</v>
      </c>
      <c r="H19" s="1047" t="s">
        <v>1167</v>
      </c>
      <c r="I19" s="1047" t="s">
        <v>1166</v>
      </c>
      <c r="J19" s="1047" t="s">
        <v>1165</v>
      </c>
      <c r="K19" s="1047" t="s">
        <v>1164</v>
      </c>
      <c r="L19" s="1047" t="s">
        <v>1163</v>
      </c>
      <c r="M19" s="1047" t="s">
        <v>1162</v>
      </c>
      <c r="N19" s="1047" t="s">
        <v>1161</v>
      </c>
      <c r="O19" s="1051" t="s">
        <v>1160</v>
      </c>
      <c r="P19" s="1047" t="s">
        <v>1159</v>
      </c>
      <c r="Q19" s="1047" t="s">
        <v>1158</v>
      </c>
      <c r="R19" s="1047" t="s">
        <v>1157</v>
      </c>
      <c r="S19" s="1047" t="s">
        <v>1156</v>
      </c>
      <c r="T19" s="1047" t="s">
        <v>1155</v>
      </c>
      <c r="U19" s="1047" t="s">
        <v>1154</v>
      </c>
      <c r="V19" s="1047" t="s">
        <v>1153</v>
      </c>
      <c r="W19" s="1047" t="s">
        <v>1152</v>
      </c>
      <c r="X19" s="1047" t="s">
        <v>1151</v>
      </c>
      <c r="Y19" s="1047" t="s">
        <v>1150</v>
      </c>
      <c r="Z19" s="1047" t="s">
        <v>1149</v>
      </c>
      <c r="AA19" s="1047" t="s">
        <v>1148</v>
      </c>
      <c r="AB19" s="1047" t="s">
        <v>1147</v>
      </c>
      <c r="AC19" s="1052" t="s">
        <v>1146</v>
      </c>
      <c r="AD19" s="1052" t="s">
        <v>1145</v>
      </c>
      <c r="AE19" s="1052" t="s">
        <v>1144</v>
      </c>
      <c r="AF19" s="1052" t="s">
        <v>1143</v>
      </c>
      <c r="AG19" s="1052" t="s">
        <v>1142</v>
      </c>
      <c r="AH19" s="1052" t="s">
        <v>1141</v>
      </c>
      <c r="AI19" s="1048" t="s">
        <v>1140</v>
      </c>
      <c r="AJ19" s="1048" t="s">
        <v>1139</v>
      </c>
      <c r="AK19" s="1048" t="s">
        <v>1138</v>
      </c>
      <c r="AL19" s="1048" t="s">
        <v>1137</v>
      </c>
      <c r="AM19" s="1048" t="s">
        <v>1136</v>
      </c>
      <c r="AN19" s="1048" t="s">
        <v>1135</v>
      </c>
      <c r="AO19" s="1053" t="s">
        <v>1134</v>
      </c>
      <c r="AP19" s="1053" t="s">
        <v>1133</v>
      </c>
      <c r="AQ19" s="1053" t="s">
        <v>1132</v>
      </c>
    </row>
    <row r="20" spans="2:45" s="1611" customFormat="1" ht="12">
      <c r="B20" s="1611" t="s">
        <v>1669</v>
      </c>
      <c r="C20" s="1615">
        <v>42754</v>
      </c>
      <c r="D20" s="1616">
        <v>9492.99</v>
      </c>
      <c r="E20" s="1616">
        <v>0</v>
      </c>
      <c r="F20" s="1617" t="s">
        <v>657</v>
      </c>
      <c r="G20" s="1611" t="s">
        <v>1670</v>
      </c>
      <c r="H20" s="1618" t="s">
        <v>1071</v>
      </c>
      <c r="I20" s="1611" t="s">
        <v>1099</v>
      </c>
      <c r="J20" s="1611" t="s">
        <v>1243</v>
      </c>
      <c r="K20" s="1611" t="s">
        <v>1068</v>
      </c>
      <c r="L20" s="1613" t="s">
        <v>1671</v>
      </c>
      <c r="M20" s="1613"/>
      <c r="N20" s="1613" t="s">
        <v>1672</v>
      </c>
      <c r="O20" s="1614">
        <v>42740</v>
      </c>
      <c r="P20" s="1613" t="s">
        <v>1673</v>
      </c>
      <c r="Q20" s="1613" t="s">
        <v>1674</v>
      </c>
      <c r="R20" s="1611" t="s">
        <v>1675</v>
      </c>
      <c r="U20" s="1611" t="s">
        <v>1676</v>
      </c>
      <c r="V20" s="1611" t="s">
        <v>1677</v>
      </c>
      <c r="W20" s="1611">
        <v>2195</v>
      </c>
      <c r="X20" s="1615">
        <v>42754</v>
      </c>
      <c r="Y20" s="1615">
        <v>42758</v>
      </c>
      <c r="Z20" s="1611">
        <v>9492.99</v>
      </c>
      <c r="AA20" s="1615">
        <v>42760</v>
      </c>
      <c r="AB20" s="1611" t="s">
        <v>1066</v>
      </c>
      <c r="AC20" s="1611">
        <v>0</v>
      </c>
      <c r="AD20" s="1611">
        <v>0</v>
      </c>
      <c r="AE20" s="1611">
        <v>0</v>
      </c>
      <c r="AF20" s="1611">
        <v>0</v>
      </c>
      <c r="AG20" s="1611">
        <v>0</v>
      </c>
      <c r="AH20" s="1611">
        <v>1</v>
      </c>
      <c r="AI20" s="1611">
        <v>40131</v>
      </c>
      <c r="AJ20" s="1611">
        <v>2120</v>
      </c>
      <c r="AK20" s="1611">
        <v>0</v>
      </c>
      <c r="AL20" s="1611">
        <v>0</v>
      </c>
      <c r="AO20" s="1618"/>
      <c r="AP20" s="1618"/>
      <c r="AQ20" s="1611" t="str">
        <f>IF(LEFT(U20,2)="VO",U20,"")</f>
        <v>VO04177869</v>
      </c>
      <c r="AS20" s="1611" t="str">
        <f>IF(RIGHT(K20,2)="IC",IF(OR(AB20="wci_canada",AB20="wci_can_corp"),"wci_can_Corp","wci_corp"),AB20)</f>
        <v>wci_corp</v>
      </c>
    </row>
    <row r="21" spans="2:45" s="1611" customFormat="1" ht="12">
      <c r="B21" s="1611" t="s">
        <v>1669</v>
      </c>
      <c r="C21" s="1615">
        <v>42766</v>
      </c>
      <c r="D21" s="1616">
        <v>-929</v>
      </c>
      <c r="E21" s="1616">
        <v>0</v>
      </c>
      <c r="F21" s="1617" t="s">
        <v>657</v>
      </c>
      <c r="G21" s="1611" t="s">
        <v>1577</v>
      </c>
      <c r="H21" s="1618" t="s">
        <v>1071</v>
      </c>
      <c r="I21" s="1611" t="s">
        <v>1092</v>
      </c>
      <c r="J21" s="1611" t="s">
        <v>1119</v>
      </c>
      <c r="K21" s="1611" t="s">
        <v>1068</v>
      </c>
      <c r="L21" s="1613"/>
      <c r="M21" s="1613"/>
      <c r="N21" s="1613" t="s">
        <v>1678</v>
      </c>
      <c r="O21" s="1614"/>
      <c r="P21" s="1613"/>
      <c r="Q21" s="1613"/>
      <c r="U21" s="1611" t="s">
        <v>1579</v>
      </c>
      <c r="V21" s="1611" t="s">
        <v>1580</v>
      </c>
      <c r="X21" s="1615">
        <v>42744</v>
      </c>
      <c r="Y21" s="1615">
        <v>42744</v>
      </c>
      <c r="AA21" s="1615"/>
      <c r="AB21" s="1611" t="s">
        <v>1066</v>
      </c>
      <c r="AC21" s="1611">
        <v>0</v>
      </c>
      <c r="AD21" s="1611">
        <v>0</v>
      </c>
      <c r="AE21" s="1611">
        <v>0</v>
      </c>
      <c r="AF21" s="1611">
        <v>0</v>
      </c>
      <c r="AG21" s="1611">
        <v>5</v>
      </c>
      <c r="AH21" s="1611">
        <v>1</v>
      </c>
      <c r="AI21" s="1611">
        <v>40131</v>
      </c>
      <c r="AJ21" s="1611">
        <v>2120</v>
      </c>
      <c r="AK21" s="1611">
        <v>0</v>
      </c>
      <c r="AL21" s="1611">
        <v>0</v>
      </c>
      <c r="AO21" s="1618"/>
      <c r="AP21" s="1618"/>
      <c r="AQ21" s="1611" t="str">
        <f t="shared" ref="AQ21:AQ84" si="0">IF(LEFT(U21,2)="VO",U21,"")</f>
        <v/>
      </c>
      <c r="AS21" s="1611" t="str">
        <f t="shared" ref="AS21:AS84" si="1">IF(RIGHT(K21,2)="IC",IF(OR(AB21="wci_canada",AB21="wci_can_corp"),"wci_can_Corp","wci_corp"),AB21)</f>
        <v>wci_corp</v>
      </c>
    </row>
    <row r="22" spans="2:45" s="1611" customFormat="1" ht="12">
      <c r="B22" s="1611" t="s">
        <v>1669</v>
      </c>
      <c r="C22" s="1615">
        <v>42766</v>
      </c>
      <c r="D22" s="1616">
        <v>-9493</v>
      </c>
      <c r="E22" s="1616">
        <v>0</v>
      </c>
      <c r="F22" s="1617" t="s">
        <v>657</v>
      </c>
      <c r="G22" s="1611" t="s">
        <v>1577</v>
      </c>
      <c r="H22" s="1618" t="s">
        <v>1071</v>
      </c>
      <c r="I22" s="1611" t="s">
        <v>1092</v>
      </c>
      <c r="J22" s="1611" t="s">
        <v>1119</v>
      </c>
      <c r="K22" s="1611" t="s">
        <v>1068</v>
      </c>
      <c r="L22" s="1613"/>
      <c r="M22" s="1613"/>
      <c r="N22" s="1613" t="s">
        <v>1679</v>
      </c>
      <c r="O22" s="1614"/>
      <c r="P22" s="1613"/>
      <c r="Q22" s="1613"/>
      <c r="U22" s="1611" t="s">
        <v>1579</v>
      </c>
      <c r="V22" s="1611" t="s">
        <v>1580</v>
      </c>
      <c r="X22" s="1615">
        <v>42744</v>
      </c>
      <c r="Y22" s="1615">
        <v>42744</v>
      </c>
      <c r="AA22" s="1615"/>
      <c r="AB22" s="1611" t="s">
        <v>1066</v>
      </c>
      <c r="AC22" s="1611">
        <v>0</v>
      </c>
      <c r="AD22" s="1611">
        <v>0</v>
      </c>
      <c r="AE22" s="1611">
        <v>0</v>
      </c>
      <c r="AF22" s="1611">
        <v>0</v>
      </c>
      <c r="AG22" s="1611">
        <v>5</v>
      </c>
      <c r="AH22" s="1611">
        <v>1</v>
      </c>
      <c r="AI22" s="1611">
        <v>40131</v>
      </c>
      <c r="AJ22" s="1611">
        <v>2120</v>
      </c>
      <c r="AK22" s="1611">
        <v>0</v>
      </c>
      <c r="AL22" s="1611">
        <v>0</v>
      </c>
      <c r="AO22" s="1618"/>
      <c r="AP22" s="1618"/>
      <c r="AQ22" s="1611" t="str">
        <f t="shared" si="0"/>
        <v/>
      </c>
      <c r="AS22" s="1611" t="str">
        <f t="shared" si="1"/>
        <v>wci_corp</v>
      </c>
    </row>
    <row r="23" spans="2:45" s="1611" customFormat="1" ht="12">
      <c r="B23" s="1611" t="s">
        <v>1669</v>
      </c>
      <c r="C23" s="1615">
        <v>42766</v>
      </c>
      <c r="D23" s="1616">
        <v>28.27</v>
      </c>
      <c r="E23" s="1616">
        <v>0</v>
      </c>
      <c r="F23" s="1617" t="s">
        <v>657</v>
      </c>
      <c r="G23" s="1611" t="s">
        <v>1262</v>
      </c>
      <c r="H23" s="1618" t="s">
        <v>1071</v>
      </c>
      <c r="I23" s="1611" t="s">
        <v>1263</v>
      </c>
      <c r="J23" s="1611" t="s">
        <v>1119</v>
      </c>
      <c r="K23" s="1611" t="s">
        <v>1068</v>
      </c>
      <c r="L23" s="1613"/>
      <c r="M23" s="1613"/>
      <c r="N23" s="1613" t="s">
        <v>1680</v>
      </c>
      <c r="O23" s="1614"/>
      <c r="P23" s="1613"/>
      <c r="Q23" s="1613"/>
      <c r="U23" s="1611" t="s">
        <v>1264</v>
      </c>
      <c r="V23" s="1611" t="s">
        <v>1264</v>
      </c>
      <c r="X23" s="1615">
        <v>42769</v>
      </c>
      <c r="Y23" s="1615">
        <v>42769</v>
      </c>
      <c r="AA23" s="1615"/>
      <c r="AB23" s="1611" t="s">
        <v>1066</v>
      </c>
      <c r="AC23" s="1611">
        <v>0</v>
      </c>
      <c r="AD23" s="1611">
        <v>0</v>
      </c>
      <c r="AE23" s="1611">
        <v>0</v>
      </c>
      <c r="AF23" s="1611">
        <v>0</v>
      </c>
      <c r="AG23" s="1611">
        <v>0</v>
      </c>
      <c r="AH23" s="1611">
        <v>1</v>
      </c>
      <c r="AI23" s="1611">
        <v>40131</v>
      </c>
      <c r="AJ23" s="1611">
        <v>2120</v>
      </c>
      <c r="AK23" s="1611">
        <v>0</v>
      </c>
      <c r="AL23" s="1611">
        <v>0</v>
      </c>
      <c r="AO23" s="1618"/>
      <c r="AP23" s="1618"/>
      <c r="AQ23" s="1611" t="str">
        <f t="shared" si="0"/>
        <v/>
      </c>
      <c r="AS23" s="1611" t="str">
        <f t="shared" si="1"/>
        <v>wci_corp</v>
      </c>
    </row>
    <row r="24" spans="2:45" s="1611" customFormat="1" ht="12">
      <c r="B24" s="1611" t="s">
        <v>1669</v>
      </c>
      <c r="C24" s="1615">
        <v>42766</v>
      </c>
      <c r="D24" s="1616">
        <v>267.51</v>
      </c>
      <c r="E24" s="1616">
        <v>0</v>
      </c>
      <c r="F24" s="1617" t="s">
        <v>657</v>
      </c>
      <c r="G24" s="1611" t="s">
        <v>1262</v>
      </c>
      <c r="H24" s="1618" t="s">
        <v>1071</v>
      </c>
      <c r="I24" s="1611" t="s">
        <v>1263</v>
      </c>
      <c r="J24" s="1611" t="s">
        <v>1119</v>
      </c>
      <c r="K24" s="1611" t="s">
        <v>1068</v>
      </c>
      <c r="L24" s="1613"/>
      <c r="M24" s="1613"/>
      <c r="N24" s="1613" t="s">
        <v>1680</v>
      </c>
      <c r="O24" s="1614"/>
      <c r="P24" s="1613"/>
      <c r="Q24" s="1613"/>
      <c r="U24" s="1611" t="s">
        <v>1264</v>
      </c>
      <c r="V24" s="1611" t="s">
        <v>1264</v>
      </c>
      <c r="X24" s="1615">
        <v>42769</v>
      </c>
      <c r="Y24" s="1615">
        <v>42769</v>
      </c>
      <c r="AA24" s="1615"/>
      <c r="AB24" s="1611" t="s">
        <v>1066</v>
      </c>
      <c r="AC24" s="1611">
        <v>0</v>
      </c>
      <c r="AD24" s="1611">
        <v>0</v>
      </c>
      <c r="AE24" s="1611">
        <v>0</v>
      </c>
      <c r="AF24" s="1611">
        <v>0</v>
      </c>
      <c r="AG24" s="1611">
        <v>0</v>
      </c>
      <c r="AH24" s="1611">
        <v>1</v>
      </c>
      <c r="AI24" s="1611">
        <v>40131</v>
      </c>
      <c r="AJ24" s="1611">
        <v>2120</v>
      </c>
      <c r="AK24" s="1611">
        <v>0</v>
      </c>
      <c r="AL24" s="1611">
        <v>0</v>
      </c>
      <c r="AO24" s="1618"/>
      <c r="AP24" s="1618"/>
      <c r="AQ24" s="1611" t="str">
        <f t="shared" si="0"/>
        <v/>
      </c>
      <c r="AS24" s="1611" t="str">
        <f t="shared" si="1"/>
        <v>wci_corp</v>
      </c>
    </row>
    <row r="25" spans="2:45" s="1611" customFormat="1" ht="12">
      <c r="B25" s="1611" t="s">
        <v>1669</v>
      </c>
      <c r="C25" s="1615">
        <v>42766</v>
      </c>
      <c r="D25" s="1616">
        <v>10611</v>
      </c>
      <c r="E25" s="1616">
        <v>0</v>
      </c>
      <c r="F25" s="1617" t="s">
        <v>657</v>
      </c>
      <c r="G25" s="1611" t="s">
        <v>1585</v>
      </c>
      <c r="H25" s="1618" t="s">
        <v>1071</v>
      </c>
      <c r="I25" s="1611" t="s">
        <v>1092</v>
      </c>
      <c r="J25" s="1611" t="s">
        <v>1084</v>
      </c>
      <c r="K25" s="1611" t="s">
        <v>1068</v>
      </c>
      <c r="L25" s="1613"/>
      <c r="M25" s="1613"/>
      <c r="N25" s="1613" t="s">
        <v>1681</v>
      </c>
      <c r="O25" s="1614"/>
      <c r="P25" s="1613"/>
      <c r="Q25" s="1613"/>
      <c r="U25" s="1611" t="s">
        <v>1587</v>
      </c>
      <c r="V25" s="1611" t="s">
        <v>1587</v>
      </c>
      <c r="X25" s="1615">
        <v>42772</v>
      </c>
      <c r="Y25" s="1615">
        <v>42773</v>
      </c>
      <c r="AA25" s="1615"/>
      <c r="AB25" s="1611" t="s">
        <v>1066</v>
      </c>
      <c r="AC25" s="1611">
        <v>0</v>
      </c>
      <c r="AD25" s="1611">
        <v>0</v>
      </c>
      <c r="AE25" s="1611">
        <v>0</v>
      </c>
      <c r="AF25" s="1611">
        <v>0</v>
      </c>
      <c r="AG25" s="1611">
        <v>0</v>
      </c>
      <c r="AH25" s="1611">
        <v>1</v>
      </c>
      <c r="AI25" s="1611">
        <v>40131</v>
      </c>
      <c r="AJ25" s="1611">
        <v>2120</v>
      </c>
      <c r="AK25" s="1611">
        <v>0</v>
      </c>
      <c r="AL25" s="1611">
        <v>0</v>
      </c>
      <c r="AO25" s="1618"/>
      <c r="AP25" s="1618"/>
      <c r="AQ25" s="1611" t="str">
        <f t="shared" si="0"/>
        <v/>
      </c>
      <c r="AS25" s="1611" t="str">
        <f t="shared" si="1"/>
        <v>wci_corp</v>
      </c>
    </row>
    <row r="26" spans="2:45" s="1611" customFormat="1" ht="12">
      <c r="B26" s="1611" t="s">
        <v>1669</v>
      </c>
      <c r="C26" s="1615">
        <v>42766</v>
      </c>
      <c r="D26" s="1616">
        <v>1431.6</v>
      </c>
      <c r="E26" s="1616">
        <v>0</v>
      </c>
      <c r="F26" s="1617" t="s">
        <v>657</v>
      </c>
      <c r="G26" s="1611" t="s">
        <v>1585</v>
      </c>
      <c r="H26" s="1618" t="s">
        <v>1071</v>
      </c>
      <c r="I26" s="1611" t="s">
        <v>1092</v>
      </c>
      <c r="J26" s="1611" t="s">
        <v>1084</v>
      </c>
      <c r="K26" s="1611" t="s">
        <v>1068</v>
      </c>
      <c r="L26" s="1613"/>
      <c r="M26" s="1613"/>
      <c r="N26" s="1613" t="s">
        <v>1682</v>
      </c>
      <c r="O26" s="1614"/>
      <c r="P26" s="1613"/>
      <c r="Q26" s="1613"/>
      <c r="U26" s="1611" t="s">
        <v>1587</v>
      </c>
      <c r="V26" s="1611" t="s">
        <v>1587</v>
      </c>
      <c r="X26" s="1615">
        <v>42772</v>
      </c>
      <c r="Y26" s="1615">
        <v>42773</v>
      </c>
      <c r="AA26" s="1615"/>
      <c r="AB26" s="1611" t="s">
        <v>1066</v>
      </c>
      <c r="AC26" s="1611">
        <v>0</v>
      </c>
      <c r="AD26" s="1611">
        <v>0</v>
      </c>
      <c r="AE26" s="1611">
        <v>0</v>
      </c>
      <c r="AF26" s="1611">
        <v>0</v>
      </c>
      <c r="AG26" s="1611">
        <v>0</v>
      </c>
      <c r="AH26" s="1611">
        <v>1</v>
      </c>
      <c r="AI26" s="1611">
        <v>40131</v>
      </c>
      <c r="AJ26" s="1611">
        <v>2120</v>
      </c>
      <c r="AK26" s="1611">
        <v>0</v>
      </c>
      <c r="AL26" s="1611">
        <v>0</v>
      </c>
      <c r="AO26" s="1618"/>
      <c r="AP26" s="1618"/>
      <c r="AQ26" s="1611" t="str">
        <f t="shared" si="0"/>
        <v/>
      </c>
      <c r="AS26" s="1611" t="str">
        <f t="shared" si="1"/>
        <v>wci_corp</v>
      </c>
    </row>
    <row r="27" spans="2:45" s="1611" customFormat="1" ht="12">
      <c r="B27" s="1611" t="s">
        <v>1669</v>
      </c>
      <c r="C27" s="1615">
        <v>42789</v>
      </c>
      <c r="D27" s="1616">
        <v>10610.05</v>
      </c>
      <c r="E27" s="1616">
        <v>0</v>
      </c>
      <c r="F27" s="1617" t="s">
        <v>657</v>
      </c>
      <c r="G27" s="1611" t="s">
        <v>1683</v>
      </c>
      <c r="H27" s="1618" t="s">
        <v>1071</v>
      </c>
      <c r="I27" s="1611" t="s">
        <v>1099</v>
      </c>
      <c r="J27" s="1611" t="s">
        <v>1243</v>
      </c>
      <c r="K27" s="1611" t="s">
        <v>1068</v>
      </c>
      <c r="L27" s="1613" t="s">
        <v>1671</v>
      </c>
      <c r="M27" s="1613"/>
      <c r="N27" s="1613" t="s">
        <v>1672</v>
      </c>
      <c r="O27" s="1614">
        <v>42773</v>
      </c>
      <c r="P27" s="1613" t="s">
        <v>1684</v>
      </c>
      <c r="Q27" s="1613" t="s">
        <v>1685</v>
      </c>
      <c r="R27" s="1611" t="s">
        <v>1686</v>
      </c>
      <c r="U27" s="1611" t="s">
        <v>1687</v>
      </c>
      <c r="V27" s="1611" t="s">
        <v>1688</v>
      </c>
      <c r="W27" s="1611">
        <v>2195</v>
      </c>
      <c r="X27" s="1615">
        <v>42789</v>
      </c>
      <c r="Y27" s="1615">
        <v>42793</v>
      </c>
      <c r="Z27" s="1611">
        <v>10610</v>
      </c>
      <c r="AA27" s="1615">
        <v>42793</v>
      </c>
      <c r="AB27" s="1611" t="s">
        <v>1066</v>
      </c>
      <c r="AC27" s="1611">
        <v>0</v>
      </c>
      <c r="AD27" s="1611">
        <v>0</v>
      </c>
      <c r="AE27" s="1611">
        <v>0</v>
      </c>
      <c r="AF27" s="1611">
        <v>0</v>
      </c>
      <c r="AG27" s="1611">
        <v>0</v>
      </c>
      <c r="AH27" s="1611">
        <v>1</v>
      </c>
      <c r="AI27" s="1611">
        <v>40131</v>
      </c>
      <c r="AJ27" s="1611">
        <v>2120</v>
      </c>
      <c r="AK27" s="1611">
        <v>0</v>
      </c>
      <c r="AL27" s="1611">
        <v>0</v>
      </c>
      <c r="AO27" s="1618"/>
      <c r="AP27" s="1618"/>
      <c r="AQ27" s="1611" t="str">
        <f t="shared" si="0"/>
        <v>VO04211670</v>
      </c>
      <c r="AS27" s="1611" t="str">
        <f t="shared" si="1"/>
        <v>wci_corp</v>
      </c>
    </row>
    <row r="28" spans="2:45" s="1611" customFormat="1" ht="12">
      <c r="B28" s="1611" t="s">
        <v>1669</v>
      </c>
      <c r="C28" s="1615">
        <v>42794</v>
      </c>
      <c r="D28" s="1616">
        <v>-10611</v>
      </c>
      <c r="E28" s="1616">
        <v>0</v>
      </c>
      <c r="F28" s="1617" t="s">
        <v>657</v>
      </c>
      <c r="G28" s="1611" t="s">
        <v>1596</v>
      </c>
      <c r="H28" s="1618" t="s">
        <v>1071</v>
      </c>
      <c r="I28" s="1611" t="s">
        <v>1092</v>
      </c>
      <c r="J28" s="1611" t="s">
        <v>1084</v>
      </c>
      <c r="K28" s="1611" t="s">
        <v>1068</v>
      </c>
      <c r="L28" s="1613"/>
      <c r="M28" s="1613"/>
      <c r="N28" s="1613" t="s">
        <v>1681</v>
      </c>
      <c r="O28" s="1614"/>
      <c r="P28" s="1613"/>
      <c r="Q28" s="1613"/>
      <c r="U28" s="1611" t="s">
        <v>1587</v>
      </c>
      <c r="V28" s="1611" t="s">
        <v>1597</v>
      </c>
      <c r="X28" s="1615">
        <v>42773</v>
      </c>
      <c r="Y28" s="1615">
        <v>42773</v>
      </c>
      <c r="AA28" s="1615"/>
      <c r="AB28" s="1611" t="s">
        <v>1066</v>
      </c>
      <c r="AC28" s="1611">
        <v>0</v>
      </c>
      <c r="AD28" s="1611">
        <v>0</v>
      </c>
      <c r="AE28" s="1611">
        <v>0</v>
      </c>
      <c r="AF28" s="1611">
        <v>0</v>
      </c>
      <c r="AG28" s="1611">
        <v>5</v>
      </c>
      <c r="AH28" s="1611">
        <v>1</v>
      </c>
      <c r="AI28" s="1611">
        <v>40131</v>
      </c>
      <c r="AJ28" s="1611">
        <v>2120</v>
      </c>
      <c r="AK28" s="1611">
        <v>0</v>
      </c>
      <c r="AL28" s="1611">
        <v>0</v>
      </c>
      <c r="AO28" s="1618"/>
      <c r="AP28" s="1618"/>
      <c r="AQ28" s="1611" t="str">
        <f t="shared" si="0"/>
        <v/>
      </c>
      <c r="AS28" s="1611" t="str">
        <f t="shared" si="1"/>
        <v>wci_corp</v>
      </c>
    </row>
    <row r="29" spans="2:45" s="1611" customFormat="1" ht="12">
      <c r="B29" s="1611" t="s">
        <v>1669</v>
      </c>
      <c r="C29" s="1615">
        <v>42794</v>
      </c>
      <c r="D29" s="1616">
        <v>-1431.6</v>
      </c>
      <c r="E29" s="1616">
        <v>0</v>
      </c>
      <c r="F29" s="1617" t="s">
        <v>657</v>
      </c>
      <c r="G29" s="1611" t="s">
        <v>1596</v>
      </c>
      <c r="H29" s="1618" t="s">
        <v>1071</v>
      </c>
      <c r="I29" s="1611" t="s">
        <v>1092</v>
      </c>
      <c r="J29" s="1611" t="s">
        <v>1084</v>
      </c>
      <c r="K29" s="1611" t="s">
        <v>1068</v>
      </c>
      <c r="L29" s="1613"/>
      <c r="M29" s="1613"/>
      <c r="N29" s="1613" t="s">
        <v>1682</v>
      </c>
      <c r="O29" s="1614"/>
      <c r="P29" s="1613"/>
      <c r="Q29" s="1613"/>
      <c r="U29" s="1611" t="s">
        <v>1587</v>
      </c>
      <c r="V29" s="1611" t="s">
        <v>1597</v>
      </c>
      <c r="X29" s="1615">
        <v>42773</v>
      </c>
      <c r="Y29" s="1615">
        <v>42773</v>
      </c>
      <c r="AA29" s="1615"/>
      <c r="AB29" s="1611" t="s">
        <v>1066</v>
      </c>
      <c r="AC29" s="1611">
        <v>0</v>
      </c>
      <c r="AD29" s="1611">
        <v>0</v>
      </c>
      <c r="AE29" s="1611">
        <v>0</v>
      </c>
      <c r="AF29" s="1611">
        <v>0</v>
      </c>
      <c r="AG29" s="1611">
        <v>5</v>
      </c>
      <c r="AH29" s="1611">
        <v>1</v>
      </c>
      <c r="AI29" s="1611">
        <v>40131</v>
      </c>
      <c r="AJ29" s="1611">
        <v>2120</v>
      </c>
      <c r="AK29" s="1611">
        <v>0</v>
      </c>
      <c r="AL29" s="1611">
        <v>0</v>
      </c>
      <c r="AO29" s="1618"/>
      <c r="AP29" s="1618"/>
      <c r="AQ29" s="1611" t="str">
        <f t="shared" si="0"/>
        <v/>
      </c>
      <c r="AS29" s="1611" t="str">
        <f t="shared" si="1"/>
        <v>wci_corp</v>
      </c>
    </row>
    <row r="30" spans="2:45" s="1611" customFormat="1" ht="12">
      <c r="B30" s="1611" t="s">
        <v>1669</v>
      </c>
      <c r="C30" s="1615">
        <v>42794</v>
      </c>
      <c r="D30" s="1616">
        <v>565.57000000000005</v>
      </c>
      <c r="E30" s="1616">
        <v>0</v>
      </c>
      <c r="F30" s="1617" t="s">
        <v>657</v>
      </c>
      <c r="G30" s="1611" t="s">
        <v>1689</v>
      </c>
      <c r="H30" s="1618" t="s">
        <v>1071</v>
      </c>
      <c r="I30" s="1611" t="s">
        <v>1690</v>
      </c>
      <c r="J30" s="1611" t="s">
        <v>1119</v>
      </c>
      <c r="K30" s="1611" t="s">
        <v>1068</v>
      </c>
      <c r="L30" s="1613"/>
      <c r="M30" s="1613"/>
      <c r="N30" s="1613" t="s">
        <v>1680</v>
      </c>
      <c r="O30" s="1614"/>
      <c r="P30" s="1613"/>
      <c r="Q30" s="1613"/>
      <c r="U30" s="1611" t="s">
        <v>1691</v>
      </c>
      <c r="V30" s="1611" t="s">
        <v>1691</v>
      </c>
      <c r="X30" s="1615">
        <v>42796</v>
      </c>
      <c r="Y30" s="1615">
        <v>42797</v>
      </c>
      <c r="AA30" s="1615"/>
      <c r="AB30" s="1611" t="s">
        <v>1066</v>
      </c>
      <c r="AC30" s="1611">
        <v>0</v>
      </c>
      <c r="AD30" s="1611">
        <v>0</v>
      </c>
      <c r="AE30" s="1611">
        <v>0</v>
      </c>
      <c r="AF30" s="1611">
        <v>0</v>
      </c>
      <c r="AG30" s="1611">
        <v>0</v>
      </c>
      <c r="AH30" s="1611">
        <v>1</v>
      </c>
      <c r="AI30" s="1611">
        <v>40131</v>
      </c>
      <c r="AJ30" s="1611">
        <v>2120</v>
      </c>
      <c r="AK30" s="1611">
        <v>0</v>
      </c>
      <c r="AL30" s="1611">
        <v>0</v>
      </c>
      <c r="AO30" s="1618"/>
      <c r="AP30" s="1618"/>
      <c r="AQ30" s="1611" t="str">
        <f t="shared" si="0"/>
        <v/>
      </c>
      <c r="AS30" s="1611" t="str">
        <f t="shared" si="1"/>
        <v>wci_corp</v>
      </c>
    </row>
    <row r="31" spans="2:45" s="1611" customFormat="1" ht="12">
      <c r="B31" s="1611" t="s">
        <v>1669</v>
      </c>
      <c r="C31" s="1615">
        <v>42794</v>
      </c>
      <c r="D31" s="1616">
        <v>431.03</v>
      </c>
      <c r="E31" s="1616">
        <v>0</v>
      </c>
      <c r="F31" s="1617" t="s">
        <v>657</v>
      </c>
      <c r="G31" s="1611" t="s">
        <v>1689</v>
      </c>
      <c r="H31" s="1618" t="s">
        <v>1071</v>
      </c>
      <c r="I31" s="1611" t="s">
        <v>1690</v>
      </c>
      <c r="J31" s="1611" t="s">
        <v>1119</v>
      </c>
      <c r="K31" s="1611" t="s">
        <v>1068</v>
      </c>
      <c r="L31" s="1613"/>
      <c r="M31" s="1613"/>
      <c r="N31" s="1613" t="s">
        <v>1680</v>
      </c>
      <c r="O31" s="1614"/>
      <c r="P31" s="1613"/>
      <c r="Q31" s="1613"/>
      <c r="U31" s="1611" t="s">
        <v>1691</v>
      </c>
      <c r="V31" s="1611" t="s">
        <v>1691</v>
      </c>
      <c r="X31" s="1615">
        <v>42796</v>
      </c>
      <c r="Y31" s="1615">
        <v>42797</v>
      </c>
      <c r="AA31" s="1615"/>
      <c r="AB31" s="1611" t="s">
        <v>1066</v>
      </c>
      <c r="AC31" s="1611">
        <v>0</v>
      </c>
      <c r="AD31" s="1611">
        <v>0</v>
      </c>
      <c r="AE31" s="1611">
        <v>0</v>
      </c>
      <c r="AF31" s="1611">
        <v>0</v>
      </c>
      <c r="AG31" s="1611">
        <v>0</v>
      </c>
      <c r="AH31" s="1611">
        <v>1</v>
      </c>
      <c r="AI31" s="1611">
        <v>40131</v>
      </c>
      <c r="AJ31" s="1611">
        <v>2120</v>
      </c>
      <c r="AK31" s="1611">
        <v>0</v>
      </c>
      <c r="AL31" s="1611">
        <v>0</v>
      </c>
      <c r="AO31" s="1618"/>
      <c r="AP31" s="1618"/>
      <c r="AQ31" s="1611" t="str">
        <f t="shared" si="0"/>
        <v/>
      </c>
      <c r="AS31" s="1611" t="str">
        <f t="shared" si="1"/>
        <v>wci_corp</v>
      </c>
    </row>
    <row r="32" spans="2:45" s="1611" customFormat="1" ht="12">
      <c r="B32" s="1611" t="s">
        <v>1669</v>
      </c>
      <c r="C32" s="1615">
        <v>42794</v>
      </c>
      <c r="D32" s="1616">
        <v>434.81</v>
      </c>
      <c r="E32" s="1616">
        <v>0</v>
      </c>
      <c r="F32" s="1617" t="s">
        <v>657</v>
      </c>
      <c r="G32" s="1611" t="s">
        <v>1689</v>
      </c>
      <c r="H32" s="1618" t="s">
        <v>1071</v>
      </c>
      <c r="I32" s="1611" t="s">
        <v>1690</v>
      </c>
      <c r="J32" s="1611" t="s">
        <v>1119</v>
      </c>
      <c r="K32" s="1611" t="s">
        <v>1068</v>
      </c>
      <c r="L32" s="1613"/>
      <c r="M32" s="1613"/>
      <c r="N32" s="1613" t="s">
        <v>1680</v>
      </c>
      <c r="O32" s="1614"/>
      <c r="P32" s="1613"/>
      <c r="Q32" s="1613"/>
      <c r="U32" s="1611" t="s">
        <v>1691</v>
      </c>
      <c r="V32" s="1611" t="s">
        <v>1691</v>
      </c>
      <c r="X32" s="1615">
        <v>42796</v>
      </c>
      <c r="Y32" s="1615">
        <v>42797</v>
      </c>
      <c r="AA32" s="1615"/>
      <c r="AB32" s="1611" t="s">
        <v>1066</v>
      </c>
      <c r="AC32" s="1611">
        <v>0</v>
      </c>
      <c r="AD32" s="1611">
        <v>0</v>
      </c>
      <c r="AE32" s="1611">
        <v>0</v>
      </c>
      <c r="AF32" s="1611">
        <v>0</v>
      </c>
      <c r="AG32" s="1611">
        <v>0</v>
      </c>
      <c r="AH32" s="1611">
        <v>1</v>
      </c>
      <c r="AI32" s="1611">
        <v>40131</v>
      </c>
      <c r="AJ32" s="1611">
        <v>2120</v>
      </c>
      <c r="AK32" s="1611">
        <v>0</v>
      </c>
      <c r="AL32" s="1611">
        <v>0</v>
      </c>
      <c r="AO32" s="1618"/>
      <c r="AP32" s="1618"/>
      <c r="AQ32" s="1611" t="str">
        <f t="shared" si="0"/>
        <v/>
      </c>
      <c r="AS32" s="1611" t="str">
        <f t="shared" si="1"/>
        <v>wci_corp</v>
      </c>
    </row>
    <row r="33" spans="2:45" s="1611" customFormat="1" ht="12">
      <c r="B33" s="1611" t="s">
        <v>1669</v>
      </c>
      <c r="C33" s="1615">
        <v>42794</v>
      </c>
      <c r="D33" s="1616">
        <v>10229</v>
      </c>
      <c r="E33" s="1616">
        <v>0</v>
      </c>
      <c r="F33" s="1617" t="s">
        <v>657</v>
      </c>
      <c r="G33" s="1611" t="s">
        <v>1353</v>
      </c>
      <c r="H33" s="1618" t="s">
        <v>1071</v>
      </c>
      <c r="I33" s="1611" t="s">
        <v>1092</v>
      </c>
      <c r="J33" s="1611" t="s">
        <v>1084</v>
      </c>
      <c r="K33" s="1611" t="s">
        <v>1068</v>
      </c>
      <c r="L33" s="1613"/>
      <c r="M33" s="1613"/>
      <c r="N33" s="1613" t="s">
        <v>1681</v>
      </c>
      <c r="O33" s="1614"/>
      <c r="P33" s="1613"/>
      <c r="Q33" s="1613"/>
      <c r="U33" s="1611" t="s">
        <v>1354</v>
      </c>
      <c r="V33" s="1611" t="s">
        <v>1354</v>
      </c>
      <c r="X33" s="1615">
        <v>42800</v>
      </c>
      <c r="Y33" s="1615">
        <v>42801</v>
      </c>
      <c r="AA33" s="1615"/>
      <c r="AB33" s="1611" t="s">
        <v>1066</v>
      </c>
      <c r="AC33" s="1611">
        <v>0</v>
      </c>
      <c r="AD33" s="1611">
        <v>0</v>
      </c>
      <c r="AE33" s="1611">
        <v>0</v>
      </c>
      <c r="AF33" s="1611">
        <v>0</v>
      </c>
      <c r="AG33" s="1611">
        <v>0</v>
      </c>
      <c r="AH33" s="1611">
        <v>1</v>
      </c>
      <c r="AI33" s="1611">
        <v>40131</v>
      </c>
      <c r="AJ33" s="1611">
        <v>2120</v>
      </c>
      <c r="AK33" s="1611">
        <v>0</v>
      </c>
      <c r="AL33" s="1611">
        <v>0</v>
      </c>
      <c r="AO33" s="1618"/>
      <c r="AP33" s="1618"/>
      <c r="AQ33" s="1611" t="str">
        <f t="shared" si="0"/>
        <v/>
      </c>
      <c r="AS33" s="1611" t="str">
        <f t="shared" si="1"/>
        <v>wci_corp</v>
      </c>
    </row>
    <row r="34" spans="2:45" s="1611" customFormat="1" ht="12">
      <c r="B34" s="1611" t="s">
        <v>1669</v>
      </c>
      <c r="C34" s="1615">
        <v>42794</v>
      </c>
      <c r="D34" s="1616">
        <v>845.83</v>
      </c>
      <c r="E34" s="1616">
        <v>0</v>
      </c>
      <c r="F34" s="1617" t="s">
        <v>657</v>
      </c>
      <c r="G34" s="1611" t="s">
        <v>1353</v>
      </c>
      <c r="H34" s="1618" t="s">
        <v>1071</v>
      </c>
      <c r="I34" s="1611" t="s">
        <v>1092</v>
      </c>
      <c r="J34" s="1611" t="s">
        <v>1084</v>
      </c>
      <c r="K34" s="1611" t="s">
        <v>1068</v>
      </c>
      <c r="L34" s="1613"/>
      <c r="M34" s="1613"/>
      <c r="N34" s="1613" t="s">
        <v>1682</v>
      </c>
      <c r="O34" s="1614"/>
      <c r="P34" s="1613"/>
      <c r="Q34" s="1613"/>
      <c r="U34" s="1611" t="s">
        <v>1354</v>
      </c>
      <c r="V34" s="1611" t="s">
        <v>1354</v>
      </c>
      <c r="X34" s="1615">
        <v>42800</v>
      </c>
      <c r="Y34" s="1615">
        <v>42801</v>
      </c>
      <c r="AA34" s="1615"/>
      <c r="AB34" s="1611" t="s">
        <v>1066</v>
      </c>
      <c r="AC34" s="1611">
        <v>0</v>
      </c>
      <c r="AD34" s="1611">
        <v>0</v>
      </c>
      <c r="AE34" s="1611">
        <v>0</v>
      </c>
      <c r="AF34" s="1611">
        <v>0</v>
      </c>
      <c r="AG34" s="1611">
        <v>0</v>
      </c>
      <c r="AH34" s="1611">
        <v>1</v>
      </c>
      <c r="AI34" s="1611">
        <v>40131</v>
      </c>
      <c r="AJ34" s="1611">
        <v>2120</v>
      </c>
      <c r="AK34" s="1611">
        <v>0</v>
      </c>
      <c r="AL34" s="1611">
        <v>0</v>
      </c>
      <c r="AO34" s="1618"/>
      <c r="AP34" s="1618"/>
      <c r="AQ34" s="1611" t="str">
        <f t="shared" si="0"/>
        <v/>
      </c>
      <c r="AS34" s="1611" t="str">
        <f t="shared" si="1"/>
        <v>wci_corp</v>
      </c>
    </row>
    <row r="35" spans="2:45" s="1611" customFormat="1" ht="12">
      <c r="B35" s="1611" t="s">
        <v>1669</v>
      </c>
      <c r="C35" s="1615">
        <v>42810</v>
      </c>
      <c r="D35" s="1616">
        <v>10228.27</v>
      </c>
      <c r="E35" s="1616">
        <v>0</v>
      </c>
      <c r="F35" s="1617" t="s">
        <v>657</v>
      </c>
      <c r="G35" s="1611" t="s">
        <v>1692</v>
      </c>
      <c r="H35" s="1618" t="s">
        <v>1071</v>
      </c>
      <c r="I35" s="1611" t="s">
        <v>1099</v>
      </c>
      <c r="J35" s="1611" t="s">
        <v>1098</v>
      </c>
      <c r="K35" s="1611" t="s">
        <v>1068</v>
      </c>
      <c r="L35" s="1613" t="s">
        <v>1671</v>
      </c>
      <c r="M35" s="1613"/>
      <c r="N35" s="1613" t="s">
        <v>1672</v>
      </c>
      <c r="O35" s="1614">
        <v>42801</v>
      </c>
      <c r="P35" s="1613" t="s">
        <v>1684</v>
      </c>
      <c r="Q35" s="1613" t="s">
        <v>1693</v>
      </c>
      <c r="R35" s="1611" t="s">
        <v>1686</v>
      </c>
      <c r="U35" s="1611" t="s">
        <v>1694</v>
      </c>
      <c r="V35" s="1611" t="s">
        <v>1695</v>
      </c>
      <c r="W35" s="1611">
        <v>2195</v>
      </c>
      <c r="X35" s="1615">
        <v>42810</v>
      </c>
      <c r="Y35" s="1615">
        <v>42811</v>
      </c>
      <c r="Z35" s="1611">
        <v>10228.299999999999</v>
      </c>
      <c r="AA35" s="1615">
        <v>42821</v>
      </c>
      <c r="AB35" s="1611" t="s">
        <v>1066</v>
      </c>
      <c r="AC35" s="1611">
        <v>0</v>
      </c>
      <c r="AD35" s="1611">
        <v>0</v>
      </c>
      <c r="AE35" s="1611">
        <v>0</v>
      </c>
      <c r="AF35" s="1611">
        <v>0</v>
      </c>
      <c r="AG35" s="1611">
        <v>0</v>
      </c>
      <c r="AH35" s="1611">
        <v>1</v>
      </c>
      <c r="AI35" s="1611">
        <v>40131</v>
      </c>
      <c r="AJ35" s="1611">
        <v>2120</v>
      </c>
      <c r="AK35" s="1611">
        <v>0</v>
      </c>
      <c r="AL35" s="1611">
        <v>0</v>
      </c>
      <c r="AO35" s="1618"/>
      <c r="AP35" s="1618"/>
      <c r="AQ35" s="1611" t="str">
        <f t="shared" si="0"/>
        <v>VO04233056</v>
      </c>
      <c r="AS35" s="1611" t="str">
        <f t="shared" si="1"/>
        <v>wci_corp</v>
      </c>
    </row>
    <row r="36" spans="2:45" s="1611" customFormat="1" ht="12">
      <c r="B36" s="1611" t="s">
        <v>1669</v>
      </c>
      <c r="C36" s="1615">
        <v>42825</v>
      </c>
      <c r="D36" s="1616">
        <v>-10229</v>
      </c>
      <c r="E36" s="1616">
        <v>0</v>
      </c>
      <c r="F36" s="1617" t="s">
        <v>657</v>
      </c>
      <c r="G36" s="1611" t="s">
        <v>1355</v>
      </c>
      <c r="H36" s="1618" t="s">
        <v>1071</v>
      </c>
      <c r="I36" s="1611" t="s">
        <v>1092</v>
      </c>
      <c r="J36" s="1611" t="s">
        <v>1119</v>
      </c>
      <c r="K36" s="1611" t="s">
        <v>1068</v>
      </c>
      <c r="L36" s="1613"/>
      <c r="M36" s="1613"/>
      <c r="N36" s="1613" t="s">
        <v>1681</v>
      </c>
      <c r="O36" s="1614"/>
      <c r="P36" s="1613"/>
      <c r="Q36" s="1613"/>
      <c r="U36" s="1611" t="s">
        <v>1354</v>
      </c>
      <c r="V36" s="1611" t="s">
        <v>1356</v>
      </c>
      <c r="X36" s="1615">
        <v>42801</v>
      </c>
      <c r="Y36" s="1615">
        <v>42801</v>
      </c>
      <c r="AA36" s="1615"/>
      <c r="AB36" s="1611" t="s">
        <v>1066</v>
      </c>
      <c r="AC36" s="1611">
        <v>0</v>
      </c>
      <c r="AD36" s="1611">
        <v>0</v>
      </c>
      <c r="AE36" s="1611">
        <v>0</v>
      </c>
      <c r="AF36" s="1611">
        <v>0</v>
      </c>
      <c r="AG36" s="1611">
        <v>5</v>
      </c>
      <c r="AH36" s="1611">
        <v>1</v>
      </c>
      <c r="AI36" s="1611">
        <v>40131</v>
      </c>
      <c r="AJ36" s="1611">
        <v>2120</v>
      </c>
      <c r="AK36" s="1611">
        <v>0</v>
      </c>
      <c r="AL36" s="1611">
        <v>0</v>
      </c>
      <c r="AO36" s="1618"/>
      <c r="AP36" s="1618"/>
      <c r="AQ36" s="1611" t="str">
        <f t="shared" si="0"/>
        <v/>
      </c>
      <c r="AS36" s="1611" t="str">
        <f t="shared" si="1"/>
        <v>wci_corp</v>
      </c>
    </row>
    <row r="37" spans="2:45" s="1611" customFormat="1" ht="12">
      <c r="B37" s="1611" t="s">
        <v>1669</v>
      </c>
      <c r="C37" s="1615">
        <v>42825</v>
      </c>
      <c r="D37" s="1616">
        <v>-845.83</v>
      </c>
      <c r="E37" s="1616">
        <v>0</v>
      </c>
      <c r="F37" s="1617" t="s">
        <v>657</v>
      </c>
      <c r="G37" s="1611" t="s">
        <v>1355</v>
      </c>
      <c r="H37" s="1618" t="s">
        <v>1071</v>
      </c>
      <c r="I37" s="1611" t="s">
        <v>1092</v>
      </c>
      <c r="J37" s="1611" t="s">
        <v>1119</v>
      </c>
      <c r="K37" s="1611" t="s">
        <v>1068</v>
      </c>
      <c r="L37" s="1613"/>
      <c r="M37" s="1613"/>
      <c r="N37" s="1613" t="s">
        <v>1682</v>
      </c>
      <c r="O37" s="1614"/>
      <c r="P37" s="1613"/>
      <c r="Q37" s="1613"/>
      <c r="U37" s="1611" t="s">
        <v>1354</v>
      </c>
      <c r="V37" s="1611" t="s">
        <v>1356</v>
      </c>
      <c r="X37" s="1615">
        <v>42801</v>
      </c>
      <c r="Y37" s="1615">
        <v>42801</v>
      </c>
      <c r="AA37" s="1615"/>
      <c r="AB37" s="1611" t="s">
        <v>1066</v>
      </c>
      <c r="AC37" s="1611">
        <v>0</v>
      </c>
      <c r="AD37" s="1611">
        <v>0</v>
      </c>
      <c r="AE37" s="1611">
        <v>0</v>
      </c>
      <c r="AF37" s="1611">
        <v>0</v>
      </c>
      <c r="AG37" s="1611">
        <v>5</v>
      </c>
      <c r="AH37" s="1611">
        <v>1</v>
      </c>
      <c r="AI37" s="1611">
        <v>40131</v>
      </c>
      <c r="AJ37" s="1611">
        <v>2120</v>
      </c>
      <c r="AK37" s="1611">
        <v>0</v>
      </c>
      <c r="AL37" s="1611">
        <v>0</v>
      </c>
      <c r="AO37" s="1618"/>
      <c r="AP37" s="1618"/>
      <c r="AQ37" s="1611" t="str">
        <f t="shared" si="0"/>
        <v/>
      </c>
      <c r="AS37" s="1611" t="str">
        <f t="shared" si="1"/>
        <v>wci_corp</v>
      </c>
    </row>
    <row r="38" spans="2:45" s="1611" customFormat="1" ht="12">
      <c r="B38" s="1611" t="s">
        <v>1669</v>
      </c>
      <c r="C38" s="1615">
        <v>42825</v>
      </c>
      <c r="D38" s="1616">
        <v>448.83</v>
      </c>
      <c r="E38" s="1616">
        <v>0</v>
      </c>
      <c r="F38" s="1617" t="s">
        <v>657</v>
      </c>
      <c r="G38" s="1611" t="s">
        <v>1124</v>
      </c>
      <c r="H38" s="1618" t="s">
        <v>1071</v>
      </c>
      <c r="I38" s="1611" t="s">
        <v>1123</v>
      </c>
      <c r="J38" s="1611" t="s">
        <v>1084</v>
      </c>
      <c r="K38" s="1611" t="s">
        <v>1068</v>
      </c>
      <c r="L38" s="1613"/>
      <c r="M38" s="1613"/>
      <c r="N38" s="1613" t="s">
        <v>1680</v>
      </c>
      <c r="O38" s="1614"/>
      <c r="P38" s="1613"/>
      <c r="Q38" s="1613"/>
      <c r="U38" s="1611" t="s">
        <v>1122</v>
      </c>
      <c r="V38" s="1611" t="s">
        <v>1122</v>
      </c>
      <c r="X38" s="1615">
        <v>42828</v>
      </c>
      <c r="Y38" s="1615">
        <v>42829</v>
      </c>
      <c r="AA38" s="1615"/>
      <c r="AB38" s="1611" t="s">
        <v>1066</v>
      </c>
      <c r="AC38" s="1611">
        <v>0</v>
      </c>
      <c r="AD38" s="1611">
        <v>0</v>
      </c>
      <c r="AE38" s="1611">
        <v>0</v>
      </c>
      <c r="AF38" s="1611">
        <v>0</v>
      </c>
      <c r="AG38" s="1611">
        <v>0</v>
      </c>
      <c r="AH38" s="1611">
        <v>1</v>
      </c>
      <c r="AI38" s="1611">
        <v>40131</v>
      </c>
      <c r="AJ38" s="1611">
        <v>2120</v>
      </c>
      <c r="AK38" s="1611">
        <v>0</v>
      </c>
      <c r="AL38" s="1611">
        <v>0</v>
      </c>
      <c r="AO38" s="1618"/>
      <c r="AP38" s="1618"/>
      <c r="AQ38" s="1611" t="str">
        <f t="shared" si="0"/>
        <v/>
      </c>
      <c r="AS38" s="1611" t="str">
        <f t="shared" si="1"/>
        <v>wci_corp</v>
      </c>
    </row>
    <row r="39" spans="2:45" s="1611" customFormat="1" ht="12">
      <c r="B39" s="1611" t="s">
        <v>1669</v>
      </c>
      <c r="C39" s="1615">
        <v>42825</v>
      </c>
      <c r="D39" s="1616">
        <v>396.72</v>
      </c>
      <c r="E39" s="1616">
        <v>0</v>
      </c>
      <c r="F39" s="1617" t="s">
        <v>657</v>
      </c>
      <c r="G39" s="1611" t="s">
        <v>1124</v>
      </c>
      <c r="H39" s="1618" t="s">
        <v>1071</v>
      </c>
      <c r="I39" s="1611" t="s">
        <v>1123</v>
      </c>
      <c r="J39" s="1611" t="s">
        <v>1084</v>
      </c>
      <c r="K39" s="1611" t="s">
        <v>1068</v>
      </c>
      <c r="L39" s="1613"/>
      <c r="M39" s="1613"/>
      <c r="N39" s="1613" t="s">
        <v>1680</v>
      </c>
      <c r="O39" s="1614"/>
      <c r="P39" s="1613"/>
      <c r="Q39" s="1613"/>
      <c r="U39" s="1611" t="s">
        <v>1122</v>
      </c>
      <c r="V39" s="1611" t="s">
        <v>1122</v>
      </c>
      <c r="X39" s="1615">
        <v>42828</v>
      </c>
      <c r="Y39" s="1615">
        <v>42829</v>
      </c>
      <c r="AA39" s="1615"/>
      <c r="AB39" s="1611" t="s">
        <v>1066</v>
      </c>
      <c r="AC39" s="1611">
        <v>0</v>
      </c>
      <c r="AD39" s="1611">
        <v>0</v>
      </c>
      <c r="AE39" s="1611">
        <v>0</v>
      </c>
      <c r="AF39" s="1611">
        <v>0</v>
      </c>
      <c r="AG39" s="1611">
        <v>0</v>
      </c>
      <c r="AH39" s="1611">
        <v>1</v>
      </c>
      <c r="AI39" s="1611">
        <v>40131</v>
      </c>
      <c r="AJ39" s="1611">
        <v>2120</v>
      </c>
      <c r="AK39" s="1611">
        <v>0</v>
      </c>
      <c r="AL39" s="1611">
        <v>0</v>
      </c>
      <c r="AO39" s="1618"/>
      <c r="AP39" s="1618"/>
      <c r="AQ39" s="1611" t="str">
        <f t="shared" si="0"/>
        <v/>
      </c>
      <c r="AS39" s="1611" t="str">
        <f t="shared" si="1"/>
        <v>wci_corp</v>
      </c>
    </row>
    <row r="40" spans="2:45" s="1611" customFormat="1" ht="12">
      <c r="B40" s="1611" t="s">
        <v>1669</v>
      </c>
      <c r="C40" s="1615">
        <v>42825</v>
      </c>
      <c r="D40" s="1616">
        <v>32.04</v>
      </c>
      <c r="E40" s="1616">
        <v>0</v>
      </c>
      <c r="F40" s="1617" t="s">
        <v>657</v>
      </c>
      <c r="G40" s="1611" t="s">
        <v>1121</v>
      </c>
      <c r="H40" s="1618" t="s">
        <v>1071</v>
      </c>
      <c r="I40" s="1611" t="s">
        <v>1077</v>
      </c>
      <c r="J40" s="1611" t="s">
        <v>1119</v>
      </c>
      <c r="K40" s="1611" t="s">
        <v>1068</v>
      </c>
      <c r="L40" s="1613"/>
      <c r="M40" s="1613"/>
      <c r="N40" s="1613" t="s">
        <v>1680</v>
      </c>
      <c r="O40" s="1614"/>
      <c r="P40" s="1613"/>
      <c r="Q40" s="1613"/>
      <c r="U40" s="1611" t="s">
        <v>1118</v>
      </c>
      <c r="V40" s="1611" t="s">
        <v>1118</v>
      </c>
      <c r="X40" s="1615">
        <v>42831</v>
      </c>
      <c r="Y40" s="1615">
        <v>42831</v>
      </c>
      <c r="AA40" s="1615"/>
      <c r="AB40" s="1611" t="s">
        <v>1066</v>
      </c>
      <c r="AC40" s="1611">
        <v>0</v>
      </c>
      <c r="AD40" s="1611">
        <v>0</v>
      </c>
      <c r="AE40" s="1611">
        <v>0</v>
      </c>
      <c r="AF40" s="1611">
        <v>0</v>
      </c>
      <c r="AG40" s="1611">
        <v>0</v>
      </c>
      <c r="AH40" s="1611">
        <v>1</v>
      </c>
      <c r="AI40" s="1611">
        <v>40131</v>
      </c>
      <c r="AJ40" s="1611">
        <v>2120</v>
      </c>
      <c r="AK40" s="1611">
        <v>0</v>
      </c>
      <c r="AL40" s="1611">
        <v>0</v>
      </c>
      <c r="AO40" s="1618"/>
      <c r="AP40" s="1618"/>
      <c r="AQ40" s="1611" t="str">
        <f t="shared" si="0"/>
        <v/>
      </c>
      <c r="AS40" s="1611" t="str">
        <f t="shared" si="1"/>
        <v>wci_corp</v>
      </c>
    </row>
    <row r="41" spans="2:45" s="1611" customFormat="1" ht="12">
      <c r="B41" s="1611" t="s">
        <v>1669</v>
      </c>
      <c r="C41" s="1615">
        <v>42825</v>
      </c>
      <c r="D41" s="1616">
        <v>523.69000000000005</v>
      </c>
      <c r="E41" s="1616">
        <v>0</v>
      </c>
      <c r="F41" s="1617" t="s">
        <v>657</v>
      </c>
      <c r="G41" s="1611" t="s">
        <v>1121</v>
      </c>
      <c r="H41" s="1618" t="s">
        <v>1071</v>
      </c>
      <c r="I41" s="1611" t="s">
        <v>1077</v>
      </c>
      <c r="J41" s="1611" t="s">
        <v>1119</v>
      </c>
      <c r="K41" s="1611" t="s">
        <v>1068</v>
      </c>
      <c r="L41" s="1613"/>
      <c r="M41" s="1613"/>
      <c r="N41" s="1613" t="s">
        <v>1680</v>
      </c>
      <c r="O41" s="1614"/>
      <c r="P41" s="1613"/>
      <c r="Q41" s="1613"/>
      <c r="U41" s="1611" t="s">
        <v>1118</v>
      </c>
      <c r="V41" s="1611" t="s">
        <v>1118</v>
      </c>
      <c r="X41" s="1615">
        <v>42831</v>
      </c>
      <c r="Y41" s="1615">
        <v>42831</v>
      </c>
      <c r="AA41" s="1615"/>
      <c r="AB41" s="1611" t="s">
        <v>1066</v>
      </c>
      <c r="AC41" s="1611">
        <v>0</v>
      </c>
      <c r="AD41" s="1611">
        <v>0</v>
      </c>
      <c r="AE41" s="1611">
        <v>0</v>
      </c>
      <c r="AF41" s="1611">
        <v>0</v>
      </c>
      <c r="AG41" s="1611">
        <v>0</v>
      </c>
      <c r="AH41" s="1611">
        <v>1</v>
      </c>
      <c r="AI41" s="1611">
        <v>40131</v>
      </c>
      <c r="AJ41" s="1611">
        <v>2120</v>
      </c>
      <c r="AK41" s="1611">
        <v>0</v>
      </c>
      <c r="AL41" s="1611">
        <v>0</v>
      </c>
      <c r="AO41" s="1618"/>
      <c r="AP41" s="1618"/>
      <c r="AQ41" s="1611" t="str">
        <f t="shared" si="0"/>
        <v/>
      </c>
      <c r="AS41" s="1611" t="str">
        <f t="shared" si="1"/>
        <v>wci_corp</v>
      </c>
    </row>
    <row r="42" spans="2:45" s="1611" customFormat="1" ht="12">
      <c r="B42" s="1611" t="s">
        <v>1669</v>
      </c>
      <c r="C42" s="1615">
        <v>42825</v>
      </c>
      <c r="D42" s="1616">
        <v>13035</v>
      </c>
      <c r="E42" s="1616">
        <v>0</v>
      </c>
      <c r="F42" s="1617" t="s">
        <v>657</v>
      </c>
      <c r="G42" s="1611" t="s">
        <v>1696</v>
      </c>
      <c r="H42" s="1618" t="s">
        <v>1071</v>
      </c>
      <c r="I42" s="1611" t="s">
        <v>1092</v>
      </c>
      <c r="J42" s="1611" t="s">
        <v>1119</v>
      </c>
      <c r="K42" s="1611" t="s">
        <v>1068</v>
      </c>
      <c r="L42" s="1613"/>
      <c r="M42" s="1613"/>
      <c r="N42" s="1613" t="s">
        <v>1681</v>
      </c>
      <c r="O42" s="1614"/>
      <c r="P42" s="1613"/>
      <c r="Q42" s="1613"/>
      <c r="U42" s="1611" t="s">
        <v>1697</v>
      </c>
      <c r="V42" s="1611" t="s">
        <v>1697</v>
      </c>
      <c r="X42" s="1615">
        <v>42831</v>
      </c>
      <c r="Y42" s="1615">
        <v>42832</v>
      </c>
      <c r="AA42" s="1615"/>
      <c r="AB42" s="1611" t="s">
        <v>1066</v>
      </c>
      <c r="AC42" s="1611">
        <v>0</v>
      </c>
      <c r="AD42" s="1611">
        <v>0</v>
      </c>
      <c r="AE42" s="1611">
        <v>0</v>
      </c>
      <c r="AF42" s="1611">
        <v>0</v>
      </c>
      <c r="AG42" s="1611">
        <v>0</v>
      </c>
      <c r="AH42" s="1611">
        <v>1</v>
      </c>
      <c r="AI42" s="1611">
        <v>40131</v>
      </c>
      <c r="AJ42" s="1611">
        <v>2120</v>
      </c>
      <c r="AK42" s="1611">
        <v>0</v>
      </c>
      <c r="AL42" s="1611">
        <v>0</v>
      </c>
      <c r="AO42" s="1618"/>
      <c r="AP42" s="1618"/>
      <c r="AQ42" s="1611" t="str">
        <f t="shared" si="0"/>
        <v/>
      </c>
      <c r="AS42" s="1611" t="str">
        <f t="shared" si="1"/>
        <v>wci_corp</v>
      </c>
    </row>
    <row r="43" spans="2:45" s="1611" customFormat="1" ht="12">
      <c r="B43" s="1611" t="s">
        <v>1669</v>
      </c>
      <c r="C43" s="1615">
        <v>42825</v>
      </c>
      <c r="D43" s="1616">
        <v>33.270000000000003</v>
      </c>
      <c r="E43" s="1616">
        <v>0</v>
      </c>
      <c r="F43" s="1617" t="s">
        <v>657</v>
      </c>
      <c r="G43" s="1611" t="s">
        <v>1696</v>
      </c>
      <c r="H43" s="1618" t="s">
        <v>1071</v>
      </c>
      <c r="I43" s="1611" t="s">
        <v>1092</v>
      </c>
      <c r="J43" s="1611" t="s">
        <v>1119</v>
      </c>
      <c r="K43" s="1611" t="s">
        <v>1068</v>
      </c>
      <c r="L43" s="1613"/>
      <c r="M43" s="1613"/>
      <c r="N43" s="1613" t="s">
        <v>1682</v>
      </c>
      <c r="O43" s="1614"/>
      <c r="P43" s="1613"/>
      <c r="Q43" s="1613"/>
      <c r="U43" s="1611" t="s">
        <v>1697</v>
      </c>
      <c r="V43" s="1611" t="s">
        <v>1697</v>
      </c>
      <c r="X43" s="1615">
        <v>42831</v>
      </c>
      <c r="Y43" s="1615">
        <v>42832</v>
      </c>
      <c r="AA43" s="1615"/>
      <c r="AB43" s="1611" t="s">
        <v>1066</v>
      </c>
      <c r="AC43" s="1611">
        <v>0</v>
      </c>
      <c r="AD43" s="1611">
        <v>0</v>
      </c>
      <c r="AE43" s="1611">
        <v>0</v>
      </c>
      <c r="AF43" s="1611">
        <v>0</v>
      </c>
      <c r="AG43" s="1611">
        <v>0</v>
      </c>
      <c r="AH43" s="1611">
        <v>1</v>
      </c>
      <c r="AI43" s="1611">
        <v>40131</v>
      </c>
      <c r="AJ43" s="1611">
        <v>2120</v>
      </c>
      <c r="AK43" s="1611">
        <v>0</v>
      </c>
      <c r="AL43" s="1611">
        <v>0</v>
      </c>
      <c r="AO43" s="1618"/>
      <c r="AP43" s="1618"/>
      <c r="AQ43" s="1611" t="str">
        <f t="shared" si="0"/>
        <v/>
      </c>
      <c r="AS43" s="1611" t="str">
        <f t="shared" si="1"/>
        <v>wci_corp</v>
      </c>
    </row>
    <row r="44" spans="2:45" s="1611" customFormat="1" ht="12">
      <c r="B44" s="1611" t="s">
        <v>1669</v>
      </c>
      <c r="C44" s="1615">
        <v>42855</v>
      </c>
      <c r="D44" s="1616">
        <v>-32.04</v>
      </c>
      <c r="E44" s="1616">
        <v>0</v>
      </c>
      <c r="F44" s="1617" t="s">
        <v>657</v>
      </c>
      <c r="G44" s="1611" t="s">
        <v>1120</v>
      </c>
      <c r="H44" s="1618" t="s">
        <v>1071</v>
      </c>
      <c r="I44" s="1611" t="s">
        <v>1077</v>
      </c>
      <c r="J44" s="1611" t="s">
        <v>1119</v>
      </c>
      <c r="K44" s="1611" t="s">
        <v>1068</v>
      </c>
      <c r="L44" s="1613"/>
      <c r="M44" s="1613"/>
      <c r="N44" s="1613" t="s">
        <v>1680</v>
      </c>
      <c r="O44" s="1614"/>
      <c r="P44" s="1613"/>
      <c r="Q44" s="1613"/>
      <c r="U44" s="1611" t="s">
        <v>1118</v>
      </c>
      <c r="V44" s="1611" t="s">
        <v>1117</v>
      </c>
      <c r="X44" s="1615">
        <v>42831</v>
      </c>
      <c r="Y44" s="1615">
        <v>42831</v>
      </c>
      <c r="AA44" s="1615"/>
      <c r="AB44" s="1611" t="s">
        <v>1066</v>
      </c>
      <c r="AC44" s="1611">
        <v>0</v>
      </c>
      <c r="AD44" s="1611">
        <v>0</v>
      </c>
      <c r="AE44" s="1611">
        <v>0</v>
      </c>
      <c r="AF44" s="1611">
        <v>0</v>
      </c>
      <c r="AG44" s="1611">
        <v>5</v>
      </c>
      <c r="AH44" s="1611">
        <v>1</v>
      </c>
      <c r="AI44" s="1611">
        <v>40131</v>
      </c>
      <c r="AJ44" s="1611">
        <v>2120</v>
      </c>
      <c r="AK44" s="1611">
        <v>0</v>
      </c>
      <c r="AL44" s="1611">
        <v>0</v>
      </c>
      <c r="AO44" s="1618"/>
      <c r="AP44" s="1618"/>
      <c r="AQ44" s="1611" t="str">
        <f t="shared" si="0"/>
        <v/>
      </c>
      <c r="AS44" s="1611" t="str">
        <f t="shared" si="1"/>
        <v>wci_corp</v>
      </c>
    </row>
    <row r="45" spans="2:45" s="1611" customFormat="1" ht="12">
      <c r="B45" s="1611" t="s">
        <v>1669</v>
      </c>
      <c r="C45" s="1615">
        <v>42855</v>
      </c>
      <c r="D45" s="1616">
        <v>-523.69000000000005</v>
      </c>
      <c r="E45" s="1616">
        <v>0</v>
      </c>
      <c r="F45" s="1617" t="s">
        <v>657</v>
      </c>
      <c r="G45" s="1611" t="s">
        <v>1120</v>
      </c>
      <c r="H45" s="1618" t="s">
        <v>1071</v>
      </c>
      <c r="I45" s="1611" t="s">
        <v>1077</v>
      </c>
      <c r="J45" s="1611" t="s">
        <v>1119</v>
      </c>
      <c r="K45" s="1611" t="s">
        <v>1068</v>
      </c>
      <c r="L45" s="1613"/>
      <c r="M45" s="1613"/>
      <c r="N45" s="1613" t="s">
        <v>1680</v>
      </c>
      <c r="O45" s="1614"/>
      <c r="P45" s="1613"/>
      <c r="Q45" s="1613"/>
      <c r="U45" s="1611" t="s">
        <v>1118</v>
      </c>
      <c r="V45" s="1611" t="s">
        <v>1117</v>
      </c>
      <c r="X45" s="1615">
        <v>42831</v>
      </c>
      <c r="Y45" s="1615">
        <v>42831</v>
      </c>
      <c r="AA45" s="1615"/>
      <c r="AB45" s="1611" t="s">
        <v>1066</v>
      </c>
      <c r="AC45" s="1611">
        <v>0</v>
      </c>
      <c r="AD45" s="1611">
        <v>0</v>
      </c>
      <c r="AE45" s="1611">
        <v>0</v>
      </c>
      <c r="AF45" s="1611">
        <v>0</v>
      </c>
      <c r="AG45" s="1611">
        <v>5</v>
      </c>
      <c r="AH45" s="1611">
        <v>1</v>
      </c>
      <c r="AI45" s="1611">
        <v>40131</v>
      </c>
      <c r="AJ45" s="1611">
        <v>2120</v>
      </c>
      <c r="AK45" s="1611">
        <v>0</v>
      </c>
      <c r="AL45" s="1611">
        <v>0</v>
      </c>
      <c r="AO45" s="1618"/>
      <c r="AP45" s="1618"/>
      <c r="AQ45" s="1611" t="str">
        <f t="shared" si="0"/>
        <v/>
      </c>
      <c r="AS45" s="1611" t="str">
        <f t="shared" si="1"/>
        <v>wci_corp</v>
      </c>
    </row>
    <row r="46" spans="2:45" s="1611" customFormat="1" ht="12">
      <c r="B46" s="1611" t="s">
        <v>1669</v>
      </c>
      <c r="C46" s="1615">
        <v>42855</v>
      </c>
      <c r="D46" s="1616">
        <v>-13035</v>
      </c>
      <c r="E46" s="1616">
        <v>0</v>
      </c>
      <c r="F46" s="1617" t="s">
        <v>657</v>
      </c>
      <c r="G46" s="1611" t="s">
        <v>1698</v>
      </c>
      <c r="H46" s="1618" t="s">
        <v>1071</v>
      </c>
      <c r="I46" s="1611" t="s">
        <v>1092</v>
      </c>
      <c r="J46" s="1611" t="s">
        <v>1302</v>
      </c>
      <c r="K46" s="1611" t="s">
        <v>1068</v>
      </c>
      <c r="L46" s="1613"/>
      <c r="M46" s="1613"/>
      <c r="N46" s="1613" t="s">
        <v>1681</v>
      </c>
      <c r="O46" s="1614"/>
      <c r="P46" s="1613"/>
      <c r="Q46" s="1613"/>
      <c r="U46" s="1611" t="s">
        <v>1697</v>
      </c>
      <c r="V46" s="1611" t="s">
        <v>1699</v>
      </c>
      <c r="X46" s="1615">
        <v>42832</v>
      </c>
      <c r="Y46" s="1615">
        <v>42832</v>
      </c>
      <c r="AA46" s="1615"/>
      <c r="AB46" s="1611" t="s">
        <v>1066</v>
      </c>
      <c r="AC46" s="1611">
        <v>0</v>
      </c>
      <c r="AD46" s="1611">
        <v>0</v>
      </c>
      <c r="AE46" s="1611">
        <v>0</v>
      </c>
      <c r="AF46" s="1611">
        <v>0</v>
      </c>
      <c r="AG46" s="1611">
        <v>5</v>
      </c>
      <c r="AH46" s="1611">
        <v>1</v>
      </c>
      <c r="AI46" s="1611">
        <v>40131</v>
      </c>
      <c r="AJ46" s="1611">
        <v>2120</v>
      </c>
      <c r="AK46" s="1611">
        <v>0</v>
      </c>
      <c r="AL46" s="1611">
        <v>0</v>
      </c>
      <c r="AO46" s="1618"/>
      <c r="AP46" s="1618"/>
      <c r="AQ46" s="1611" t="str">
        <f t="shared" si="0"/>
        <v/>
      </c>
      <c r="AS46" s="1611" t="str">
        <f t="shared" si="1"/>
        <v>wci_corp</v>
      </c>
    </row>
    <row r="47" spans="2:45" s="1611" customFormat="1" ht="12">
      <c r="B47" s="1611" t="s">
        <v>1669</v>
      </c>
      <c r="C47" s="1615">
        <v>42855</v>
      </c>
      <c r="D47" s="1616">
        <v>-33.270000000000003</v>
      </c>
      <c r="E47" s="1616">
        <v>0</v>
      </c>
      <c r="F47" s="1617" t="s">
        <v>657</v>
      </c>
      <c r="G47" s="1611" t="s">
        <v>1698</v>
      </c>
      <c r="H47" s="1618" t="s">
        <v>1071</v>
      </c>
      <c r="I47" s="1611" t="s">
        <v>1092</v>
      </c>
      <c r="J47" s="1611" t="s">
        <v>1302</v>
      </c>
      <c r="K47" s="1611" t="s">
        <v>1068</v>
      </c>
      <c r="L47" s="1613"/>
      <c r="M47" s="1613"/>
      <c r="N47" s="1613" t="s">
        <v>1682</v>
      </c>
      <c r="O47" s="1614"/>
      <c r="P47" s="1613"/>
      <c r="Q47" s="1613"/>
      <c r="U47" s="1611" t="s">
        <v>1697</v>
      </c>
      <c r="V47" s="1611" t="s">
        <v>1699</v>
      </c>
      <c r="X47" s="1615">
        <v>42832</v>
      </c>
      <c r="Y47" s="1615">
        <v>42832</v>
      </c>
      <c r="AA47" s="1615"/>
      <c r="AB47" s="1611" t="s">
        <v>1066</v>
      </c>
      <c r="AC47" s="1611">
        <v>0</v>
      </c>
      <c r="AD47" s="1611">
        <v>0</v>
      </c>
      <c r="AE47" s="1611">
        <v>0</v>
      </c>
      <c r="AF47" s="1611">
        <v>0</v>
      </c>
      <c r="AG47" s="1611">
        <v>5</v>
      </c>
      <c r="AH47" s="1611">
        <v>1</v>
      </c>
      <c r="AI47" s="1611">
        <v>40131</v>
      </c>
      <c r="AJ47" s="1611">
        <v>2120</v>
      </c>
      <c r="AK47" s="1611">
        <v>0</v>
      </c>
      <c r="AL47" s="1611">
        <v>0</v>
      </c>
      <c r="AO47" s="1618"/>
      <c r="AP47" s="1618"/>
      <c r="AQ47" s="1611" t="str">
        <f t="shared" si="0"/>
        <v/>
      </c>
      <c r="AS47" s="1611" t="str">
        <f t="shared" si="1"/>
        <v>wci_corp</v>
      </c>
    </row>
    <row r="48" spans="2:45" s="1611" customFormat="1" ht="12">
      <c r="B48" s="1611" t="s">
        <v>1669</v>
      </c>
      <c r="C48" s="1615">
        <v>42855</v>
      </c>
      <c r="D48" s="1616">
        <v>32.04</v>
      </c>
      <c r="E48" s="1616">
        <v>0</v>
      </c>
      <c r="F48" s="1617" t="s">
        <v>657</v>
      </c>
      <c r="G48" s="1611" t="s">
        <v>1116</v>
      </c>
      <c r="H48" s="1618" t="s">
        <v>1071</v>
      </c>
      <c r="I48" s="1611" t="s">
        <v>1115</v>
      </c>
      <c r="J48" s="1611" t="s">
        <v>1084</v>
      </c>
      <c r="K48" s="1611" t="s">
        <v>1068</v>
      </c>
      <c r="L48" s="1613"/>
      <c r="M48" s="1613"/>
      <c r="N48" s="1613" t="s">
        <v>1680</v>
      </c>
      <c r="O48" s="1614"/>
      <c r="P48" s="1613"/>
      <c r="Q48" s="1613"/>
      <c r="U48" s="1611" t="s">
        <v>1114</v>
      </c>
      <c r="V48" s="1611" t="s">
        <v>1114</v>
      </c>
      <c r="X48" s="1615">
        <v>42857</v>
      </c>
      <c r="Y48" s="1615">
        <v>42858</v>
      </c>
      <c r="AA48" s="1615"/>
      <c r="AB48" s="1611" t="s">
        <v>1066</v>
      </c>
      <c r="AC48" s="1611">
        <v>0</v>
      </c>
      <c r="AD48" s="1611">
        <v>0</v>
      </c>
      <c r="AE48" s="1611">
        <v>0</v>
      </c>
      <c r="AF48" s="1611">
        <v>0</v>
      </c>
      <c r="AG48" s="1611">
        <v>0</v>
      </c>
      <c r="AH48" s="1611">
        <v>1</v>
      </c>
      <c r="AI48" s="1611">
        <v>40131</v>
      </c>
      <c r="AJ48" s="1611">
        <v>2120</v>
      </c>
      <c r="AK48" s="1611">
        <v>0</v>
      </c>
      <c r="AL48" s="1611">
        <v>0</v>
      </c>
      <c r="AO48" s="1618"/>
      <c r="AP48" s="1618"/>
      <c r="AQ48" s="1611" t="str">
        <f t="shared" si="0"/>
        <v/>
      </c>
      <c r="AS48" s="1611" t="str">
        <f t="shared" si="1"/>
        <v>wci_corp</v>
      </c>
    </row>
    <row r="49" spans="2:45" s="1611" customFormat="1" ht="12">
      <c r="B49" s="1611" t="s">
        <v>1669</v>
      </c>
      <c r="C49" s="1615">
        <v>42855</v>
      </c>
      <c r="D49" s="1616">
        <v>523.69000000000005</v>
      </c>
      <c r="E49" s="1616">
        <v>0</v>
      </c>
      <c r="F49" s="1617" t="s">
        <v>657</v>
      </c>
      <c r="G49" s="1611" t="s">
        <v>1116</v>
      </c>
      <c r="H49" s="1618" t="s">
        <v>1071</v>
      </c>
      <c r="I49" s="1611" t="s">
        <v>1115</v>
      </c>
      <c r="J49" s="1611" t="s">
        <v>1084</v>
      </c>
      <c r="K49" s="1611" t="s">
        <v>1068</v>
      </c>
      <c r="L49" s="1613"/>
      <c r="M49" s="1613"/>
      <c r="N49" s="1613" t="s">
        <v>1680</v>
      </c>
      <c r="O49" s="1614"/>
      <c r="P49" s="1613"/>
      <c r="Q49" s="1613"/>
      <c r="U49" s="1611" t="s">
        <v>1114</v>
      </c>
      <c r="V49" s="1611" t="s">
        <v>1114</v>
      </c>
      <c r="X49" s="1615">
        <v>42857</v>
      </c>
      <c r="Y49" s="1615">
        <v>42858</v>
      </c>
      <c r="AA49" s="1615"/>
      <c r="AB49" s="1611" t="s">
        <v>1066</v>
      </c>
      <c r="AC49" s="1611">
        <v>0</v>
      </c>
      <c r="AD49" s="1611">
        <v>0</v>
      </c>
      <c r="AE49" s="1611">
        <v>0</v>
      </c>
      <c r="AF49" s="1611">
        <v>0</v>
      </c>
      <c r="AG49" s="1611">
        <v>0</v>
      </c>
      <c r="AH49" s="1611">
        <v>1</v>
      </c>
      <c r="AI49" s="1611">
        <v>40131</v>
      </c>
      <c r="AJ49" s="1611">
        <v>2120</v>
      </c>
      <c r="AK49" s="1611">
        <v>0</v>
      </c>
      <c r="AL49" s="1611">
        <v>0</v>
      </c>
      <c r="AO49" s="1618"/>
      <c r="AP49" s="1618"/>
      <c r="AQ49" s="1611" t="str">
        <f t="shared" si="0"/>
        <v/>
      </c>
      <c r="AS49" s="1611" t="str">
        <f t="shared" si="1"/>
        <v>wci_corp</v>
      </c>
    </row>
    <row r="50" spans="2:45" s="1611" customFormat="1" ht="12">
      <c r="B50" s="1611" t="s">
        <v>1669</v>
      </c>
      <c r="C50" s="1615">
        <v>42855</v>
      </c>
      <c r="D50" s="1616">
        <v>13034.05</v>
      </c>
      <c r="E50" s="1616">
        <v>0</v>
      </c>
      <c r="F50" s="1617" t="s">
        <v>657</v>
      </c>
      <c r="G50" s="1611" t="s">
        <v>1357</v>
      </c>
      <c r="H50" s="1618" t="s">
        <v>1071</v>
      </c>
      <c r="I50" s="1611" t="s">
        <v>1092</v>
      </c>
      <c r="J50" s="1611" t="s">
        <v>1084</v>
      </c>
      <c r="K50" s="1611" t="s">
        <v>1068</v>
      </c>
      <c r="L50" s="1613"/>
      <c r="M50" s="1613"/>
      <c r="N50" s="1613" t="s">
        <v>1700</v>
      </c>
      <c r="O50" s="1614"/>
      <c r="P50" s="1613"/>
      <c r="Q50" s="1613"/>
      <c r="U50" s="1611" t="s">
        <v>1358</v>
      </c>
      <c r="V50" s="1611" t="s">
        <v>1358</v>
      </c>
      <c r="X50" s="1615">
        <v>42859</v>
      </c>
      <c r="Y50" s="1615">
        <v>42860</v>
      </c>
      <c r="AA50" s="1615"/>
      <c r="AB50" s="1611" t="s">
        <v>1066</v>
      </c>
      <c r="AC50" s="1611">
        <v>0</v>
      </c>
      <c r="AD50" s="1611">
        <v>0</v>
      </c>
      <c r="AE50" s="1611">
        <v>0</v>
      </c>
      <c r="AF50" s="1611">
        <v>0</v>
      </c>
      <c r="AG50" s="1611">
        <v>0</v>
      </c>
      <c r="AH50" s="1611">
        <v>1</v>
      </c>
      <c r="AI50" s="1611">
        <v>40131</v>
      </c>
      <c r="AJ50" s="1611">
        <v>2120</v>
      </c>
      <c r="AK50" s="1611">
        <v>0</v>
      </c>
      <c r="AL50" s="1611">
        <v>0</v>
      </c>
      <c r="AO50" s="1618"/>
      <c r="AP50" s="1618"/>
      <c r="AQ50" s="1611" t="str">
        <f t="shared" si="0"/>
        <v/>
      </c>
      <c r="AS50" s="1611" t="str">
        <f t="shared" si="1"/>
        <v>wci_corp</v>
      </c>
    </row>
    <row r="51" spans="2:45" s="1611" customFormat="1" ht="12">
      <c r="B51" s="1611" t="s">
        <v>1669</v>
      </c>
      <c r="C51" s="1615">
        <v>42855</v>
      </c>
      <c r="D51" s="1616">
        <v>14142</v>
      </c>
      <c r="E51" s="1616">
        <v>0</v>
      </c>
      <c r="F51" s="1617" t="s">
        <v>657</v>
      </c>
      <c r="G51" s="1611" t="s">
        <v>1357</v>
      </c>
      <c r="H51" s="1618" t="s">
        <v>1071</v>
      </c>
      <c r="I51" s="1611" t="s">
        <v>1092</v>
      </c>
      <c r="J51" s="1611" t="s">
        <v>1084</v>
      </c>
      <c r="K51" s="1611" t="s">
        <v>1068</v>
      </c>
      <c r="L51" s="1613"/>
      <c r="M51" s="1613"/>
      <c r="N51" s="1613" t="s">
        <v>1681</v>
      </c>
      <c r="O51" s="1614"/>
      <c r="P51" s="1613"/>
      <c r="Q51" s="1613"/>
      <c r="U51" s="1611" t="s">
        <v>1358</v>
      </c>
      <c r="V51" s="1611" t="s">
        <v>1358</v>
      </c>
      <c r="X51" s="1615">
        <v>42859</v>
      </c>
      <c r="Y51" s="1615">
        <v>42860</v>
      </c>
      <c r="AA51" s="1615"/>
      <c r="AB51" s="1611" t="s">
        <v>1066</v>
      </c>
      <c r="AC51" s="1611">
        <v>0</v>
      </c>
      <c r="AD51" s="1611">
        <v>0</v>
      </c>
      <c r="AE51" s="1611">
        <v>0</v>
      </c>
      <c r="AF51" s="1611">
        <v>0</v>
      </c>
      <c r="AG51" s="1611">
        <v>0</v>
      </c>
      <c r="AH51" s="1611">
        <v>1</v>
      </c>
      <c r="AI51" s="1611">
        <v>40131</v>
      </c>
      <c r="AJ51" s="1611">
        <v>2120</v>
      </c>
      <c r="AK51" s="1611">
        <v>0</v>
      </c>
      <c r="AL51" s="1611">
        <v>0</v>
      </c>
      <c r="AO51" s="1618"/>
      <c r="AP51" s="1618"/>
      <c r="AQ51" s="1611" t="str">
        <f t="shared" si="0"/>
        <v/>
      </c>
      <c r="AS51" s="1611" t="str">
        <f t="shared" si="1"/>
        <v>wci_corp</v>
      </c>
    </row>
    <row r="52" spans="2:45" s="1611" customFormat="1" ht="12">
      <c r="B52" s="1611" t="s">
        <v>1669</v>
      </c>
      <c r="C52" s="1615">
        <v>42855</v>
      </c>
      <c r="D52" s="1616">
        <v>671</v>
      </c>
      <c r="E52" s="1616">
        <v>0</v>
      </c>
      <c r="F52" s="1617" t="s">
        <v>657</v>
      </c>
      <c r="G52" s="1611" t="s">
        <v>1357</v>
      </c>
      <c r="H52" s="1618" t="s">
        <v>1071</v>
      </c>
      <c r="I52" s="1611" t="s">
        <v>1092</v>
      </c>
      <c r="J52" s="1611" t="s">
        <v>1084</v>
      </c>
      <c r="K52" s="1611" t="s">
        <v>1068</v>
      </c>
      <c r="L52" s="1613"/>
      <c r="M52" s="1613"/>
      <c r="N52" s="1613" t="s">
        <v>1682</v>
      </c>
      <c r="O52" s="1614"/>
      <c r="P52" s="1613"/>
      <c r="Q52" s="1613"/>
      <c r="U52" s="1611" t="s">
        <v>1358</v>
      </c>
      <c r="V52" s="1611" t="s">
        <v>1358</v>
      </c>
      <c r="X52" s="1615">
        <v>42859</v>
      </c>
      <c r="Y52" s="1615">
        <v>42860</v>
      </c>
      <c r="AA52" s="1615"/>
      <c r="AB52" s="1611" t="s">
        <v>1066</v>
      </c>
      <c r="AC52" s="1611">
        <v>0</v>
      </c>
      <c r="AD52" s="1611">
        <v>0</v>
      </c>
      <c r="AE52" s="1611">
        <v>0</v>
      </c>
      <c r="AF52" s="1611">
        <v>0</v>
      </c>
      <c r="AG52" s="1611">
        <v>0</v>
      </c>
      <c r="AH52" s="1611">
        <v>1</v>
      </c>
      <c r="AI52" s="1611">
        <v>40131</v>
      </c>
      <c r="AJ52" s="1611">
        <v>2120</v>
      </c>
      <c r="AK52" s="1611">
        <v>0</v>
      </c>
      <c r="AL52" s="1611">
        <v>0</v>
      </c>
      <c r="AO52" s="1618"/>
      <c r="AP52" s="1618"/>
      <c r="AQ52" s="1611" t="str">
        <f t="shared" si="0"/>
        <v/>
      </c>
      <c r="AS52" s="1611" t="str">
        <f t="shared" si="1"/>
        <v>wci_corp</v>
      </c>
    </row>
    <row r="53" spans="2:45" s="1611" customFormat="1" ht="12">
      <c r="B53" s="1611" t="s">
        <v>1669</v>
      </c>
      <c r="C53" s="1615">
        <v>42858</v>
      </c>
      <c r="D53" s="1616">
        <v>13034.05</v>
      </c>
      <c r="E53" s="1616">
        <v>0</v>
      </c>
      <c r="F53" s="1617" t="s">
        <v>657</v>
      </c>
      <c r="G53" s="1611" t="s">
        <v>1701</v>
      </c>
      <c r="H53" s="1618" t="s">
        <v>1071</v>
      </c>
      <c r="I53" s="1611" t="s">
        <v>1099</v>
      </c>
      <c r="J53" s="1611" t="s">
        <v>1243</v>
      </c>
      <c r="K53" s="1611" t="s">
        <v>1068</v>
      </c>
      <c r="L53" s="1613" t="s">
        <v>1671</v>
      </c>
      <c r="M53" s="1613"/>
      <c r="N53" s="1613" t="s">
        <v>1672</v>
      </c>
      <c r="O53" s="1614">
        <v>42830</v>
      </c>
      <c r="P53" s="1613" t="s">
        <v>1684</v>
      </c>
      <c r="Q53" s="1613" t="s">
        <v>1702</v>
      </c>
      <c r="R53" s="1611" t="s">
        <v>1686</v>
      </c>
      <c r="U53" s="1611" t="s">
        <v>1703</v>
      </c>
      <c r="V53" s="1611" t="s">
        <v>1704</v>
      </c>
      <c r="W53" s="1611">
        <v>2195</v>
      </c>
      <c r="X53" s="1615">
        <v>42858</v>
      </c>
      <c r="Y53" s="1615">
        <v>42858</v>
      </c>
      <c r="Z53" s="1611">
        <v>13034</v>
      </c>
      <c r="AA53" s="1615">
        <v>42850</v>
      </c>
      <c r="AB53" s="1611" t="s">
        <v>1066</v>
      </c>
      <c r="AC53" s="1611">
        <v>0</v>
      </c>
      <c r="AD53" s="1611">
        <v>0</v>
      </c>
      <c r="AE53" s="1611">
        <v>0</v>
      </c>
      <c r="AF53" s="1611">
        <v>0</v>
      </c>
      <c r="AG53" s="1611">
        <v>0</v>
      </c>
      <c r="AH53" s="1611">
        <v>1</v>
      </c>
      <c r="AI53" s="1611">
        <v>40131</v>
      </c>
      <c r="AJ53" s="1611">
        <v>2120</v>
      </c>
      <c r="AK53" s="1611">
        <v>0</v>
      </c>
      <c r="AL53" s="1611">
        <v>0</v>
      </c>
      <c r="AO53" s="1618"/>
      <c r="AP53" s="1618"/>
      <c r="AQ53" s="1611" t="str">
        <f t="shared" si="0"/>
        <v>VO04277981</v>
      </c>
      <c r="AS53" s="1611" t="str">
        <f t="shared" si="1"/>
        <v>wci_corp</v>
      </c>
    </row>
    <row r="54" spans="2:45" s="1611" customFormat="1" ht="12">
      <c r="B54" s="1611" t="s">
        <v>1669</v>
      </c>
      <c r="C54" s="1615">
        <v>42874</v>
      </c>
      <c r="D54" s="1616">
        <v>14141.98</v>
      </c>
      <c r="E54" s="1616">
        <v>0</v>
      </c>
      <c r="F54" s="1617" t="s">
        <v>657</v>
      </c>
      <c r="G54" s="1611" t="s">
        <v>1705</v>
      </c>
      <c r="H54" s="1618" t="s">
        <v>1071</v>
      </c>
      <c r="I54" s="1611" t="s">
        <v>1099</v>
      </c>
      <c r="J54" s="1611" t="s">
        <v>1243</v>
      </c>
      <c r="K54" s="1611" t="s">
        <v>1068</v>
      </c>
      <c r="L54" s="1613" t="s">
        <v>1671</v>
      </c>
      <c r="M54" s="1613"/>
      <c r="N54" s="1613" t="s">
        <v>1672</v>
      </c>
      <c r="O54" s="1614">
        <v>42859</v>
      </c>
      <c r="P54" s="1613" t="s">
        <v>1684</v>
      </c>
      <c r="Q54" s="1613" t="s">
        <v>1706</v>
      </c>
      <c r="R54" s="1611" t="s">
        <v>1686</v>
      </c>
      <c r="U54" s="1611" t="s">
        <v>1707</v>
      </c>
      <c r="V54" s="1611" t="s">
        <v>1708</v>
      </c>
      <c r="W54" s="1611">
        <v>2195</v>
      </c>
      <c r="X54" s="1615">
        <v>42874</v>
      </c>
      <c r="Y54" s="1615">
        <v>42874</v>
      </c>
      <c r="Z54" s="1611">
        <v>14142</v>
      </c>
      <c r="AA54" s="1615">
        <v>42879</v>
      </c>
      <c r="AB54" s="1611" t="s">
        <v>1066</v>
      </c>
      <c r="AC54" s="1611">
        <v>0</v>
      </c>
      <c r="AD54" s="1611">
        <v>0</v>
      </c>
      <c r="AE54" s="1611">
        <v>0</v>
      </c>
      <c r="AF54" s="1611">
        <v>0</v>
      </c>
      <c r="AG54" s="1611">
        <v>0</v>
      </c>
      <c r="AH54" s="1611">
        <v>1</v>
      </c>
      <c r="AI54" s="1611">
        <v>40131</v>
      </c>
      <c r="AJ54" s="1611">
        <v>2120</v>
      </c>
      <c r="AK54" s="1611">
        <v>0</v>
      </c>
      <c r="AL54" s="1611">
        <v>0</v>
      </c>
      <c r="AO54" s="1618"/>
      <c r="AP54" s="1618"/>
      <c r="AQ54" s="1611" t="str">
        <f t="shared" si="0"/>
        <v>VO04296002</v>
      </c>
      <c r="AS54" s="1611" t="str">
        <f t="shared" si="1"/>
        <v>wci_corp</v>
      </c>
    </row>
    <row r="55" spans="2:45" s="1611" customFormat="1" ht="12">
      <c r="B55" s="1611" t="s">
        <v>1669</v>
      </c>
      <c r="C55" s="1615">
        <v>42886</v>
      </c>
      <c r="D55" s="1616">
        <v>-13034.05</v>
      </c>
      <c r="E55" s="1616">
        <v>0</v>
      </c>
      <c r="F55" s="1617" t="s">
        <v>657</v>
      </c>
      <c r="G55" s="1611" t="s">
        <v>1359</v>
      </c>
      <c r="H55" s="1618" t="s">
        <v>1071</v>
      </c>
      <c r="I55" s="1611" t="s">
        <v>1092</v>
      </c>
      <c r="J55" s="1611" t="s">
        <v>1302</v>
      </c>
      <c r="K55" s="1611" t="s">
        <v>1068</v>
      </c>
      <c r="L55" s="1613"/>
      <c r="M55" s="1613"/>
      <c r="N55" s="1613" t="s">
        <v>1700</v>
      </c>
      <c r="O55" s="1614"/>
      <c r="P55" s="1613"/>
      <c r="Q55" s="1613"/>
      <c r="U55" s="1611" t="s">
        <v>1358</v>
      </c>
      <c r="V55" s="1611" t="s">
        <v>1360</v>
      </c>
      <c r="X55" s="1615">
        <v>42860</v>
      </c>
      <c r="Y55" s="1615">
        <v>42860</v>
      </c>
      <c r="AA55" s="1615"/>
      <c r="AB55" s="1611" t="s">
        <v>1066</v>
      </c>
      <c r="AC55" s="1611">
        <v>0</v>
      </c>
      <c r="AD55" s="1611">
        <v>0</v>
      </c>
      <c r="AE55" s="1611">
        <v>0</v>
      </c>
      <c r="AF55" s="1611">
        <v>0</v>
      </c>
      <c r="AG55" s="1611">
        <v>5</v>
      </c>
      <c r="AH55" s="1611">
        <v>1</v>
      </c>
      <c r="AI55" s="1611">
        <v>40131</v>
      </c>
      <c r="AJ55" s="1611">
        <v>2120</v>
      </c>
      <c r="AK55" s="1611">
        <v>0</v>
      </c>
      <c r="AL55" s="1611">
        <v>0</v>
      </c>
      <c r="AO55" s="1618"/>
      <c r="AP55" s="1618"/>
      <c r="AQ55" s="1611" t="str">
        <f t="shared" si="0"/>
        <v/>
      </c>
      <c r="AS55" s="1611" t="str">
        <f t="shared" si="1"/>
        <v>wci_corp</v>
      </c>
    </row>
    <row r="56" spans="2:45" s="1611" customFormat="1" ht="12">
      <c r="B56" s="1611" t="s">
        <v>1669</v>
      </c>
      <c r="C56" s="1615">
        <v>42886</v>
      </c>
      <c r="D56" s="1616">
        <v>-14142</v>
      </c>
      <c r="E56" s="1616">
        <v>0</v>
      </c>
      <c r="F56" s="1617" t="s">
        <v>657</v>
      </c>
      <c r="G56" s="1611" t="s">
        <v>1359</v>
      </c>
      <c r="H56" s="1618" t="s">
        <v>1071</v>
      </c>
      <c r="I56" s="1611" t="s">
        <v>1092</v>
      </c>
      <c r="J56" s="1611" t="s">
        <v>1302</v>
      </c>
      <c r="K56" s="1611" t="s">
        <v>1068</v>
      </c>
      <c r="L56" s="1613"/>
      <c r="M56" s="1613"/>
      <c r="N56" s="1613" t="s">
        <v>1681</v>
      </c>
      <c r="O56" s="1614"/>
      <c r="P56" s="1613"/>
      <c r="Q56" s="1613"/>
      <c r="U56" s="1611" t="s">
        <v>1358</v>
      </c>
      <c r="V56" s="1611" t="s">
        <v>1360</v>
      </c>
      <c r="X56" s="1615">
        <v>42860</v>
      </c>
      <c r="Y56" s="1615">
        <v>42860</v>
      </c>
      <c r="AA56" s="1615"/>
      <c r="AB56" s="1611" t="s">
        <v>1066</v>
      </c>
      <c r="AC56" s="1611">
        <v>0</v>
      </c>
      <c r="AD56" s="1611">
        <v>0</v>
      </c>
      <c r="AE56" s="1611">
        <v>0</v>
      </c>
      <c r="AF56" s="1611">
        <v>0</v>
      </c>
      <c r="AG56" s="1611">
        <v>5</v>
      </c>
      <c r="AH56" s="1611">
        <v>1</v>
      </c>
      <c r="AI56" s="1611">
        <v>40131</v>
      </c>
      <c r="AJ56" s="1611">
        <v>2120</v>
      </c>
      <c r="AK56" s="1611">
        <v>0</v>
      </c>
      <c r="AL56" s="1611">
        <v>0</v>
      </c>
      <c r="AO56" s="1618"/>
      <c r="AP56" s="1618"/>
      <c r="AQ56" s="1611" t="str">
        <f t="shared" si="0"/>
        <v/>
      </c>
      <c r="AS56" s="1611" t="str">
        <f t="shared" si="1"/>
        <v>wci_corp</v>
      </c>
    </row>
    <row r="57" spans="2:45" s="1611" customFormat="1" ht="12">
      <c r="B57" s="1611" t="s">
        <v>1669</v>
      </c>
      <c r="C57" s="1615">
        <v>42886</v>
      </c>
      <c r="D57" s="1616">
        <v>-671</v>
      </c>
      <c r="E57" s="1616">
        <v>0</v>
      </c>
      <c r="F57" s="1617" t="s">
        <v>657</v>
      </c>
      <c r="G57" s="1611" t="s">
        <v>1359</v>
      </c>
      <c r="H57" s="1618" t="s">
        <v>1071</v>
      </c>
      <c r="I57" s="1611" t="s">
        <v>1092</v>
      </c>
      <c r="J57" s="1611" t="s">
        <v>1302</v>
      </c>
      <c r="K57" s="1611" t="s">
        <v>1068</v>
      </c>
      <c r="L57" s="1613"/>
      <c r="M57" s="1613"/>
      <c r="N57" s="1613" t="s">
        <v>1682</v>
      </c>
      <c r="O57" s="1614"/>
      <c r="P57" s="1613"/>
      <c r="Q57" s="1613"/>
      <c r="U57" s="1611" t="s">
        <v>1358</v>
      </c>
      <c r="V57" s="1611" t="s">
        <v>1360</v>
      </c>
      <c r="X57" s="1615">
        <v>42860</v>
      </c>
      <c r="Y57" s="1615">
        <v>42860</v>
      </c>
      <c r="AA57" s="1615"/>
      <c r="AB57" s="1611" t="s">
        <v>1066</v>
      </c>
      <c r="AC57" s="1611">
        <v>0</v>
      </c>
      <c r="AD57" s="1611">
        <v>0</v>
      </c>
      <c r="AE57" s="1611">
        <v>0</v>
      </c>
      <c r="AF57" s="1611">
        <v>0</v>
      </c>
      <c r="AG57" s="1611">
        <v>5</v>
      </c>
      <c r="AH57" s="1611">
        <v>1</v>
      </c>
      <c r="AI57" s="1611">
        <v>40131</v>
      </c>
      <c r="AJ57" s="1611">
        <v>2120</v>
      </c>
      <c r="AK57" s="1611">
        <v>0</v>
      </c>
      <c r="AL57" s="1611">
        <v>0</v>
      </c>
      <c r="AO57" s="1618"/>
      <c r="AP57" s="1618"/>
      <c r="AQ57" s="1611" t="str">
        <f t="shared" si="0"/>
        <v/>
      </c>
      <c r="AS57" s="1611" t="str">
        <f t="shared" si="1"/>
        <v>wci_corp</v>
      </c>
    </row>
    <row r="58" spans="2:45" s="1611" customFormat="1" ht="12">
      <c r="B58" s="1611" t="s">
        <v>1669</v>
      </c>
      <c r="C58" s="1615">
        <v>42886</v>
      </c>
      <c r="D58" s="1616">
        <v>627.24</v>
      </c>
      <c r="E58" s="1616">
        <v>0</v>
      </c>
      <c r="F58" s="1617" t="s">
        <v>657</v>
      </c>
      <c r="G58" s="1611" t="s">
        <v>1709</v>
      </c>
      <c r="H58" s="1618" t="s">
        <v>1071</v>
      </c>
      <c r="I58" s="1611" t="s">
        <v>1710</v>
      </c>
      <c r="J58" s="1611" t="s">
        <v>1302</v>
      </c>
      <c r="K58" s="1611" t="s">
        <v>1068</v>
      </c>
      <c r="L58" s="1613"/>
      <c r="M58" s="1613"/>
      <c r="N58" s="1613" t="s">
        <v>1680</v>
      </c>
      <c r="O58" s="1614"/>
      <c r="P58" s="1613"/>
      <c r="Q58" s="1613"/>
      <c r="U58" s="1611" t="s">
        <v>1711</v>
      </c>
      <c r="V58" s="1611" t="s">
        <v>1711</v>
      </c>
      <c r="X58" s="1615">
        <v>42891</v>
      </c>
      <c r="Y58" s="1615">
        <v>42891</v>
      </c>
      <c r="AA58" s="1615"/>
      <c r="AB58" s="1611" t="s">
        <v>1066</v>
      </c>
      <c r="AC58" s="1611">
        <v>0</v>
      </c>
      <c r="AD58" s="1611">
        <v>0</v>
      </c>
      <c r="AE58" s="1611">
        <v>0</v>
      </c>
      <c r="AF58" s="1611">
        <v>0</v>
      </c>
      <c r="AG58" s="1611">
        <v>0</v>
      </c>
      <c r="AH58" s="1611">
        <v>1</v>
      </c>
      <c r="AI58" s="1611">
        <v>40131</v>
      </c>
      <c r="AJ58" s="1611">
        <v>2120</v>
      </c>
      <c r="AK58" s="1611">
        <v>0</v>
      </c>
      <c r="AL58" s="1611">
        <v>0</v>
      </c>
      <c r="AO58" s="1618"/>
      <c r="AP58" s="1618"/>
      <c r="AQ58" s="1611" t="str">
        <f t="shared" si="0"/>
        <v/>
      </c>
      <c r="AS58" s="1611" t="str">
        <f t="shared" si="1"/>
        <v>wci_corp</v>
      </c>
    </row>
    <row r="59" spans="2:45" s="1611" customFormat="1" ht="12">
      <c r="B59" s="1611" t="s">
        <v>1669</v>
      </c>
      <c r="C59" s="1615">
        <v>42886</v>
      </c>
      <c r="D59" s="1616">
        <v>20.72</v>
      </c>
      <c r="E59" s="1616">
        <v>0</v>
      </c>
      <c r="F59" s="1617" t="s">
        <v>657</v>
      </c>
      <c r="G59" s="1611" t="s">
        <v>1709</v>
      </c>
      <c r="H59" s="1618" t="s">
        <v>1071</v>
      </c>
      <c r="I59" s="1611" t="s">
        <v>1710</v>
      </c>
      <c r="J59" s="1611" t="s">
        <v>1302</v>
      </c>
      <c r="K59" s="1611" t="s">
        <v>1068</v>
      </c>
      <c r="L59" s="1613"/>
      <c r="M59" s="1613"/>
      <c r="N59" s="1613" t="s">
        <v>1680</v>
      </c>
      <c r="O59" s="1614"/>
      <c r="P59" s="1613"/>
      <c r="Q59" s="1613"/>
      <c r="U59" s="1611" t="s">
        <v>1711</v>
      </c>
      <c r="V59" s="1611" t="s">
        <v>1711</v>
      </c>
      <c r="X59" s="1615">
        <v>42891</v>
      </c>
      <c r="Y59" s="1615">
        <v>42891</v>
      </c>
      <c r="AA59" s="1615"/>
      <c r="AB59" s="1611" t="s">
        <v>1066</v>
      </c>
      <c r="AC59" s="1611">
        <v>0</v>
      </c>
      <c r="AD59" s="1611">
        <v>0</v>
      </c>
      <c r="AE59" s="1611">
        <v>0</v>
      </c>
      <c r="AF59" s="1611">
        <v>0</v>
      </c>
      <c r="AG59" s="1611">
        <v>0</v>
      </c>
      <c r="AH59" s="1611">
        <v>1</v>
      </c>
      <c r="AI59" s="1611">
        <v>40131</v>
      </c>
      <c r="AJ59" s="1611">
        <v>2120</v>
      </c>
      <c r="AK59" s="1611">
        <v>0</v>
      </c>
      <c r="AL59" s="1611">
        <v>0</v>
      </c>
      <c r="AO59" s="1618"/>
      <c r="AP59" s="1618"/>
      <c r="AQ59" s="1611" t="str">
        <f t="shared" si="0"/>
        <v/>
      </c>
      <c r="AS59" s="1611" t="str">
        <f t="shared" si="1"/>
        <v>wci_corp</v>
      </c>
    </row>
    <row r="60" spans="2:45" s="1611" customFormat="1" ht="12">
      <c r="B60" s="1611" t="s">
        <v>1669</v>
      </c>
      <c r="C60" s="1615">
        <v>42886</v>
      </c>
      <c r="D60" s="1616">
        <v>12881</v>
      </c>
      <c r="E60" s="1616">
        <v>0</v>
      </c>
      <c r="F60" s="1617" t="s">
        <v>657</v>
      </c>
      <c r="G60" s="1611" t="s">
        <v>1615</v>
      </c>
      <c r="H60" s="1618" t="s">
        <v>1071</v>
      </c>
      <c r="I60" s="1611" t="s">
        <v>1092</v>
      </c>
      <c r="J60" s="1611" t="s">
        <v>1084</v>
      </c>
      <c r="K60" s="1611" t="s">
        <v>1068</v>
      </c>
      <c r="L60" s="1613"/>
      <c r="M60" s="1613"/>
      <c r="N60" s="1613" t="s">
        <v>1681</v>
      </c>
      <c r="O60" s="1614"/>
      <c r="P60" s="1613"/>
      <c r="Q60" s="1613"/>
      <c r="U60" s="1611" t="s">
        <v>1616</v>
      </c>
      <c r="V60" s="1611" t="s">
        <v>1616</v>
      </c>
      <c r="X60" s="1615">
        <v>42892</v>
      </c>
      <c r="Y60" s="1615">
        <v>42892</v>
      </c>
      <c r="AA60" s="1615"/>
      <c r="AB60" s="1611" t="s">
        <v>1066</v>
      </c>
      <c r="AC60" s="1611">
        <v>0</v>
      </c>
      <c r="AD60" s="1611">
        <v>0</v>
      </c>
      <c r="AE60" s="1611">
        <v>0</v>
      </c>
      <c r="AF60" s="1611">
        <v>0</v>
      </c>
      <c r="AG60" s="1611">
        <v>0</v>
      </c>
      <c r="AH60" s="1611">
        <v>1</v>
      </c>
      <c r="AI60" s="1611">
        <v>40131</v>
      </c>
      <c r="AJ60" s="1611">
        <v>2120</v>
      </c>
      <c r="AK60" s="1611">
        <v>0</v>
      </c>
      <c r="AL60" s="1611">
        <v>0</v>
      </c>
      <c r="AO60" s="1618"/>
      <c r="AP60" s="1618"/>
      <c r="AQ60" s="1611" t="str">
        <f t="shared" si="0"/>
        <v/>
      </c>
      <c r="AS60" s="1611" t="str">
        <f t="shared" si="1"/>
        <v>wci_corp</v>
      </c>
    </row>
    <row r="61" spans="2:45" s="1611" customFormat="1" ht="12">
      <c r="B61" s="1611" t="s">
        <v>1669</v>
      </c>
      <c r="C61" s="1615">
        <v>42886</v>
      </c>
      <c r="D61" s="1616">
        <v>550.46</v>
      </c>
      <c r="E61" s="1616">
        <v>0</v>
      </c>
      <c r="F61" s="1617" t="s">
        <v>657</v>
      </c>
      <c r="G61" s="1611" t="s">
        <v>1615</v>
      </c>
      <c r="H61" s="1618" t="s">
        <v>1071</v>
      </c>
      <c r="I61" s="1611" t="s">
        <v>1092</v>
      </c>
      <c r="J61" s="1611" t="s">
        <v>1084</v>
      </c>
      <c r="K61" s="1611" t="s">
        <v>1068</v>
      </c>
      <c r="L61" s="1613"/>
      <c r="M61" s="1613"/>
      <c r="N61" s="1613" t="s">
        <v>1682</v>
      </c>
      <c r="O61" s="1614"/>
      <c r="P61" s="1613"/>
      <c r="Q61" s="1613"/>
      <c r="U61" s="1611" t="s">
        <v>1616</v>
      </c>
      <c r="V61" s="1611" t="s">
        <v>1616</v>
      </c>
      <c r="X61" s="1615">
        <v>42892</v>
      </c>
      <c r="Y61" s="1615">
        <v>42892</v>
      </c>
      <c r="AA61" s="1615"/>
      <c r="AB61" s="1611" t="s">
        <v>1066</v>
      </c>
      <c r="AC61" s="1611">
        <v>0</v>
      </c>
      <c r="AD61" s="1611">
        <v>0</v>
      </c>
      <c r="AE61" s="1611">
        <v>0</v>
      </c>
      <c r="AF61" s="1611">
        <v>0</v>
      </c>
      <c r="AG61" s="1611">
        <v>0</v>
      </c>
      <c r="AH61" s="1611">
        <v>1</v>
      </c>
      <c r="AI61" s="1611">
        <v>40131</v>
      </c>
      <c r="AJ61" s="1611">
        <v>2120</v>
      </c>
      <c r="AK61" s="1611">
        <v>0</v>
      </c>
      <c r="AL61" s="1611">
        <v>0</v>
      </c>
      <c r="AO61" s="1618"/>
      <c r="AP61" s="1618"/>
      <c r="AQ61" s="1611" t="str">
        <f t="shared" si="0"/>
        <v/>
      </c>
      <c r="AS61" s="1611" t="str">
        <f t="shared" si="1"/>
        <v>wci_corp</v>
      </c>
    </row>
    <row r="62" spans="2:45" s="1611" customFormat="1" ht="12">
      <c r="B62" s="1611" t="s">
        <v>1669</v>
      </c>
      <c r="C62" s="1615">
        <v>42901</v>
      </c>
      <c r="D62" s="1616">
        <v>12880.69</v>
      </c>
      <c r="E62" s="1616">
        <v>0</v>
      </c>
      <c r="F62" s="1617" t="s">
        <v>657</v>
      </c>
      <c r="G62" s="1611" t="s">
        <v>1712</v>
      </c>
      <c r="H62" s="1618" t="s">
        <v>1071</v>
      </c>
      <c r="I62" s="1611" t="s">
        <v>1099</v>
      </c>
      <c r="J62" s="1611" t="s">
        <v>1243</v>
      </c>
      <c r="K62" s="1611" t="s">
        <v>1068</v>
      </c>
      <c r="L62" s="1613" t="s">
        <v>1671</v>
      </c>
      <c r="M62" s="1613"/>
      <c r="N62" s="1613" t="s">
        <v>1672</v>
      </c>
      <c r="O62" s="1614">
        <v>42892</v>
      </c>
      <c r="P62" s="1613" t="s">
        <v>1684</v>
      </c>
      <c r="Q62" s="1613" t="s">
        <v>1713</v>
      </c>
      <c r="R62" s="1611" t="s">
        <v>1686</v>
      </c>
      <c r="U62" s="1611" t="s">
        <v>1714</v>
      </c>
      <c r="V62" s="1611" t="s">
        <v>1715</v>
      </c>
      <c r="W62" s="1611">
        <v>2195</v>
      </c>
      <c r="X62" s="1615">
        <v>42901</v>
      </c>
      <c r="Y62" s="1615">
        <v>42902</v>
      </c>
      <c r="Z62" s="1611">
        <v>12880.7</v>
      </c>
      <c r="AA62" s="1615">
        <v>42912</v>
      </c>
      <c r="AB62" s="1611" t="s">
        <v>1066</v>
      </c>
      <c r="AC62" s="1611">
        <v>0</v>
      </c>
      <c r="AD62" s="1611">
        <v>0</v>
      </c>
      <c r="AE62" s="1611">
        <v>0</v>
      </c>
      <c r="AF62" s="1611">
        <v>0</v>
      </c>
      <c r="AG62" s="1611">
        <v>0</v>
      </c>
      <c r="AH62" s="1611">
        <v>1</v>
      </c>
      <c r="AI62" s="1611">
        <v>40131</v>
      </c>
      <c r="AJ62" s="1611">
        <v>2120</v>
      </c>
      <c r="AK62" s="1611">
        <v>0</v>
      </c>
      <c r="AL62" s="1611">
        <v>0</v>
      </c>
      <c r="AO62" s="1618"/>
      <c r="AP62" s="1618"/>
      <c r="AQ62" s="1611" t="str">
        <f t="shared" si="0"/>
        <v>VO04320468</v>
      </c>
      <c r="AS62" s="1611" t="str">
        <f t="shared" si="1"/>
        <v>wci_corp</v>
      </c>
    </row>
    <row r="63" spans="2:45" s="1611" customFormat="1" ht="12">
      <c r="B63" s="1611" t="s">
        <v>1669</v>
      </c>
      <c r="C63" s="1615">
        <v>42916</v>
      </c>
      <c r="D63" s="1616">
        <v>-12881</v>
      </c>
      <c r="E63" s="1616">
        <v>0</v>
      </c>
      <c r="F63" s="1617" t="s">
        <v>657</v>
      </c>
      <c r="G63" s="1611" t="s">
        <v>1620</v>
      </c>
      <c r="H63" s="1618" t="s">
        <v>1071</v>
      </c>
      <c r="I63" s="1611" t="s">
        <v>1092</v>
      </c>
      <c r="J63" s="1611" t="s">
        <v>1084</v>
      </c>
      <c r="K63" s="1611" t="s">
        <v>1068</v>
      </c>
      <c r="L63" s="1613"/>
      <c r="M63" s="1613"/>
      <c r="N63" s="1613" t="s">
        <v>1681</v>
      </c>
      <c r="O63" s="1614"/>
      <c r="P63" s="1613"/>
      <c r="Q63" s="1613"/>
      <c r="U63" s="1611" t="s">
        <v>1616</v>
      </c>
      <c r="V63" s="1611" t="s">
        <v>1621</v>
      </c>
      <c r="X63" s="1615">
        <v>42892</v>
      </c>
      <c r="Y63" s="1615">
        <v>42893</v>
      </c>
      <c r="AA63" s="1615"/>
      <c r="AB63" s="1611" t="s">
        <v>1066</v>
      </c>
      <c r="AC63" s="1611">
        <v>0</v>
      </c>
      <c r="AD63" s="1611">
        <v>0</v>
      </c>
      <c r="AE63" s="1611">
        <v>0</v>
      </c>
      <c r="AF63" s="1611">
        <v>0</v>
      </c>
      <c r="AG63" s="1611">
        <v>5</v>
      </c>
      <c r="AH63" s="1611">
        <v>1</v>
      </c>
      <c r="AI63" s="1611">
        <v>40131</v>
      </c>
      <c r="AJ63" s="1611">
        <v>2120</v>
      </c>
      <c r="AK63" s="1611">
        <v>0</v>
      </c>
      <c r="AL63" s="1611">
        <v>0</v>
      </c>
      <c r="AO63" s="1618"/>
      <c r="AP63" s="1618"/>
      <c r="AQ63" s="1611" t="str">
        <f t="shared" si="0"/>
        <v/>
      </c>
      <c r="AS63" s="1611" t="str">
        <f t="shared" si="1"/>
        <v>wci_corp</v>
      </c>
    </row>
    <row r="64" spans="2:45" s="1611" customFormat="1" ht="12">
      <c r="B64" s="1611" t="s">
        <v>1669</v>
      </c>
      <c r="C64" s="1615">
        <v>42916</v>
      </c>
      <c r="D64" s="1616">
        <v>-550.46</v>
      </c>
      <c r="E64" s="1616">
        <v>0</v>
      </c>
      <c r="F64" s="1617" t="s">
        <v>657</v>
      </c>
      <c r="G64" s="1611" t="s">
        <v>1620</v>
      </c>
      <c r="H64" s="1618" t="s">
        <v>1071</v>
      </c>
      <c r="I64" s="1611" t="s">
        <v>1092</v>
      </c>
      <c r="J64" s="1611" t="s">
        <v>1084</v>
      </c>
      <c r="K64" s="1611" t="s">
        <v>1068</v>
      </c>
      <c r="L64" s="1613"/>
      <c r="M64" s="1613"/>
      <c r="N64" s="1613" t="s">
        <v>1682</v>
      </c>
      <c r="O64" s="1614"/>
      <c r="P64" s="1613"/>
      <c r="Q64" s="1613"/>
      <c r="U64" s="1611" t="s">
        <v>1616</v>
      </c>
      <c r="V64" s="1611" t="s">
        <v>1621</v>
      </c>
      <c r="X64" s="1615">
        <v>42892</v>
      </c>
      <c r="Y64" s="1615">
        <v>42893</v>
      </c>
      <c r="AA64" s="1615"/>
      <c r="AB64" s="1611" t="s">
        <v>1066</v>
      </c>
      <c r="AC64" s="1611">
        <v>0</v>
      </c>
      <c r="AD64" s="1611">
        <v>0</v>
      </c>
      <c r="AE64" s="1611">
        <v>0</v>
      </c>
      <c r="AF64" s="1611">
        <v>0</v>
      </c>
      <c r="AG64" s="1611">
        <v>5</v>
      </c>
      <c r="AH64" s="1611">
        <v>1</v>
      </c>
      <c r="AI64" s="1611">
        <v>40131</v>
      </c>
      <c r="AJ64" s="1611">
        <v>2120</v>
      </c>
      <c r="AK64" s="1611">
        <v>0</v>
      </c>
      <c r="AL64" s="1611">
        <v>0</v>
      </c>
      <c r="AO64" s="1618"/>
      <c r="AP64" s="1618"/>
      <c r="AQ64" s="1611" t="str">
        <f t="shared" si="0"/>
        <v/>
      </c>
      <c r="AS64" s="1611" t="str">
        <f t="shared" si="1"/>
        <v>wci_corp</v>
      </c>
    </row>
    <row r="65" spans="2:45" s="1611" customFormat="1" ht="12">
      <c r="B65" s="1611" t="s">
        <v>1669</v>
      </c>
      <c r="C65" s="1615">
        <v>42916</v>
      </c>
      <c r="D65" s="1616">
        <v>400.42</v>
      </c>
      <c r="E65" s="1616">
        <v>0</v>
      </c>
      <c r="F65" s="1617" t="s">
        <v>657</v>
      </c>
      <c r="G65" s="1611" t="s">
        <v>1113</v>
      </c>
      <c r="H65" s="1618" t="s">
        <v>1071</v>
      </c>
      <c r="I65" s="1611" t="s">
        <v>1112</v>
      </c>
      <c r="J65" s="1611" t="s">
        <v>1084</v>
      </c>
      <c r="K65" s="1611" t="s">
        <v>1068</v>
      </c>
      <c r="L65" s="1613"/>
      <c r="M65" s="1613"/>
      <c r="N65" s="1613" t="s">
        <v>1680</v>
      </c>
      <c r="O65" s="1614"/>
      <c r="P65" s="1613"/>
      <c r="Q65" s="1613"/>
      <c r="U65" s="1611" t="s">
        <v>1111</v>
      </c>
      <c r="V65" s="1611" t="s">
        <v>1111</v>
      </c>
      <c r="X65" s="1615">
        <v>42921</v>
      </c>
      <c r="Y65" s="1615">
        <v>42922</v>
      </c>
      <c r="AA65" s="1615"/>
      <c r="AB65" s="1611" t="s">
        <v>1066</v>
      </c>
      <c r="AC65" s="1611">
        <v>0</v>
      </c>
      <c r="AD65" s="1611">
        <v>0</v>
      </c>
      <c r="AE65" s="1611">
        <v>0</v>
      </c>
      <c r="AF65" s="1611">
        <v>0</v>
      </c>
      <c r="AG65" s="1611">
        <v>0</v>
      </c>
      <c r="AH65" s="1611">
        <v>1</v>
      </c>
      <c r="AI65" s="1611">
        <v>40131</v>
      </c>
      <c r="AJ65" s="1611">
        <v>2120</v>
      </c>
      <c r="AK65" s="1611">
        <v>0</v>
      </c>
      <c r="AL65" s="1611">
        <v>0</v>
      </c>
      <c r="AO65" s="1618"/>
      <c r="AP65" s="1618"/>
      <c r="AQ65" s="1611" t="str">
        <f t="shared" si="0"/>
        <v/>
      </c>
      <c r="AS65" s="1611" t="str">
        <f t="shared" si="1"/>
        <v>wci_corp</v>
      </c>
    </row>
    <row r="66" spans="2:45" s="1611" customFormat="1" ht="12">
      <c r="B66" s="1611" t="s">
        <v>1669</v>
      </c>
      <c r="C66" s="1615">
        <v>42916</v>
      </c>
      <c r="D66" s="1616">
        <v>429.46</v>
      </c>
      <c r="E66" s="1616">
        <v>0</v>
      </c>
      <c r="F66" s="1617" t="s">
        <v>657</v>
      </c>
      <c r="G66" s="1611" t="s">
        <v>1113</v>
      </c>
      <c r="H66" s="1618" t="s">
        <v>1071</v>
      </c>
      <c r="I66" s="1611" t="s">
        <v>1112</v>
      </c>
      <c r="J66" s="1611" t="s">
        <v>1084</v>
      </c>
      <c r="K66" s="1611" t="s">
        <v>1068</v>
      </c>
      <c r="L66" s="1613"/>
      <c r="M66" s="1613"/>
      <c r="N66" s="1613" t="s">
        <v>1680</v>
      </c>
      <c r="O66" s="1614"/>
      <c r="P66" s="1613"/>
      <c r="Q66" s="1613"/>
      <c r="U66" s="1611" t="s">
        <v>1111</v>
      </c>
      <c r="V66" s="1611" t="s">
        <v>1111</v>
      </c>
      <c r="X66" s="1615">
        <v>42921</v>
      </c>
      <c r="Y66" s="1615">
        <v>42922</v>
      </c>
      <c r="AA66" s="1615"/>
      <c r="AB66" s="1611" t="s">
        <v>1066</v>
      </c>
      <c r="AC66" s="1611">
        <v>0</v>
      </c>
      <c r="AD66" s="1611">
        <v>0</v>
      </c>
      <c r="AE66" s="1611">
        <v>0</v>
      </c>
      <c r="AF66" s="1611">
        <v>0</v>
      </c>
      <c r="AG66" s="1611">
        <v>0</v>
      </c>
      <c r="AH66" s="1611">
        <v>1</v>
      </c>
      <c r="AI66" s="1611">
        <v>40131</v>
      </c>
      <c r="AJ66" s="1611">
        <v>2120</v>
      </c>
      <c r="AK66" s="1611">
        <v>0</v>
      </c>
      <c r="AL66" s="1611">
        <v>0</v>
      </c>
      <c r="AO66" s="1618"/>
      <c r="AP66" s="1618"/>
      <c r="AQ66" s="1611" t="str">
        <f t="shared" si="0"/>
        <v/>
      </c>
      <c r="AS66" s="1611" t="str">
        <f t="shared" si="1"/>
        <v>wci_corp</v>
      </c>
    </row>
    <row r="67" spans="2:45" s="1611" customFormat="1" ht="12">
      <c r="B67" s="1611" t="s">
        <v>1669</v>
      </c>
      <c r="C67" s="1615">
        <v>42916</v>
      </c>
      <c r="D67" s="1616">
        <v>20.72</v>
      </c>
      <c r="E67" s="1616">
        <v>0</v>
      </c>
      <c r="F67" s="1617" t="s">
        <v>657</v>
      </c>
      <c r="G67" s="1611" t="s">
        <v>1113</v>
      </c>
      <c r="H67" s="1618" t="s">
        <v>1071</v>
      </c>
      <c r="I67" s="1611" t="s">
        <v>1112</v>
      </c>
      <c r="J67" s="1611" t="s">
        <v>1084</v>
      </c>
      <c r="K67" s="1611" t="s">
        <v>1068</v>
      </c>
      <c r="L67" s="1613"/>
      <c r="M67" s="1613"/>
      <c r="N67" s="1613" t="s">
        <v>1680</v>
      </c>
      <c r="O67" s="1614"/>
      <c r="P67" s="1613"/>
      <c r="Q67" s="1613"/>
      <c r="U67" s="1611" t="s">
        <v>1111</v>
      </c>
      <c r="V67" s="1611" t="s">
        <v>1111</v>
      </c>
      <c r="X67" s="1615">
        <v>42921</v>
      </c>
      <c r="Y67" s="1615">
        <v>42922</v>
      </c>
      <c r="AA67" s="1615"/>
      <c r="AB67" s="1611" t="s">
        <v>1066</v>
      </c>
      <c r="AC67" s="1611">
        <v>0</v>
      </c>
      <c r="AD67" s="1611">
        <v>0</v>
      </c>
      <c r="AE67" s="1611">
        <v>0</v>
      </c>
      <c r="AF67" s="1611">
        <v>0</v>
      </c>
      <c r="AG67" s="1611">
        <v>0</v>
      </c>
      <c r="AH67" s="1611">
        <v>1</v>
      </c>
      <c r="AI67" s="1611">
        <v>40131</v>
      </c>
      <c r="AJ67" s="1611">
        <v>2120</v>
      </c>
      <c r="AK67" s="1611">
        <v>0</v>
      </c>
      <c r="AL67" s="1611">
        <v>0</v>
      </c>
      <c r="AO67" s="1618"/>
      <c r="AP67" s="1618"/>
      <c r="AQ67" s="1611" t="str">
        <f t="shared" si="0"/>
        <v/>
      </c>
      <c r="AS67" s="1611" t="str">
        <f t="shared" si="1"/>
        <v>wci_corp</v>
      </c>
    </row>
    <row r="68" spans="2:45" s="1611" customFormat="1" ht="12">
      <c r="B68" s="1611" t="s">
        <v>1669</v>
      </c>
      <c r="C68" s="1615">
        <v>42916</v>
      </c>
      <c r="D68" s="1616">
        <v>13671.75</v>
      </c>
      <c r="E68" s="1616">
        <v>0</v>
      </c>
      <c r="F68" s="1617" t="s">
        <v>657</v>
      </c>
      <c r="G68" s="1611" t="s">
        <v>1361</v>
      </c>
      <c r="H68" s="1618" t="s">
        <v>1071</v>
      </c>
      <c r="I68" s="1611" t="s">
        <v>1092</v>
      </c>
      <c r="J68" s="1611" t="s">
        <v>1084</v>
      </c>
      <c r="K68" s="1611" t="s">
        <v>1068</v>
      </c>
      <c r="L68" s="1613"/>
      <c r="M68" s="1613"/>
      <c r="N68" s="1613" t="s">
        <v>1681</v>
      </c>
      <c r="O68" s="1614"/>
      <c r="P68" s="1613"/>
      <c r="Q68" s="1613"/>
      <c r="U68" s="1611" t="s">
        <v>1362</v>
      </c>
      <c r="V68" s="1611" t="s">
        <v>1362</v>
      </c>
      <c r="X68" s="1615">
        <v>42926</v>
      </c>
      <c r="Y68" s="1615">
        <v>42926</v>
      </c>
      <c r="AA68" s="1615"/>
      <c r="AB68" s="1611" t="s">
        <v>1066</v>
      </c>
      <c r="AC68" s="1611">
        <v>0</v>
      </c>
      <c r="AD68" s="1611">
        <v>0</v>
      </c>
      <c r="AE68" s="1611">
        <v>0</v>
      </c>
      <c r="AF68" s="1611">
        <v>0</v>
      </c>
      <c r="AG68" s="1611">
        <v>0</v>
      </c>
      <c r="AH68" s="1611">
        <v>1</v>
      </c>
      <c r="AI68" s="1611">
        <v>40131</v>
      </c>
      <c r="AJ68" s="1611">
        <v>2120</v>
      </c>
      <c r="AK68" s="1611">
        <v>0</v>
      </c>
      <c r="AL68" s="1611">
        <v>0</v>
      </c>
      <c r="AO68" s="1618"/>
      <c r="AP68" s="1618"/>
      <c r="AQ68" s="1611" t="str">
        <f t="shared" si="0"/>
        <v/>
      </c>
      <c r="AS68" s="1611" t="str">
        <f t="shared" si="1"/>
        <v>wci_corp</v>
      </c>
    </row>
    <row r="69" spans="2:45" s="1611" customFormat="1" ht="12">
      <c r="B69" s="1611" t="s">
        <v>1669</v>
      </c>
      <c r="C69" s="1615">
        <v>42916</v>
      </c>
      <c r="D69" s="1616">
        <v>931.03</v>
      </c>
      <c r="E69" s="1616">
        <v>0</v>
      </c>
      <c r="F69" s="1617" t="s">
        <v>657</v>
      </c>
      <c r="G69" s="1611" t="s">
        <v>1361</v>
      </c>
      <c r="H69" s="1618" t="s">
        <v>1071</v>
      </c>
      <c r="I69" s="1611" t="s">
        <v>1092</v>
      </c>
      <c r="J69" s="1611" t="s">
        <v>1084</v>
      </c>
      <c r="K69" s="1611" t="s">
        <v>1068</v>
      </c>
      <c r="L69" s="1613"/>
      <c r="M69" s="1613"/>
      <c r="N69" s="1613" t="s">
        <v>1682</v>
      </c>
      <c r="O69" s="1614"/>
      <c r="P69" s="1613"/>
      <c r="Q69" s="1613"/>
      <c r="U69" s="1611" t="s">
        <v>1362</v>
      </c>
      <c r="V69" s="1611" t="s">
        <v>1362</v>
      </c>
      <c r="X69" s="1615">
        <v>42926</v>
      </c>
      <c r="Y69" s="1615">
        <v>42926</v>
      </c>
      <c r="AA69" s="1615"/>
      <c r="AB69" s="1611" t="s">
        <v>1066</v>
      </c>
      <c r="AC69" s="1611">
        <v>0</v>
      </c>
      <c r="AD69" s="1611">
        <v>0</v>
      </c>
      <c r="AE69" s="1611">
        <v>0</v>
      </c>
      <c r="AF69" s="1611">
        <v>0</v>
      </c>
      <c r="AG69" s="1611">
        <v>0</v>
      </c>
      <c r="AH69" s="1611">
        <v>1</v>
      </c>
      <c r="AI69" s="1611">
        <v>40131</v>
      </c>
      <c r="AJ69" s="1611">
        <v>2120</v>
      </c>
      <c r="AK69" s="1611">
        <v>0</v>
      </c>
      <c r="AL69" s="1611">
        <v>0</v>
      </c>
      <c r="AO69" s="1618"/>
      <c r="AP69" s="1618"/>
      <c r="AQ69" s="1611" t="str">
        <f t="shared" si="0"/>
        <v/>
      </c>
      <c r="AS69" s="1611" t="str">
        <f t="shared" si="1"/>
        <v>wci_corp</v>
      </c>
    </row>
    <row r="70" spans="2:45" s="1611" customFormat="1" ht="12">
      <c r="B70" s="1611" t="s">
        <v>1669</v>
      </c>
      <c r="C70" s="1615">
        <v>42916</v>
      </c>
      <c r="D70" s="1616">
        <v>-13671.75</v>
      </c>
      <c r="E70" s="1616">
        <v>0</v>
      </c>
      <c r="F70" s="1617" t="s">
        <v>657</v>
      </c>
      <c r="G70" s="1611" t="s">
        <v>1363</v>
      </c>
      <c r="H70" s="1618" t="s">
        <v>1071</v>
      </c>
      <c r="I70" s="1611" t="s">
        <v>1092</v>
      </c>
      <c r="J70" s="1611" t="s">
        <v>1084</v>
      </c>
      <c r="K70" s="1611" t="s">
        <v>1068</v>
      </c>
      <c r="L70" s="1613"/>
      <c r="M70" s="1613"/>
      <c r="N70" s="1613" t="s">
        <v>1681</v>
      </c>
      <c r="O70" s="1614"/>
      <c r="P70" s="1613"/>
      <c r="Q70" s="1613"/>
      <c r="U70" s="1611" t="s">
        <v>1362</v>
      </c>
      <c r="V70" s="1611" t="s">
        <v>1364</v>
      </c>
      <c r="X70" s="1615">
        <v>42926</v>
      </c>
      <c r="Y70" s="1615">
        <v>42926</v>
      </c>
      <c r="AA70" s="1615"/>
      <c r="AB70" s="1611" t="s">
        <v>1066</v>
      </c>
      <c r="AC70" s="1611">
        <v>0</v>
      </c>
      <c r="AD70" s="1611">
        <v>0</v>
      </c>
      <c r="AE70" s="1611">
        <v>0</v>
      </c>
      <c r="AF70" s="1611">
        <v>0</v>
      </c>
      <c r="AG70" s="1611">
        <v>5</v>
      </c>
      <c r="AH70" s="1611">
        <v>1</v>
      </c>
      <c r="AI70" s="1611">
        <v>40131</v>
      </c>
      <c r="AJ70" s="1611">
        <v>2120</v>
      </c>
      <c r="AK70" s="1611">
        <v>0</v>
      </c>
      <c r="AL70" s="1611">
        <v>0</v>
      </c>
      <c r="AO70" s="1618"/>
      <c r="AP70" s="1618"/>
      <c r="AQ70" s="1611" t="str">
        <f t="shared" si="0"/>
        <v/>
      </c>
      <c r="AS70" s="1611" t="str">
        <f t="shared" si="1"/>
        <v>wci_corp</v>
      </c>
    </row>
    <row r="71" spans="2:45" s="1611" customFormat="1" ht="12">
      <c r="B71" s="1611" t="s">
        <v>1669</v>
      </c>
      <c r="C71" s="1615">
        <v>42916</v>
      </c>
      <c r="D71" s="1616">
        <v>-931.03</v>
      </c>
      <c r="E71" s="1616">
        <v>0</v>
      </c>
      <c r="F71" s="1617" t="s">
        <v>657</v>
      </c>
      <c r="G71" s="1611" t="s">
        <v>1363</v>
      </c>
      <c r="H71" s="1618" t="s">
        <v>1071</v>
      </c>
      <c r="I71" s="1611" t="s">
        <v>1092</v>
      </c>
      <c r="J71" s="1611" t="s">
        <v>1084</v>
      </c>
      <c r="K71" s="1611" t="s">
        <v>1068</v>
      </c>
      <c r="L71" s="1613"/>
      <c r="M71" s="1613"/>
      <c r="N71" s="1613" t="s">
        <v>1682</v>
      </c>
      <c r="O71" s="1614"/>
      <c r="P71" s="1613"/>
      <c r="Q71" s="1613"/>
      <c r="U71" s="1611" t="s">
        <v>1362</v>
      </c>
      <c r="V71" s="1611" t="s">
        <v>1364</v>
      </c>
      <c r="X71" s="1615">
        <v>42926</v>
      </c>
      <c r="Y71" s="1615">
        <v>42926</v>
      </c>
      <c r="AA71" s="1615"/>
      <c r="AB71" s="1611" t="s">
        <v>1066</v>
      </c>
      <c r="AC71" s="1611">
        <v>0</v>
      </c>
      <c r="AD71" s="1611">
        <v>0</v>
      </c>
      <c r="AE71" s="1611">
        <v>0</v>
      </c>
      <c r="AF71" s="1611">
        <v>0</v>
      </c>
      <c r="AG71" s="1611">
        <v>5</v>
      </c>
      <c r="AH71" s="1611">
        <v>1</v>
      </c>
      <c r="AI71" s="1611">
        <v>40131</v>
      </c>
      <c r="AJ71" s="1611">
        <v>2120</v>
      </c>
      <c r="AK71" s="1611">
        <v>0</v>
      </c>
      <c r="AL71" s="1611">
        <v>0</v>
      </c>
      <c r="AO71" s="1618"/>
      <c r="AP71" s="1618"/>
      <c r="AQ71" s="1611" t="str">
        <f t="shared" si="0"/>
        <v/>
      </c>
      <c r="AS71" s="1611" t="str">
        <f t="shared" si="1"/>
        <v>wci_corp</v>
      </c>
    </row>
    <row r="72" spans="2:45" s="1611" customFormat="1" ht="12">
      <c r="B72" s="1611" t="s">
        <v>1669</v>
      </c>
      <c r="C72" s="1615">
        <v>42916</v>
      </c>
      <c r="D72" s="1616">
        <v>13671.75</v>
      </c>
      <c r="E72" s="1616">
        <v>0</v>
      </c>
      <c r="F72" s="1617" t="s">
        <v>657</v>
      </c>
      <c r="G72" s="1611" t="s">
        <v>1365</v>
      </c>
      <c r="H72" s="1618" t="s">
        <v>1071</v>
      </c>
      <c r="I72" s="1611" t="s">
        <v>1366</v>
      </c>
      <c r="J72" s="1611" t="s">
        <v>1302</v>
      </c>
      <c r="K72" s="1611" t="s">
        <v>1068</v>
      </c>
      <c r="L72" s="1613"/>
      <c r="M72" s="1613"/>
      <c r="N72" s="1613" t="s">
        <v>1681</v>
      </c>
      <c r="O72" s="1614"/>
      <c r="P72" s="1613"/>
      <c r="Q72" s="1613"/>
      <c r="U72" s="1611" t="s">
        <v>1367</v>
      </c>
      <c r="V72" s="1611" t="s">
        <v>1367</v>
      </c>
      <c r="X72" s="1615">
        <v>42926</v>
      </c>
      <c r="Y72" s="1615">
        <v>42927</v>
      </c>
      <c r="AA72" s="1615"/>
      <c r="AB72" s="1611" t="s">
        <v>1066</v>
      </c>
      <c r="AC72" s="1611">
        <v>0</v>
      </c>
      <c r="AD72" s="1611">
        <v>0</v>
      </c>
      <c r="AE72" s="1611">
        <v>0</v>
      </c>
      <c r="AF72" s="1611">
        <v>0</v>
      </c>
      <c r="AG72" s="1611">
        <v>0</v>
      </c>
      <c r="AH72" s="1611">
        <v>1</v>
      </c>
      <c r="AI72" s="1611">
        <v>40131</v>
      </c>
      <c r="AJ72" s="1611">
        <v>2120</v>
      </c>
      <c r="AK72" s="1611">
        <v>0</v>
      </c>
      <c r="AL72" s="1611">
        <v>0</v>
      </c>
      <c r="AO72" s="1618"/>
      <c r="AP72" s="1618"/>
      <c r="AQ72" s="1611" t="str">
        <f t="shared" si="0"/>
        <v/>
      </c>
      <c r="AS72" s="1611" t="str">
        <f t="shared" si="1"/>
        <v>wci_corp</v>
      </c>
    </row>
    <row r="73" spans="2:45" s="1611" customFormat="1" ht="12">
      <c r="B73" s="1611" t="s">
        <v>1669</v>
      </c>
      <c r="C73" s="1615">
        <v>42916</v>
      </c>
      <c r="D73" s="1616">
        <v>931.03</v>
      </c>
      <c r="E73" s="1616">
        <v>0</v>
      </c>
      <c r="F73" s="1617" t="s">
        <v>657</v>
      </c>
      <c r="G73" s="1611" t="s">
        <v>1365</v>
      </c>
      <c r="H73" s="1618" t="s">
        <v>1071</v>
      </c>
      <c r="I73" s="1611" t="s">
        <v>1366</v>
      </c>
      <c r="J73" s="1611" t="s">
        <v>1302</v>
      </c>
      <c r="K73" s="1611" t="s">
        <v>1068</v>
      </c>
      <c r="L73" s="1613"/>
      <c r="M73" s="1613"/>
      <c r="N73" s="1613" t="s">
        <v>1682</v>
      </c>
      <c r="O73" s="1614"/>
      <c r="P73" s="1613"/>
      <c r="Q73" s="1613"/>
      <c r="U73" s="1611" t="s">
        <v>1367</v>
      </c>
      <c r="V73" s="1611" t="s">
        <v>1367</v>
      </c>
      <c r="X73" s="1615">
        <v>42926</v>
      </c>
      <c r="Y73" s="1615">
        <v>42927</v>
      </c>
      <c r="AA73" s="1615"/>
      <c r="AB73" s="1611" t="s">
        <v>1066</v>
      </c>
      <c r="AC73" s="1611">
        <v>0</v>
      </c>
      <c r="AD73" s="1611">
        <v>0</v>
      </c>
      <c r="AE73" s="1611">
        <v>0</v>
      </c>
      <c r="AF73" s="1611">
        <v>0</v>
      </c>
      <c r="AG73" s="1611">
        <v>0</v>
      </c>
      <c r="AH73" s="1611">
        <v>1</v>
      </c>
      <c r="AI73" s="1611">
        <v>40131</v>
      </c>
      <c r="AJ73" s="1611">
        <v>2120</v>
      </c>
      <c r="AK73" s="1611">
        <v>0</v>
      </c>
      <c r="AL73" s="1611">
        <v>0</v>
      </c>
      <c r="AO73" s="1618"/>
      <c r="AP73" s="1618"/>
      <c r="AQ73" s="1611" t="str">
        <f t="shared" si="0"/>
        <v/>
      </c>
      <c r="AS73" s="1611" t="str">
        <f t="shared" si="1"/>
        <v>wci_corp</v>
      </c>
    </row>
    <row r="74" spans="2:45" s="1611" customFormat="1" ht="12">
      <c r="B74" s="1611" t="s">
        <v>1669</v>
      </c>
      <c r="C74" s="1615">
        <v>42943</v>
      </c>
      <c r="D74" s="1616">
        <v>13671.75</v>
      </c>
      <c r="E74" s="1616">
        <v>0</v>
      </c>
      <c r="F74" s="1617" t="s">
        <v>657</v>
      </c>
      <c r="G74" s="1611" t="s">
        <v>1716</v>
      </c>
      <c r="H74" s="1618" t="s">
        <v>1071</v>
      </c>
      <c r="I74" s="1611" t="s">
        <v>1099</v>
      </c>
      <c r="J74" s="1611" t="s">
        <v>1243</v>
      </c>
      <c r="K74" s="1611" t="s">
        <v>1068</v>
      </c>
      <c r="L74" s="1613" t="s">
        <v>1671</v>
      </c>
      <c r="M74" s="1613"/>
      <c r="N74" s="1613" t="s">
        <v>1672</v>
      </c>
      <c r="O74" s="1614">
        <v>42922</v>
      </c>
      <c r="P74" s="1613" t="s">
        <v>1684</v>
      </c>
      <c r="Q74" s="1613" t="s">
        <v>1717</v>
      </c>
      <c r="R74" s="1611" t="s">
        <v>1686</v>
      </c>
      <c r="U74" s="1611" t="s">
        <v>1718</v>
      </c>
      <c r="V74" s="1611" t="s">
        <v>1719</v>
      </c>
      <c r="W74" s="1611">
        <v>2195</v>
      </c>
      <c r="X74" s="1615">
        <v>42943</v>
      </c>
      <c r="Y74" s="1615">
        <v>42947</v>
      </c>
      <c r="Z74" s="1611">
        <v>13671.8</v>
      </c>
      <c r="AA74" s="1615">
        <v>42942</v>
      </c>
      <c r="AB74" s="1611" t="s">
        <v>1066</v>
      </c>
      <c r="AC74" s="1611">
        <v>0</v>
      </c>
      <c r="AD74" s="1611">
        <v>0</v>
      </c>
      <c r="AE74" s="1611">
        <v>0</v>
      </c>
      <c r="AF74" s="1611">
        <v>0</v>
      </c>
      <c r="AG74" s="1611">
        <v>0</v>
      </c>
      <c r="AH74" s="1611">
        <v>1</v>
      </c>
      <c r="AI74" s="1611">
        <v>40131</v>
      </c>
      <c r="AJ74" s="1611">
        <v>2120</v>
      </c>
      <c r="AK74" s="1611">
        <v>0</v>
      </c>
      <c r="AL74" s="1611">
        <v>0</v>
      </c>
      <c r="AO74" s="1618"/>
      <c r="AP74" s="1618"/>
      <c r="AQ74" s="1611" t="str">
        <f t="shared" si="0"/>
        <v>VO04361509</v>
      </c>
      <c r="AS74" s="1611" t="str">
        <f t="shared" si="1"/>
        <v>wci_corp</v>
      </c>
    </row>
    <row r="75" spans="2:45" s="1611" customFormat="1" ht="12">
      <c r="B75" s="1611" t="s">
        <v>1669</v>
      </c>
      <c r="C75" s="1615">
        <v>42947</v>
      </c>
      <c r="D75" s="1616">
        <v>13671.75</v>
      </c>
      <c r="E75" s="1616">
        <v>0</v>
      </c>
      <c r="F75" s="1617" t="s">
        <v>657</v>
      </c>
      <c r="G75" s="1611" t="s">
        <v>1368</v>
      </c>
      <c r="H75" s="1618" t="s">
        <v>1071</v>
      </c>
      <c r="I75" s="1611" t="s">
        <v>1092</v>
      </c>
      <c r="J75" s="1611" t="s">
        <v>1302</v>
      </c>
      <c r="K75" s="1611" t="s">
        <v>1068</v>
      </c>
      <c r="L75" s="1613"/>
      <c r="M75" s="1613"/>
      <c r="N75" s="1613" t="s">
        <v>1681</v>
      </c>
      <c r="O75" s="1614"/>
      <c r="P75" s="1613"/>
      <c r="Q75" s="1613"/>
      <c r="U75" s="1611" t="s">
        <v>1364</v>
      </c>
      <c r="V75" s="1611" t="s">
        <v>1369</v>
      </c>
      <c r="X75" s="1615">
        <v>42926</v>
      </c>
      <c r="Y75" s="1615">
        <v>42926</v>
      </c>
      <c r="AA75" s="1615"/>
      <c r="AB75" s="1611" t="s">
        <v>1066</v>
      </c>
      <c r="AC75" s="1611">
        <v>0</v>
      </c>
      <c r="AD75" s="1611">
        <v>0</v>
      </c>
      <c r="AE75" s="1611">
        <v>0</v>
      </c>
      <c r="AF75" s="1611">
        <v>0</v>
      </c>
      <c r="AG75" s="1611">
        <v>5</v>
      </c>
      <c r="AH75" s="1611">
        <v>1</v>
      </c>
      <c r="AI75" s="1611">
        <v>40131</v>
      </c>
      <c r="AJ75" s="1611">
        <v>2120</v>
      </c>
      <c r="AK75" s="1611">
        <v>0</v>
      </c>
      <c r="AL75" s="1611">
        <v>0</v>
      </c>
      <c r="AO75" s="1618"/>
      <c r="AP75" s="1618"/>
      <c r="AQ75" s="1611" t="str">
        <f t="shared" si="0"/>
        <v/>
      </c>
      <c r="AS75" s="1611" t="str">
        <f t="shared" si="1"/>
        <v>wci_corp</v>
      </c>
    </row>
    <row r="76" spans="2:45" s="1611" customFormat="1" ht="12">
      <c r="B76" s="1611" t="s">
        <v>1669</v>
      </c>
      <c r="C76" s="1615">
        <v>42947</v>
      </c>
      <c r="D76" s="1616">
        <v>931.03</v>
      </c>
      <c r="E76" s="1616">
        <v>0</v>
      </c>
      <c r="F76" s="1617" t="s">
        <v>657</v>
      </c>
      <c r="G76" s="1611" t="s">
        <v>1368</v>
      </c>
      <c r="H76" s="1618" t="s">
        <v>1071</v>
      </c>
      <c r="I76" s="1611" t="s">
        <v>1092</v>
      </c>
      <c r="J76" s="1611" t="s">
        <v>1302</v>
      </c>
      <c r="K76" s="1611" t="s">
        <v>1068</v>
      </c>
      <c r="L76" s="1613"/>
      <c r="M76" s="1613"/>
      <c r="N76" s="1613" t="s">
        <v>1682</v>
      </c>
      <c r="O76" s="1614"/>
      <c r="P76" s="1613"/>
      <c r="Q76" s="1613"/>
      <c r="U76" s="1611" t="s">
        <v>1364</v>
      </c>
      <c r="V76" s="1611" t="s">
        <v>1369</v>
      </c>
      <c r="X76" s="1615">
        <v>42926</v>
      </c>
      <c r="Y76" s="1615">
        <v>42926</v>
      </c>
      <c r="AA76" s="1615"/>
      <c r="AB76" s="1611" t="s">
        <v>1066</v>
      </c>
      <c r="AC76" s="1611">
        <v>0</v>
      </c>
      <c r="AD76" s="1611">
        <v>0</v>
      </c>
      <c r="AE76" s="1611">
        <v>0</v>
      </c>
      <c r="AF76" s="1611">
        <v>0</v>
      </c>
      <c r="AG76" s="1611">
        <v>5</v>
      </c>
      <c r="AH76" s="1611">
        <v>1</v>
      </c>
      <c r="AI76" s="1611">
        <v>40131</v>
      </c>
      <c r="AJ76" s="1611">
        <v>2120</v>
      </c>
      <c r="AK76" s="1611">
        <v>0</v>
      </c>
      <c r="AL76" s="1611">
        <v>0</v>
      </c>
      <c r="AO76" s="1618"/>
      <c r="AP76" s="1618"/>
      <c r="AQ76" s="1611" t="str">
        <f t="shared" si="0"/>
        <v/>
      </c>
      <c r="AS76" s="1611" t="str">
        <f t="shared" si="1"/>
        <v>wci_corp</v>
      </c>
    </row>
    <row r="77" spans="2:45" s="1611" customFormat="1" ht="12">
      <c r="B77" s="1611" t="s">
        <v>1669</v>
      </c>
      <c r="C77" s="1615">
        <v>42947</v>
      </c>
      <c r="D77" s="1616">
        <v>-13671.75</v>
      </c>
      <c r="E77" s="1616">
        <v>0</v>
      </c>
      <c r="F77" s="1617" t="s">
        <v>657</v>
      </c>
      <c r="G77" s="1611" t="s">
        <v>1370</v>
      </c>
      <c r="H77" s="1618" t="s">
        <v>1071</v>
      </c>
      <c r="I77" s="1611" t="s">
        <v>1366</v>
      </c>
      <c r="J77" s="1611" t="s">
        <v>1371</v>
      </c>
      <c r="K77" s="1611" t="s">
        <v>1068</v>
      </c>
      <c r="L77" s="1613"/>
      <c r="M77" s="1613"/>
      <c r="N77" s="1613" t="s">
        <v>1681</v>
      </c>
      <c r="O77" s="1614"/>
      <c r="P77" s="1613"/>
      <c r="Q77" s="1613"/>
      <c r="U77" s="1611" t="s">
        <v>1367</v>
      </c>
      <c r="V77" s="1611" t="s">
        <v>1372</v>
      </c>
      <c r="X77" s="1615">
        <v>42927</v>
      </c>
      <c r="Y77" s="1615">
        <v>42927</v>
      </c>
      <c r="AA77" s="1615"/>
      <c r="AB77" s="1611" t="s">
        <v>1066</v>
      </c>
      <c r="AC77" s="1611">
        <v>0</v>
      </c>
      <c r="AD77" s="1611">
        <v>0</v>
      </c>
      <c r="AE77" s="1611">
        <v>0</v>
      </c>
      <c r="AF77" s="1611">
        <v>0</v>
      </c>
      <c r="AG77" s="1611">
        <v>5</v>
      </c>
      <c r="AH77" s="1611">
        <v>1</v>
      </c>
      <c r="AI77" s="1611">
        <v>40131</v>
      </c>
      <c r="AJ77" s="1611">
        <v>2120</v>
      </c>
      <c r="AK77" s="1611">
        <v>0</v>
      </c>
      <c r="AL77" s="1611">
        <v>0</v>
      </c>
      <c r="AO77" s="1618"/>
      <c r="AP77" s="1618"/>
      <c r="AQ77" s="1611" t="str">
        <f t="shared" si="0"/>
        <v/>
      </c>
      <c r="AS77" s="1611" t="str">
        <f t="shared" si="1"/>
        <v>wci_corp</v>
      </c>
    </row>
    <row r="78" spans="2:45" s="1611" customFormat="1" ht="12">
      <c r="B78" s="1611" t="s">
        <v>1669</v>
      </c>
      <c r="C78" s="1615">
        <v>42947</v>
      </c>
      <c r="D78" s="1616">
        <v>-931.03</v>
      </c>
      <c r="E78" s="1616">
        <v>0</v>
      </c>
      <c r="F78" s="1617" t="s">
        <v>657</v>
      </c>
      <c r="G78" s="1611" t="s">
        <v>1370</v>
      </c>
      <c r="H78" s="1618" t="s">
        <v>1071</v>
      </c>
      <c r="I78" s="1611" t="s">
        <v>1366</v>
      </c>
      <c r="J78" s="1611" t="s">
        <v>1371</v>
      </c>
      <c r="K78" s="1611" t="s">
        <v>1068</v>
      </c>
      <c r="L78" s="1613"/>
      <c r="M78" s="1613"/>
      <c r="N78" s="1613" t="s">
        <v>1682</v>
      </c>
      <c r="O78" s="1614"/>
      <c r="P78" s="1613"/>
      <c r="Q78" s="1613"/>
      <c r="U78" s="1611" t="s">
        <v>1367</v>
      </c>
      <c r="V78" s="1611" t="s">
        <v>1372</v>
      </c>
      <c r="X78" s="1615">
        <v>42927</v>
      </c>
      <c r="Y78" s="1615">
        <v>42927</v>
      </c>
      <c r="AA78" s="1615"/>
      <c r="AB78" s="1611" t="s">
        <v>1066</v>
      </c>
      <c r="AC78" s="1611">
        <v>0</v>
      </c>
      <c r="AD78" s="1611">
        <v>0</v>
      </c>
      <c r="AE78" s="1611">
        <v>0</v>
      </c>
      <c r="AF78" s="1611">
        <v>0</v>
      </c>
      <c r="AG78" s="1611">
        <v>5</v>
      </c>
      <c r="AH78" s="1611">
        <v>1</v>
      </c>
      <c r="AI78" s="1611">
        <v>40131</v>
      </c>
      <c r="AJ78" s="1611">
        <v>2120</v>
      </c>
      <c r="AK78" s="1611">
        <v>0</v>
      </c>
      <c r="AL78" s="1611">
        <v>0</v>
      </c>
      <c r="AO78" s="1618"/>
      <c r="AP78" s="1618"/>
      <c r="AQ78" s="1611" t="str">
        <f t="shared" si="0"/>
        <v/>
      </c>
      <c r="AS78" s="1611" t="str">
        <f t="shared" si="1"/>
        <v>wci_corp</v>
      </c>
    </row>
    <row r="79" spans="2:45" s="1611" customFormat="1" ht="12">
      <c r="B79" s="1611" t="s">
        <v>1669</v>
      </c>
      <c r="C79" s="1615">
        <v>42947</v>
      </c>
      <c r="D79" s="1616">
        <v>39.590000000000003</v>
      </c>
      <c r="E79" s="1616">
        <v>0</v>
      </c>
      <c r="F79" s="1617" t="s">
        <v>657</v>
      </c>
      <c r="G79" s="1611" t="s">
        <v>1104</v>
      </c>
      <c r="H79" s="1618" t="s">
        <v>1071</v>
      </c>
      <c r="I79" s="1611" t="s">
        <v>1103</v>
      </c>
      <c r="J79" s="1611" t="s">
        <v>1084</v>
      </c>
      <c r="K79" s="1611" t="s">
        <v>1068</v>
      </c>
      <c r="L79" s="1613"/>
      <c r="M79" s="1613"/>
      <c r="N79" s="1613" t="s">
        <v>1680</v>
      </c>
      <c r="O79" s="1614"/>
      <c r="P79" s="1613"/>
      <c r="Q79" s="1613"/>
      <c r="U79" s="1611" t="s">
        <v>1102</v>
      </c>
      <c r="V79" s="1611" t="s">
        <v>1102</v>
      </c>
      <c r="X79" s="1615">
        <v>42948</v>
      </c>
      <c r="Y79" s="1615">
        <v>42949</v>
      </c>
      <c r="AA79" s="1615"/>
      <c r="AB79" s="1611" t="s">
        <v>1066</v>
      </c>
      <c r="AC79" s="1611">
        <v>0</v>
      </c>
      <c r="AD79" s="1611">
        <v>0</v>
      </c>
      <c r="AE79" s="1611">
        <v>0</v>
      </c>
      <c r="AF79" s="1611">
        <v>0</v>
      </c>
      <c r="AG79" s="1611">
        <v>0</v>
      </c>
      <c r="AH79" s="1611">
        <v>1</v>
      </c>
      <c r="AI79" s="1611">
        <v>40131</v>
      </c>
      <c r="AJ79" s="1611">
        <v>2120</v>
      </c>
      <c r="AK79" s="1611">
        <v>0</v>
      </c>
      <c r="AL79" s="1611">
        <v>0</v>
      </c>
      <c r="AO79" s="1618"/>
      <c r="AP79" s="1618"/>
      <c r="AQ79" s="1611" t="str">
        <f t="shared" si="0"/>
        <v/>
      </c>
      <c r="AS79" s="1611" t="str">
        <f t="shared" si="1"/>
        <v>wci_corp</v>
      </c>
    </row>
    <row r="80" spans="2:45" s="1611" customFormat="1" ht="12">
      <c r="B80" s="1611" t="s">
        <v>1669</v>
      </c>
      <c r="C80" s="1615">
        <v>42947</v>
      </c>
      <c r="D80" s="1616">
        <v>431.03</v>
      </c>
      <c r="E80" s="1616">
        <v>0</v>
      </c>
      <c r="F80" s="1617" t="s">
        <v>657</v>
      </c>
      <c r="G80" s="1611" t="s">
        <v>1104</v>
      </c>
      <c r="H80" s="1618" t="s">
        <v>1071</v>
      </c>
      <c r="I80" s="1611" t="s">
        <v>1103</v>
      </c>
      <c r="J80" s="1611" t="s">
        <v>1084</v>
      </c>
      <c r="K80" s="1611" t="s">
        <v>1068</v>
      </c>
      <c r="L80" s="1613"/>
      <c r="M80" s="1613"/>
      <c r="N80" s="1613" t="s">
        <v>1680</v>
      </c>
      <c r="O80" s="1614"/>
      <c r="P80" s="1613"/>
      <c r="Q80" s="1613"/>
      <c r="U80" s="1611" t="s">
        <v>1102</v>
      </c>
      <c r="V80" s="1611" t="s">
        <v>1102</v>
      </c>
      <c r="X80" s="1615">
        <v>42948</v>
      </c>
      <c r="Y80" s="1615">
        <v>42949</v>
      </c>
      <c r="AA80" s="1615"/>
      <c r="AB80" s="1611" t="s">
        <v>1066</v>
      </c>
      <c r="AC80" s="1611">
        <v>0</v>
      </c>
      <c r="AD80" s="1611">
        <v>0</v>
      </c>
      <c r="AE80" s="1611">
        <v>0</v>
      </c>
      <c r="AF80" s="1611">
        <v>0</v>
      </c>
      <c r="AG80" s="1611">
        <v>0</v>
      </c>
      <c r="AH80" s="1611">
        <v>1</v>
      </c>
      <c r="AI80" s="1611">
        <v>40131</v>
      </c>
      <c r="AJ80" s="1611">
        <v>2120</v>
      </c>
      <c r="AK80" s="1611">
        <v>0</v>
      </c>
      <c r="AL80" s="1611">
        <v>0</v>
      </c>
      <c r="AO80" s="1618"/>
      <c r="AP80" s="1618"/>
      <c r="AQ80" s="1611" t="str">
        <f t="shared" si="0"/>
        <v/>
      </c>
      <c r="AS80" s="1611" t="str">
        <f t="shared" si="1"/>
        <v>wci_corp</v>
      </c>
    </row>
    <row r="81" spans="2:45" s="1611" customFormat="1" ht="12">
      <c r="B81" s="1611" t="s">
        <v>1669</v>
      </c>
      <c r="C81" s="1615">
        <v>42947</v>
      </c>
      <c r="D81" s="1616">
        <v>-13671.75</v>
      </c>
      <c r="E81" s="1616">
        <v>0</v>
      </c>
      <c r="F81" s="1617" t="s">
        <v>657</v>
      </c>
      <c r="G81" s="1611" t="s">
        <v>1373</v>
      </c>
      <c r="H81" s="1618" t="s">
        <v>1071</v>
      </c>
      <c r="I81" s="1611" t="s">
        <v>1374</v>
      </c>
      <c r="J81" s="1611" t="s">
        <v>1084</v>
      </c>
      <c r="K81" s="1611" t="s">
        <v>1068</v>
      </c>
      <c r="L81" s="1613"/>
      <c r="M81" s="1613"/>
      <c r="N81" s="1613" t="s">
        <v>1375</v>
      </c>
      <c r="O81" s="1614"/>
      <c r="P81" s="1613"/>
      <c r="Q81" s="1613"/>
      <c r="U81" s="1611" t="s">
        <v>1376</v>
      </c>
      <c r="V81" s="1611" t="s">
        <v>1376</v>
      </c>
      <c r="X81" s="1615">
        <v>42950</v>
      </c>
      <c r="Y81" s="1615">
        <v>42950</v>
      </c>
      <c r="AA81" s="1615"/>
      <c r="AB81" s="1611" t="s">
        <v>1066</v>
      </c>
      <c r="AC81" s="1611">
        <v>0</v>
      </c>
      <c r="AD81" s="1611">
        <v>0</v>
      </c>
      <c r="AE81" s="1611">
        <v>0</v>
      </c>
      <c r="AF81" s="1611">
        <v>0</v>
      </c>
      <c r="AG81" s="1611">
        <v>0</v>
      </c>
      <c r="AH81" s="1611">
        <v>1</v>
      </c>
      <c r="AI81" s="1611">
        <v>40131</v>
      </c>
      <c r="AJ81" s="1611">
        <v>2120</v>
      </c>
      <c r="AK81" s="1611">
        <v>0</v>
      </c>
      <c r="AL81" s="1611">
        <v>0</v>
      </c>
      <c r="AO81" s="1618"/>
      <c r="AP81" s="1618"/>
      <c r="AQ81" s="1611" t="str">
        <f t="shared" si="0"/>
        <v/>
      </c>
      <c r="AS81" s="1611" t="str">
        <f t="shared" si="1"/>
        <v>wci_corp</v>
      </c>
    </row>
    <row r="82" spans="2:45" s="1611" customFormat="1" ht="12">
      <c r="B82" s="1611" t="s">
        <v>1669</v>
      </c>
      <c r="C82" s="1615">
        <v>42947</v>
      </c>
      <c r="D82" s="1616">
        <v>-931.03</v>
      </c>
      <c r="E82" s="1616">
        <v>0</v>
      </c>
      <c r="F82" s="1617" t="s">
        <v>657</v>
      </c>
      <c r="G82" s="1611" t="s">
        <v>1373</v>
      </c>
      <c r="H82" s="1618" t="s">
        <v>1071</v>
      </c>
      <c r="I82" s="1611" t="s">
        <v>1374</v>
      </c>
      <c r="J82" s="1611" t="s">
        <v>1084</v>
      </c>
      <c r="K82" s="1611" t="s">
        <v>1068</v>
      </c>
      <c r="L82" s="1613"/>
      <c r="M82" s="1613"/>
      <c r="N82" s="1613" t="s">
        <v>1375</v>
      </c>
      <c r="O82" s="1614"/>
      <c r="P82" s="1613"/>
      <c r="Q82" s="1613"/>
      <c r="U82" s="1611" t="s">
        <v>1376</v>
      </c>
      <c r="V82" s="1611" t="s">
        <v>1376</v>
      </c>
      <c r="X82" s="1615">
        <v>42950</v>
      </c>
      <c r="Y82" s="1615">
        <v>42950</v>
      </c>
      <c r="AA82" s="1615"/>
      <c r="AB82" s="1611" t="s">
        <v>1066</v>
      </c>
      <c r="AC82" s="1611">
        <v>0</v>
      </c>
      <c r="AD82" s="1611">
        <v>0</v>
      </c>
      <c r="AE82" s="1611">
        <v>0</v>
      </c>
      <c r="AF82" s="1611">
        <v>0</v>
      </c>
      <c r="AG82" s="1611">
        <v>0</v>
      </c>
      <c r="AH82" s="1611">
        <v>1</v>
      </c>
      <c r="AI82" s="1611">
        <v>40131</v>
      </c>
      <c r="AJ82" s="1611">
        <v>2120</v>
      </c>
      <c r="AK82" s="1611">
        <v>0</v>
      </c>
      <c r="AL82" s="1611">
        <v>0</v>
      </c>
      <c r="AO82" s="1618"/>
      <c r="AP82" s="1618"/>
      <c r="AQ82" s="1611" t="str">
        <f t="shared" si="0"/>
        <v/>
      </c>
      <c r="AS82" s="1611" t="str">
        <f t="shared" si="1"/>
        <v>wci_corp</v>
      </c>
    </row>
    <row r="83" spans="2:45" s="1611" customFormat="1" ht="12">
      <c r="B83" s="1611" t="s">
        <v>1669</v>
      </c>
      <c r="C83" s="1615">
        <v>42947</v>
      </c>
      <c r="D83" s="1616">
        <v>11376</v>
      </c>
      <c r="E83" s="1616">
        <v>0</v>
      </c>
      <c r="F83" s="1617" t="s">
        <v>657</v>
      </c>
      <c r="G83" s="1611" t="s">
        <v>1101</v>
      </c>
      <c r="H83" s="1618" t="s">
        <v>1071</v>
      </c>
      <c r="I83" s="1611" t="s">
        <v>1092</v>
      </c>
      <c r="J83" s="1611" t="s">
        <v>1084</v>
      </c>
      <c r="K83" s="1611" t="s">
        <v>1068</v>
      </c>
      <c r="L83" s="1613"/>
      <c r="M83" s="1613"/>
      <c r="N83" s="1613" t="s">
        <v>1681</v>
      </c>
      <c r="O83" s="1614"/>
      <c r="P83" s="1613"/>
      <c r="Q83" s="1613"/>
      <c r="U83" s="1611" t="s">
        <v>1091</v>
      </c>
      <c r="V83" s="1611" t="s">
        <v>1091</v>
      </c>
      <c r="X83" s="1615">
        <v>42951</v>
      </c>
      <c r="Y83" s="1615">
        <v>42954</v>
      </c>
      <c r="AA83" s="1615"/>
      <c r="AB83" s="1611" t="s">
        <v>1066</v>
      </c>
      <c r="AC83" s="1611">
        <v>0</v>
      </c>
      <c r="AD83" s="1611">
        <v>0</v>
      </c>
      <c r="AE83" s="1611">
        <v>0</v>
      </c>
      <c r="AF83" s="1611">
        <v>0</v>
      </c>
      <c r="AG83" s="1611">
        <v>0</v>
      </c>
      <c r="AH83" s="1611">
        <v>1</v>
      </c>
      <c r="AI83" s="1611">
        <v>40131</v>
      </c>
      <c r="AJ83" s="1611">
        <v>2120</v>
      </c>
      <c r="AK83" s="1611">
        <v>0</v>
      </c>
      <c r="AL83" s="1611">
        <v>0</v>
      </c>
      <c r="AO83" s="1618"/>
      <c r="AP83" s="1618"/>
      <c r="AQ83" s="1611" t="str">
        <f t="shared" si="0"/>
        <v/>
      </c>
      <c r="AS83" s="1611" t="str">
        <f t="shared" si="1"/>
        <v>wci_corp</v>
      </c>
    </row>
    <row r="84" spans="2:45" s="1611" customFormat="1" ht="12">
      <c r="B84" s="1611" t="s">
        <v>1669</v>
      </c>
      <c r="C84" s="1615">
        <v>42947</v>
      </c>
      <c r="D84" s="1616">
        <v>832.72</v>
      </c>
      <c r="E84" s="1616">
        <v>0</v>
      </c>
      <c r="F84" s="1617" t="s">
        <v>657</v>
      </c>
      <c r="G84" s="1611" t="s">
        <v>1101</v>
      </c>
      <c r="H84" s="1618" t="s">
        <v>1071</v>
      </c>
      <c r="I84" s="1611" t="s">
        <v>1092</v>
      </c>
      <c r="J84" s="1611" t="s">
        <v>1084</v>
      </c>
      <c r="K84" s="1611" t="s">
        <v>1068</v>
      </c>
      <c r="L84" s="1613"/>
      <c r="M84" s="1613"/>
      <c r="N84" s="1613" t="s">
        <v>1682</v>
      </c>
      <c r="O84" s="1614"/>
      <c r="P84" s="1613"/>
      <c r="Q84" s="1613"/>
      <c r="U84" s="1611" t="s">
        <v>1091</v>
      </c>
      <c r="V84" s="1611" t="s">
        <v>1091</v>
      </c>
      <c r="X84" s="1615">
        <v>42951</v>
      </c>
      <c r="Y84" s="1615">
        <v>42954</v>
      </c>
      <c r="AA84" s="1615"/>
      <c r="AB84" s="1611" t="s">
        <v>1066</v>
      </c>
      <c r="AC84" s="1611">
        <v>0</v>
      </c>
      <c r="AD84" s="1611">
        <v>0</v>
      </c>
      <c r="AE84" s="1611">
        <v>0</v>
      </c>
      <c r="AF84" s="1611">
        <v>0</v>
      </c>
      <c r="AG84" s="1611">
        <v>0</v>
      </c>
      <c r="AH84" s="1611">
        <v>1</v>
      </c>
      <c r="AI84" s="1611">
        <v>40131</v>
      </c>
      <c r="AJ84" s="1611">
        <v>2120</v>
      </c>
      <c r="AK84" s="1611">
        <v>0</v>
      </c>
      <c r="AL84" s="1611">
        <v>0</v>
      </c>
      <c r="AO84" s="1618"/>
      <c r="AP84" s="1618"/>
      <c r="AQ84" s="1611" t="str">
        <f t="shared" si="0"/>
        <v/>
      </c>
      <c r="AS84" s="1611" t="str">
        <f t="shared" si="1"/>
        <v>wci_corp</v>
      </c>
    </row>
    <row r="85" spans="2:45" s="1611" customFormat="1" ht="12">
      <c r="B85" s="1611" t="s">
        <v>1669</v>
      </c>
      <c r="C85" s="1615">
        <v>42978</v>
      </c>
      <c r="D85" s="1616">
        <v>-11376</v>
      </c>
      <c r="E85" s="1616">
        <v>0</v>
      </c>
      <c r="F85" s="1617" t="s">
        <v>657</v>
      </c>
      <c r="G85" s="1611" t="s">
        <v>1093</v>
      </c>
      <c r="H85" s="1618" t="s">
        <v>1071</v>
      </c>
      <c r="I85" s="1611" t="s">
        <v>1092</v>
      </c>
      <c r="J85" s="1611" t="s">
        <v>1084</v>
      </c>
      <c r="K85" s="1611" t="s">
        <v>1068</v>
      </c>
      <c r="L85" s="1613"/>
      <c r="M85" s="1613"/>
      <c r="N85" s="1613" t="s">
        <v>1681</v>
      </c>
      <c r="O85" s="1614"/>
      <c r="P85" s="1613"/>
      <c r="Q85" s="1613"/>
      <c r="U85" s="1611" t="s">
        <v>1091</v>
      </c>
      <c r="V85" s="1611" t="s">
        <v>1090</v>
      </c>
      <c r="X85" s="1615">
        <v>42954</v>
      </c>
      <c r="Y85" s="1615">
        <v>42954</v>
      </c>
      <c r="AA85" s="1615"/>
      <c r="AB85" s="1611" t="s">
        <v>1066</v>
      </c>
      <c r="AC85" s="1611">
        <v>0</v>
      </c>
      <c r="AD85" s="1611">
        <v>0</v>
      </c>
      <c r="AE85" s="1611">
        <v>0</v>
      </c>
      <c r="AF85" s="1611">
        <v>0</v>
      </c>
      <c r="AG85" s="1611">
        <v>5</v>
      </c>
      <c r="AH85" s="1611">
        <v>1</v>
      </c>
      <c r="AI85" s="1611">
        <v>40131</v>
      </c>
      <c r="AJ85" s="1611">
        <v>2120</v>
      </c>
      <c r="AK85" s="1611">
        <v>0</v>
      </c>
      <c r="AL85" s="1611">
        <v>0</v>
      </c>
      <c r="AO85" s="1618"/>
      <c r="AP85" s="1618"/>
      <c r="AQ85" s="1611" t="str">
        <f t="shared" ref="AQ85:AQ123" si="2">IF(LEFT(U85,2)="VO",U85,"")</f>
        <v/>
      </c>
      <c r="AS85" s="1611" t="str">
        <f t="shared" ref="AS85:AS123" si="3">IF(RIGHT(K85,2)="IC",IF(OR(AB85="wci_canada",AB85="wci_can_corp"),"wci_can_Corp","wci_corp"),AB85)</f>
        <v>wci_corp</v>
      </c>
    </row>
    <row r="86" spans="2:45" s="1611" customFormat="1" ht="12">
      <c r="B86" s="1611" t="s">
        <v>1669</v>
      </c>
      <c r="C86" s="1615">
        <v>42978</v>
      </c>
      <c r="D86" s="1616">
        <v>-832.72</v>
      </c>
      <c r="E86" s="1616">
        <v>0</v>
      </c>
      <c r="F86" s="1617" t="s">
        <v>657</v>
      </c>
      <c r="G86" s="1611" t="s">
        <v>1093</v>
      </c>
      <c r="H86" s="1618" t="s">
        <v>1071</v>
      </c>
      <c r="I86" s="1611" t="s">
        <v>1092</v>
      </c>
      <c r="J86" s="1611" t="s">
        <v>1084</v>
      </c>
      <c r="K86" s="1611" t="s">
        <v>1068</v>
      </c>
      <c r="L86" s="1613"/>
      <c r="M86" s="1613"/>
      <c r="N86" s="1613" t="s">
        <v>1682</v>
      </c>
      <c r="O86" s="1614"/>
      <c r="P86" s="1613"/>
      <c r="Q86" s="1613"/>
      <c r="U86" s="1611" t="s">
        <v>1091</v>
      </c>
      <c r="V86" s="1611" t="s">
        <v>1090</v>
      </c>
      <c r="X86" s="1615">
        <v>42954</v>
      </c>
      <c r="Y86" s="1615">
        <v>42954</v>
      </c>
      <c r="AA86" s="1615"/>
      <c r="AB86" s="1611" t="s">
        <v>1066</v>
      </c>
      <c r="AC86" s="1611">
        <v>0</v>
      </c>
      <c r="AD86" s="1611">
        <v>0</v>
      </c>
      <c r="AE86" s="1611">
        <v>0</v>
      </c>
      <c r="AF86" s="1611">
        <v>0</v>
      </c>
      <c r="AG86" s="1611">
        <v>5</v>
      </c>
      <c r="AH86" s="1611">
        <v>1</v>
      </c>
      <c r="AI86" s="1611">
        <v>40131</v>
      </c>
      <c r="AJ86" s="1611">
        <v>2120</v>
      </c>
      <c r="AK86" s="1611">
        <v>0</v>
      </c>
      <c r="AL86" s="1611">
        <v>0</v>
      </c>
      <c r="AO86" s="1618"/>
      <c r="AP86" s="1618"/>
      <c r="AQ86" s="1611" t="str">
        <f t="shared" si="2"/>
        <v/>
      </c>
      <c r="AS86" s="1611" t="str">
        <f t="shared" si="3"/>
        <v>wci_corp</v>
      </c>
    </row>
    <row r="87" spans="2:45" s="1611" customFormat="1" ht="12">
      <c r="B87" s="1611" t="s">
        <v>1669</v>
      </c>
      <c r="C87" s="1615">
        <v>42978</v>
      </c>
      <c r="D87" s="1616">
        <v>11375.89</v>
      </c>
      <c r="E87" s="1616">
        <v>0</v>
      </c>
      <c r="F87" s="1617" t="s">
        <v>657</v>
      </c>
      <c r="G87" s="1611" t="s">
        <v>1632</v>
      </c>
      <c r="H87" s="1618" t="s">
        <v>1071</v>
      </c>
      <c r="I87" s="1611" t="s">
        <v>1099</v>
      </c>
      <c r="J87" s="1611" t="s">
        <v>1098</v>
      </c>
      <c r="K87" s="1611" t="s">
        <v>1068</v>
      </c>
      <c r="L87" s="1613" t="s">
        <v>1671</v>
      </c>
      <c r="M87" s="1613"/>
      <c r="N87" s="1613" t="s">
        <v>1672</v>
      </c>
      <c r="O87" s="1614">
        <v>42951</v>
      </c>
      <c r="P87" s="1613" t="s">
        <v>1684</v>
      </c>
      <c r="Q87" s="1613" t="s">
        <v>1720</v>
      </c>
      <c r="R87" s="1611" t="s">
        <v>1686</v>
      </c>
      <c r="U87" s="1611" t="s">
        <v>1721</v>
      </c>
      <c r="V87" s="1611" t="s">
        <v>1634</v>
      </c>
      <c r="W87" s="1611">
        <v>2195</v>
      </c>
      <c r="X87" s="1615">
        <v>42983</v>
      </c>
      <c r="Y87" s="1615">
        <v>42983</v>
      </c>
      <c r="Z87" s="1611">
        <v>11375.9</v>
      </c>
      <c r="AA87" s="1615">
        <v>42971</v>
      </c>
      <c r="AB87" s="1611" t="s">
        <v>1066</v>
      </c>
      <c r="AC87" s="1611">
        <v>0</v>
      </c>
      <c r="AD87" s="1611">
        <v>0</v>
      </c>
      <c r="AE87" s="1611">
        <v>0</v>
      </c>
      <c r="AF87" s="1611">
        <v>0</v>
      </c>
      <c r="AG87" s="1611">
        <v>0</v>
      </c>
      <c r="AH87" s="1611">
        <v>1</v>
      </c>
      <c r="AI87" s="1611">
        <v>40131</v>
      </c>
      <c r="AJ87" s="1611">
        <v>2120</v>
      </c>
      <c r="AK87" s="1611">
        <v>0</v>
      </c>
      <c r="AL87" s="1611">
        <v>0</v>
      </c>
      <c r="AO87" s="1618"/>
      <c r="AP87" s="1618"/>
      <c r="AQ87" s="1611" t="str">
        <f t="shared" si="2"/>
        <v>VO04400955</v>
      </c>
      <c r="AS87" s="1611" t="str">
        <f t="shared" si="3"/>
        <v>wci_corp</v>
      </c>
    </row>
    <row r="88" spans="2:45" s="1611" customFormat="1" ht="12">
      <c r="B88" s="1611" t="s">
        <v>1669</v>
      </c>
      <c r="C88" s="1615">
        <v>42978</v>
      </c>
      <c r="D88" s="1616">
        <v>431.45</v>
      </c>
      <c r="E88" s="1616">
        <v>0</v>
      </c>
      <c r="F88" s="1617" t="s">
        <v>657</v>
      </c>
      <c r="G88" s="1611" t="s">
        <v>1089</v>
      </c>
      <c r="H88" s="1618" t="s">
        <v>1071</v>
      </c>
      <c r="I88" s="1611" t="s">
        <v>1088</v>
      </c>
      <c r="J88" s="1611" t="s">
        <v>1084</v>
      </c>
      <c r="K88" s="1611" t="s">
        <v>1068</v>
      </c>
      <c r="L88" s="1613"/>
      <c r="M88" s="1613"/>
      <c r="N88" s="1613" t="s">
        <v>1680</v>
      </c>
      <c r="O88" s="1614"/>
      <c r="P88" s="1613"/>
      <c r="Q88" s="1613"/>
      <c r="U88" s="1611" t="s">
        <v>1087</v>
      </c>
      <c r="V88" s="1611" t="s">
        <v>1087</v>
      </c>
      <c r="X88" s="1615">
        <v>42983</v>
      </c>
      <c r="Y88" s="1615">
        <v>42984</v>
      </c>
      <c r="AA88" s="1615"/>
      <c r="AB88" s="1611" t="s">
        <v>1066</v>
      </c>
      <c r="AC88" s="1611">
        <v>0</v>
      </c>
      <c r="AD88" s="1611">
        <v>0</v>
      </c>
      <c r="AE88" s="1611">
        <v>0</v>
      </c>
      <c r="AF88" s="1611">
        <v>0</v>
      </c>
      <c r="AG88" s="1611">
        <v>0</v>
      </c>
      <c r="AH88" s="1611">
        <v>1</v>
      </c>
      <c r="AI88" s="1611">
        <v>40131</v>
      </c>
      <c r="AJ88" s="1611">
        <v>2120</v>
      </c>
      <c r="AK88" s="1611">
        <v>0</v>
      </c>
      <c r="AL88" s="1611">
        <v>0</v>
      </c>
      <c r="AO88" s="1618"/>
      <c r="AP88" s="1618"/>
      <c r="AQ88" s="1611" t="str">
        <f t="shared" si="2"/>
        <v/>
      </c>
      <c r="AS88" s="1611" t="str">
        <f t="shared" si="3"/>
        <v>wci_corp</v>
      </c>
    </row>
    <row r="89" spans="2:45" s="1611" customFormat="1" ht="12">
      <c r="B89" s="1611" t="s">
        <v>1669</v>
      </c>
      <c r="C89" s="1615">
        <v>42978</v>
      </c>
      <c r="D89" s="1616">
        <v>401.27</v>
      </c>
      <c r="E89" s="1616">
        <v>0</v>
      </c>
      <c r="F89" s="1617" t="s">
        <v>657</v>
      </c>
      <c r="G89" s="1611" t="s">
        <v>1089</v>
      </c>
      <c r="H89" s="1618" t="s">
        <v>1071</v>
      </c>
      <c r="I89" s="1611" t="s">
        <v>1088</v>
      </c>
      <c r="J89" s="1611" t="s">
        <v>1084</v>
      </c>
      <c r="K89" s="1611" t="s">
        <v>1068</v>
      </c>
      <c r="L89" s="1613"/>
      <c r="M89" s="1613"/>
      <c r="N89" s="1613" t="s">
        <v>1680</v>
      </c>
      <c r="O89" s="1614"/>
      <c r="P89" s="1613"/>
      <c r="Q89" s="1613"/>
      <c r="U89" s="1611" t="s">
        <v>1087</v>
      </c>
      <c r="V89" s="1611" t="s">
        <v>1087</v>
      </c>
      <c r="X89" s="1615">
        <v>42983</v>
      </c>
      <c r="Y89" s="1615">
        <v>42984</v>
      </c>
      <c r="AA89" s="1615"/>
      <c r="AB89" s="1611" t="s">
        <v>1066</v>
      </c>
      <c r="AC89" s="1611">
        <v>0</v>
      </c>
      <c r="AD89" s="1611">
        <v>0</v>
      </c>
      <c r="AE89" s="1611">
        <v>0</v>
      </c>
      <c r="AF89" s="1611">
        <v>0</v>
      </c>
      <c r="AG89" s="1611">
        <v>0</v>
      </c>
      <c r="AH89" s="1611">
        <v>1</v>
      </c>
      <c r="AI89" s="1611">
        <v>40131</v>
      </c>
      <c r="AJ89" s="1611">
        <v>2120</v>
      </c>
      <c r="AK89" s="1611">
        <v>0</v>
      </c>
      <c r="AL89" s="1611">
        <v>0</v>
      </c>
      <c r="AO89" s="1618"/>
      <c r="AP89" s="1618"/>
      <c r="AQ89" s="1611" t="str">
        <f t="shared" si="2"/>
        <v/>
      </c>
      <c r="AS89" s="1611" t="str">
        <f t="shared" si="3"/>
        <v>wci_corp</v>
      </c>
    </row>
    <row r="90" spans="2:45" s="1611" customFormat="1" ht="12">
      <c r="B90" s="1611" t="s">
        <v>1669</v>
      </c>
      <c r="C90" s="1615">
        <v>42978</v>
      </c>
      <c r="D90" s="1616">
        <v>13257</v>
      </c>
      <c r="E90" s="1616">
        <v>0</v>
      </c>
      <c r="F90" s="1617" t="s">
        <v>657</v>
      </c>
      <c r="G90" s="1611" t="s">
        <v>1722</v>
      </c>
      <c r="H90" s="1618" t="s">
        <v>1071</v>
      </c>
      <c r="I90" s="1611" t="s">
        <v>1092</v>
      </c>
      <c r="J90" s="1611" t="s">
        <v>1084</v>
      </c>
      <c r="K90" s="1611" t="s">
        <v>1068</v>
      </c>
      <c r="L90" s="1613"/>
      <c r="M90" s="1613"/>
      <c r="N90" s="1613" t="s">
        <v>1681</v>
      </c>
      <c r="O90" s="1614"/>
      <c r="P90" s="1613"/>
      <c r="Q90" s="1613"/>
      <c r="U90" s="1611" t="s">
        <v>1723</v>
      </c>
      <c r="V90" s="1611" t="s">
        <v>1723</v>
      </c>
      <c r="X90" s="1615">
        <v>42985</v>
      </c>
      <c r="Y90" s="1615">
        <v>42985</v>
      </c>
      <c r="AA90" s="1615"/>
      <c r="AB90" s="1611" t="s">
        <v>1066</v>
      </c>
      <c r="AC90" s="1611">
        <v>0</v>
      </c>
      <c r="AD90" s="1611">
        <v>0</v>
      </c>
      <c r="AE90" s="1611">
        <v>0</v>
      </c>
      <c r="AF90" s="1611">
        <v>0</v>
      </c>
      <c r="AG90" s="1611">
        <v>0</v>
      </c>
      <c r="AH90" s="1611">
        <v>1</v>
      </c>
      <c r="AI90" s="1611">
        <v>40131</v>
      </c>
      <c r="AJ90" s="1611">
        <v>2120</v>
      </c>
      <c r="AK90" s="1611">
        <v>0</v>
      </c>
      <c r="AL90" s="1611">
        <v>0</v>
      </c>
      <c r="AO90" s="1618"/>
      <c r="AP90" s="1618"/>
      <c r="AQ90" s="1611" t="str">
        <f t="shared" si="2"/>
        <v/>
      </c>
      <c r="AS90" s="1611" t="str">
        <f t="shared" si="3"/>
        <v>wci_corp</v>
      </c>
    </row>
    <row r="91" spans="2:45" s="1611" customFormat="1" ht="12">
      <c r="B91" s="1611" t="s">
        <v>1669</v>
      </c>
      <c r="C91" s="1615">
        <v>42978</v>
      </c>
      <c r="D91" s="1616">
        <v>548.72</v>
      </c>
      <c r="E91" s="1616">
        <v>0</v>
      </c>
      <c r="F91" s="1617" t="s">
        <v>657</v>
      </c>
      <c r="G91" s="1611" t="s">
        <v>1722</v>
      </c>
      <c r="H91" s="1618" t="s">
        <v>1071</v>
      </c>
      <c r="I91" s="1611" t="s">
        <v>1092</v>
      </c>
      <c r="J91" s="1611" t="s">
        <v>1084</v>
      </c>
      <c r="K91" s="1611" t="s">
        <v>1068</v>
      </c>
      <c r="L91" s="1613"/>
      <c r="M91" s="1613"/>
      <c r="N91" s="1613" t="s">
        <v>1682</v>
      </c>
      <c r="O91" s="1614"/>
      <c r="P91" s="1613"/>
      <c r="Q91" s="1613"/>
      <c r="U91" s="1611" t="s">
        <v>1723</v>
      </c>
      <c r="V91" s="1611" t="s">
        <v>1723</v>
      </c>
      <c r="X91" s="1615">
        <v>42985</v>
      </c>
      <c r="Y91" s="1615">
        <v>42985</v>
      </c>
      <c r="AA91" s="1615"/>
      <c r="AB91" s="1611" t="s">
        <v>1066</v>
      </c>
      <c r="AC91" s="1611">
        <v>0</v>
      </c>
      <c r="AD91" s="1611">
        <v>0</v>
      </c>
      <c r="AE91" s="1611">
        <v>0</v>
      </c>
      <c r="AF91" s="1611">
        <v>0</v>
      </c>
      <c r="AG91" s="1611">
        <v>0</v>
      </c>
      <c r="AH91" s="1611">
        <v>1</v>
      </c>
      <c r="AI91" s="1611">
        <v>40131</v>
      </c>
      <c r="AJ91" s="1611">
        <v>2120</v>
      </c>
      <c r="AK91" s="1611">
        <v>0</v>
      </c>
      <c r="AL91" s="1611">
        <v>0</v>
      </c>
      <c r="AO91" s="1618"/>
      <c r="AP91" s="1618"/>
      <c r="AQ91" s="1611" t="str">
        <f t="shared" si="2"/>
        <v/>
      </c>
      <c r="AS91" s="1611" t="str">
        <f t="shared" si="3"/>
        <v>wci_corp</v>
      </c>
    </row>
    <row r="92" spans="2:45" s="1611" customFormat="1" ht="12">
      <c r="B92" s="1611" t="s">
        <v>1669</v>
      </c>
      <c r="C92" s="1615">
        <v>42992</v>
      </c>
      <c r="D92" s="1616">
        <v>13460.66</v>
      </c>
      <c r="E92" s="1616">
        <v>0</v>
      </c>
      <c r="F92" s="1617" t="s">
        <v>657</v>
      </c>
      <c r="G92" s="1611" t="s">
        <v>1724</v>
      </c>
      <c r="H92" s="1618" t="s">
        <v>1071</v>
      </c>
      <c r="I92" s="1611" t="s">
        <v>1099</v>
      </c>
      <c r="J92" s="1611" t="s">
        <v>1243</v>
      </c>
      <c r="K92" s="1611" t="s">
        <v>1068</v>
      </c>
      <c r="L92" s="1613" t="s">
        <v>1671</v>
      </c>
      <c r="M92" s="1613"/>
      <c r="N92" s="1613" t="s">
        <v>1672</v>
      </c>
      <c r="O92" s="1614">
        <v>42984</v>
      </c>
      <c r="P92" s="1613" t="s">
        <v>1684</v>
      </c>
      <c r="Q92" s="1613" t="s">
        <v>1725</v>
      </c>
      <c r="R92" s="1611" t="s">
        <v>1686</v>
      </c>
      <c r="U92" s="1611" t="s">
        <v>1726</v>
      </c>
      <c r="V92" s="1611" t="s">
        <v>1727</v>
      </c>
      <c r="W92" s="1611">
        <v>2195</v>
      </c>
      <c r="X92" s="1615">
        <v>42992</v>
      </c>
      <c r="Y92" s="1615">
        <v>42998</v>
      </c>
      <c r="Z92" s="1611">
        <v>13460.7</v>
      </c>
      <c r="AA92" s="1615">
        <v>43004</v>
      </c>
      <c r="AB92" s="1611" t="s">
        <v>1066</v>
      </c>
      <c r="AC92" s="1611">
        <v>0</v>
      </c>
      <c r="AD92" s="1611">
        <v>0</v>
      </c>
      <c r="AE92" s="1611">
        <v>0</v>
      </c>
      <c r="AF92" s="1611">
        <v>0</v>
      </c>
      <c r="AG92" s="1611">
        <v>0</v>
      </c>
      <c r="AH92" s="1611">
        <v>1</v>
      </c>
      <c r="AI92" s="1611">
        <v>40131</v>
      </c>
      <c r="AJ92" s="1611">
        <v>2120</v>
      </c>
      <c r="AK92" s="1611">
        <v>0</v>
      </c>
      <c r="AL92" s="1611">
        <v>0</v>
      </c>
      <c r="AO92" s="1618"/>
      <c r="AP92" s="1618"/>
      <c r="AQ92" s="1611" t="str">
        <f t="shared" si="2"/>
        <v>VO04410432</v>
      </c>
      <c r="AS92" s="1611" t="str">
        <f t="shared" si="3"/>
        <v>wci_corp</v>
      </c>
    </row>
    <row r="93" spans="2:45" s="1611" customFormat="1" ht="12">
      <c r="B93" s="1611" t="s">
        <v>1669</v>
      </c>
      <c r="C93" s="1615">
        <v>43008</v>
      </c>
      <c r="D93" s="1616">
        <v>-13257</v>
      </c>
      <c r="E93" s="1616">
        <v>0</v>
      </c>
      <c r="F93" s="1617" t="s">
        <v>657</v>
      </c>
      <c r="G93" s="1611" t="s">
        <v>1728</v>
      </c>
      <c r="H93" s="1618" t="s">
        <v>1071</v>
      </c>
      <c r="I93" s="1611" t="s">
        <v>1092</v>
      </c>
      <c r="J93" s="1611" t="s">
        <v>1069</v>
      </c>
      <c r="K93" s="1611" t="s">
        <v>1068</v>
      </c>
      <c r="L93" s="1613"/>
      <c r="M93" s="1613"/>
      <c r="N93" s="1613" t="s">
        <v>1681</v>
      </c>
      <c r="O93" s="1614"/>
      <c r="P93" s="1613"/>
      <c r="Q93" s="1613"/>
      <c r="U93" s="1611" t="s">
        <v>1723</v>
      </c>
      <c r="V93" s="1611" t="s">
        <v>1729</v>
      </c>
      <c r="X93" s="1615">
        <v>42985</v>
      </c>
      <c r="Y93" s="1615">
        <v>42986</v>
      </c>
      <c r="AA93" s="1615"/>
      <c r="AB93" s="1611" t="s">
        <v>1066</v>
      </c>
      <c r="AC93" s="1611">
        <v>0</v>
      </c>
      <c r="AD93" s="1611">
        <v>0</v>
      </c>
      <c r="AE93" s="1611">
        <v>0</v>
      </c>
      <c r="AF93" s="1611">
        <v>0</v>
      </c>
      <c r="AG93" s="1611">
        <v>5</v>
      </c>
      <c r="AH93" s="1611">
        <v>1</v>
      </c>
      <c r="AI93" s="1611">
        <v>40131</v>
      </c>
      <c r="AJ93" s="1611">
        <v>2120</v>
      </c>
      <c r="AK93" s="1611">
        <v>0</v>
      </c>
      <c r="AL93" s="1611">
        <v>0</v>
      </c>
      <c r="AO93" s="1618"/>
      <c r="AP93" s="1618"/>
      <c r="AQ93" s="1611" t="str">
        <f t="shared" si="2"/>
        <v/>
      </c>
      <c r="AS93" s="1611" t="str">
        <f t="shared" si="3"/>
        <v>wci_corp</v>
      </c>
    </row>
    <row r="94" spans="2:45" s="1611" customFormat="1" ht="12">
      <c r="B94" s="1611" t="s">
        <v>1669</v>
      </c>
      <c r="C94" s="1615">
        <v>43008</v>
      </c>
      <c r="D94" s="1616">
        <v>-548.72</v>
      </c>
      <c r="E94" s="1616">
        <v>0</v>
      </c>
      <c r="F94" s="1617" t="s">
        <v>657</v>
      </c>
      <c r="G94" s="1611" t="s">
        <v>1728</v>
      </c>
      <c r="H94" s="1618" t="s">
        <v>1071</v>
      </c>
      <c r="I94" s="1611" t="s">
        <v>1092</v>
      </c>
      <c r="J94" s="1611" t="s">
        <v>1069</v>
      </c>
      <c r="K94" s="1611" t="s">
        <v>1068</v>
      </c>
      <c r="L94" s="1613"/>
      <c r="M94" s="1613"/>
      <c r="N94" s="1613" t="s">
        <v>1682</v>
      </c>
      <c r="O94" s="1614"/>
      <c r="P94" s="1613"/>
      <c r="Q94" s="1613"/>
      <c r="U94" s="1611" t="s">
        <v>1723</v>
      </c>
      <c r="V94" s="1611" t="s">
        <v>1729</v>
      </c>
      <c r="X94" s="1615">
        <v>42985</v>
      </c>
      <c r="Y94" s="1615">
        <v>42986</v>
      </c>
      <c r="AA94" s="1615"/>
      <c r="AB94" s="1611" t="s">
        <v>1066</v>
      </c>
      <c r="AC94" s="1611">
        <v>0</v>
      </c>
      <c r="AD94" s="1611">
        <v>0</v>
      </c>
      <c r="AE94" s="1611">
        <v>0</v>
      </c>
      <c r="AF94" s="1611">
        <v>0</v>
      </c>
      <c r="AG94" s="1611">
        <v>5</v>
      </c>
      <c r="AH94" s="1611">
        <v>1</v>
      </c>
      <c r="AI94" s="1611">
        <v>40131</v>
      </c>
      <c r="AJ94" s="1611">
        <v>2120</v>
      </c>
      <c r="AK94" s="1611">
        <v>0</v>
      </c>
      <c r="AL94" s="1611">
        <v>0</v>
      </c>
      <c r="AO94" s="1618"/>
      <c r="AP94" s="1618"/>
      <c r="AQ94" s="1611" t="str">
        <f t="shared" si="2"/>
        <v/>
      </c>
      <c r="AS94" s="1611" t="str">
        <f t="shared" si="3"/>
        <v>wci_corp</v>
      </c>
    </row>
    <row r="95" spans="2:45" s="1611" customFormat="1" ht="12">
      <c r="B95" s="1611" t="s">
        <v>1669</v>
      </c>
      <c r="C95" s="1615">
        <v>43008</v>
      </c>
      <c r="D95" s="1616">
        <v>528</v>
      </c>
      <c r="E95" s="1616">
        <v>0</v>
      </c>
      <c r="F95" s="1617" t="s">
        <v>657</v>
      </c>
      <c r="G95" s="1611" t="s">
        <v>1730</v>
      </c>
      <c r="H95" s="1618" t="s">
        <v>1071</v>
      </c>
      <c r="I95" s="1611" t="s">
        <v>1731</v>
      </c>
      <c r="J95" s="1611" t="s">
        <v>1084</v>
      </c>
      <c r="K95" s="1611" t="s">
        <v>1068</v>
      </c>
      <c r="L95" s="1613"/>
      <c r="M95" s="1613"/>
      <c r="N95" s="1613" t="s">
        <v>1680</v>
      </c>
      <c r="O95" s="1614"/>
      <c r="P95" s="1613"/>
      <c r="Q95" s="1613"/>
      <c r="U95" s="1611" t="s">
        <v>1732</v>
      </c>
      <c r="V95" s="1611" t="s">
        <v>1732</v>
      </c>
      <c r="X95" s="1615">
        <v>43011</v>
      </c>
      <c r="Y95" s="1615">
        <v>43011</v>
      </c>
      <c r="AA95" s="1615"/>
      <c r="AB95" s="1611" t="s">
        <v>1066</v>
      </c>
      <c r="AC95" s="1611">
        <v>0</v>
      </c>
      <c r="AD95" s="1611">
        <v>0</v>
      </c>
      <c r="AE95" s="1611">
        <v>0</v>
      </c>
      <c r="AF95" s="1611">
        <v>0</v>
      </c>
      <c r="AG95" s="1611">
        <v>0</v>
      </c>
      <c r="AH95" s="1611">
        <v>1</v>
      </c>
      <c r="AI95" s="1611">
        <v>40131</v>
      </c>
      <c r="AJ95" s="1611">
        <v>2120</v>
      </c>
      <c r="AK95" s="1611">
        <v>0</v>
      </c>
      <c r="AL95" s="1611">
        <v>0</v>
      </c>
      <c r="AO95" s="1618"/>
      <c r="AP95" s="1618"/>
      <c r="AQ95" s="1611" t="str">
        <f t="shared" si="2"/>
        <v/>
      </c>
      <c r="AS95" s="1611" t="str">
        <f t="shared" si="3"/>
        <v>wci_corp</v>
      </c>
    </row>
    <row r="96" spans="2:45" s="1611" customFormat="1" ht="12">
      <c r="B96" s="1611" t="s">
        <v>1669</v>
      </c>
      <c r="C96" s="1615">
        <v>43008</v>
      </c>
      <c r="D96" s="1616">
        <v>20.72</v>
      </c>
      <c r="E96" s="1616">
        <v>0</v>
      </c>
      <c r="F96" s="1617" t="s">
        <v>657</v>
      </c>
      <c r="G96" s="1611" t="s">
        <v>1730</v>
      </c>
      <c r="H96" s="1618" t="s">
        <v>1071</v>
      </c>
      <c r="I96" s="1611" t="s">
        <v>1731</v>
      </c>
      <c r="J96" s="1611" t="s">
        <v>1084</v>
      </c>
      <c r="K96" s="1611" t="s">
        <v>1068</v>
      </c>
      <c r="L96" s="1613"/>
      <c r="M96" s="1613"/>
      <c r="N96" s="1613" t="s">
        <v>1680</v>
      </c>
      <c r="O96" s="1614"/>
      <c r="P96" s="1613"/>
      <c r="Q96" s="1613"/>
      <c r="U96" s="1611" t="s">
        <v>1732</v>
      </c>
      <c r="V96" s="1611" t="s">
        <v>1732</v>
      </c>
      <c r="X96" s="1615">
        <v>43011</v>
      </c>
      <c r="Y96" s="1615">
        <v>43011</v>
      </c>
      <c r="AA96" s="1615"/>
      <c r="AB96" s="1611" t="s">
        <v>1066</v>
      </c>
      <c r="AC96" s="1611">
        <v>0</v>
      </c>
      <c r="AD96" s="1611">
        <v>0</v>
      </c>
      <c r="AE96" s="1611">
        <v>0</v>
      </c>
      <c r="AF96" s="1611">
        <v>0</v>
      </c>
      <c r="AG96" s="1611">
        <v>0</v>
      </c>
      <c r="AH96" s="1611">
        <v>1</v>
      </c>
      <c r="AI96" s="1611">
        <v>40131</v>
      </c>
      <c r="AJ96" s="1611">
        <v>2120</v>
      </c>
      <c r="AK96" s="1611">
        <v>0</v>
      </c>
      <c r="AL96" s="1611">
        <v>0</v>
      </c>
      <c r="AO96" s="1618"/>
      <c r="AP96" s="1618"/>
      <c r="AQ96" s="1611" t="str">
        <f t="shared" si="2"/>
        <v/>
      </c>
      <c r="AS96" s="1611" t="str">
        <f t="shared" si="3"/>
        <v>wci_corp</v>
      </c>
    </row>
    <row r="97" spans="2:45" s="1611" customFormat="1" ht="12">
      <c r="B97" s="1611" t="s">
        <v>1669</v>
      </c>
      <c r="C97" s="1615">
        <v>43008</v>
      </c>
      <c r="D97" s="1616">
        <v>372.85</v>
      </c>
      <c r="E97" s="1616">
        <v>0</v>
      </c>
      <c r="F97" s="1617" t="s">
        <v>657</v>
      </c>
      <c r="G97" s="1611" t="s">
        <v>1733</v>
      </c>
      <c r="H97" s="1618" t="s">
        <v>1071</v>
      </c>
      <c r="I97" s="1611" t="s">
        <v>1077</v>
      </c>
      <c r="J97" s="1611" t="s">
        <v>1302</v>
      </c>
      <c r="K97" s="1611" t="s">
        <v>1068</v>
      </c>
      <c r="L97" s="1613"/>
      <c r="M97" s="1613"/>
      <c r="N97" s="1613" t="s">
        <v>1680</v>
      </c>
      <c r="O97" s="1614"/>
      <c r="P97" s="1613"/>
      <c r="Q97" s="1613"/>
      <c r="U97" s="1611" t="s">
        <v>1734</v>
      </c>
      <c r="V97" s="1611" t="s">
        <v>1734</v>
      </c>
      <c r="X97" s="1615">
        <v>43012</v>
      </c>
      <c r="Y97" s="1615">
        <v>43012</v>
      </c>
      <c r="AA97" s="1615"/>
      <c r="AB97" s="1611" t="s">
        <v>1066</v>
      </c>
      <c r="AC97" s="1611">
        <v>0</v>
      </c>
      <c r="AD97" s="1611">
        <v>0</v>
      </c>
      <c r="AE97" s="1611">
        <v>0</v>
      </c>
      <c r="AF97" s="1611">
        <v>0</v>
      </c>
      <c r="AG97" s="1611">
        <v>0</v>
      </c>
      <c r="AH97" s="1611">
        <v>1</v>
      </c>
      <c r="AI97" s="1611">
        <v>40131</v>
      </c>
      <c r="AJ97" s="1611">
        <v>2120</v>
      </c>
      <c r="AK97" s="1611">
        <v>0</v>
      </c>
      <c r="AL97" s="1611">
        <v>0</v>
      </c>
      <c r="AO97" s="1618"/>
      <c r="AP97" s="1618"/>
      <c r="AQ97" s="1611" t="str">
        <f t="shared" si="2"/>
        <v/>
      </c>
      <c r="AS97" s="1611" t="str">
        <f t="shared" si="3"/>
        <v>wci_corp</v>
      </c>
    </row>
    <row r="98" spans="2:45" s="1611" customFormat="1" ht="12">
      <c r="B98" s="1611" t="s">
        <v>1669</v>
      </c>
      <c r="C98" s="1615">
        <v>43008</v>
      </c>
      <c r="D98" s="1616">
        <v>415.59</v>
      </c>
      <c r="E98" s="1616">
        <v>0</v>
      </c>
      <c r="F98" s="1617" t="s">
        <v>657</v>
      </c>
      <c r="G98" s="1611" t="s">
        <v>1733</v>
      </c>
      <c r="H98" s="1618" t="s">
        <v>1071</v>
      </c>
      <c r="I98" s="1611" t="s">
        <v>1077</v>
      </c>
      <c r="J98" s="1611" t="s">
        <v>1302</v>
      </c>
      <c r="K98" s="1611" t="s">
        <v>1068</v>
      </c>
      <c r="L98" s="1613"/>
      <c r="M98" s="1613"/>
      <c r="N98" s="1613" t="s">
        <v>1680</v>
      </c>
      <c r="O98" s="1614"/>
      <c r="P98" s="1613"/>
      <c r="Q98" s="1613"/>
      <c r="U98" s="1611" t="s">
        <v>1734</v>
      </c>
      <c r="V98" s="1611" t="s">
        <v>1734</v>
      </c>
      <c r="X98" s="1615">
        <v>43012</v>
      </c>
      <c r="Y98" s="1615">
        <v>43012</v>
      </c>
      <c r="AA98" s="1615"/>
      <c r="AB98" s="1611" t="s">
        <v>1066</v>
      </c>
      <c r="AC98" s="1611">
        <v>0</v>
      </c>
      <c r="AD98" s="1611">
        <v>0</v>
      </c>
      <c r="AE98" s="1611">
        <v>0</v>
      </c>
      <c r="AF98" s="1611">
        <v>0</v>
      </c>
      <c r="AG98" s="1611">
        <v>0</v>
      </c>
      <c r="AH98" s="1611">
        <v>1</v>
      </c>
      <c r="AI98" s="1611">
        <v>40131</v>
      </c>
      <c r="AJ98" s="1611">
        <v>2120</v>
      </c>
      <c r="AK98" s="1611">
        <v>0</v>
      </c>
      <c r="AL98" s="1611">
        <v>0</v>
      </c>
      <c r="AO98" s="1618"/>
      <c r="AP98" s="1618"/>
      <c r="AQ98" s="1611" t="str">
        <f t="shared" si="2"/>
        <v/>
      </c>
      <c r="AS98" s="1611" t="str">
        <f t="shared" si="3"/>
        <v>wci_corp</v>
      </c>
    </row>
    <row r="99" spans="2:45" s="1611" customFormat="1" ht="12">
      <c r="B99" s="1611" t="s">
        <v>1669</v>
      </c>
      <c r="C99" s="1615">
        <v>43008</v>
      </c>
      <c r="D99" s="1616">
        <v>11363</v>
      </c>
      <c r="E99" s="1616">
        <v>0</v>
      </c>
      <c r="F99" s="1617" t="s">
        <v>657</v>
      </c>
      <c r="G99" s="1611" t="s">
        <v>1735</v>
      </c>
      <c r="H99" s="1618" t="s">
        <v>1071</v>
      </c>
      <c r="I99" s="1611" t="s">
        <v>1092</v>
      </c>
      <c r="J99" s="1611" t="s">
        <v>1069</v>
      </c>
      <c r="K99" s="1611" t="s">
        <v>1068</v>
      </c>
      <c r="L99" s="1613"/>
      <c r="M99" s="1613"/>
      <c r="N99" s="1613" t="s">
        <v>1681</v>
      </c>
      <c r="O99" s="1614"/>
      <c r="P99" s="1613"/>
      <c r="Q99" s="1613"/>
      <c r="U99" s="1611" t="s">
        <v>1736</v>
      </c>
      <c r="V99" s="1611" t="s">
        <v>1736</v>
      </c>
      <c r="X99" s="1615">
        <v>43013</v>
      </c>
      <c r="Y99" s="1615">
        <v>43013</v>
      </c>
      <c r="AA99" s="1615"/>
      <c r="AB99" s="1611" t="s">
        <v>1066</v>
      </c>
      <c r="AC99" s="1611">
        <v>0</v>
      </c>
      <c r="AD99" s="1611">
        <v>0</v>
      </c>
      <c r="AE99" s="1611">
        <v>0</v>
      </c>
      <c r="AF99" s="1611">
        <v>0</v>
      </c>
      <c r="AG99" s="1611">
        <v>0</v>
      </c>
      <c r="AH99" s="1611">
        <v>1</v>
      </c>
      <c r="AI99" s="1611">
        <v>40131</v>
      </c>
      <c r="AJ99" s="1611">
        <v>2120</v>
      </c>
      <c r="AK99" s="1611">
        <v>0</v>
      </c>
      <c r="AL99" s="1611">
        <v>0</v>
      </c>
      <c r="AO99" s="1618"/>
      <c r="AP99" s="1618"/>
      <c r="AQ99" s="1611" t="str">
        <f t="shared" si="2"/>
        <v/>
      </c>
      <c r="AS99" s="1611" t="str">
        <f t="shared" si="3"/>
        <v>wci_corp</v>
      </c>
    </row>
    <row r="100" spans="2:45" s="1611" customFormat="1" ht="12">
      <c r="B100" s="1611" t="s">
        <v>1669</v>
      </c>
      <c r="C100" s="1615">
        <v>43034</v>
      </c>
      <c r="D100" s="1616">
        <v>11362.28</v>
      </c>
      <c r="E100" s="1616">
        <v>0</v>
      </c>
      <c r="F100" s="1617" t="s">
        <v>657</v>
      </c>
      <c r="G100" s="1611" t="s">
        <v>1737</v>
      </c>
      <c r="H100" s="1618" t="s">
        <v>1071</v>
      </c>
      <c r="I100" s="1611" t="s">
        <v>1099</v>
      </c>
      <c r="J100" s="1611" t="s">
        <v>1243</v>
      </c>
      <c r="K100" s="1611" t="s">
        <v>1068</v>
      </c>
      <c r="L100" s="1613" t="s">
        <v>1671</v>
      </c>
      <c r="M100" s="1613"/>
      <c r="N100" s="1613" t="s">
        <v>1672</v>
      </c>
      <c r="O100" s="1614">
        <v>43013</v>
      </c>
      <c r="P100" s="1613" t="s">
        <v>1684</v>
      </c>
      <c r="Q100" s="1613" t="s">
        <v>1738</v>
      </c>
      <c r="R100" s="1611" t="s">
        <v>1686</v>
      </c>
      <c r="U100" s="1611" t="s">
        <v>1739</v>
      </c>
      <c r="V100" s="1611" t="s">
        <v>1740</v>
      </c>
      <c r="W100" s="1611">
        <v>2195</v>
      </c>
      <c r="X100" s="1615">
        <v>43034</v>
      </c>
      <c r="Y100" s="1615">
        <v>43039</v>
      </c>
      <c r="Z100" s="1611">
        <v>11362.3</v>
      </c>
      <c r="AA100" s="1615">
        <v>43033</v>
      </c>
      <c r="AB100" s="1611" t="s">
        <v>1066</v>
      </c>
      <c r="AC100" s="1611">
        <v>0</v>
      </c>
      <c r="AD100" s="1611">
        <v>0</v>
      </c>
      <c r="AE100" s="1611">
        <v>0</v>
      </c>
      <c r="AF100" s="1611">
        <v>0</v>
      </c>
      <c r="AG100" s="1611">
        <v>0</v>
      </c>
      <c r="AH100" s="1611">
        <v>1</v>
      </c>
      <c r="AI100" s="1611">
        <v>40131</v>
      </c>
      <c r="AJ100" s="1611">
        <v>2120</v>
      </c>
      <c r="AK100" s="1611">
        <v>0</v>
      </c>
      <c r="AL100" s="1611">
        <v>0</v>
      </c>
      <c r="AO100" s="1618"/>
      <c r="AP100" s="1618"/>
      <c r="AQ100" s="1611" t="str">
        <f t="shared" si="2"/>
        <v>VO04457620</v>
      </c>
      <c r="AS100" s="1611" t="str">
        <f t="shared" si="3"/>
        <v>wci_corp</v>
      </c>
    </row>
    <row r="101" spans="2:45" s="1611" customFormat="1" ht="12">
      <c r="B101" s="1611" t="s">
        <v>1669</v>
      </c>
      <c r="C101" s="1615">
        <v>43039</v>
      </c>
      <c r="D101" s="1616">
        <v>-372.85</v>
      </c>
      <c r="E101" s="1616">
        <v>0</v>
      </c>
      <c r="F101" s="1617" t="s">
        <v>657</v>
      </c>
      <c r="G101" s="1611" t="s">
        <v>1741</v>
      </c>
      <c r="H101" s="1618" t="s">
        <v>1071</v>
      </c>
      <c r="I101" s="1611" t="s">
        <v>1077</v>
      </c>
      <c r="J101" s="1611" t="s">
        <v>1084</v>
      </c>
      <c r="K101" s="1611" t="s">
        <v>1068</v>
      </c>
      <c r="L101" s="1613"/>
      <c r="M101" s="1613"/>
      <c r="N101" s="1613" t="s">
        <v>1680</v>
      </c>
      <c r="O101" s="1614"/>
      <c r="P101" s="1613"/>
      <c r="Q101" s="1613"/>
      <c r="U101" s="1611" t="s">
        <v>1734</v>
      </c>
      <c r="V101" s="1611" t="s">
        <v>1742</v>
      </c>
      <c r="X101" s="1615">
        <v>43012</v>
      </c>
      <c r="Y101" s="1615">
        <v>43012</v>
      </c>
      <c r="AA101" s="1615"/>
      <c r="AB101" s="1611" t="s">
        <v>1066</v>
      </c>
      <c r="AC101" s="1611">
        <v>0</v>
      </c>
      <c r="AD101" s="1611">
        <v>0</v>
      </c>
      <c r="AE101" s="1611">
        <v>0</v>
      </c>
      <c r="AF101" s="1611">
        <v>0</v>
      </c>
      <c r="AG101" s="1611">
        <v>5</v>
      </c>
      <c r="AH101" s="1611">
        <v>1</v>
      </c>
      <c r="AI101" s="1611">
        <v>40131</v>
      </c>
      <c r="AJ101" s="1611">
        <v>2120</v>
      </c>
      <c r="AK101" s="1611">
        <v>0</v>
      </c>
      <c r="AL101" s="1611">
        <v>0</v>
      </c>
      <c r="AO101" s="1618"/>
      <c r="AP101" s="1618"/>
      <c r="AQ101" s="1611" t="str">
        <f t="shared" si="2"/>
        <v/>
      </c>
      <c r="AS101" s="1611" t="str">
        <f t="shared" si="3"/>
        <v>wci_corp</v>
      </c>
    </row>
    <row r="102" spans="2:45" s="1611" customFormat="1" ht="12">
      <c r="B102" s="1611" t="s">
        <v>1669</v>
      </c>
      <c r="C102" s="1615">
        <v>43039</v>
      </c>
      <c r="D102" s="1616">
        <v>-415.59</v>
      </c>
      <c r="E102" s="1616">
        <v>0</v>
      </c>
      <c r="F102" s="1617" t="s">
        <v>657</v>
      </c>
      <c r="G102" s="1611" t="s">
        <v>1741</v>
      </c>
      <c r="H102" s="1618" t="s">
        <v>1071</v>
      </c>
      <c r="I102" s="1611" t="s">
        <v>1077</v>
      </c>
      <c r="J102" s="1611" t="s">
        <v>1084</v>
      </c>
      <c r="K102" s="1611" t="s">
        <v>1068</v>
      </c>
      <c r="L102" s="1613"/>
      <c r="M102" s="1613"/>
      <c r="N102" s="1613" t="s">
        <v>1680</v>
      </c>
      <c r="O102" s="1614"/>
      <c r="P102" s="1613"/>
      <c r="Q102" s="1613"/>
      <c r="U102" s="1611" t="s">
        <v>1734</v>
      </c>
      <c r="V102" s="1611" t="s">
        <v>1742</v>
      </c>
      <c r="X102" s="1615">
        <v>43012</v>
      </c>
      <c r="Y102" s="1615">
        <v>43012</v>
      </c>
      <c r="AA102" s="1615"/>
      <c r="AB102" s="1611" t="s">
        <v>1066</v>
      </c>
      <c r="AC102" s="1611">
        <v>0</v>
      </c>
      <c r="AD102" s="1611">
        <v>0</v>
      </c>
      <c r="AE102" s="1611">
        <v>0</v>
      </c>
      <c r="AF102" s="1611">
        <v>0</v>
      </c>
      <c r="AG102" s="1611">
        <v>5</v>
      </c>
      <c r="AH102" s="1611">
        <v>1</v>
      </c>
      <c r="AI102" s="1611">
        <v>40131</v>
      </c>
      <c r="AJ102" s="1611">
        <v>2120</v>
      </c>
      <c r="AK102" s="1611">
        <v>0</v>
      </c>
      <c r="AL102" s="1611">
        <v>0</v>
      </c>
      <c r="AO102" s="1618"/>
      <c r="AP102" s="1618"/>
      <c r="AQ102" s="1611" t="str">
        <f t="shared" si="2"/>
        <v/>
      </c>
      <c r="AS102" s="1611" t="str">
        <f t="shared" si="3"/>
        <v>wci_corp</v>
      </c>
    </row>
    <row r="103" spans="2:45" s="1611" customFormat="1" ht="12">
      <c r="B103" s="1611" t="s">
        <v>1669</v>
      </c>
      <c r="C103" s="1615">
        <v>43039</v>
      </c>
      <c r="D103" s="1616">
        <v>-11363</v>
      </c>
      <c r="E103" s="1616">
        <v>0</v>
      </c>
      <c r="F103" s="1617" t="s">
        <v>657</v>
      </c>
      <c r="G103" s="1611" t="s">
        <v>1743</v>
      </c>
      <c r="H103" s="1618" t="s">
        <v>1071</v>
      </c>
      <c r="I103" s="1611" t="s">
        <v>1092</v>
      </c>
      <c r="J103" s="1611" t="s">
        <v>1084</v>
      </c>
      <c r="K103" s="1611" t="s">
        <v>1068</v>
      </c>
      <c r="L103" s="1613"/>
      <c r="M103" s="1613"/>
      <c r="N103" s="1613" t="s">
        <v>1681</v>
      </c>
      <c r="O103" s="1614"/>
      <c r="P103" s="1613"/>
      <c r="Q103" s="1613"/>
      <c r="U103" s="1611" t="s">
        <v>1736</v>
      </c>
      <c r="V103" s="1611" t="s">
        <v>1744</v>
      </c>
      <c r="X103" s="1615">
        <v>43013</v>
      </c>
      <c r="Y103" s="1615">
        <v>43013</v>
      </c>
      <c r="AA103" s="1615"/>
      <c r="AB103" s="1611" t="s">
        <v>1066</v>
      </c>
      <c r="AC103" s="1611">
        <v>0</v>
      </c>
      <c r="AD103" s="1611">
        <v>0</v>
      </c>
      <c r="AE103" s="1611">
        <v>0</v>
      </c>
      <c r="AF103" s="1611">
        <v>0</v>
      </c>
      <c r="AG103" s="1611">
        <v>5</v>
      </c>
      <c r="AH103" s="1611">
        <v>1</v>
      </c>
      <c r="AI103" s="1611">
        <v>40131</v>
      </c>
      <c r="AJ103" s="1611">
        <v>2120</v>
      </c>
      <c r="AK103" s="1611">
        <v>0</v>
      </c>
      <c r="AL103" s="1611">
        <v>0</v>
      </c>
      <c r="AO103" s="1618"/>
      <c r="AP103" s="1618"/>
      <c r="AQ103" s="1611" t="str">
        <f t="shared" si="2"/>
        <v/>
      </c>
      <c r="AS103" s="1611" t="str">
        <f t="shared" si="3"/>
        <v>wci_corp</v>
      </c>
    </row>
    <row r="104" spans="2:45" s="1611" customFormat="1" ht="12">
      <c r="B104" s="1611" t="s">
        <v>1669</v>
      </c>
      <c r="C104" s="1615">
        <v>43039</v>
      </c>
      <c r="D104" s="1616">
        <v>372.85</v>
      </c>
      <c r="E104" s="1616">
        <v>0</v>
      </c>
      <c r="F104" s="1617" t="s">
        <v>657</v>
      </c>
      <c r="G104" s="1611" t="s">
        <v>1086</v>
      </c>
      <c r="H104" s="1618" t="s">
        <v>1071</v>
      </c>
      <c r="I104" s="1611" t="s">
        <v>1085</v>
      </c>
      <c r="J104" s="1611" t="s">
        <v>1084</v>
      </c>
      <c r="K104" s="1611" t="s">
        <v>1068</v>
      </c>
      <c r="L104" s="1613"/>
      <c r="M104" s="1613"/>
      <c r="N104" s="1613" t="s">
        <v>1680</v>
      </c>
      <c r="O104" s="1614"/>
      <c r="P104" s="1613"/>
      <c r="Q104" s="1613"/>
      <c r="U104" s="1611" t="s">
        <v>1083</v>
      </c>
      <c r="V104" s="1611" t="s">
        <v>1083</v>
      </c>
      <c r="X104" s="1615">
        <v>43042</v>
      </c>
      <c r="Y104" s="1615">
        <v>43042</v>
      </c>
      <c r="AA104" s="1615"/>
      <c r="AB104" s="1611" t="s">
        <v>1066</v>
      </c>
      <c r="AC104" s="1611">
        <v>0</v>
      </c>
      <c r="AD104" s="1611">
        <v>0</v>
      </c>
      <c r="AE104" s="1611">
        <v>0</v>
      </c>
      <c r="AF104" s="1611">
        <v>0</v>
      </c>
      <c r="AG104" s="1611">
        <v>0</v>
      </c>
      <c r="AH104" s="1611">
        <v>1</v>
      </c>
      <c r="AI104" s="1611">
        <v>40131</v>
      </c>
      <c r="AJ104" s="1611">
        <v>2120</v>
      </c>
      <c r="AK104" s="1611">
        <v>0</v>
      </c>
      <c r="AL104" s="1611">
        <v>0</v>
      </c>
      <c r="AO104" s="1618"/>
      <c r="AP104" s="1618"/>
      <c r="AQ104" s="1611" t="str">
        <f t="shared" si="2"/>
        <v/>
      </c>
      <c r="AS104" s="1611" t="str">
        <f t="shared" si="3"/>
        <v>wci_corp</v>
      </c>
    </row>
    <row r="105" spans="2:45" s="1611" customFormat="1" ht="12">
      <c r="B105" s="1611" t="s">
        <v>1669</v>
      </c>
      <c r="C105" s="1615">
        <v>43039</v>
      </c>
      <c r="D105" s="1616">
        <v>415.59</v>
      </c>
      <c r="E105" s="1616">
        <v>0</v>
      </c>
      <c r="F105" s="1617" t="s">
        <v>657</v>
      </c>
      <c r="G105" s="1611" t="s">
        <v>1086</v>
      </c>
      <c r="H105" s="1618" t="s">
        <v>1071</v>
      </c>
      <c r="I105" s="1611" t="s">
        <v>1085</v>
      </c>
      <c r="J105" s="1611" t="s">
        <v>1084</v>
      </c>
      <c r="K105" s="1611" t="s">
        <v>1068</v>
      </c>
      <c r="L105" s="1613"/>
      <c r="M105" s="1613"/>
      <c r="N105" s="1613" t="s">
        <v>1680</v>
      </c>
      <c r="O105" s="1614"/>
      <c r="P105" s="1613"/>
      <c r="Q105" s="1613"/>
      <c r="U105" s="1611" t="s">
        <v>1083</v>
      </c>
      <c r="V105" s="1611" t="s">
        <v>1083</v>
      </c>
      <c r="X105" s="1615">
        <v>43042</v>
      </c>
      <c r="Y105" s="1615">
        <v>43042</v>
      </c>
      <c r="AA105" s="1615"/>
      <c r="AB105" s="1611" t="s">
        <v>1066</v>
      </c>
      <c r="AC105" s="1611">
        <v>0</v>
      </c>
      <c r="AD105" s="1611">
        <v>0</v>
      </c>
      <c r="AE105" s="1611">
        <v>0</v>
      </c>
      <c r="AF105" s="1611">
        <v>0</v>
      </c>
      <c r="AG105" s="1611">
        <v>0</v>
      </c>
      <c r="AH105" s="1611">
        <v>1</v>
      </c>
      <c r="AI105" s="1611">
        <v>40131</v>
      </c>
      <c r="AJ105" s="1611">
        <v>2120</v>
      </c>
      <c r="AK105" s="1611">
        <v>0</v>
      </c>
      <c r="AL105" s="1611">
        <v>0</v>
      </c>
      <c r="AO105" s="1618"/>
      <c r="AP105" s="1618"/>
      <c r="AQ105" s="1611" t="str">
        <f t="shared" si="2"/>
        <v/>
      </c>
      <c r="AS105" s="1611" t="str">
        <f t="shared" si="3"/>
        <v>wci_corp</v>
      </c>
    </row>
    <row r="106" spans="2:45" s="1611" customFormat="1" ht="12">
      <c r="B106" s="1611" t="s">
        <v>1669</v>
      </c>
      <c r="C106" s="1615">
        <v>43039</v>
      </c>
      <c r="D106" s="1616">
        <v>12561</v>
      </c>
      <c r="E106" s="1616">
        <v>0</v>
      </c>
      <c r="F106" s="1617" t="s">
        <v>657</v>
      </c>
      <c r="G106" s="1611" t="s">
        <v>1644</v>
      </c>
      <c r="H106" s="1618" t="s">
        <v>1071</v>
      </c>
      <c r="I106" s="1611" t="s">
        <v>1092</v>
      </c>
      <c r="J106" s="1611" t="s">
        <v>1069</v>
      </c>
      <c r="K106" s="1611" t="s">
        <v>1068</v>
      </c>
      <c r="L106" s="1613"/>
      <c r="M106" s="1613"/>
      <c r="N106" s="1613" t="s">
        <v>1681</v>
      </c>
      <c r="O106" s="1614"/>
      <c r="P106" s="1613"/>
      <c r="Q106" s="1613"/>
      <c r="U106" s="1611" t="s">
        <v>1645</v>
      </c>
      <c r="V106" s="1611" t="s">
        <v>1645</v>
      </c>
      <c r="X106" s="1615">
        <v>43046</v>
      </c>
      <c r="Y106" s="1615">
        <v>43046</v>
      </c>
      <c r="AA106" s="1615"/>
      <c r="AB106" s="1611" t="s">
        <v>1066</v>
      </c>
      <c r="AC106" s="1611">
        <v>0</v>
      </c>
      <c r="AD106" s="1611">
        <v>0</v>
      </c>
      <c r="AE106" s="1611">
        <v>0</v>
      </c>
      <c r="AF106" s="1611">
        <v>0</v>
      </c>
      <c r="AG106" s="1611">
        <v>0</v>
      </c>
      <c r="AH106" s="1611">
        <v>1</v>
      </c>
      <c r="AI106" s="1611">
        <v>40131</v>
      </c>
      <c r="AJ106" s="1611">
        <v>2120</v>
      </c>
      <c r="AK106" s="1611">
        <v>0</v>
      </c>
      <c r="AL106" s="1611">
        <v>0</v>
      </c>
      <c r="AO106" s="1618"/>
      <c r="AP106" s="1618"/>
      <c r="AQ106" s="1611" t="str">
        <f t="shared" si="2"/>
        <v/>
      </c>
      <c r="AS106" s="1611" t="str">
        <f t="shared" si="3"/>
        <v>wci_corp</v>
      </c>
    </row>
    <row r="107" spans="2:45" s="1611" customFormat="1" ht="12">
      <c r="B107" s="1611" t="s">
        <v>1669</v>
      </c>
      <c r="C107" s="1615">
        <v>43039</v>
      </c>
      <c r="D107" s="1616">
        <v>1300</v>
      </c>
      <c r="E107" s="1616">
        <v>0</v>
      </c>
      <c r="F107" s="1617" t="s">
        <v>657</v>
      </c>
      <c r="G107" s="1611" t="s">
        <v>1644</v>
      </c>
      <c r="H107" s="1618" t="s">
        <v>1071</v>
      </c>
      <c r="I107" s="1611" t="s">
        <v>1092</v>
      </c>
      <c r="J107" s="1611" t="s">
        <v>1069</v>
      </c>
      <c r="K107" s="1611" t="s">
        <v>1068</v>
      </c>
      <c r="L107" s="1613"/>
      <c r="M107" s="1613"/>
      <c r="N107" s="1613" t="s">
        <v>1682</v>
      </c>
      <c r="O107" s="1614"/>
      <c r="P107" s="1613"/>
      <c r="Q107" s="1613"/>
      <c r="U107" s="1611" t="s">
        <v>1645</v>
      </c>
      <c r="V107" s="1611" t="s">
        <v>1645</v>
      </c>
      <c r="X107" s="1615">
        <v>43046</v>
      </c>
      <c r="Y107" s="1615">
        <v>43046</v>
      </c>
      <c r="AA107" s="1615"/>
      <c r="AB107" s="1611" t="s">
        <v>1066</v>
      </c>
      <c r="AC107" s="1611">
        <v>0</v>
      </c>
      <c r="AD107" s="1611">
        <v>0</v>
      </c>
      <c r="AE107" s="1611">
        <v>0</v>
      </c>
      <c r="AF107" s="1611">
        <v>0</v>
      </c>
      <c r="AG107" s="1611">
        <v>0</v>
      </c>
      <c r="AH107" s="1611">
        <v>1</v>
      </c>
      <c r="AI107" s="1611">
        <v>40131</v>
      </c>
      <c r="AJ107" s="1611">
        <v>2120</v>
      </c>
      <c r="AK107" s="1611">
        <v>0</v>
      </c>
      <c r="AL107" s="1611">
        <v>0</v>
      </c>
      <c r="AO107" s="1618"/>
      <c r="AP107" s="1618"/>
      <c r="AQ107" s="1611" t="str">
        <f t="shared" si="2"/>
        <v/>
      </c>
      <c r="AS107" s="1611" t="str">
        <f t="shared" si="3"/>
        <v>wci_corp</v>
      </c>
    </row>
    <row r="108" spans="2:45" s="1611" customFormat="1" ht="12">
      <c r="B108" s="1611" t="s">
        <v>1669</v>
      </c>
      <c r="C108" s="1615">
        <v>43066</v>
      </c>
      <c r="D108" s="1616">
        <v>12560.88</v>
      </c>
      <c r="E108" s="1616">
        <v>0</v>
      </c>
      <c r="F108" s="1617" t="s">
        <v>657</v>
      </c>
      <c r="G108" s="1611" t="s">
        <v>1745</v>
      </c>
      <c r="H108" s="1618" t="s">
        <v>1071</v>
      </c>
      <c r="I108" s="1611" t="s">
        <v>1099</v>
      </c>
      <c r="J108" s="1611" t="s">
        <v>1098</v>
      </c>
      <c r="K108" s="1611" t="s">
        <v>1068</v>
      </c>
      <c r="L108" s="1613" t="s">
        <v>1671</v>
      </c>
      <c r="M108" s="1613"/>
      <c r="N108" s="1613" t="s">
        <v>1672</v>
      </c>
      <c r="O108" s="1614">
        <v>43046</v>
      </c>
      <c r="P108" s="1613" t="s">
        <v>1684</v>
      </c>
      <c r="Q108" s="1613" t="s">
        <v>1746</v>
      </c>
      <c r="R108" s="1611" t="s">
        <v>1686</v>
      </c>
      <c r="U108" s="1611" t="s">
        <v>1747</v>
      </c>
      <c r="V108" s="1611" t="s">
        <v>1748</v>
      </c>
      <c r="W108" s="1611">
        <v>2195</v>
      </c>
      <c r="X108" s="1615">
        <v>43066</v>
      </c>
      <c r="Y108" s="1615">
        <v>43066</v>
      </c>
      <c r="Z108" s="1611">
        <v>12560.9</v>
      </c>
      <c r="AA108" s="1615">
        <v>43066</v>
      </c>
      <c r="AB108" s="1611" t="s">
        <v>1066</v>
      </c>
      <c r="AC108" s="1611">
        <v>0</v>
      </c>
      <c r="AD108" s="1611">
        <v>0</v>
      </c>
      <c r="AE108" s="1611">
        <v>0</v>
      </c>
      <c r="AF108" s="1611">
        <v>0</v>
      </c>
      <c r="AG108" s="1611">
        <v>0</v>
      </c>
      <c r="AH108" s="1611">
        <v>1</v>
      </c>
      <c r="AI108" s="1611">
        <v>40131</v>
      </c>
      <c r="AJ108" s="1611">
        <v>2120</v>
      </c>
      <c r="AK108" s="1611">
        <v>0</v>
      </c>
      <c r="AL108" s="1611">
        <v>0</v>
      </c>
      <c r="AO108" s="1618"/>
      <c r="AP108" s="1618"/>
      <c r="AQ108" s="1611" t="str">
        <f t="shared" si="2"/>
        <v>VO04488176</v>
      </c>
      <c r="AS108" s="1611" t="str">
        <f t="shared" si="3"/>
        <v>wci_corp</v>
      </c>
    </row>
    <row r="109" spans="2:45" s="1611" customFormat="1" ht="12">
      <c r="B109" s="1611" t="s">
        <v>1669</v>
      </c>
      <c r="C109" s="1615">
        <v>43069</v>
      </c>
      <c r="D109" s="1616">
        <v>-12561</v>
      </c>
      <c r="E109" s="1616">
        <v>0</v>
      </c>
      <c r="F109" s="1617" t="s">
        <v>657</v>
      </c>
      <c r="G109" s="1611" t="s">
        <v>1649</v>
      </c>
      <c r="H109" s="1618" t="s">
        <v>1071</v>
      </c>
      <c r="I109" s="1611" t="s">
        <v>1092</v>
      </c>
      <c r="J109" s="1611" t="s">
        <v>1084</v>
      </c>
      <c r="K109" s="1611" t="s">
        <v>1068</v>
      </c>
      <c r="L109" s="1613"/>
      <c r="M109" s="1613"/>
      <c r="N109" s="1613" t="s">
        <v>1681</v>
      </c>
      <c r="O109" s="1614"/>
      <c r="P109" s="1613"/>
      <c r="Q109" s="1613"/>
      <c r="U109" s="1611" t="s">
        <v>1645</v>
      </c>
      <c r="V109" s="1611" t="s">
        <v>1650</v>
      </c>
      <c r="X109" s="1615">
        <v>43046</v>
      </c>
      <c r="Y109" s="1615">
        <v>43046</v>
      </c>
      <c r="AA109" s="1615"/>
      <c r="AB109" s="1611" t="s">
        <v>1066</v>
      </c>
      <c r="AC109" s="1611">
        <v>0</v>
      </c>
      <c r="AD109" s="1611">
        <v>0</v>
      </c>
      <c r="AE109" s="1611">
        <v>0</v>
      </c>
      <c r="AF109" s="1611">
        <v>0</v>
      </c>
      <c r="AG109" s="1611">
        <v>5</v>
      </c>
      <c r="AH109" s="1611">
        <v>1</v>
      </c>
      <c r="AI109" s="1611">
        <v>40131</v>
      </c>
      <c r="AJ109" s="1611">
        <v>2120</v>
      </c>
      <c r="AK109" s="1611">
        <v>0</v>
      </c>
      <c r="AL109" s="1611">
        <v>0</v>
      </c>
      <c r="AO109" s="1618"/>
      <c r="AP109" s="1618"/>
      <c r="AQ109" s="1611" t="str">
        <f t="shared" si="2"/>
        <v/>
      </c>
      <c r="AS109" s="1611" t="str">
        <f t="shared" si="3"/>
        <v>wci_corp</v>
      </c>
    </row>
    <row r="110" spans="2:45" s="1611" customFormat="1" ht="12">
      <c r="B110" s="1611" t="s">
        <v>1669</v>
      </c>
      <c r="C110" s="1615">
        <v>43069</v>
      </c>
      <c r="D110" s="1616">
        <v>-1300</v>
      </c>
      <c r="E110" s="1616">
        <v>0</v>
      </c>
      <c r="F110" s="1617" t="s">
        <v>657</v>
      </c>
      <c r="G110" s="1611" t="s">
        <v>1649</v>
      </c>
      <c r="H110" s="1618" t="s">
        <v>1071</v>
      </c>
      <c r="I110" s="1611" t="s">
        <v>1092</v>
      </c>
      <c r="J110" s="1611" t="s">
        <v>1084</v>
      </c>
      <c r="K110" s="1611" t="s">
        <v>1068</v>
      </c>
      <c r="L110" s="1613"/>
      <c r="M110" s="1613"/>
      <c r="N110" s="1613" t="s">
        <v>1682</v>
      </c>
      <c r="O110" s="1614"/>
      <c r="P110" s="1613"/>
      <c r="Q110" s="1613"/>
      <c r="U110" s="1611" t="s">
        <v>1645</v>
      </c>
      <c r="V110" s="1611" t="s">
        <v>1650</v>
      </c>
      <c r="X110" s="1615">
        <v>43046</v>
      </c>
      <c r="Y110" s="1615">
        <v>43046</v>
      </c>
      <c r="AA110" s="1615"/>
      <c r="AB110" s="1611" t="s">
        <v>1066</v>
      </c>
      <c r="AC110" s="1611">
        <v>0</v>
      </c>
      <c r="AD110" s="1611">
        <v>0</v>
      </c>
      <c r="AE110" s="1611">
        <v>0</v>
      </c>
      <c r="AF110" s="1611">
        <v>0</v>
      </c>
      <c r="AG110" s="1611">
        <v>5</v>
      </c>
      <c r="AH110" s="1611">
        <v>1</v>
      </c>
      <c r="AI110" s="1611">
        <v>40131</v>
      </c>
      <c r="AJ110" s="1611">
        <v>2120</v>
      </c>
      <c r="AK110" s="1611">
        <v>0</v>
      </c>
      <c r="AL110" s="1611">
        <v>0</v>
      </c>
      <c r="AO110" s="1618"/>
      <c r="AP110" s="1618"/>
      <c r="AQ110" s="1611" t="str">
        <f t="shared" si="2"/>
        <v/>
      </c>
      <c r="AS110" s="1611" t="str">
        <f t="shared" si="3"/>
        <v>wci_corp</v>
      </c>
    </row>
    <row r="111" spans="2:45" s="1611" customFormat="1" ht="12">
      <c r="B111" s="1611" t="s">
        <v>1669</v>
      </c>
      <c r="C111" s="1615">
        <v>43069</v>
      </c>
      <c r="D111" s="1616">
        <v>424.96</v>
      </c>
      <c r="E111" s="1616">
        <v>0</v>
      </c>
      <c r="F111" s="1617" t="s">
        <v>657</v>
      </c>
      <c r="G111" s="1611" t="s">
        <v>1082</v>
      </c>
      <c r="H111" s="1618" t="s">
        <v>1071</v>
      </c>
      <c r="I111" s="1611" t="s">
        <v>1081</v>
      </c>
      <c r="J111" s="1611" t="s">
        <v>1069</v>
      </c>
      <c r="K111" s="1611" t="s">
        <v>1068</v>
      </c>
      <c r="L111" s="1613"/>
      <c r="M111" s="1613"/>
      <c r="N111" s="1613" t="s">
        <v>1680</v>
      </c>
      <c r="O111" s="1614"/>
      <c r="P111" s="1613"/>
      <c r="Q111" s="1613"/>
      <c r="U111" s="1611" t="s">
        <v>1080</v>
      </c>
      <c r="V111" s="1611" t="s">
        <v>1080</v>
      </c>
      <c r="X111" s="1615">
        <v>43073</v>
      </c>
      <c r="Y111" s="1615">
        <v>43073</v>
      </c>
      <c r="AA111" s="1615"/>
      <c r="AB111" s="1611" t="s">
        <v>1066</v>
      </c>
      <c r="AC111" s="1611">
        <v>0</v>
      </c>
      <c r="AD111" s="1611">
        <v>0</v>
      </c>
      <c r="AE111" s="1611">
        <v>0</v>
      </c>
      <c r="AF111" s="1611">
        <v>0</v>
      </c>
      <c r="AG111" s="1611">
        <v>0</v>
      </c>
      <c r="AH111" s="1611">
        <v>1</v>
      </c>
      <c r="AI111" s="1611">
        <v>40131</v>
      </c>
      <c r="AJ111" s="1611">
        <v>2120</v>
      </c>
      <c r="AK111" s="1611">
        <v>0</v>
      </c>
      <c r="AL111" s="1611">
        <v>0</v>
      </c>
      <c r="AO111" s="1618"/>
      <c r="AP111" s="1618"/>
      <c r="AQ111" s="1611" t="str">
        <f t="shared" si="2"/>
        <v/>
      </c>
      <c r="AS111" s="1611" t="str">
        <f t="shared" si="3"/>
        <v>wci_corp</v>
      </c>
    </row>
    <row r="112" spans="2:45" s="1611" customFormat="1" ht="12">
      <c r="B112" s="1611" t="s">
        <v>1669</v>
      </c>
      <c r="C112" s="1615">
        <v>43069</v>
      </c>
      <c r="D112" s="1616">
        <v>280.39999999999998</v>
      </c>
      <c r="E112" s="1616">
        <v>0</v>
      </c>
      <c r="F112" s="1617" t="s">
        <v>657</v>
      </c>
      <c r="G112" s="1611" t="s">
        <v>1082</v>
      </c>
      <c r="H112" s="1618" t="s">
        <v>1071</v>
      </c>
      <c r="I112" s="1611" t="s">
        <v>1081</v>
      </c>
      <c r="J112" s="1611" t="s">
        <v>1069</v>
      </c>
      <c r="K112" s="1611" t="s">
        <v>1068</v>
      </c>
      <c r="L112" s="1613"/>
      <c r="M112" s="1613"/>
      <c r="N112" s="1613" t="s">
        <v>1680</v>
      </c>
      <c r="O112" s="1614"/>
      <c r="P112" s="1613"/>
      <c r="Q112" s="1613"/>
      <c r="U112" s="1611" t="s">
        <v>1080</v>
      </c>
      <c r="V112" s="1611" t="s">
        <v>1080</v>
      </c>
      <c r="X112" s="1615">
        <v>43073</v>
      </c>
      <c r="Y112" s="1615">
        <v>43073</v>
      </c>
      <c r="AA112" s="1615"/>
      <c r="AB112" s="1611" t="s">
        <v>1066</v>
      </c>
      <c r="AC112" s="1611">
        <v>0</v>
      </c>
      <c r="AD112" s="1611">
        <v>0</v>
      </c>
      <c r="AE112" s="1611">
        <v>0</v>
      </c>
      <c r="AF112" s="1611">
        <v>0</v>
      </c>
      <c r="AG112" s="1611">
        <v>0</v>
      </c>
      <c r="AH112" s="1611">
        <v>1</v>
      </c>
      <c r="AI112" s="1611">
        <v>40131</v>
      </c>
      <c r="AJ112" s="1611">
        <v>2120</v>
      </c>
      <c r="AK112" s="1611">
        <v>0</v>
      </c>
      <c r="AL112" s="1611">
        <v>0</v>
      </c>
      <c r="AO112" s="1618"/>
      <c r="AP112" s="1618"/>
      <c r="AQ112" s="1611" t="str">
        <f t="shared" si="2"/>
        <v/>
      </c>
      <c r="AS112" s="1611" t="str">
        <f t="shared" si="3"/>
        <v>wci_corp</v>
      </c>
    </row>
    <row r="113" spans="2:45" s="1611" customFormat="1" ht="12">
      <c r="B113" s="1611" t="s">
        <v>1669</v>
      </c>
      <c r="C113" s="1615">
        <v>43069</v>
      </c>
      <c r="D113" s="1616">
        <v>426.49</v>
      </c>
      <c r="E113" s="1616">
        <v>0</v>
      </c>
      <c r="F113" s="1617" t="s">
        <v>657</v>
      </c>
      <c r="G113" s="1611" t="s">
        <v>1082</v>
      </c>
      <c r="H113" s="1618" t="s">
        <v>1071</v>
      </c>
      <c r="I113" s="1611" t="s">
        <v>1081</v>
      </c>
      <c r="J113" s="1611" t="s">
        <v>1069</v>
      </c>
      <c r="K113" s="1611" t="s">
        <v>1068</v>
      </c>
      <c r="L113" s="1613"/>
      <c r="M113" s="1613"/>
      <c r="N113" s="1613" t="s">
        <v>1680</v>
      </c>
      <c r="O113" s="1614"/>
      <c r="P113" s="1613"/>
      <c r="Q113" s="1613"/>
      <c r="U113" s="1611" t="s">
        <v>1080</v>
      </c>
      <c r="V113" s="1611" t="s">
        <v>1080</v>
      </c>
      <c r="X113" s="1615">
        <v>43073</v>
      </c>
      <c r="Y113" s="1615">
        <v>43073</v>
      </c>
      <c r="AA113" s="1615"/>
      <c r="AB113" s="1611" t="s">
        <v>1066</v>
      </c>
      <c r="AC113" s="1611">
        <v>0</v>
      </c>
      <c r="AD113" s="1611">
        <v>0</v>
      </c>
      <c r="AE113" s="1611">
        <v>0</v>
      </c>
      <c r="AF113" s="1611">
        <v>0</v>
      </c>
      <c r="AG113" s="1611">
        <v>0</v>
      </c>
      <c r="AH113" s="1611">
        <v>1</v>
      </c>
      <c r="AI113" s="1611">
        <v>40131</v>
      </c>
      <c r="AJ113" s="1611">
        <v>2120</v>
      </c>
      <c r="AK113" s="1611">
        <v>0</v>
      </c>
      <c r="AL113" s="1611">
        <v>0</v>
      </c>
      <c r="AO113" s="1618"/>
      <c r="AP113" s="1618"/>
      <c r="AQ113" s="1611" t="str">
        <f t="shared" si="2"/>
        <v/>
      </c>
      <c r="AS113" s="1611" t="str">
        <f t="shared" si="3"/>
        <v>wci_corp</v>
      </c>
    </row>
    <row r="114" spans="2:45" s="1611" customFormat="1" ht="12">
      <c r="B114" s="1611" t="s">
        <v>1669</v>
      </c>
      <c r="C114" s="1615">
        <v>43069</v>
      </c>
      <c r="D114" s="1616">
        <v>13800</v>
      </c>
      <c r="E114" s="1616">
        <v>0</v>
      </c>
      <c r="F114" s="1617" t="s">
        <v>657</v>
      </c>
      <c r="G114" s="1611" t="s">
        <v>1654</v>
      </c>
      <c r="H114" s="1618" t="s">
        <v>1071</v>
      </c>
      <c r="I114" s="1611" t="s">
        <v>1092</v>
      </c>
      <c r="J114" s="1611" t="s">
        <v>1076</v>
      </c>
      <c r="K114" s="1611" t="s">
        <v>1068</v>
      </c>
      <c r="L114" s="1613"/>
      <c r="M114" s="1613"/>
      <c r="N114" s="1613" t="s">
        <v>1681</v>
      </c>
      <c r="O114" s="1614"/>
      <c r="P114" s="1613"/>
      <c r="Q114" s="1613"/>
      <c r="U114" s="1611" t="s">
        <v>1656</v>
      </c>
      <c r="V114" s="1611" t="s">
        <v>1656</v>
      </c>
      <c r="X114" s="1615">
        <v>43075</v>
      </c>
      <c r="Y114" s="1615">
        <v>43076</v>
      </c>
      <c r="AA114" s="1615"/>
      <c r="AB114" s="1611" t="s">
        <v>1066</v>
      </c>
      <c r="AC114" s="1611">
        <v>0</v>
      </c>
      <c r="AD114" s="1611">
        <v>0</v>
      </c>
      <c r="AE114" s="1611">
        <v>0</v>
      </c>
      <c r="AF114" s="1611">
        <v>0</v>
      </c>
      <c r="AG114" s="1611">
        <v>0</v>
      </c>
      <c r="AH114" s="1611">
        <v>1</v>
      </c>
      <c r="AI114" s="1611">
        <v>40131</v>
      </c>
      <c r="AJ114" s="1611">
        <v>2120</v>
      </c>
      <c r="AK114" s="1611">
        <v>0</v>
      </c>
      <c r="AL114" s="1611">
        <v>0</v>
      </c>
      <c r="AO114" s="1618"/>
      <c r="AP114" s="1618"/>
      <c r="AQ114" s="1611" t="str">
        <f t="shared" si="2"/>
        <v/>
      </c>
      <c r="AS114" s="1611" t="str">
        <f t="shared" si="3"/>
        <v>wci_corp</v>
      </c>
    </row>
    <row r="115" spans="2:45" s="1611" customFormat="1" ht="12">
      <c r="B115" s="1611" t="s">
        <v>1669</v>
      </c>
      <c r="C115" s="1615">
        <v>43069</v>
      </c>
      <c r="D115" s="1616">
        <v>1000</v>
      </c>
      <c r="E115" s="1616">
        <v>0</v>
      </c>
      <c r="F115" s="1617" t="s">
        <v>657</v>
      </c>
      <c r="G115" s="1611" t="s">
        <v>1654</v>
      </c>
      <c r="H115" s="1618" t="s">
        <v>1071</v>
      </c>
      <c r="I115" s="1611" t="s">
        <v>1092</v>
      </c>
      <c r="J115" s="1611" t="s">
        <v>1076</v>
      </c>
      <c r="K115" s="1611" t="s">
        <v>1068</v>
      </c>
      <c r="L115" s="1613"/>
      <c r="M115" s="1613"/>
      <c r="N115" s="1613" t="s">
        <v>1682</v>
      </c>
      <c r="O115" s="1614"/>
      <c r="P115" s="1613"/>
      <c r="Q115" s="1613"/>
      <c r="U115" s="1611" t="s">
        <v>1656</v>
      </c>
      <c r="V115" s="1611" t="s">
        <v>1656</v>
      </c>
      <c r="X115" s="1615">
        <v>43075</v>
      </c>
      <c r="Y115" s="1615">
        <v>43076</v>
      </c>
      <c r="AA115" s="1615"/>
      <c r="AB115" s="1611" t="s">
        <v>1066</v>
      </c>
      <c r="AC115" s="1611">
        <v>0</v>
      </c>
      <c r="AD115" s="1611">
        <v>0</v>
      </c>
      <c r="AE115" s="1611">
        <v>0</v>
      </c>
      <c r="AF115" s="1611">
        <v>0</v>
      </c>
      <c r="AG115" s="1611">
        <v>0</v>
      </c>
      <c r="AH115" s="1611">
        <v>1</v>
      </c>
      <c r="AI115" s="1611">
        <v>40131</v>
      </c>
      <c r="AJ115" s="1611">
        <v>2120</v>
      </c>
      <c r="AK115" s="1611">
        <v>0</v>
      </c>
      <c r="AL115" s="1611">
        <v>0</v>
      </c>
      <c r="AO115" s="1618"/>
      <c r="AP115" s="1618"/>
      <c r="AQ115" s="1611" t="str">
        <f t="shared" si="2"/>
        <v/>
      </c>
      <c r="AS115" s="1611" t="str">
        <f t="shared" si="3"/>
        <v>wci_corp</v>
      </c>
    </row>
    <row r="116" spans="2:45" s="1611" customFormat="1" ht="12">
      <c r="B116" s="1611" t="s">
        <v>1669</v>
      </c>
      <c r="C116" s="1615">
        <v>43100</v>
      </c>
      <c r="D116" s="1616">
        <v>-13800</v>
      </c>
      <c r="E116" s="1616">
        <v>0</v>
      </c>
      <c r="F116" s="1617" t="s">
        <v>657</v>
      </c>
      <c r="G116" s="1611" t="s">
        <v>1662</v>
      </c>
      <c r="H116" s="1618" t="s">
        <v>1071</v>
      </c>
      <c r="I116" s="1611" t="s">
        <v>1092</v>
      </c>
      <c r="J116" s="1611" t="s">
        <v>1069</v>
      </c>
      <c r="K116" s="1611" t="s">
        <v>1068</v>
      </c>
      <c r="L116" s="1613"/>
      <c r="M116" s="1613"/>
      <c r="N116" s="1613" t="s">
        <v>1681</v>
      </c>
      <c r="O116" s="1614"/>
      <c r="P116" s="1613"/>
      <c r="Q116" s="1613"/>
      <c r="U116" s="1611" t="s">
        <v>1656</v>
      </c>
      <c r="V116" s="1611" t="s">
        <v>1663</v>
      </c>
      <c r="X116" s="1615">
        <v>43076</v>
      </c>
      <c r="Y116" s="1615">
        <v>43076</v>
      </c>
      <c r="AA116" s="1615"/>
      <c r="AB116" s="1611" t="s">
        <v>1066</v>
      </c>
      <c r="AC116" s="1611">
        <v>0</v>
      </c>
      <c r="AD116" s="1611">
        <v>0</v>
      </c>
      <c r="AE116" s="1611">
        <v>0</v>
      </c>
      <c r="AF116" s="1611">
        <v>0</v>
      </c>
      <c r="AG116" s="1611">
        <v>5</v>
      </c>
      <c r="AH116" s="1611">
        <v>1</v>
      </c>
      <c r="AI116" s="1611">
        <v>40131</v>
      </c>
      <c r="AJ116" s="1611">
        <v>2120</v>
      </c>
      <c r="AK116" s="1611">
        <v>0</v>
      </c>
      <c r="AL116" s="1611">
        <v>0</v>
      </c>
      <c r="AO116" s="1618"/>
      <c r="AP116" s="1618"/>
      <c r="AQ116" s="1611" t="str">
        <f t="shared" si="2"/>
        <v/>
      </c>
      <c r="AS116" s="1611" t="str">
        <f t="shared" si="3"/>
        <v>wci_corp</v>
      </c>
    </row>
    <row r="117" spans="2:45" s="1611" customFormat="1" ht="12">
      <c r="B117" s="1611" t="s">
        <v>1669</v>
      </c>
      <c r="C117" s="1615">
        <v>43100</v>
      </c>
      <c r="D117" s="1616">
        <v>-1000</v>
      </c>
      <c r="E117" s="1616">
        <v>0</v>
      </c>
      <c r="F117" s="1617" t="s">
        <v>657</v>
      </c>
      <c r="G117" s="1611" t="s">
        <v>1662</v>
      </c>
      <c r="H117" s="1618" t="s">
        <v>1071</v>
      </c>
      <c r="I117" s="1611" t="s">
        <v>1092</v>
      </c>
      <c r="J117" s="1611" t="s">
        <v>1069</v>
      </c>
      <c r="K117" s="1611" t="s">
        <v>1068</v>
      </c>
      <c r="L117" s="1613"/>
      <c r="M117" s="1613"/>
      <c r="N117" s="1613" t="s">
        <v>1682</v>
      </c>
      <c r="O117" s="1614"/>
      <c r="P117" s="1613"/>
      <c r="Q117" s="1613"/>
      <c r="U117" s="1611" t="s">
        <v>1656</v>
      </c>
      <c r="V117" s="1611" t="s">
        <v>1663</v>
      </c>
      <c r="X117" s="1615">
        <v>43076</v>
      </c>
      <c r="Y117" s="1615">
        <v>43076</v>
      </c>
      <c r="AA117" s="1615"/>
      <c r="AB117" s="1611" t="s">
        <v>1066</v>
      </c>
      <c r="AC117" s="1611">
        <v>0</v>
      </c>
      <c r="AD117" s="1611">
        <v>0</v>
      </c>
      <c r="AE117" s="1611">
        <v>0</v>
      </c>
      <c r="AF117" s="1611">
        <v>0</v>
      </c>
      <c r="AG117" s="1611">
        <v>5</v>
      </c>
      <c r="AH117" s="1611">
        <v>1</v>
      </c>
      <c r="AI117" s="1611">
        <v>40131</v>
      </c>
      <c r="AJ117" s="1611">
        <v>2120</v>
      </c>
      <c r="AK117" s="1611">
        <v>0</v>
      </c>
      <c r="AL117" s="1611">
        <v>0</v>
      </c>
      <c r="AO117" s="1618"/>
      <c r="AP117" s="1618"/>
      <c r="AQ117" s="1611" t="str">
        <f t="shared" si="2"/>
        <v/>
      </c>
      <c r="AS117" s="1611" t="str">
        <f t="shared" si="3"/>
        <v>wci_corp</v>
      </c>
    </row>
    <row r="118" spans="2:45" s="1611" customFormat="1" ht="12">
      <c r="B118" s="1611" t="s">
        <v>1669</v>
      </c>
      <c r="C118" s="1615">
        <v>43100</v>
      </c>
      <c r="D118" s="1616">
        <v>13799.24</v>
      </c>
      <c r="E118" s="1616">
        <v>0</v>
      </c>
      <c r="F118" s="1617" t="s">
        <v>657</v>
      </c>
      <c r="G118" s="1611" t="s">
        <v>1749</v>
      </c>
      <c r="H118" s="1618" t="s">
        <v>1071</v>
      </c>
      <c r="I118" s="1611" t="s">
        <v>1099</v>
      </c>
      <c r="J118" s="1611" t="s">
        <v>1243</v>
      </c>
      <c r="K118" s="1611" t="s">
        <v>1068</v>
      </c>
      <c r="L118" s="1613" t="s">
        <v>1671</v>
      </c>
      <c r="M118" s="1613"/>
      <c r="N118" s="1613" t="s">
        <v>1672</v>
      </c>
      <c r="O118" s="1614">
        <v>43075</v>
      </c>
      <c r="P118" s="1613" t="s">
        <v>1684</v>
      </c>
      <c r="Q118" s="1613" t="s">
        <v>1750</v>
      </c>
      <c r="R118" s="1611" t="s">
        <v>1686</v>
      </c>
      <c r="U118" s="1611" t="s">
        <v>1751</v>
      </c>
      <c r="V118" s="1611" t="s">
        <v>1752</v>
      </c>
      <c r="W118" s="1611">
        <v>2195</v>
      </c>
      <c r="X118" s="1615">
        <v>43103</v>
      </c>
      <c r="Y118" s="1615">
        <v>43103</v>
      </c>
      <c r="Z118" s="1611">
        <v>13799.2</v>
      </c>
      <c r="AA118" s="1615">
        <v>43095</v>
      </c>
      <c r="AB118" s="1611" t="s">
        <v>1066</v>
      </c>
      <c r="AC118" s="1611">
        <v>0</v>
      </c>
      <c r="AD118" s="1611">
        <v>0</v>
      </c>
      <c r="AE118" s="1611">
        <v>0</v>
      </c>
      <c r="AF118" s="1611">
        <v>0</v>
      </c>
      <c r="AG118" s="1611">
        <v>0</v>
      </c>
      <c r="AH118" s="1611">
        <v>1</v>
      </c>
      <c r="AI118" s="1611">
        <v>40131</v>
      </c>
      <c r="AJ118" s="1611">
        <v>2120</v>
      </c>
      <c r="AK118" s="1611">
        <v>0</v>
      </c>
      <c r="AL118" s="1611">
        <v>0</v>
      </c>
      <c r="AO118" s="1618"/>
      <c r="AP118" s="1618"/>
      <c r="AQ118" s="1611" t="str">
        <f t="shared" si="2"/>
        <v>VO04524444</v>
      </c>
      <c r="AS118" s="1611" t="str">
        <f t="shared" si="3"/>
        <v>wci_corp</v>
      </c>
    </row>
    <row r="119" spans="2:45" s="1611" customFormat="1" ht="12">
      <c r="B119" s="1611" t="s">
        <v>1669</v>
      </c>
      <c r="C119" s="1615">
        <v>43100</v>
      </c>
      <c r="D119" s="1616">
        <v>286.5</v>
      </c>
      <c r="E119" s="1616">
        <v>0</v>
      </c>
      <c r="F119" s="1617" t="s">
        <v>657</v>
      </c>
      <c r="G119" s="1611" t="s">
        <v>1072</v>
      </c>
      <c r="H119" s="1618" t="s">
        <v>1071</v>
      </c>
      <c r="I119" s="1611" t="s">
        <v>1070</v>
      </c>
      <c r="J119" s="1611" t="s">
        <v>1069</v>
      </c>
      <c r="K119" s="1611" t="s">
        <v>1068</v>
      </c>
      <c r="L119" s="1613"/>
      <c r="M119" s="1613"/>
      <c r="N119" s="1613" t="s">
        <v>1680</v>
      </c>
      <c r="O119" s="1614"/>
      <c r="P119" s="1613"/>
      <c r="Q119" s="1613"/>
      <c r="U119" s="1611" t="s">
        <v>1067</v>
      </c>
      <c r="V119" s="1611" t="s">
        <v>1067</v>
      </c>
      <c r="X119" s="1615">
        <v>43103</v>
      </c>
      <c r="Y119" s="1615">
        <v>43103</v>
      </c>
      <c r="AA119" s="1615"/>
      <c r="AB119" s="1611" t="s">
        <v>1066</v>
      </c>
      <c r="AC119" s="1611">
        <v>0</v>
      </c>
      <c r="AD119" s="1611">
        <v>0</v>
      </c>
      <c r="AE119" s="1611">
        <v>0</v>
      </c>
      <c r="AF119" s="1611">
        <v>0</v>
      </c>
      <c r="AG119" s="1611">
        <v>0</v>
      </c>
      <c r="AH119" s="1611">
        <v>1</v>
      </c>
      <c r="AI119" s="1611">
        <v>40131</v>
      </c>
      <c r="AJ119" s="1611">
        <v>2120</v>
      </c>
      <c r="AK119" s="1611">
        <v>0</v>
      </c>
      <c r="AL119" s="1611">
        <v>0</v>
      </c>
      <c r="AO119" s="1618"/>
      <c r="AP119" s="1618"/>
      <c r="AQ119" s="1611" t="str">
        <f t="shared" si="2"/>
        <v/>
      </c>
      <c r="AS119" s="1611" t="str">
        <f t="shared" si="3"/>
        <v>wci_corp</v>
      </c>
    </row>
    <row r="120" spans="2:45" s="1611" customFormat="1" ht="12">
      <c r="B120" s="1611" t="s">
        <v>1669</v>
      </c>
      <c r="C120" s="1615">
        <v>43100</v>
      </c>
      <c r="D120" s="1616">
        <v>82.88</v>
      </c>
      <c r="E120" s="1616">
        <v>0</v>
      </c>
      <c r="F120" s="1617" t="s">
        <v>657</v>
      </c>
      <c r="G120" s="1611" t="s">
        <v>1072</v>
      </c>
      <c r="H120" s="1618" t="s">
        <v>1071</v>
      </c>
      <c r="I120" s="1611" t="s">
        <v>1070</v>
      </c>
      <c r="J120" s="1611" t="s">
        <v>1069</v>
      </c>
      <c r="K120" s="1611" t="s">
        <v>1068</v>
      </c>
      <c r="L120" s="1613"/>
      <c r="M120" s="1613"/>
      <c r="N120" s="1613" t="s">
        <v>1680</v>
      </c>
      <c r="O120" s="1614"/>
      <c r="P120" s="1613"/>
      <c r="Q120" s="1613"/>
      <c r="U120" s="1611" t="s">
        <v>1067</v>
      </c>
      <c r="V120" s="1611" t="s">
        <v>1067</v>
      </c>
      <c r="X120" s="1615">
        <v>43103</v>
      </c>
      <c r="Y120" s="1615">
        <v>43103</v>
      </c>
      <c r="AA120" s="1615"/>
      <c r="AB120" s="1611" t="s">
        <v>1066</v>
      </c>
      <c r="AC120" s="1611">
        <v>0</v>
      </c>
      <c r="AD120" s="1611">
        <v>0</v>
      </c>
      <c r="AE120" s="1611">
        <v>0</v>
      </c>
      <c r="AF120" s="1611">
        <v>0</v>
      </c>
      <c r="AG120" s="1611">
        <v>0</v>
      </c>
      <c r="AH120" s="1611">
        <v>1</v>
      </c>
      <c r="AI120" s="1611">
        <v>40131</v>
      </c>
      <c r="AJ120" s="1611">
        <v>2120</v>
      </c>
      <c r="AK120" s="1611">
        <v>0</v>
      </c>
      <c r="AL120" s="1611">
        <v>0</v>
      </c>
      <c r="AO120" s="1618"/>
      <c r="AP120" s="1618"/>
      <c r="AQ120" s="1611" t="str">
        <f t="shared" si="2"/>
        <v/>
      </c>
      <c r="AS120" s="1611" t="str">
        <f t="shared" si="3"/>
        <v>wci_corp</v>
      </c>
    </row>
    <row r="121" spans="2:45" s="1611" customFormat="1" ht="12">
      <c r="B121" s="1611" t="s">
        <v>1669</v>
      </c>
      <c r="C121" s="1615">
        <v>43100</v>
      </c>
      <c r="D121" s="1616">
        <v>401.27</v>
      </c>
      <c r="E121" s="1616">
        <v>0</v>
      </c>
      <c r="F121" s="1617" t="s">
        <v>657</v>
      </c>
      <c r="G121" s="1611" t="s">
        <v>1072</v>
      </c>
      <c r="H121" s="1618" t="s">
        <v>1071</v>
      </c>
      <c r="I121" s="1611" t="s">
        <v>1070</v>
      </c>
      <c r="J121" s="1611" t="s">
        <v>1069</v>
      </c>
      <c r="K121" s="1611" t="s">
        <v>1068</v>
      </c>
      <c r="L121" s="1613"/>
      <c r="M121" s="1613"/>
      <c r="N121" s="1613" t="s">
        <v>1680</v>
      </c>
      <c r="O121" s="1614"/>
      <c r="P121" s="1613"/>
      <c r="Q121" s="1613"/>
      <c r="U121" s="1611" t="s">
        <v>1067</v>
      </c>
      <c r="V121" s="1611" t="s">
        <v>1067</v>
      </c>
      <c r="X121" s="1615">
        <v>43103</v>
      </c>
      <c r="Y121" s="1615">
        <v>43103</v>
      </c>
      <c r="AA121" s="1615"/>
      <c r="AB121" s="1611" t="s">
        <v>1066</v>
      </c>
      <c r="AC121" s="1611">
        <v>0</v>
      </c>
      <c r="AD121" s="1611">
        <v>0</v>
      </c>
      <c r="AE121" s="1611">
        <v>0</v>
      </c>
      <c r="AF121" s="1611">
        <v>0</v>
      </c>
      <c r="AG121" s="1611">
        <v>0</v>
      </c>
      <c r="AH121" s="1611">
        <v>1</v>
      </c>
      <c r="AI121" s="1611">
        <v>40131</v>
      </c>
      <c r="AJ121" s="1611">
        <v>2120</v>
      </c>
      <c r="AK121" s="1611">
        <v>0</v>
      </c>
      <c r="AL121" s="1611">
        <v>0</v>
      </c>
      <c r="AO121" s="1618"/>
      <c r="AP121" s="1618"/>
      <c r="AQ121" s="1611" t="str">
        <f t="shared" si="2"/>
        <v/>
      </c>
      <c r="AS121" s="1611" t="str">
        <f t="shared" si="3"/>
        <v>wci_corp</v>
      </c>
    </row>
    <row r="122" spans="2:45" s="1611" customFormat="1" ht="12">
      <c r="B122" s="1611" t="s">
        <v>1669</v>
      </c>
      <c r="C122" s="1615">
        <v>43100</v>
      </c>
      <c r="D122" s="1616">
        <v>11339</v>
      </c>
      <c r="E122" s="1616">
        <v>0</v>
      </c>
      <c r="F122" s="1617" t="s">
        <v>657</v>
      </c>
      <c r="G122" s="1611" t="s">
        <v>1666</v>
      </c>
      <c r="H122" s="1618" t="s">
        <v>1071</v>
      </c>
      <c r="I122" s="1611" t="s">
        <v>1092</v>
      </c>
      <c r="J122" s="1611" t="s">
        <v>1076</v>
      </c>
      <c r="K122" s="1611" t="s">
        <v>1068</v>
      </c>
      <c r="L122" s="1613"/>
      <c r="M122" s="1613"/>
      <c r="N122" s="1613" t="s">
        <v>1681</v>
      </c>
      <c r="O122" s="1614"/>
      <c r="P122" s="1613"/>
      <c r="Q122" s="1613"/>
      <c r="U122" s="1611" t="s">
        <v>1667</v>
      </c>
      <c r="V122" s="1611" t="s">
        <v>1667</v>
      </c>
      <c r="X122" s="1615">
        <v>43105</v>
      </c>
      <c r="Y122" s="1615">
        <v>43105</v>
      </c>
      <c r="AA122" s="1615"/>
      <c r="AB122" s="1611" t="s">
        <v>1066</v>
      </c>
      <c r="AC122" s="1611">
        <v>0</v>
      </c>
      <c r="AD122" s="1611">
        <v>0</v>
      </c>
      <c r="AE122" s="1611">
        <v>0</v>
      </c>
      <c r="AF122" s="1611">
        <v>0</v>
      </c>
      <c r="AG122" s="1611">
        <v>0</v>
      </c>
      <c r="AH122" s="1611">
        <v>1</v>
      </c>
      <c r="AI122" s="1611">
        <v>40131</v>
      </c>
      <c r="AJ122" s="1611">
        <v>2120</v>
      </c>
      <c r="AK122" s="1611">
        <v>0</v>
      </c>
      <c r="AL122" s="1611">
        <v>0</v>
      </c>
      <c r="AO122" s="1618"/>
      <c r="AP122" s="1618"/>
      <c r="AQ122" s="1611" t="str">
        <f t="shared" si="2"/>
        <v/>
      </c>
      <c r="AS122" s="1611" t="str">
        <f t="shared" si="3"/>
        <v>wci_corp</v>
      </c>
    </row>
    <row r="123" spans="2:45" s="1611" customFormat="1" ht="12">
      <c r="B123" s="1611" t="s">
        <v>1669</v>
      </c>
      <c r="C123" s="1615">
        <v>43100</v>
      </c>
      <c r="D123" s="1616">
        <v>713.5</v>
      </c>
      <c r="E123" s="1616">
        <v>0</v>
      </c>
      <c r="F123" s="1617" t="s">
        <v>657</v>
      </c>
      <c r="G123" s="1611" t="s">
        <v>1666</v>
      </c>
      <c r="H123" s="1618" t="s">
        <v>1071</v>
      </c>
      <c r="I123" s="1611" t="s">
        <v>1092</v>
      </c>
      <c r="J123" s="1611" t="s">
        <v>1076</v>
      </c>
      <c r="K123" s="1611" t="s">
        <v>1068</v>
      </c>
      <c r="L123" s="1613"/>
      <c r="M123" s="1613"/>
      <c r="N123" s="1613" t="s">
        <v>1682</v>
      </c>
      <c r="O123" s="1614"/>
      <c r="P123" s="1613"/>
      <c r="Q123" s="1613"/>
      <c r="U123" s="1611" t="s">
        <v>1667</v>
      </c>
      <c r="V123" s="1611" t="s">
        <v>1667</v>
      </c>
      <c r="X123" s="1615">
        <v>43105</v>
      </c>
      <c r="Y123" s="1615">
        <v>43105</v>
      </c>
      <c r="AA123" s="1615"/>
      <c r="AB123" s="1611" t="s">
        <v>1066</v>
      </c>
      <c r="AC123" s="1611">
        <v>0</v>
      </c>
      <c r="AD123" s="1611">
        <v>0</v>
      </c>
      <c r="AE123" s="1611">
        <v>0</v>
      </c>
      <c r="AF123" s="1611">
        <v>0</v>
      </c>
      <c r="AG123" s="1611">
        <v>0</v>
      </c>
      <c r="AH123" s="1611">
        <v>1</v>
      </c>
      <c r="AI123" s="1611">
        <v>40131</v>
      </c>
      <c r="AJ123" s="1611">
        <v>2120</v>
      </c>
      <c r="AK123" s="1611">
        <v>0</v>
      </c>
      <c r="AL123" s="1611">
        <v>0</v>
      </c>
      <c r="AO123" s="1618"/>
      <c r="AP123" s="1618"/>
      <c r="AQ123" s="1611" t="str">
        <f t="shared" si="2"/>
        <v/>
      </c>
      <c r="AS123" s="1611" t="str">
        <f t="shared" si="3"/>
        <v>wci_corp</v>
      </c>
    </row>
    <row r="124" spans="2:45" s="1611" customFormat="1" ht="12" hidden="1">
      <c r="C124" s="1615"/>
      <c r="D124" s="1619"/>
      <c r="E124" s="1619"/>
      <c r="F124" s="1619"/>
      <c r="H124" s="1612"/>
    </row>
    <row r="125" spans="2:45" s="1611" customFormat="1" ht="12">
      <c r="B125" s="1620" t="s">
        <v>1065</v>
      </c>
      <c r="C125" s="1620"/>
      <c r="D125" s="1621"/>
      <c r="E125" s="1621"/>
      <c r="F125" s="1621"/>
      <c r="G125" s="1620"/>
      <c r="H125" s="1622"/>
      <c r="I125" s="1620"/>
      <c r="J125" s="1620"/>
      <c r="K125" s="1620"/>
      <c r="L125" s="1620"/>
      <c r="M125" s="1620"/>
      <c r="N125" s="1620"/>
      <c r="O125" s="1620"/>
      <c r="P125" s="1620"/>
      <c r="Q125" s="1620"/>
      <c r="R125" s="1620"/>
      <c r="S125" s="1620"/>
      <c r="T125" s="1620"/>
      <c r="U125" s="1620"/>
      <c r="V125" s="1620"/>
      <c r="W125" s="1620"/>
      <c r="X125" s="1620"/>
      <c r="Y125" s="1620"/>
      <c r="Z125" s="1620"/>
      <c r="AA125" s="1620"/>
      <c r="AB125" s="1620"/>
      <c r="AC125" s="1620"/>
      <c r="AD125" s="1620"/>
      <c r="AE125" s="1620"/>
      <c r="AF125" s="1620"/>
      <c r="AG125" s="1620"/>
      <c r="AH125" s="1620"/>
      <c r="AI125" s="1620"/>
      <c r="AJ125" s="1620"/>
      <c r="AK125" s="1620"/>
      <c r="AL125" s="1620"/>
      <c r="AM125" s="1620"/>
      <c r="AN125" s="1620"/>
      <c r="AO125" s="1620"/>
      <c r="AP125" s="1650"/>
    </row>
    <row r="126" spans="2:45" s="1611" customFormat="1" ht="6.75" customHeight="1">
      <c r="H126" s="1612"/>
    </row>
    <row r="127" spans="2:45" ht="6.75" customHeight="1">
      <c r="H127" s="1020"/>
    </row>
    <row r="128" spans="2:45" ht="6.75" customHeight="1">
      <c r="H128" s="1020"/>
    </row>
    <row r="129" spans="2:8" ht="6.75" customHeight="1">
      <c r="H129" s="1020"/>
    </row>
    <row r="130" spans="2:8" ht="15">
      <c r="B130" s="504" t="s">
        <v>1064</v>
      </c>
      <c r="C130" t="s">
        <v>1063</v>
      </c>
      <c r="D130"/>
      <c r="H130" s="1020"/>
    </row>
    <row r="131" spans="2:8" ht="15">
      <c r="B131" s="1000" t="s">
        <v>1682</v>
      </c>
      <c r="C131" s="999">
        <v>1644.5299999999997</v>
      </c>
      <c r="D131"/>
      <c r="H131" s="1020"/>
    </row>
    <row r="132" spans="2:8" ht="15">
      <c r="B132" s="1000" t="s">
        <v>1678</v>
      </c>
      <c r="C132" s="999">
        <v>-929</v>
      </c>
      <c r="D132"/>
      <c r="H132" s="1020"/>
    </row>
    <row r="133" spans="2:8" ht="15">
      <c r="B133" s="1088" t="s">
        <v>1375</v>
      </c>
      <c r="C133" s="1013">
        <v>-14602.78</v>
      </c>
      <c r="D133"/>
      <c r="H133" s="1020"/>
    </row>
    <row r="134" spans="2:8" ht="15">
      <c r="B134" s="1088" t="s">
        <v>1672</v>
      </c>
      <c r="C134" s="1013">
        <v>146618.72999999998</v>
      </c>
      <c r="D134"/>
      <c r="H134" s="1020"/>
    </row>
    <row r="135" spans="2:8" ht="15">
      <c r="B135" s="1000" t="s">
        <v>1680</v>
      </c>
      <c r="C135" s="999">
        <v>9170.0299999999988</v>
      </c>
      <c r="D135"/>
      <c r="H135" s="1020"/>
    </row>
    <row r="136" spans="2:8" ht="15">
      <c r="B136" s="1088" t="s">
        <v>1681</v>
      </c>
      <c r="C136" s="1013">
        <v>25010.75</v>
      </c>
      <c r="D136"/>
      <c r="H136" s="1020"/>
    </row>
    <row r="137" spans="2:8" ht="15">
      <c r="B137" s="1088" t="s">
        <v>1679</v>
      </c>
      <c r="C137" s="1013">
        <v>-9493</v>
      </c>
      <c r="D137"/>
      <c r="H137" s="1020"/>
    </row>
    <row r="138" spans="2:8" ht="15">
      <c r="B138" s="1088" t="s">
        <v>1700</v>
      </c>
      <c r="C138" s="1013">
        <v>0</v>
      </c>
      <c r="D138"/>
      <c r="H138" s="1020"/>
    </row>
    <row r="139" spans="2:8" ht="15">
      <c r="B139" s="1088" t="s">
        <v>1042</v>
      </c>
      <c r="C139" s="1013">
        <v>157419.25999999998</v>
      </c>
      <c r="D139"/>
      <c r="H139" s="1020"/>
    </row>
    <row r="140" spans="2:8" ht="15">
      <c r="B140"/>
      <c r="C140"/>
      <c r="D140"/>
      <c r="H140" s="1020"/>
    </row>
    <row r="141" spans="2:8" ht="15">
      <c r="B141" s="995" t="s">
        <v>1798</v>
      </c>
      <c r="C141" s="996">
        <v>157419.25999999998</v>
      </c>
      <c r="D141"/>
      <c r="H141" s="1020"/>
    </row>
    <row r="142" spans="2:8" ht="15">
      <c r="B142" s="1000" t="s">
        <v>1682</v>
      </c>
      <c r="C142" s="999">
        <v>1644.5299999999997</v>
      </c>
      <c r="D142"/>
      <c r="H142" s="1020"/>
    </row>
    <row r="143" spans="2:8" ht="15">
      <c r="B143" s="1000" t="s">
        <v>1678</v>
      </c>
      <c r="C143" s="999">
        <v>-929</v>
      </c>
      <c r="D143"/>
    </row>
    <row r="144" spans="2:8" ht="15">
      <c r="B144" s="1000" t="s">
        <v>1680</v>
      </c>
      <c r="C144" s="999">
        <v>9170.0299999999988</v>
      </c>
      <c r="D144"/>
    </row>
    <row r="145" spans="2:4" ht="15">
      <c r="B145" s="997"/>
      <c r="C145" s="998">
        <f>SUM(C142:C144)</f>
        <v>9885.5599999999977</v>
      </c>
      <c r="D145"/>
    </row>
    <row r="146" spans="2:4" ht="15">
      <c r="B146" s="1091" t="s">
        <v>1797</v>
      </c>
      <c r="C146" s="994">
        <f>C141-C145</f>
        <v>147533.69999999998</v>
      </c>
      <c r="D146"/>
    </row>
  </sheetData>
  <dataValidations count="1">
    <dataValidation type="list" allowBlank="1" showInputMessage="1" showErrorMessage="1" sqref="P15">
      <formula1>"All,Posted/Unposted,Posted,Unposted,Staged"</formula1>
    </dataValidation>
  </dataValidations>
  <pageMargins left="0.25" right="0.25" top="0.5" bottom="0.5" header="0.3" footer="0.3"/>
  <pageSetup scale="40"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rowBreaks count="1" manualBreakCount="1">
    <brk id="125" max="15" man="1"/>
  </rowBreaks>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97"/>
  <sheetViews>
    <sheetView showGridLines="0" view="pageBreakPreview" topLeftCell="A9" zoomScale="60" zoomScaleNormal="80" workbookViewId="0">
      <pane ySplit="11" topLeftCell="A38" activePane="bottomLeft" state="frozen"/>
      <selection activeCell="Q27" sqref="Q27"/>
      <selection pane="bottomLeft" activeCell="Q27" sqref="Q27"/>
    </sheetView>
  </sheetViews>
  <sheetFormatPr defaultRowHeight="12.75" outlineLevelRow="1"/>
  <cols>
    <col min="1" max="1" width="2.7109375" style="491" customWidth="1"/>
    <col min="2" max="2" width="45.140625" style="491" customWidth="1"/>
    <col min="3" max="3" width="18" style="491" customWidth="1"/>
    <col min="4" max="4" width="16.5703125" style="491" customWidth="1"/>
    <col min="5" max="5" width="17.140625" style="491" customWidth="1"/>
    <col min="6" max="6" width="12.28515625" style="491" customWidth="1"/>
    <col min="7" max="7" width="19" style="491" customWidth="1"/>
    <col min="8" max="8" width="7.85546875" style="491" customWidth="1"/>
    <col min="9" max="9" width="30.28515625" style="491" customWidth="1"/>
    <col min="10" max="10" width="10.28515625" style="491" customWidth="1"/>
    <col min="11" max="11" width="13.5703125" style="491" customWidth="1"/>
    <col min="12" max="12" width="14.140625" style="491" customWidth="1"/>
    <col min="13" max="13" width="8.42578125" style="491" customWidth="1"/>
    <col min="14" max="14" width="42.5703125" style="491" customWidth="1"/>
    <col min="15" max="15" width="13.140625" style="491" customWidth="1"/>
    <col min="16" max="17" width="13" style="491" customWidth="1"/>
    <col min="18" max="18" width="14.140625" style="491" customWidth="1"/>
    <col min="19" max="19" width="17.7109375" style="491" customWidth="1"/>
    <col min="20" max="20" width="12.7109375" style="491" customWidth="1"/>
    <col min="21" max="21" width="15.85546875" style="491" customWidth="1"/>
    <col min="22" max="22" width="13.7109375" style="491" bestFit="1" customWidth="1"/>
    <col min="23" max="23" width="13.28515625" style="491" customWidth="1"/>
    <col min="24" max="24" width="12.28515625" style="491" customWidth="1"/>
    <col min="25" max="25" width="11.5703125" style="491" customWidth="1"/>
    <col min="26" max="26" width="9.85546875" style="491" customWidth="1"/>
    <col min="27" max="27" width="11.42578125" style="491" customWidth="1"/>
    <col min="28" max="28" width="11" style="491" customWidth="1"/>
    <col min="29" max="29" width="11.5703125" style="491" customWidth="1"/>
    <col min="30" max="30" width="7" style="491" customWidth="1"/>
    <col min="31" max="31" width="11.140625" style="491" customWidth="1"/>
    <col min="32" max="32" width="11" style="491" customWidth="1"/>
    <col min="33" max="33" width="8.5703125" style="491" customWidth="1"/>
    <col min="34" max="34" width="8.42578125" style="491" customWidth="1"/>
    <col min="35" max="36" width="10.28515625" style="491" customWidth="1"/>
    <col min="37" max="37" width="10.140625" style="491" customWidth="1"/>
    <col min="38" max="38" width="10.42578125" style="491" customWidth="1"/>
    <col min="39" max="39" width="21.140625" style="491" customWidth="1"/>
    <col min="40" max="42" width="18.85546875" style="491" customWidth="1"/>
    <col min="43" max="43" width="20.42578125" style="491" customWidth="1"/>
    <col min="44" max="44" width="9.140625" style="491" customWidth="1"/>
    <col min="45" max="45" width="9.140625" style="491" hidden="1" customWidth="1"/>
    <col min="46" max="46" width="9.140625" style="491" customWidth="1"/>
    <col min="47" max="16384" width="9.140625" style="491"/>
  </cols>
  <sheetData>
    <row r="1" spans="1:43" hidden="1" outlineLevel="1">
      <c r="A1" s="387" t="b">
        <v>1</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387"/>
      <c r="AO1" s="387"/>
      <c r="AP1" s="387"/>
      <c r="AQ1" s="387"/>
    </row>
    <row r="2" spans="1:43" hidden="1" outlineLevel="1">
      <c r="B2" s="491" t="s">
        <v>1239</v>
      </c>
      <c r="C2" s="491" t="s">
        <v>1238</v>
      </c>
      <c r="D2" s="462" t="s">
        <v>1237</v>
      </c>
      <c r="E2" s="462" t="s">
        <v>1236</v>
      </c>
      <c r="F2" s="462" t="s">
        <v>1235</v>
      </c>
      <c r="G2" s="491" t="s">
        <v>1234</v>
      </c>
      <c r="H2" s="491" t="s">
        <v>1233</v>
      </c>
      <c r="I2" s="491" t="s">
        <v>1232</v>
      </c>
      <c r="J2" s="491" t="s">
        <v>1165</v>
      </c>
      <c r="K2" s="491" t="s">
        <v>1231</v>
      </c>
      <c r="L2" s="491" t="s">
        <v>1230</v>
      </c>
      <c r="M2" s="491" t="s">
        <v>1229</v>
      </c>
      <c r="N2" s="491" t="s">
        <v>1228</v>
      </c>
      <c r="O2" s="491" t="s">
        <v>1227</v>
      </c>
      <c r="P2" s="491" t="s">
        <v>1226</v>
      </c>
      <c r="Q2" s="491" t="s">
        <v>1225</v>
      </c>
      <c r="R2" s="491" t="s">
        <v>1224</v>
      </c>
      <c r="S2" s="491" t="s">
        <v>1223</v>
      </c>
      <c r="T2" s="491" t="s">
        <v>1222</v>
      </c>
      <c r="U2" s="491" t="s">
        <v>1221</v>
      </c>
      <c r="V2" s="491" t="s">
        <v>1220</v>
      </c>
      <c r="W2" s="491" t="s">
        <v>1219</v>
      </c>
      <c r="X2" s="491" t="s">
        <v>1218</v>
      </c>
      <c r="Y2" s="491" t="s">
        <v>1217</v>
      </c>
      <c r="Z2" s="491" t="s">
        <v>1216</v>
      </c>
      <c r="AA2" s="491" t="s">
        <v>1215</v>
      </c>
      <c r="AB2" s="491" t="s">
        <v>1214</v>
      </c>
      <c r="AC2" s="491" t="s">
        <v>1213</v>
      </c>
      <c r="AD2" s="491" t="s">
        <v>1212</v>
      </c>
      <c r="AE2" s="491" t="s">
        <v>1211</v>
      </c>
      <c r="AF2" s="491" t="s">
        <v>1210</v>
      </c>
      <c r="AG2" s="491" t="s">
        <v>1209</v>
      </c>
      <c r="AH2" s="491" t="s">
        <v>1208</v>
      </c>
      <c r="AI2" s="491" t="s">
        <v>1207</v>
      </c>
      <c r="AJ2" s="491" t="s">
        <v>1206</v>
      </c>
      <c r="AK2" s="491" t="s">
        <v>1205</v>
      </c>
      <c r="AL2" s="491" t="s">
        <v>1204</v>
      </c>
      <c r="AM2" s="491" t="s">
        <v>1203</v>
      </c>
      <c r="AN2" s="491" t="s">
        <v>1135</v>
      </c>
      <c r="AO2" s="491" t="s">
        <v>1202</v>
      </c>
      <c r="AP2" s="491" t="s">
        <v>1201</v>
      </c>
      <c r="AQ2" s="462"/>
    </row>
    <row r="3" spans="1:43" hidden="1" outlineLevel="1">
      <c r="A3" s="387" t="s">
        <v>1200</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row>
    <row r="4" spans="1:43" hidden="1" outlineLevel="1">
      <c r="Q4" s="491" t="str">
        <f ca="1">_xll.ReportDrill('[52]JE Lookup'!B1,,_xll.PairGroup(_xll.Pair(G20:G68,'[52]JE Lookup'!N8),_xll.Pair(AB20:AB68,'[52]JE Lookup'!N7)),"JE Lookup")</f>
        <v>OK!: ReportDrill 'JE Lookup' Formula OK [jAction{}]</v>
      </c>
      <c r="U4" s="491" t="str">
        <f ca="1">_xll.ReportDrill(,"APDrill",_xll.PairGroup(_xll.PairExt(AQ20:AQ68,"H8")),"AP Detail")</f>
        <v>OK!: ReportDrill 'AP Detail' Formula OK [jAction{}]</v>
      </c>
      <c r="Y4" s="491" t="str">
        <f ca="1">_xll.ReportDrill(,"JEStaged_DrillToDetail",_xll.PairGroup(_xll.PairExt(Q19:Q68,"dControlNum",TRUE),_xll.PairExt(AP19:AP68,"dDistrict",TRUE),_xll.PairExt(AO19:AO68,"dApplyMonth",TRUE)),"JE Staged Details")</f>
        <v>OK!: ReportDrill 'JE Staged Details' Formula OK [jAction{}]</v>
      </c>
    </row>
    <row r="5" spans="1:43" hidden="1" outlineLevel="1">
      <c r="B5" s="491" t="str">
        <f ca="1">_xll.ReportRange("JEQuery_WithStaged",B20:AS67,B2:AS2,,_xll.Param(I12,DateTo,IF(M12="","all",M12),M13,M14,M15,P12,P13,P14,P15,EntrieShownLimit,DateFrom,DateTo),TRUE)</f>
        <v>OK!: ReportRange Formula OK [jAction{}]</v>
      </c>
      <c r="Q5" s="491" t="str">
        <f ca="1">_xll.ReportDrill('[52]JE Lookup'!B1,,_xll.PairGroup(_xll.Pair(V20:V68,'[52]JE Lookup'!N8),_xll.Pair(AS20:AS68,'[52]JE Lookup'!N7)),"I/C Originating JE")</f>
        <v>OK!: ReportDrill 'I/C Originating JE' Formula OK [jAction{}]</v>
      </c>
    </row>
    <row r="6" spans="1:43" hidden="1" outlineLevel="1">
      <c r="B6" s="385" t="s">
        <v>1199</v>
      </c>
      <c r="D6" s="491">
        <v>10000</v>
      </c>
    </row>
    <row r="7" spans="1:43" hidden="1" outlineLevel="1">
      <c r="A7" s="387" t="s">
        <v>1198</v>
      </c>
      <c r="B7" s="387"/>
      <c r="C7" s="387"/>
      <c r="D7" s="387"/>
      <c r="E7" s="387"/>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row>
    <row r="8" spans="1:43" hidden="1" outlineLevel="1">
      <c r="B8" s="486" t="s">
        <v>1197</v>
      </c>
      <c r="C8" s="491" t="str">
        <f>IF(DateFrom="",CurrentMonth,DateFrom)</f>
        <v>2017-01</v>
      </c>
      <c r="E8" s="486" t="s">
        <v>1196</v>
      </c>
      <c r="G8" s="491" t="str">
        <f>IF(DateTo="",CurrentMonth,DateTo)</f>
        <v>2017-12</v>
      </c>
      <c r="I8" s="486" t="s">
        <v>1195</v>
      </c>
      <c r="J8" s="376" t="str">
        <f ca="1">TEXT(NOW() - 15,"yyyy-mm")</f>
        <v>2018-01</v>
      </c>
    </row>
    <row r="9" spans="1:43" ht="18" collapsed="1">
      <c r="B9" s="470" t="s">
        <v>1194</v>
      </c>
      <c r="G9" s="398" t="s">
        <v>1193</v>
      </c>
      <c r="P9" s="386"/>
      <c r="U9" s="385"/>
    </row>
    <row r="10" spans="1:43" ht="14.25">
      <c r="B10" s="462" t="s">
        <v>1192</v>
      </c>
      <c r="G10" s="469"/>
      <c r="P10" s="386"/>
      <c r="U10" s="385"/>
    </row>
    <row r="11" spans="1:43">
      <c r="G11" s="456" t="s">
        <v>1191</v>
      </c>
      <c r="H11" s="472"/>
      <c r="I11" s="457"/>
      <c r="L11" s="472" t="s">
        <v>1190</v>
      </c>
      <c r="M11" s="472"/>
      <c r="N11" s="472"/>
      <c r="O11" s="472"/>
      <c r="P11" s="472"/>
      <c r="U11" s="462"/>
    </row>
    <row r="12" spans="1:43" s="385" customFormat="1">
      <c r="H12" s="356" t="s">
        <v>1189</v>
      </c>
      <c r="I12" s="396" t="s">
        <v>1188</v>
      </c>
      <c r="K12" s="397"/>
      <c r="L12" s="385" t="s">
        <v>1187</v>
      </c>
      <c r="M12" s="396" t="s">
        <v>193</v>
      </c>
      <c r="O12" s="356" t="s">
        <v>1186</v>
      </c>
      <c r="P12" s="401"/>
      <c r="Z12" s="491"/>
      <c r="AA12" s="491"/>
      <c r="AB12" s="491"/>
      <c r="AH12" s="491"/>
      <c r="AI12" s="491"/>
      <c r="AJ12" s="491"/>
      <c r="AK12" s="491"/>
      <c r="AL12" s="491"/>
    </row>
    <row r="13" spans="1:43" s="385" customFormat="1">
      <c r="H13" s="356" t="s">
        <v>1185</v>
      </c>
      <c r="I13" s="396" t="s">
        <v>197</v>
      </c>
      <c r="K13" s="397"/>
      <c r="L13" s="385" t="s">
        <v>1184</v>
      </c>
      <c r="M13" s="396" t="s">
        <v>1183</v>
      </c>
      <c r="N13" s="491"/>
      <c r="O13" s="356" t="s">
        <v>1182</v>
      </c>
      <c r="P13" s="498"/>
      <c r="Q13" s="471"/>
      <c r="Z13" s="491"/>
      <c r="AA13" s="491"/>
      <c r="AB13" s="491"/>
      <c r="AH13" s="491"/>
      <c r="AI13" s="491"/>
      <c r="AJ13" s="491"/>
      <c r="AK13" s="491"/>
      <c r="AL13" s="491"/>
    </row>
    <row r="14" spans="1:43">
      <c r="L14" s="385" t="s">
        <v>196</v>
      </c>
      <c r="M14" s="396" t="s">
        <v>195</v>
      </c>
      <c r="O14" s="356" t="s">
        <v>1181</v>
      </c>
      <c r="P14" s="498"/>
      <c r="Q14" s="471"/>
    </row>
    <row r="15" spans="1:43">
      <c r="L15" s="385" t="s">
        <v>653</v>
      </c>
      <c r="M15" s="396" t="s">
        <v>195</v>
      </c>
      <c r="O15" s="356" t="s">
        <v>1180</v>
      </c>
      <c r="P15" s="474" t="s">
        <v>1179</v>
      </c>
    </row>
    <row r="16" spans="1:43">
      <c r="B16" s="473" t="s">
        <v>1178</v>
      </c>
      <c r="C16" s="374"/>
      <c r="D16" s="499">
        <f>SUM(D19:D68)</f>
        <v>8553.5</v>
      </c>
      <c r="E16" s="499">
        <f>SUM(E19:E68)</f>
        <v>0</v>
      </c>
      <c r="F16" s="491" t="s">
        <v>1177</v>
      </c>
      <c r="N16" s="395"/>
      <c r="O16" s="395"/>
      <c r="P16" s="395"/>
      <c r="Q16" s="395"/>
    </row>
    <row r="17" spans="2:45">
      <c r="B17" s="473" t="s">
        <v>1176</v>
      </c>
      <c r="C17" s="374"/>
      <c r="D17" s="500">
        <f>COUNT(D20:D69)</f>
        <v>47</v>
      </c>
      <c r="E17" s="500">
        <f>COUNT(E20:E69)</f>
        <v>47</v>
      </c>
      <c r="F17" s="462" t="s">
        <v>1175</v>
      </c>
      <c r="G17" s="394" t="str">
        <f>""&amp;EntrieShownLimit</f>
        <v>10000</v>
      </c>
    </row>
    <row r="18" spans="2:45">
      <c r="O18" s="381"/>
      <c r="R18" s="476" t="s">
        <v>1174</v>
      </c>
      <c r="S18" s="393"/>
      <c r="T18" s="393"/>
      <c r="U18" s="393"/>
      <c r="V18" s="393"/>
      <c r="W18" s="393"/>
      <c r="X18" s="393"/>
      <c r="Y18" s="393"/>
      <c r="Z18" s="475"/>
      <c r="AA18" s="475"/>
      <c r="AB18" s="475"/>
      <c r="AC18" s="475"/>
      <c r="AD18" s="475"/>
      <c r="AE18" s="475"/>
      <c r="AF18" s="475"/>
      <c r="AG18" s="475"/>
      <c r="AH18" s="475"/>
      <c r="AI18" s="475"/>
      <c r="AJ18" s="475"/>
      <c r="AK18" s="475"/>
      <c r="AL18" s="475"/>
      <c r="AM18" s="475"/>
      <c r="AN18" s="475"/>
      <c r="AO18" s="475"/>
      <c r="AP18" s="475"/>
      <c r="AQ18" s="475"/>
    </row>
    <row r="19" spans="2:45" s="383" customFormat="1" ht="29.25" customHeight="1" thickBot="1">
      <c r="B19" s="477" t="s">
        <v>1173</v>
      </c>
      <c r="C19" s="377" t="s">
        <v>1172</v>
      </c>
      <c r="D19" s="384" t="s">
        <v>1171</v>
      </c>
      <c r="E19" s="384" t="s">
        <v>1170</v>
      </c>
      <c r="F19" s="384" t="s">
        <v>1169</v>
      </c>
      <c r="G19" s="460" t="s">
        <v>1168</v>
      </c>
      <c r="H19" s="477" t="s">
        <v>1167</v>
      </c>
      <c r="I19" s="477" t="s">
        <v>1166</v>
      </c>
      <c r="J19" s="477" t="s">
        <v>1165</v>
      </c>
      <c r="K19" s="477" t="s">
        <v>1164</v>
      </c>
      <c r="L19" s="477" t="s">
        <v>1163</v>
      </c>
      <c r="M19" s="477" t="s">
        <v>1162</v>
      </c>
      <c r="N19" s="477" t="s">
        <v>1161</v>
      </c>
      <c r="O19" s="478" t="s">
        <v>1160</v>
      </c>
      <c r="P19" s="477" t="s">
        <v>1159</v>
      </c>
      <c r="Q19" s="477" t="s">
        <v>1158</v>
      </c>
      <c r="R19" s="477" t="s">
        <v>1157</v>
      </c>
      <c r="S19" s="477" t="s">
        <v>1156</v>
      </c>
      <c r="T19" s="477" t="s">
        <v>1155</v>
      </c>
      <c r="U19" s="477" t="s">
        <v>1154</v>
      </c>
      <c r="V19" s="477" t="s">
        <v>1153</v>
      </c>
      <c r="W19" s="477" t="s">
        <v>1152</v>
      </c>
      <c r="X19" s="477" t="s">
        <v>1151</v>
      </c>
      <c r="Y19" s="477" t="s">
        <v>1150</v>
      </c>
      <c r="Z19" s="477" t="s">
        <v>1149</v>
      </c>
      <c r="AA19" s="477" t="s">
        <v>1148</v>
      </c>
      <c r="AB19" s="477" t="s">
        <v>1147</v>
      </c>
      <c r="AC19" s="392" t="s">
        <v>1146</v>
      </c>
      <c r="AD19" s="392" t="s">
        <v>1145</v>
      </c>
      <c r="AE19" s="392" t="s">
        <v>1144</v>
      </c>
      <c r="AF19" s="392" t="s">
        <v>1143</v>
      </c>
      <c r="AG19" s="392" t="s">
        <v>1142</v>
      </c>
      <c r="AH19" s="392" t="s">
        <v>1141</v>
      </c>
      <c r="AI19" s="377" t="s">
        <v>1140</v>
      </c>
      <c r="AJ19" s="377" t="s">
        <v>1139</v>
      </c>
      <c r="AK19" s="377" t="s">
        <v>1138</v>
      </c>
      <c r="AL19" s="377" t="s">
        <v>1137</v>
      </c>
      <c r="AM19" s="377" t="s">
        <v>1136</v>
      </c>
      <c r="AN19" s="377" t="s">
        <v>1135</v>
      </c>
      <c r="AO19" s="464" t="s">
        <v>1134</v>
      </c>
      <c r="AP19" s="464" t="s">
        <v>1133</v>
      </c>
      <c r="AQ19" s="464" t="s">
        <v>1132</v>
      </c>
    </row>
    <row r="20" spans="2:45">
      <c r="B20" s="491" t="s">
        <v>1073</v>
      </c>
      <c r="C20" s="488">
        <v>42809</v>
      </c>
      <c r="D20" s="382">
        <v>40</v>
      </c>
      <c r="E20" s="382">
        <v>0</v>
      </c>
      <c r="F20" s="463" t="s">
        <v>657</v>
      </c>
      <c r="G20" s="491" t="s">
        <v>1131</v>
      </c>
      <c r="H20" s="391" t="s">
        <v>1071</v>
      </c>
      <c r="I20" s="491" t="s">
        <v>1099</v>
      </c>
      <c r="J20" s="491" t="s">
        <v>1098</v>
      </c>
      <c r="K20" s="491" t="s">
        <v>1068</v>
      </c>
      <c r="L20" s="376" t="s">
        <v>1130</v>
      </c>
      <c r="M20" s="376"/>
      <c r="N20" s="376" t="s">
        <v>1053</v>
      </c>
      <c r="O20" s="381">
        <v>42800</v>
      </c>
      <c r="P20" s="376" t="s">
        <v>1129</v>
      </c>
      <c r="Q20" s="376" t="s">
        <v>1128</v>
      </c>
      <c r="R20" s="491" t="s">
        <v>1127</v>
      </c>
      <c r="U20" s="491" t="s">
        <v>1126</v>
      </c>
      <c r="V20" s="491" t="s">
        <v>1125</v>
      </c>
      <c r="W20" s="491">
        <v>2195</v>
      </c>
      <c r="X20" s="488">
        <v>42809</v>
      </c>
      <c r="Y20" s="488">
        <v>42809</v>
      </c>
      <c r="Z20" s="491">
        <v>40</v>
      </c>
      <c r="AA20" s="488">
        <v>42865</v>
      </c>
      <c r="AB20" s="491" t="s">
        <v>1066</v>
      </c>
      <c r="AC20" s="491">
        <v>0</v>
      </c>
      <c r="AD20" s="491">
        <v>0</v>
      </c>
      <c r="AE20" s="491">
        <v>0</v>
      </c>
      <c r="AF20" s="491">
        <v>0</v>
      </c>
      <c r="AG20" s="491">
        <v>0</v>
      </c>
      <c r="AH20" s="491">
        <v>1</v>
      </c>
      <c r="AI20" s="491">
        <v>70095</v>
      </c>
      <c r="AJ20" s="491">
        <v>2120</v>
      </c>
      <c r="AK20" s="491">
        <v>0</v>
      </c>
      <c r="AL20" s="491">
        <v>0</v>
      </c>
      <c r="AO20" s="391"/>
      <c r="AP20" s="391"/>
      <c r="AQ20" s="491" t="str">
        <f t="shared" ref="AQ20:AQ66" si="0">IF(LEFT(U20,2)="VO",U20,"")</f>
        <v>VO04229986</v>
      </c>
      <c r="AS20" s="491" t="str">
        <f t="shared" ref="AS20:AS66" si="1">IF(RIGHT(K20,2)="IC",IF(OR(AB20="wci_canada",AB20="wci_can_corp"),"wci_can_Corp","wci_corp"),AB20)</f>
        <v>wci_corp</v>
      </c>
    </row>
    <row r="21" spans="2:45">
      <c r="B21" s="491" t="s">
        <v>1073</v>
      </c>
      <c r="C21" s="488">
        <v>42825</v>
      </c>
      <c r="D21" s="382">
        <v>324.89</v>
      </c>
      <c r="E21" s="382">
        <v>0</v>
      </c>
      <c r="F21" s="463" t="s">
        <v>657</v>
      </c>
      <c r="G21" s="491" t="s">
        <v>1124</v>
      </c>
      <c r="H21" s="391" t="s">
        <v>1071</v>
      </c>
      <c r="I21" s="491" t="s">
        <v>1123</v>
      </c>
      <c r="J21" s="491" t="s">
        <v>1084</v>
      </c>
      <c r="K21" s="491" t="s">
        <v>1068</v>
      </c>
      <c r="L21" s="376"/>
      <c r="M21" s="376"/>
      <c r="N21" s="376" t="s">
        <v>1055</v>
      </c>
      <c r="O21" s="381"/>
      <c r="P21" s="376"/>
      <c r="Q21" s="376"/>
      <c r="U21" s="491" t="s">
        <v>1122</v>
      </c>
      <c r="V21" s="491" t="s">
        <v>1122</v>
      </c>
      <c r="X21" s="488">
        <v>42828</v>
      </c>
      <c r="Y21" s="488">
        <v>42829</v>
      </c>
      <c r="AA21" s="488"/>
      <c r="AB21" s="491" t="s">
        <v>1066</v>
      </c>
      <c r="AC21" s="491">
        <v>0</v>
      </c>
      <c r="AD21" s="491">
        <v>0</v>
      </c>
      <c r="AE21" s="491">
        <v>0</v>
      </c>
      <c r="AF21" s="491">
        <v>0</v>
      </c>
      <c r="AG21" s="491">
        <v>0</v>
      </c>
      <c r="AH21" s="491">
        <v>1</v>
      </c>
      <c r="AI21" s="491">
        <v>70095</v>
      </c>
      <c r="AJ21" s="491">
        <v>2120</v>
      </c>
      <c r="AK21" s="491">
        <v>0</v>
      </c>
      <c r="AL21" s="491">
        <v>0</v>
      </c>
      <c r="AO21" s="391"/>
      <c r="AP21" s="391"/>
      <c r="AQ21" s="491" t="str">
        <f t="shared" si="0"/>
        <v/>
      </c>
      <c r="AS21" s="491" t="str">
        <f t="shared" si="1"/>
        <v>wci_corp</v>
      </c>
    </row>
    <row r="22" spans="2:45">
      <c r="B22" s="491" t="s">
        <v>1073</v>
      </c>
      <c r="C22" s="488">
        <v>42825</v>
      </c>
      <c r="D22" s="382">
        <v>299</v>
      </c>
      <c r="E22" s="382">
        <v>0</v>
      </c>
      <c r="F22" s="463" t="s">
        <v>657</v>
      </c>
      <c r="G22" s="491" t="s">
        <v>1121</v>
      </c>
      <c r="H22" s="391" t="s">
        <v>1071</v>
      </c>
      <c r="I22" s="491" t="s">
        <v>1077</v>
      </c>
      <c r="J22" s="491" t="s">
        <v>1119</v>
      </c>
      <c r="K22" s="491" t="s">
        <v>1068</v>
      </c>
      <c r="L22" s="376"/>
      <c r="M22" s="376"/>
      <c r="N22" s="376" t="s">
        <v>1055</v>
      </c>
      <c r="O22" s="381"/>
      <c r="P22" s="376"/>
      <c r="Q22" s="376"/>
      <c r="U22" s="491" t="s">
        <v>1118</v>
      </c>
      <c r="V22" s="491" t="s">
        <v>1118</v>
      </c>
      <c r="X22" s="488">
        <v>42831</v>
      </c>
      <c r="Y22" s="488">
        <v>42831</v>
      </c>
      <c r="AA22" s="488"/>
      <c r="AB22" s="491" t="s">
        <v>1066</v>
      </c>
      <c r="AC22" s="491">
        <v>0</v>
      </c>
      <c r="AD22" s="491">
        <v>0</v>
      </c>
      <c r="AE22" s="491">
        <v>0</v>
      </c>
      <c r="AF22" s="491">
        <v>0</v>
      </c>
      <c r="AG22" s="491">
        <v>0</v>
      </c>
      <c r="AH22" s="491">
        <v>1</v>
      </c>
      <c r="AI22" s="491">
        <v>70095</v>
      </c>
      <c r="AJ22" s="491">
        <v>2120</v>
      </c>
      <c r="AK22" s="491">
        <v>0</v>
      </c>
      <c r="AL22" s="491">
        <v>0</v>
      </c>
      <c r="AO22" s="391"/>
      <c r="AP22" s="391"/>
      <c r="AQ22" s="491" t="str">
        <f t="shared" si="0"/>
        <v/>
      </c>
      <c r="AS22" s="491" t="str">
        <f t="shared" si="1"/>
        <v>wci_corp</v>
      </c>
    </row>
    <row r="23" spans="2:45">
      <c r="B23" s="491" t="s">
        <v>1073</v>
      </c>
      <c r="C23" s="488">
        <v>42825</v>
      </c>
      <c r="D23" s="382">
        <v>100</v>
      </c>
      <c r="E23" s="382">
        <v>0</v>
      </c>
      <c r="F23" s="463" t="s">
        <v>657</v>
      </c>
      <c r="G23" s="491" t="s">
        <v>1121</v>
      </c>
      <c r="H23" s="391" t="s">
        <v>1071</v>
      </c>
      <c r="I23" s="491" t="s">
        <v>1077</v>
      </c>
      <c r="J23" s="491" t="s">
        <v>1119</v>
      </c>
      <c r="K23" s="491" t="s">
        <v>1068</v>
      </c>
      <c r="L23" s="376"/>
      <c r="M23" s="376"/>
      <c r="N23" s="376" t="s">
        <v>1054</v>
      </c>
      <c r="O23" s="381"/>
      <c r="P23" s="376"/>
      <c r="Q23" s="376"/>
      <c r="U23" s="491" t="s">
        <v>1118</v>
      </c>
      <c r="V23" s="491" t="s">
        <v>1118</v>
      </c>
      <c r="X23" s="488">
        <v>42831</v>
      </c>
      <c r="Y23" s="488">
        <v>42831</v>
      </c>
      <c r="AA23" s="488"/>
      <c r="AB23" s="491" t="s">
        <v>1066</v>
      </c>
      <c r="AC23" s="491">
        <v>0</v>
      </c>
      <c r="AD23" s="491">
        <v>0</v>
      </c>
      <c r="AE23" s="491">
        <v>0</v>
      </c>
      <c r="AF23" s="491">
        <v>0</v>
      </c>
      <c r="AG23" s="491">
        <v>0</v>
      </c>
      <c r="AH23" s="491">
        <v>1</v>
      </c>
      <c r="AI23" s="491">
        <v>70095</v>
      </c>
      <c r="AJ23" s="491">
        <v>2120</v>
      </c>
      <c r="AK23" s="491">
        <v>0</v>
      </c>
      <c r="AL23" s="491">
        <v>0</v>
      </c>
      <c r="AO23" s="391"/>
      <c r="AP23" s="391"/>
      <c r="AQ23" s="491" t="str">
        <f t="shared" si="0"/>
        <v/>
      </c>
      <c r="AS23" s="491" t="str">
        <f t="shared" si="1"/>
        <v>wci_corp</v>
      </c>
    </row>
    <row r="24" spans="2:45">
      <c r="B24" s="491" t="s">
        <v>1073</v>
      </c>
      <c r="C24" s="488">
        <v>42855</v>
      </c>
      <c r="D24" s="382">
        <v>-299</v>
      </c>
      <c r="E24" s="382">
        <v>0</v>
      </c>
      <c r="F24" s="463" t="s">
        <v>657</v>
      </c>
      <c r="G24" s="491" t="s">
        <v>1120</v>
      </c>
      <c r="H24" s="391" t="s">
        <v>1071</v>
      </c>
      <c r="I24" s="491" t="s">
        <v>1077</v>
      </c>
      <c r="J24" s="491" t="s">
        <v>1119</v>
      </c>
      <c r="K24" s="491" t="s">
        <v>1068</v>
      </c>
      <c r="L24" s="376"/>
      <c r="M24" s="376"/>
      <c r="N24" s="376" t="s">
        <v>1055</v>
      </c>
      <c r="O24" s="381"/>
      <c r="P24" s="376"/>
      <c r="Q24" s="376"/>
      <c r="U24" s="491" t="s">
        <v>1118</v>
      </c>
      <c r="V24" s="491" t="s">
        <v>1117</v>
      </c>
      <c r="X24" s="488">
        <v>42831</v>
      </c>
      <c r="Y24" s="488">
        <v>42831</v>
      </c>
      <c r="AA24" s="488"/>
      <c r="AB24" s="491" t="s">
        <v>1066</v>
      </c>
      <c r="AC24" s="491">
        <v>0</v>
      </c>
      <c r="AD24" s="491">
        <v>0</v>
      </c>
      <c r="AE24" s="491">
        <v>0</v>
      </c>
      <c r="AF24" s="491">
        <v>0</v>
      </c>
      <c r="AG24" s="491">
        <v>5</v>
      </c>
      <c r="AH24" s="491">
        <v>1</v>
      </c>
      <c r="AI24" s="491">
        <v>70095</v>
      </c>
      <c r="AJ24" s="491">
        <v>2120</v>
      </c>
      <c r="AK24" s="491">
        <v>0</v>
      </c>
      <c r="AL24" s="491">
        <v>0</v>
      </c>
      <c r="AO24" s="391"/>
      <c r="AP24" s="391"/>
      <c r="AQ24" s="491" t="str">
        <f t="shared" si="0"/>
        <v/>
      </c>
      <c r="AS24" s="491" t="str">
        <f t="shared" si="1"/>
        <v>wci_corp</v>
      </c>
    </row>
    <row r="25" spans="2:45">
      <c r="B25" s="491" t="s">
        <v>1073</v>
      </c>
      <c r="C25" s="488">
        <v>42855</v>
      </c>
      <c r="D25" s="382">
        <v>-100</v>
      </c>
      <c r="E25" s="382">
        <v>0</v>
      </c>
      <c r="F25" s="463" t="s">
        <v>657</v>
      </c>
      <c r="G25" s="491" t="s">
        <v>1120</v>
      </c>
      <c r="H25" s="391" t="s">
        <v>1071</v>
      </c>
      <c r="I25" s="491" t="s">
        <v>1077</v>
      </c>
      <c r="J25" s="491" t="s">
        <v>1119</v>
      </c>
      <c r="K25" s="491" t="s">
        <v>1068</v>
      </c>
      <c r="L25" s="376"/>
      <c r="M25" s="376"/>
      <c r="N25" s="376" t="s">
        <v>1054</v>
      </c>
      <c r="O25" s="381"/>
      <c r="P25" s="376"/>
      <c r="Q25" s="376"/>
      <c r="U25" s="491" t="s">
        <v>1118</v>
      </c>
      <c r="V25" s="491" t="s">
        <v>1117</v>
      </c>
      <c r="X25" s="488">
        <v>42831</v>
      </c>
      <c r="Y25" s="488">
        <v>42831</v>
      </c>
      <c r="AA25" s="488"/>
      <c r="AB25" s="491" t="s">
        <v>1066</v>
      </c>
      <c r="AC25" s="491">
        <v>0</v>
      </c>
      <c r="AD25" s="491">
        <v>0</v>
      </c>
      <c r="AE25" s="491">
        <v>0</v>
      </c>
      <c r="AF25" s="491">
        <v>0</v>
      </c>
      <c r="AG25" s="491">
        <v>5</v>
      </c>
      <c r="AH25" s="491">
        <v>1</v>
      </c>
      <c r="AI25" s="491">
        <v>70095</v>
      </c>
      <c r="AJ25" s="491">
        <v>2120</v>
      </c>
      <c r="AK25" s="491">
        <v>0</v>
      </c>
      <c r="AL25" s="491">
        <v>0</v>
      </c>
      <c r="AO25" s="391"/>
      <c r="AP25" s="391"/>
      <c r="AQ25" s="491" t="str">
        <f t="shared" si="0"/>
        <v/>
      </c>
      <c r="AS25" s="491" t="str">
        <f t="shared" si="1"/>
        <v>wci_corp</v>
      </c>
    </row>
    <row r="26" spans="2:45">
      <c r="B26" s="491" t="s">
        <v>1073</v>
      </c>
      <c r="C26" s="488">
        <v>42855</v>
      </c>
      <c r="D26" s="382">
        <v>299</v>
      </c>
      <c r="E26" s="382">
        <v>0</v>
      </c>
      <c r="F26" s="463" t="s">
        <v>657</v>
      </c>
      <c r="G26" s="491" t="s">
        <v>1116</v>
      </c>
      <c r="H26" s="391" t="s">
        <v>1071</v>
      </c>
      <c r="I26" s="491" t="s">
        <v>1115</v>
      </c>
      <c r="J26" s="491" t="s">
        <v>1084</v>
      </c>
      <c r="K26" s="491" t="s">
        <v>1068</v>
      </c>
      <c r="L26" s="376"/>
      <c r="M26" s="376"/>
      <c r="N26" s="376" t="s">
        <v>1055</v>
      </c>
      <c r="O26" s="381"/>
      <c r="P26" s="376"/>
      <c r="Q26" s="376"/>
      <c r="U26" s="491" t="s">
        <v>1114</v>
      </c>
      <c r="V26" s="491" t="s">
        <v>1114</v>
      </c>
      <c r="X26" s="488">
        <v>42857</v>
      </c>
      <c r="Y26" s="488">
        <v>42858</v>
      </c>
      <c r="AA26" s="488"/>
      <c r="AB26" s="491" t="s">
        <v>1066</v>
      </c>
      <c r="AC26" s="491">
        <v>0</v>
      </c>
      <c r="AD26" s="491">
        <v>0</v>
      </c>
      <c r="AE26" s="491">
        <v>0</v>
      </c>
      <c r="AF26" s="491">
        <v>0</v>
      </c>
      <c r="AG26" s="491">
        <v>0</v>
      </c>
      <c r="AH26" s="491">
        <v>1</v>
      </c>
      <c r="AI26" s="491">
        <v>70095</v>
      </c>
      <c r="AJ26" s="491">
        <v>2120</v>
      </c>
      <c r="AK26" s="491">
        <v>0</v>
      </c>
      <c r="AL26" s="491">
        <v>0</v>
      </c>
      <c r="AO26" s="391"/>
      <c r="AP26" s="391"/>
      <c r="AQ26" s="491" t="str">
        <f t="shared" si="0"/>
        <v/>
      </c>
      <c r="AS26" s="491" t="str">
        <f t="shared" si="1"/>
        <v>wci_corp</v>
      </c>
    </row>
    <row r="27" spans="2:45">
      <c r="B27" s="491" t="s">
        <v>1073</v>
      </c>
      <c r="C27" s="488">
        <v>42855</v>
      </c>
      <c r="D27" s="382">
        <v>100</v>
      </c>
      <c r="E27" s="382">
        <v>0</v>
      </c>
      <c r="F27" s="463" t="s">
        <v>657</v>
      </c>
      <c r="G27" s="491" t="s">
        <v>1116</v>
      </c>
      <c r="H27" s="391" t="s">
        <v>1071</v>
      </c>
      <c r="I27" s="491" t="s">
        <v>1115</v>
      </c>
      <c r="J27" s="491" t="s">
        <v>1084</v>
      </c>
      <c r="K27" s="491" t="s">
        <v>1068</v>
      </c>
      <c r="L27" s="376"/>
      <c r="M27" s="376"/>
      <c r="N27" s="376" t="s">
        <v>1054</v>
      </c>
      <c r="O27" s="381"/>
      <c r="P27" s="376"/>
      <c r="Q27" s="376"/>
      <c r="U27" s="491" t="s">
        <v>1114</v>
      </c>
      <c r="V27" s="491" t="s">
        <v>1114</v>
      </c>
      <c r="X27" s="488">
        <v>42857</v>
      </c>
      <c r="Y27" s="488">
        <v>42858</v>
      </c>
      <c r="AA27" s="488"/>
      <c r="AB27" s="491" t="s">
        <v>1066</v>
      </c>
      <c r="AC27" s="491">
        <v>0</v>
      </c>
      <c r="AD27" s="491">
        <v>0</v>
      </c>
      <c r="AE27" s="491">
        <v>0</v>
      </c>
      <c r="AF27" s="491">
        <v>0</v>
      </c>
      <c r="AG27" s="491">
        <v>0</v>
      </c>
      <c r="AH27" s="491">
        <v>1</v>
      </c>
      <c r="AI27" s="491">
        <v>70095</v>
      </c>
      <c r="AJ27" s="491">
        <v>2120</v>
      </c>
      <c r="AK27" s="491">
        <v>0</v>
      </c>
      <c r="AL27" s="491">
        <v>0</v>
      </c>
      <c r="AO27" s="391"/>
      <c r="AP27" s="391"/>
      <c r="AQ27" s="491" t="str">
        <f t="shared" si="0"/>
        <v/>
      </c>
      <c r="AS27" s="491" t="str">
        <f t="shared" si="1"/>
        <v>wci_corp</v>
      </c>
    </row>
    <row r="28" spans="2:45">
      <c r="B28" s="491" t="s">
        <v>1073</v>
      </c>
      <c r="C28" s="488">
        <v>42855</v>
      </c>
      <c r="D28" s="382">
        <v>7.99</v>
      </c>
      <c r="E28" s="382">
        <v>0</v>
      </c>
      <c r="F28" s="463" t="s">
        <v>657</v>
      </c>
      <c r="G28" s="491" t="s">
        <v>1116</v>
      </c>
      <c r="H28" s="391" t="s">
        <v>1071</v>
      </c>
      <c r="I28" s="491" t="s">
        <v>1115</v>
      </c>
      <c r="J28" s="491" t="s">
        <v>1084</v>
      </c>
      <c r="K28" s="491" t="s">
        <v>1068</v>
      </c>
      <c r="L28" s="376"/>
      <c r="M28" s="376"/>
      <c r="N28" s="376" t="s">
        <v>1047</v>
      </c>
      <c r="O28" s="381"/>
      <c r="P28" s="376"/>
      <c r="Q28" s="376"/>
      <c r="U28" s="491" t="s">
        <v>1114</v>
      </c>
      <c r="V28" s="491" t="s">
        <v>1114</v>
      </c>
      <c r="X28" s="488">
        <v>42857</v>
      </c>
      <c r="Y28" s="488">
        <v>42858</v>
      </c>
      <c r="AA28" s="488"/>
      <c r="AB28" s="491" t="s">
        <v>1066</v>
      </c>
      <c r="AC28" s="491">
        <v>0</v>
      </c>
      <c r="AD28" s="491">
        <v>0</v>
      </c>
      <c r="AE28" s="491">
        <v>0</v>
      </c>
      <c r="AF28" s="491">
        <v>0</v>
      </c>
      <c r="AG28" s="491">
        <v>0</v>
      </c>
      <c r="AH28" s="491">
        <v>1</v>
      </c>
      <c r="AI28" s="491">
        <v>70095</v>
      </c>
      <c r="AJ28" s="491">
        <v>2120</v>
      </c>
      <c r="AK28" s="491">
        <v>0</v>
      </c>
      <c r="AL28" s="491">
        <v>0</v>
      </c>
      <c r="AO28" s="391"/>
      <c r="AP28" s="391"/>
      <c r="AQ28" s="491" t="str">
        <f t="shared" si="0"/>
        <v/>
      </c>
      <c r="AS28" s="491" t="str">
        <f t="shared" si="1"/>
        <v>wci_corp</v>
      </c>
    </row>
    <row r="29" spans="2:45">
      <c r="B29" s="491" t="s">
        <v>1073</v>
      </c>
      <c r="C29" s="488">
        <v>42916</v>
      </c>
      <c r="D29" s="382">
        <v>10.38</v>
      </c>
      <c r="E29" s="382">
        <v>0</v>
      </c>
      <c r="F29" s="463" t="s">
        <v>657</v>
      </c>
      <c r="G29" s="491" t="s">
        <v>1113</v>
      </c>
      <c r="H29" s="391" t="s">
        <v>1071</v>
      </c>
      <c r="I29" s="491" t="s">
        <v>1112</v>
      </c>
      <c r="J29" s="491" t="s">
        <v>1084</v>
      </c>
      <c r="K29" s="491" t="s">
        <v>1068</v>
      </c>
      <c r="L29" s="376"/>
      <c r="M29" s="376"/>
      <c r="N29" s="376" t="s">
        <v>1047</v>
      </c>
      <c r="O29" s="381"/>
      <c r="P29" s="376"/>
      <c r="Q29" s="376"/>
      <c r="U29" s="491" t="s">
        <v>1111</v>
      </c>
      <c r="V29" s="491" t="s">
        <v>1111</v>
      </c>
      <c r="X29" s="488">
        <v>42921</v>
      </c>
      <c r="Y29" s="488">
        <v>42922</v>
      </c>
      <c r="AA29" s="488"/>
      <c r="AB29" s="491" t="s">
        <v>1066</v>
      </c>
      <c r="AC29" s="491">
        <v>0</v>
      </c>
      <c r="AD29" s="491">
        <v>0</v>
      </c>
      <c r="AE29" s="491">
        <v>0</v>
      </c>
      <c r="AF29" s="491">
        <v>0</v>
      </c>
      <c r="AG29" s="491">
        <v>0</v>
      </c>
      <c r="AH29" s="491">
        <v>1</v>
      </c>
      <c r="AI29" s="491">
        <v>70095</v>
      </c>
      <c r="AJ29" s="491">
        <v>2120</v>
      </c>
      <c r="AK29" s="491">
        <v>0</v>
      </c>
      <c r="AL29" s="491">
        <v>0</v>
      </c>
      <c r="AO29" s="391"/>
      <c r="AP29" s="391"/>
      <c r="AQ29" s="491" t="str">
        <f t="shared" si="0"/>
        <v/>
      </c>
      <c r="AS29" s="491" t="str">
        <f t="shared" si="1"/>
        <v>wci_corp</v>
      </c>
    </row>
    <row r="30" spans="2:45">
      <c r="B30" s="491" t="s">
        <v>1073</v>
      </c>
      <c r="C30" s="488">
        <v>42916</v>
      </c>
      <c r="D30" s="382">
        <v>20.22</v>
      </c>
      <c r="E30" s="382">
        <v>0</v>
      </c>
      <c r="F30" s="463" t="s">
        <v>657</v>
      </c>
      <c r="G30" s="491" t="s">
        <v>1113</v>
      </c>
      <c r="H30" s="391" t="s">
        <v>1071</v>
      </c>
      <c r="I30" s="491" t="s">
        <v>1112</v>
      </c>
      <c r="J30" s="491" t="s">
        <v>1084</v>
      </c>
      <c r="K30" s="491" t="s">
        <v>1068</v>
      </c>
      <c r="L30" s="376"/>
      <c r="M30" s="376"/>
      <c r="N30" s="376" t="s">
        <v>1050</v>
      </c>
      <c r="O30" s="381"/>
      <c r="P30" s="376"/>
      <c r="Q30" s="376"/>
      <c r="U30" s="491" t="s">
        <v>1111</v>
      </c>
      <c r="V30" s="491" t="s">
        <v>1111</v>
      </c>
      <c r="X30" s="488">
        <v>42921</v>
      </c>
      <c r="Y30" s="488">
        <v>42922</v>
      </c>
      <c r="AA30" s="488"/>
      <c r="AB30" s="491" t="s">
        <v>1066</v>
      </c>
      <c r="AC30" s="491">
        <v>0</v>
      </c>
      <c r="AD30" s="491">
        <v>0</v>
      </c>
      <c r="AE30" s="491">
        <v>0</v>
      </c>
      <c r="AF30" s="491">
        <v>0</v>
      </c>
      <c r="AG30" s="491">
        <v>0</v>
      </c>
      <c r="AH30" s="491">
        <v>1</v>
      </c>
      <c r="AI30" s="491">
        <v>70095</v>
      </c>
      <c r="AJ30" s="491">
        <v>2120</v>
      </c>
      <c r="AK30" s="491">
        <v>0</v>
      </c>
      <c r="AL30" s="491">
        <v>0</v>
      </c>
      <c r="AO30" s="391"/>
      <c r="AP30" s="391"/>
      <c r="AQ30" s="491" t="str">
        <f t="shared" si="0"/>
        <v/>
      </c>
      <c r="AS30" s="491" t="str">
        <f t="shared" si="1"/>
        <v>wci_corp</v>
      </c>
    </row>
    <row r="31" spans="2:45">
      <c r="B31" s="491" t="s">
        <v>1073</v>
      </c>
      <c r="C31" s="488">
        <v>42916</v>
      </c>
      <c r="D31" s="382">
        <v>3717.48</v>
      </c>
      <c r="E31" s="382">
        <v>0</v>
      </c>
      <c r="F31" s="463" t="s">
        <v>657</v>
      </c>
      <c r="G31" s="491" t="s">
        <v>1113</v>
      </c>
      <c r="H31" s="391" t="s">
        <v>1071</v>
      </c>
      <c r="I31" s="491" t="s">
        <v>1112</v>
      </c>
      <c r="J31" s="491" t="s">
        <v>1084</v>
      </c>
      <c r="K31" s="491" t="s">
        <v>1068</v>
      </c>
      <c r="L31" s="376"/>
      <c r="M31" s="376"/>
      <c r="N31" s="376" t="s">
        <v>1045</v>
      </c>
      <c r="O31" s="381"/>
      <c r="P31" s="376"/>
      <c r="Q31" s="376"/>
      <c r="U31" s="491" t="s">
        <v>1111</v>
      </c>
      <c r="V31" s="491" t="s">
        <v>1111</v>
      </c>
      <c r="X31" s="488">
        <v>42921</v>
      </c>
      <c r="Y31" s="488">
        <v>42922</v>
      </c>
      <c r="AA31" s="488"/>
      <c r="AB31" s="491" t="s">
        <v>1066</v>
      </c>
      <c r="AC31" s="491">
        <v>0</v>
      </c>
      <c r="AD31" s="491">
        <v>0</v>
      </c>
      <c r="AE31" s="491">
        <v>0</v>
      </c>
      <c r="AF31" s="491">
        <v>0</v>
      </c>
      <c r="AG31" s="491">
        <v>0</v>
      </c>
      <c r="AH31" s="491">
        <v>1</v>
      </c>
      <c r="AI31" s="491">
        <v>70095</v>
      </c>
      <c r="AJ31" s="491">
        <v>2120</v>
      </c>
      <c r="AK31" s="491">
        <v>0</v>
      </c>
      <c r="AL31" s="491">
        <v>0</v>
      </c>
      <c r="AO31" s="391"/>
      <c r="AP31" s="391"/>
      <c r="AQ31" s="491" t="str">
        <f t="shared" si="0"/>
        <v/>
      </c>
      <c r="AS31" s="491" t="str">
        <f t="shared" si="1"/>
        <v>wci_corp</v>
      </c>
    </row>
    <row r="32" spans="2:45">
      <c r="B32" s="491" t="s">
        <v>1073</v>
      </c>
      <c r="C32" s="488">
        <v>42916</v>
      </c>
      <c r="D32" s="382">
        <v>146.38999999999999</v>
      </c>
      <c r="E32" s="382">
        <v>0</v>
      </c>
      <c r="F32" s="463" t="s">
        <v>657</v>
      </c>
      <c r="G32" s="491" t="s">
        <v>1113</v>
      </c>
      <c r="H32" s="391" t="s">
        <v>1071</v>
      </c>
      <c r="I32" s="491" t="s">
        <v>1112</v>
      </c>
      <c r="J32" s="491" t="s">
        <v>1084</v>
      </c>
      <c r="K32" s="491" t="s">
        <v>1068</v>
      </c>
      <c r="L32" s="376"/>
      <c r="M32" s="376"/>
      <c r="N32" s="376" t="s">
        <v>1044</v>
      </c>
      <c r="O32" s="381"/>
      <c r="P32" s="376"/>
      <c r="Q32" s="376"/>
      <c r="U32" s="491" t="s">
        <v>1111</v>
      </c>
      <c r="V32" s="491" t="s">
        <v>1111</v>
      </c>
      <c r="X32" s="488">
        <v>42921</v>
      </c>
      <c r="Y32" s="488">
        <v>42922</v>
      </c>
      <c r="AA32" s="488"/>
      <c r="AB32" s="491" t="s">
        <v>1066</v>
      </c>
      <c r="AC32" s="491">
        <v>0</v>
      </c>
      <c r="AD32" s="491">
        <v>0</v>
      </c>
      <c r="AE32" s="491">
        <v>0</v>
      </c>
      <c r="AF32" s="491">
        <v>0</v>
      </c>
      <c r="AG32" s="491">
        <v>0</v>
      </c>
      <c r="AH32" s="491">
        <v>1</v>
      </c>
      <c r="AI32" s="491">
        <v>70095</v>
      </c>
      <c r="AJ32" s="491">
        <v>2120</v>
      </c>
      <c r="AK32" s="491">
        <v>0</v>
      </c>
      <c r="AL32" s="491">
        <v>0</v>
      </c>
      <c r="AO32" s="391"/>
      <c r="AP32" s="391"/>
      <c r="AQ32" s="491" t="str">
        <f t="shared" si="0"/>
        <v/>
      </c>
      <c r="AS32" s="491" t="str">
        <f t="shared" si="1"/>
        <v>wci_corp</v>
      </c>
    </row>
    <row r="33" spans="2:45">
      <c r="B33" s="491" t="s">
        <v>1073</v>
      </c>
      <c r="C33" s="488">
        <v>42916</v>
      </c>
      <c r="D33" s="382">
        <v>-3717.48</v>
      </c>
      <c r="E33" s="382">
        <v>0</v>
      </c>
      <c r="F33" s="463" t="s">
        <v>657</v>
      </c>
      <c r="G33" s="491" t="s">
        <v>1105</v>
      </c>
      <c r="H33" s="391" t="s">
        <v>1071</v>
      </c>
      <c r="I33" s="491" t="s">
        <v>1108</v>
      </c>
      <c r="J33" s="491" t="s">
        <v>1107</v>
      </c>
      <c r="K33" s="491" t="s">
        <v>1110</v>
      </c>
      <c r="L33" s="376"/>
      <c r="M33" s="376"/>
      <c r="N33" s="376" t="s">
        <v>1048</v>
      </c>
      <c r="O33" s="381"/>
      <c r="P33" s="376"/>
      <c r="Q33" s="376"/>
      <c r="U33" s="491" t="s">
        <v>1105</v>
      </c>
      <c r="X33" s="488">
        <v>42926</v>
      </c>
      <c r="Y33" s="488">
        <v>42926</v>
      </c>
      <c r="AA33" s="488"/>
      <c r="AB33" s="491" t="s">
        <v>1066</v>
      </c>
      <c r="AC33" s="491">
        <v>1</v>
      </c>
      <c r="AD33" s="491">
        <v>0</v>
      </c>
      <c r="AE33" s="491">
        <v>0</v>
      </c>
      <c r="AF33" s="491">
        <v>0</v>
      </c>
      <c r="AG33" s="491">
        <v>0</v>
      </c>
      <c r="AH33" s="491">
        <v>1</v>
      </c>
      <c r="AI33" s="491">
        <v>70095</v>
      </c>
      <c r="AJ33" s="491">
        <v>2120</v>
      </c>
      <c r="AK33" s="491">
        <v>0</v>
      </c>
      <c r="AL33" s="491">
        <v>0</v>
      </c>
      <c r="AO33" s="391"/>
      <c r="AP33" s="391"/>
      <c r="AQ33" s="491" t="str">
        <f t="shared" si="0"/>
        <v/>
      </c>
      <c r="AS33" s="491" t="str">
        <f t="shared" si="1"/>
        <v>wci_wa</v>
      </c>
    </row>
    <row r="34" spans="2:45">
      <c r="B34" s="491" t="s">
        <v>1073</v>
      </c>
      <c r="C34" s="488">
        <v>42947</v>
      </c>
      <c r="D34" s="382">
        <v>3717.48</v>
      </c>
      <c r="E34" s="382">
        <v>0</v>
      </c>
      <c r="F34" s="463" t="s">
        <v>657</v>
      </c>
      <c r="G34" s="491" t="s">
        <v>1109</v>
      </c>
      <c r="H34" s="391" t="s">
        <v>1071</v>
      </c>
      <c r="I34" s="491" t="s">
        <v>1108</v>
      </c>
      <c r="J34" s="491" t="s">
        <v>1107</v>
      </c>
      <c r="K34" s="491" t="s">
        <v>1106</v>
      </c>
      <c r="L34" s="376"/>
      <c r="M34" s="376"/>
      <c r="N34" s="376" t="s">
        <v>1048</v>
      </c>
      <c r="O34" s="381"/>
      <c r="P34" s="376"/>
      <c r="Q34" s="376"/>
      <c r="U34" s="491" t="s">
        <v>1105</v>
      </c>
      <c r="X34" s="488">
        <v>42926</v>
      </c>
      <c r="Y34" s="488">
        <v>42926</v>
      </c>
      <c r="AA34" s="488"/>
      <c r="AB34" s="491" t="s">
        <v>1066</v>
      </c>
      <c r="AC34" s="491">
        <v>0</v>
      </c>
      <c r="AD34" s="491">
        <v>0</v>
      </c>
      <c r="AE34" s="491">
        <v>0</v>
      </c>
      <c r="AF34" s="491">
        <v>0</v>
      </c>
      <c r="AG34" s="491">
        <v>5</v>
      </c>
      <c r="AH34" s="491">
        <v>1</v>
      </c>
      <c r="AI34" s="491">
        <v>70095</v>
      </c>
      <c r="AJ34" s="491">
        <v>2120</v>
      </c>
      <c r="AK34" s="491">
        <v>0</v>
      </c>
      <c r="AL34" s="491">
        <v>0</v>
      </c>
      <c r="AO34" s="391"/>
      <c r="AP34" s="391"/>
      <c r="AQ34" s="491" t="str">
        <f t="shared" si="0"/>
        <v/>
      </c>
      <c r="AS34" s="491" t="str">
        <f t="shared" si="1"/>
        <v>wci_wa</v>
      </c>
    </row>
    <row r="35" spans="2:45">
      <c r="B35" s="491" t="s">
        <v>1073</v>
      </c>
      <c r="C35" s="488">
        <v>42947</v>
      </c>
      <c r="D35" s="382">
        <v>86.23</v>
      </c>
      <c r="E35" s="382">
        <v>0</v>
      </c>
      <c r="F35" s="463" t="s">
        <v>657</v>
      </c>
      <c r="G35" s="491" t="s">
        <v>1104</v>
      </c>
      <c r="H35" s="391" t="s">
        <v>1071</v>
      </c>
      <c r="I35" s="491" t="s">
        <v>1103</v>
      </c>
      <c r="J35" s="491" t="s">
        <v>1084</v>
      </c>
      <c r="K35" s="491" t="s">
        <v>1068</v>
      </c>
      <c r="L35" s="376"/>
      <c r="M35" s="376"/>
      <c r="N35" s="376" t="s">
        <v>1051</v>
      </c>
      <c r="O35" s="381"/>
      <c r="P35" s="376"/>
      <c r="Q35" s="376"/>
      <c r="U35" s="491" t="s">
        <v>1102</v>
      </c>
      <c r="V35" s="491" t="s">
        <v>1102</v>
      </c>
      <c r="X35" s="488">
        <v>42948</v>
      </c>
      <c r="Y35" s="488">
        <v>42949</v>
      </c>
      <c r="AA35" s="488"/>
      <c r="AB35" s="491" t="s">
        <v>1066</v>
      </c>
      <c r="AC35" s="491">
        <v>0</v>
      </c>
      <c r="AD35" s="491">
        <v>0</v>
      </c>
      <c r="AE35" s="491">
        <v>0</v>
      </c>
      <c r="AF35" s="491">
        <v>0</v>
      </c>
      <c r="AG35" s="491">
        <v>0</v>
      </c>
      <c r="AH35" s="491">
        <v>1</v>
      </c>
      <c r="AI35" s="491">
        <v>70095</v>
      </c>
      <c r="AJ35" s="491">
        <v>2120</v>
      </c>
      <c r="AK35" s="491">
        <v>0</v>
      </c>
      <c r="AL35" s="491">
        <v>0</v>
      </c>
      <c r="AO35" s="391"/>
      <c r="AP35" s="391"/>
      <c r="AQ35" s="491" t="str">
        <f t="shared" si="0"/>
        <v/>
      </c>
      <c r="AS35" s="491" t="str">
        <f t="shared" si="1"/>
        <v>wci_corp</v>
      </c>
    </row>
    <row r="36" spans="2:45">
      <c r="B36" s="491" t="s">
        <v>1073</v>
      </c>
      <c r="C36" s="488">
        <v>42947</v>
      </c>
      <c r="D36" s="382">
        <v>216.86</v>
      </c>
      <c r="E36" s="382">
        <v>0</v>
      </c>
      <c r="F36" s="463" t="s">
        <v>657</v>
      </c>
      <c r="G36" s="491" t="s">
        <v>1104</v>
      </c>
      <c r="H36" s="391" t="s">
        <v>1071</v>
      </c>
      <c r="I36" s="491" t="s">
        <v>1103</v>
      </c>
      <c r="J36" s="491" t="s">
        <v>1084</v>
      </c>
      <c r="K36" s="491" t="s">
        <v>1068</v>
      </c>
      <c r="L36" s="376"/>
      <c r="M36" s="376"/>
      <c r="N36" s="376" t="s">
        <v>1046</v>
      </c>
      <c r="O36" s="381"/>
      <c r="P36" s="376"/>
      <c r="Q36" s="376"/>
      <c r="U36" s="491" t="s">
        <v>1102</v>
      </c>
      <c r="V36" s="491" t="s">
        <v>1102</v>
      </c>
      <c r="X36" s="488">
        <v>42948</v>
      </c>
      <c r="Y36" s="488">
        <v>42949</v>
      </c>
      <c r="AA36" s="488"/>
      <c r="AB36" s="491" t="s">
        <v>1066</v>
      </c>
      <c r="AC36" s="491">
        <v>0</v>
      </c>
      <c r="AD36" s="491">
        <v>0</v>
      </c>
      <c r="AE36" s="491">
        <v>0</v>
      </c>
      <c r="AF36" s="491">
        <v>0</v>
      </c>
      <c r="AG36" s="491">
        <v>0</v>
      </c>
      <c r="AH36" s="491">
        <v>1</v>
      </c>
      <c r="AI36" s="491">
        <v>70095</v>
      </c>
      <c r="AJ36" s="491">
        <v>2120</v>
      </c>
      <c r="AK36" s="491">
        <v>0</v>
      </c>
      <c r="AL36" s="491">
        <v>0</v>
      </c>
      <c r="AO36" s="391"/>
      <c r="AP36" s="391"/>
      <c r="AQ36" s="491" t="str">
        <f t="shared" si="0"/>
        <v/>
      </c>
      <c r="AS36" s="491" t="str">
        <f t="shared" si="1"/>
        <v>wci_corp</v>
      </c>
    </row>
    <row r="37" spans="2:45">
      <c r="B37" s="491" t="s">
        <v>1073</v>
      </c>
      <c r="C37" s="488">
        <v>42947</v>
      </c>
      <c r="D37" s="382">
        <v>9.8699999999999992</v>
      </c>
      <c r="E37" s="382">
        <v>0</v>
      </c>
      <c r="F37" s="463" t="s">
        <v>657</v>
      </c>
      <c r="G37" s="491" t="s">
        <v>1104</v>
      </c>
      <c r="H37" s="391" t="s">
        <v>1071</v>
      </c>
      <c r="I37" s="491" t="s">
        <v>1103</v>
      </c>
      <c r="J37" s="491" t="s">
        <v>1084</v>
      </c>
      <c r="K37" s="491" t="s">
        <v>1068</v>
      </c>
      <c r="L37" s="376"/>
      <c r="M37" s="376"/>
      <c r="N37" s="376" t="s">
        <v>1047</v>
      </c>
      <c r="O37" s="381"/>
      <c r="P37" s="376"/>
      <c r="Q37" s="376"/>
      <c r="U37" s="491" t="s">
        <v>1102</v>
      </c>
      <c r="V37" s="491" t="s">
        <v>1102</v>
      </c>
      <c r="X37" s="488">
        <v>42948</v>
      </c>
      <c r="Y37" s="488">
        <v>42949</v>
      </c>
      <c r="AA37" s="488"/>
      <c r="AB37" s="491" t="s">
        <v>1066</v>
      </c>
      <c r="AC37" s="491">
        <v>0</v>
      </c>
      <c r="AD37" s="491">
        <v>0</v>
      </c>
      <c r="AE37" s="491">
        <v>0</v>
      </c>
      <c r="AF37" s="491">
        <v>0</v>
      </c>
      <c r="AG37" s="491">
        <v>0</v>
      </c>
      <c r="AH37" s="491">
        <v>1</v>
      </c>
      <c r="AI37" s="491">
        <v>70095</v>
      </c>
      <c r="AJ37" s="491">
        <v>2120</v>
      </c>
      <c r="AK37" s="491">
        <v>0</v>
      </c>
      <c r="AL37" s="491">
        <v>0</v>
      </c>
      <c r="AO37" s="391"/>
      <c r="AP37" s="391"/>
      <c r="AQ37" s="491" t="str">
        <f t="shared" si="0"/>
        <v/>
      </c>
      <c r="AS37" s="491" t="str">
        <f t="shared" si="1"/>
        <v>wci_corp</v>
      </c>
    </row>
    <row r="38" spans="2:45">
      <c r="B38" s="491" t="s">
        <v>1073</v>
      </c>
      <c r="C38" s="488">
        <v>42947</v>
      </c>
      <c r="D38" s="382">
        <v>69.52</v>
      </c>
      <c r="E38" s="382">
        <v>0</v>
      </c>
      <c r="F38" s="463" t="s">
        <v>657</v>
      </c>
      <c r="G38" s="491" t="s">
        <v>1104</v>
      </c>
      <c r="H38" s="391" t="s">
        <v>1071</v>
      </c>
      <c r="I38" s="491" t="s">
        <v>1103</v>
      </c>
      <c r="J38" s="491" t="s">
        <v>1084</v>
      </c>
      <c r="K38" s="491" t="s">
        <v>1068</v>
      </c>
      <c r="L38" s="376"/>
      <c r="M38" s="376"/>
      <c r="N38" s="376" t="s">
        <v>1047</v>
      </c>
      <c r="O38" s="381"/>
      <c r="P38" s="376"/>
      <c r="Q38" s="376"/>
      <c r="U38" s="491" t="s">
        <v>1102</v>
      </c>
      <c r="V38" s="491" t="s">
        <v>1102</v>
      </c>
      <c r="X38" s="488">
        <v>42948</v>
      </c>
      <c r="Y38" s="488">
        <v>42949</v>
      </c>
      <c r="AA38" s="488"/>
      <c r="AB38" s="491" t="s">
        <v>1066</v>
      </c>
      <c r="AC38" s="491">
        <v>0</v>
      </c>
      <c r="AD38" s="491">
        <v>0</v>
      </c>
      <c r="AE38" s="491">
        <v>0</v>
      </c>
      <c r="AF38" s="491">
        <v>0</v>
      </c>
      <c r="AG38" s="491">
        <v>0</v>
      </c>
      <c r="AH38" s="491">
        <v>1</v>
      </c>
      <c r="AI38" s="491">
        <v>70095</v>
      </c>
      <c r="AJ38" s="491">
        <v>2120</v>
      </c>
      <c r="AK38" s="491">
        <v>0</v>
      </c>
      <c r="AL38" s="491">
        <v>0</v>
      </c>
      <c r="AO38" s="391"/>
      <c r="AP38" s="391"/>
      <c r="AQ38" s="491" t="str">
        <f t="shared" si="0"/>
        <v/>
      </c>
      <c r="AS38" s="491" t="str">
        <f t="shared" si="1"/>
        <v>wci_corp</v>
      </c>
    </row>
    <row r="39" spans="2:45">
      <c r="B39" s="491" t="s">
        <v>1073</v>
      </c>
      <c r="C39" s="488">
        <v>42947</v>
      </c>
      <c r="D39" s="382">
        <v>15.98</v>
      </c>
      <c r="E39" s="382">
        <v>0</v>
      </c>
      <c r="F39" s="463" t="s">
        <v>657</v>
      </c>
      <c r="G39" s="491" t="s">
        <v>1104</v>
      </c>
      <c r="H39" s="391" t="s">
        <v>1071</v>
      </c>
      <c r="I39" s="491" t="s">
        <v>1103</v>
      </c>
      <c r="J39" s="491" t="s">
        <v>1084</v>
      </c>
      <c r="K39" s="491" t="s">
        <v>1068</v>
      </c>
      <c r="L39" s="376"/>
      <c r="M39" s="376"/>
      <c r="N39" s="376" t="s">
        <v>1047</v>
      </c>
      <c r="O39" s="381"/>
      <c r="P39" s="376"/>
      <c r="Q39" s="376"/>
      <c r="U39" s="491" t="s">
        <v>1102</v>
      </c>
      <c r="V39" s="491" t="s">
        <v>1102</v>
      </c>
      <c r="X39" s="488">
        <v>42948</v>
      </c>
      <c r="Y39" s="488">
        <v>42949</v>
      </c>
      <c r="AA39" s="488"/>
      <c r="AB39" s="491" t="s">
        <v>1066</v>
      </c>
      <c r="AC39" s="491">
        <v>0</v>
      </c>
      <c r="AD39" s="491">
        <v>0</v>
      </c>
      <c r="AE39" s="491">
        <v>0</v>
      </c>
      <c r="AF39" s="491">
        <v>0</v>
      </c>
      <c r="AG39" s="491">
        <v>0</v>
      </c>
      <c r="AH39" s="491">
        <v>1</v>
      </c>
      <c r="AI39" s="491">
        <v>70095</v>
      </c>
      <c r="AJ39" s="491">
        <v>2120</v>
      </c>
      <c r="AK39" s="491">
        <v>0</v>
      </c>
      <c r="AL39" s="491">
        <v>0</v>
      </c>
      <c r="AO39" s="391"/>
      <c r="AP39" s="391"/>
      <c r="AQ39" s="491" t="str">
        <f t="shared" si="0"/>
        <v/>
      </c>
      <c r="AS39" s="491" t="str">
        <f t="shared" si="1"/>
        <v>wci_corp</v>
      </c>
    </row>
    <row r="40" spans="2:45">
      <c r="B40" s="491" t="s">
        <v>1073</v>
      </c>
      <c r="C40" s="488">
        <v>42947</v>
      </c>
      <c r="D40" s="382">
        <v>157.13999999999999</v>
      </c>
      <c r="E40" s="382">
        <v>0</v>
      </c>
      <c r="F40" s="463" t="s">
        <v>657</v>
      </c>
      <c r="G40" s="491" t="s">
        <v>1101</v>
      </c>
      <c r="H40" s="391" t="s">
        <v>1071</v>
      </c>
      <c r="I40" s="491" t="s">
        <v>1092</v>
      </c>
      <c r="J40" s="491" t="s">
        <v>1084</v>
      </c>
      <c r="K40" s="491" t="s">
        <v>1068</v>
      </c>
      <c r="L40" s="376"/>
      <c r="M40" s="376"/>
      <c r="N40" s="376" t="s">
        <v>1060</v>
      </c>
      <c r="O40" s="381"/>
      <c r="P40" s="376"/>
      <c r="Q40" s="376"/>
      <c r="U40" s="491" t="s">
        <v>1091</v>
      </c>
      <c r="V40" s="491" t="s">
        <v>1091</v>
      </c>
      <c r="X40" s="488">
        <v>42951</v>
      </c>
      <c r="Y40" s="488">
        <v>42954</v>
      </c>
      <c r="AA40" s="488"/>
      <c r="AB40" s="491" t="s">
        <v>1066</v>
      </c>
      <c r="AC40" s="491">
        <v>0</v>
      </c>
      <c r="AD40" s="491">
        <v>0</v>
      </c>
      <c r="AE40" s="491">
        <v>0</v>
      </c>
      <c r="AF40" s="491">
        <v>0</v>
      </c>
      <c r="AG40" s="491">
        <v>0</v>
      </c>
      <c r="AH40" s="491">
        <v>1</v>
      </c>
      <c r="AI40" s="491">
        <v>70095</v>
      </c>
      <c r="AJ40" s="491">
        <v>2120</v>
      </c>
      <c r="AK40" s="491">
        <v>0</v>
      </c>
      <c r="AL40" s="491">
        <v>0</v>
      </c>
      <c r="AO40" s="391"/>
      <c r="AP40" s="391"/>
      <c r="AQ40" s="491" t="str">
        <f t="shared" si="0"/>
        <v/>
      </c>
      <c r="AS40" s="491" t="str">
        <f t="shared" si="1"/>
        <v>wci_corp</v>
      </c>
    </row>
    <row r="41" spans="2:45">
      <c r="B41" s="491" t="s">
        <v>1073</v>
      </c>
      <c r="C41" s="488">
        <v>42947</v>
      </c>
      <c r="D41" s="382">
        <v>134.4</v>
      </c>
      <c r="E41" s="382">
        <v>0</v>
      </c>
      <c r="F41" s="463" t="s">
        <v>657</v>
      </c>
      <c r="G41" s="491" t="s">
        <v>1101</v>
      </c>
      <c r="H41" s="391" t="s">
        <v>1071</v>
      </c>
      <c r="I41" s="491" t="s">
        <v>1092</v>
      </c>
      <c r="J41" s="491" t="s">
        <v>1084</v>
      </c>
      <c r="K41" s="491" t="s">
        <v>1068</v>
      </c>
      <c r="L41" s="376"/>
      <c r="M41" s="376"/>
      <c r="N41" s="376" t="s">
        <v>1062</v>
      </c>
      <c r="O41" s="381"/>
      <c r="P41" s="376"/>
      <c r="Q41" s="376"/>
      <c r="U41" s="491" t="s">
        <v>1091</v>
      </c>
      <c r="V41" s="491" t="s">
        <v>1091</v>
      </c>
      <c r="X41" s="488">
        <v>42951</v>
      </c>
      <c r="Y41" s="488">
        <v>42954</v>
      </c>
      <c r="AA41" s="488"/>
      <c r="AB41" s="491" t="s">
        <v>1066</v>
      </c>
      <c r="AC41" s="491">
        <v>0</v>
      </c>
      <c r="AD41" s="491">
        <v>0</v>
      </c>
      <c r="AE41" s="491">
        <v>0</v>
      </c>
      <c r="AF41" s="491">
        <v>0</v>
      </c>
      <c r="AG41" s="491">
        <v>0</v>
      </c>
      <c r="AH41" s="491">
        <v>1</v>
      </c>
      <c r="AI41" s="491">
        <v>70095</v>
      </c>
      <c r="AJ41" s="491">
        <v>2120</v>
      </c>
      <c r="AK41" s="491">
        <v>0</v>
      </c>
      <c r="AL41" s="491">
        <v>0</v>
      </c>
      <c r="AO41" s="391"/>
      <c r="AP41" s="391"/>
      <c r="AQ41" s="491" t="str">
        <f t="shared" si="0"/>
        <v/>
      </c>
      <c r="AS41" s="491" t="str">
        <f t="shared" si="1"/>
        <v>wci_corp</v>
      </c>
    </row>
    <row r="42" spans="2:45">
      <c r="B42" s="491" t="s">
        <v>1073</v>
      </c>
      <c r="C42" s="488">
        <v>42947</v>
      </c>
      <c r="D42" s="382">
        <v>114.53</v>
      </c>
      <c r="E42" s="382">
        <v>0</v>
      </c>
      <c r="F42" s="463" t="s">
        <v>657</v>
      </c>
      <c r="G42" s="491" t="s">
        <v>1101</v>
      </c>
      <c r="H42" s="391" t="s">
        <v>1071</v>
      </c>
      <c r="I42" s="491" t="s">
        <v>1092</v>
      </c>
      <c r="J42" s="491" t="s">
        <v>1084</v>
      </c>
      <c r="K42" s="491" t="s">
        <v>1068</v>
      </c>
      <c r="L42" s="376"/>
      <c r="M42" s="376"/>
      <c r="N42" s="376" t="s">
        <v>1061</v>
      </c>
      <c r="O42" s="381"/>
      <c r="P42" s="376"/>
      <c r="Q42" s="376"/>
      <c r="U42" s="491" t="s">
        <v>1091</v>
      </c>
      <c r="V42" s="491" t="s">
        <v>1091</v>
      </c>
      <c r="X42" s="488">
        <v>42951</v>
      </c>
      <c r="Y42" s="488">
        <v>42954</v>
      </c>
      <c r="AA42" s="488"/>
      <c r="AB42" s="491" t="s">
        <v>1066</v>
      </c>
      <c r="AC42" s="491">
        <v>0</v>
      </c>
      <c r="AD42" s="491">
        <v>0</v>
      </c>
      <c r="AE42" s="491">
        <v>0</v>
      </c>
      <c r="AF42" s="491">
        <v>0</v>
      </c>
      <c r="AG42" s="491">
        <v>0</v>
      </c>
      <c r="AH42" s="491">
        <v>1</v>
      </c>
      <c r="AI42" s="491">
        <v>70095</v>
      </c>
      <c r="AJ42" s="491">
        <v>2120</v>
      </c>
      <c r="AK42" s="491">
        <v>0</v>
      </c>
      <c r="AL42" s="491">
        <v>0</v>
      </c>
      <c r="AO42" s="391"/>
      <c r="AP42" s="391"/>
      <c r="AQ42" s="491" t="str">
        <f t="shared" si="0"/>
        <v/>
      </c>
      <c r="AS42" s="491" t="str">
        <f t="shared" si="1"/>
        <v>wci_corp</v>
      </c>
    </row>
    <row r="43" spans="2:45">
      <c r="B43" s="491" t="s">
        <v>1073</v>
      </c>
      <c r="C43" s="488">
        <v>42954</v>
      </c>
      <c r="D43" s="382">
        <v>114.53</v>
      </c>
      <c r="E43" s="382">
        <v>0</v>
      </c>
      <c r="F43" s="463" t="s">
        <v>657</v>
      </c>
      <c r="G43" s="491" t="s">
        <v>1100</v>
      </c>
      <c r="H43" s="391" t="s">
        <v>1071</v>
      </c>
      <c r="I43" s="491" t="s">
        <v>1099</v>
      </c>
      <c r="J43" s="491" t="s">
        <v>1098</v>
      </c>
      <c r="K43" s="491" t="s">
        <v>1068</v>
      </c>
      <c r="L43" s="376" t="s">
        <v>1097</v>
      </c>
      <c r="M43" s="376"/>
      <c r="N43" s="376" t="s">
        <v>1059</v>
      </c>
      <c r="O43" s="381">
        <v>42941</v>
      </c>
      <c r="P43" s="376"/>
      <c r="Q43" s="376" t="s">
        <v>1096</v>
      </c>
      <c r="U43" s="491" t="s">
        <v>1095</v>
      </c>
      <c r="V43" s="491" t="s">
        <v>1094</v>
      </c>
      <c r="W43" s="491">
        <v>2120</v>
      </c>
      <c r="X43" s="488">
        <v>42954</v>
      </c>
      <c r="Y43" s="488">
        <v>42954</v>
      </c>
      <c r="Z43" s="491">
        <v>1931.93</v>
      </c>
      <c r="AA43" s="488">
        <v>42942</v>
      </c>
      <c r="AB43" s="491" t="s">
        <v>1066</v>
      </c>
      <c r="AC43" s="491">
        <v>0</v>
      </c>
      <c r="AD43" s="491">
        <v>0</v>
      </c>
      <c r="AE43" s="491">
        <v>0</v>
      </c>
      <c r="AF43" s="491">
        <v>0</v>
      </c>
      <c r="AG43" s="491">
        <v>0</v>
      </c>
      <c r="AH43" s="491">
        <v>1</v>
      </c>
      <c r="AI43" s="491">
        <v>70095</v>
      </c>
      <c r="AJ43" s="491">
        <v>2120</v>
      </c>
      <c r="AK43" s="491">
        <v>0</v>
      </c>
      <c r="AL43" s="491">
        <v>0</v>
      </c>
      <c r="AO43" s="391"/>
      <c r="AP43" s="391"/>
      <c r="AQ43" s="491" t="str">
        <f t="shared" si="0"/>
        <v>VO04371246</v>
      </c>
      <c r="AS43" s="491" t="str">
        <f t="shared" si="1"/>
        <v>wci_corp</v>
      </c>
    </row>
    <row r="44" spans="2:45">
      <c r="B44" s="491" t="s">
        <v>1073</v>
      </c>
      <c r="C44" s="488">
        <v>42954</v>
      </c>
      <c r="D44" s="382">
        <v>134.4</v>
      </c>
      <c r="E44" s="382">
        <v>0</v>
      </c>
      <c r="F44" s="463" t="s">
        <v>657</v>
      </c>
      <c r="G44" s="491" t="s">
        <v>1100</v>
      </c>
      <c r="H44" s="391" t="s">
        <v>1071</v>
      </c>
      <c r="I44" s="491" t="s">
        <v>1099</v>
      </c>
      <c r="J44" s="491" t="s">
        <v>1098</v>
      </c>
      <c r="K44" s="491" t="s">
        <v>1068</v>
      </c>
      <c r="L44" s="376" t="s">
        <v>1097</v>
      </c>
      <c r="M44" s="376"/>
      <c r="N44" s="376" t="s">
        <v>1059</v>
      </c>
      <c r="O44" s="381">
        <v>42941</v>
      </c>
      <c r="P44" s="376"/>
      <c r="Q44" s="376" t="s">
        <v>1096</v>
      </c>
      <c r="U44" s="491" t="s">
        <v>1095</v>
      </c>
      <c r="V44" s="491" t="s">
        <v>1094</v>
      </c>
      <c r="W44" s="491">
        <v>2120</v>
      </c>
      <c r="X44" s="488">
        <v>42954</v>
      </c>
      <c r="Y44" s="488">
        <v>42954</v>
      </c>
      <c r="Z44" s="491">
        <v>1931.93</v>
      </c>
      <c r="AA44" s="488">
        <v>42942</v>
      </c>
      <c r="AB44" s="491" t="s">
        <v>1066</v>
      </c>
      <c r="AC44" s="491">
        <v>0</v>
      </c>
      <c r="AD44" s="491">
        <v>0</v>
      </c>
      <c r="AE44" s="491">
        <v>0</v>
      </c>
      <c r="AF44" s="491">
        <v>0</v>
      </c>
      <c r="AG44" s="491">
        <v>0</v>
      </c>
      <c r="AH44" s="491">
        <v>1</v>
      </c>
      <c r="AI44" s="491">
        <v>70095</v>
      </c>
      <c r="AJ44" s="491">
        <v>2120</v>
      </c>
      <c r="AK44" s="491">
        <v>0</v>
      </c>
      <c r="AL44" s="491">
        <v>0</v>
      </c>
      <c r="AO44" s="391"/>
      <c r="AP44" s="391"/>
      <c r="AQ44" s="491" t="str">
        <f t="shared" si="0"/>
        <v>VO04371246</v>
      </c>
      <c r="AS44" s="491" t="str">
        <f t="shared" si="1"/>
        <v>wci_corp</v>
      </c>
    </row>
    <row r="45" spans="2:45">
      <c r="B45" s="491" t="s">
        <v>1073</v>
      </c>
      <c r="C45" s="488">
        <v>42954</v>
      </c>
      <c r="D45" s="382">
        <v>157.13999999999999</v>
      </c>
      <c r="E45" s="382">
        <v>0</v>
      </c>
      <c r="F45" s="463" t="s">
        <v>657</v>
      </c>
      <c r="G45" s="491" t="s">
        <v>1100</v>
      </c>
      <c r="H45" s="391" t="s">
        <v>1071</v>
      </c>
      <c r="I45" s="491" t="s">
        <v>1099</v>
      </c>
      <c r="J45" s="491" t="s">
        <v>1098</v>
      </c>
      <c r="K45" s="491" t="s">
        <v>1068</v>
      </c>
      <c r="L45" s="376" t="s">
        <v>1097</v>
      </c>
      <c r="M45" s="376"/>
      <c r="N45" s="376" t="s">
        <v>1059</v>
      </c>
      <c r="O45" s="381">
        <v>42941</v>
      </c>
      <c r="P45" s="376"/>
      <c r="Q45" s="376" t="s">
        <v>1096</v>
      </c>
      <c r="U45" s="491" t="s">
        <v>1095</v>
      </c>
      <c r="V45" s="491" t="s">
        <v>1094</v>
      </c>
      <c r="W45" s="491">
        <v>2120</v>
      </c>
      <c r="X45" s="488">
        <v>42954</v>
      </c>
      <c r="Y45" s="488">
        <v>42954</v>
      </c>
      <c r="Z45" s="491">
        <v>1931.93</v>
      </c>
      <c r="AA45" s="488">
        <v>42942</v>
      </c>
      <c r="AB45" s="491" t="s">
        <v>1066</v>
      </c>
      <c r="AC45" s="491">
        <v>0</v>
      </c>
      <c r="AD45" s="491">
        <v>0</v>
      </c>
      <c r="AE45" s="491">
        <v>0</v>
      </c>
      <c r="AF45" s="491">
        <v>0</v>
      </c>
      <c r="AG45" s="491">
        <v>0</v>
      </c>
      <c r="AH45" s="491">
        <v>1</v>
      </c>
      <c r="AI45" s="491">
        <v>70095</v>
      </c>
      <c r="AJ45" s="491">
        <v>2120</v>
      </c>
      <c r="AK45" s="491">
        <v>0</v>
      </c>
      <c r="AL45" s="491">
        <v>0</v>
      </c>
      <c r="AO45" s="391"/>
      <c r="AP45" s="391"/>
      <c r="AQ45" s="491" t="str">
        <f t="shared" si="0"/>
        <v>VO04371246</v>
      </c>
      <c r="AS45" s="491" t="str">
        <f t="shared" si="1"/>
        <v>wci_corp</v>
      </c>
    </row>
    <row r="46" spans="2:45">
      <c r="B46" s="491" t="s">
        <v>1073</v>
      </c>
      <c r="C46" s="488">
        <v>42978</v>
      </c>
      <c r="D46" s="382">
        <v>-157.13999999999999</v>
      </c>
      <c r="E46" s="382">
        <v>0</v>
      </c>
      <c r="F46" s="463" t="s">
        <v>657</v>
      </c>
      <c r="G46" s="491" t="s">
        <v>1093</v>
      </c>
      <c r="H46" s="391" t="s">
        <v>1071</v>
      </c>
      <c r="I46" s="491" t="s">
        <v>1092</v>
      </c>
      <c r="J46" s="491" t="s">
        <v>1084</v>
      </c>
      <c r="K46" s="491" t="s">
        <v>1068</v>
      </c>
      <c r="L46" s="376"/>
      <c r="M46" s="376"/>
      <c r="N46" s="376" t="s">
        <v>1060</v>
      </c>
      <c r="O46" s="381"/>
      <c r="P46" s="376"/>
      <c r="Q46" s="376"/>
      <c r="U46" s="491" t="s">
        <v>1091</v>
      </c>
      <c r="V46" s="491" t="s">
        <v>1090</v>
      </c>
      <c r="X46" s="488">
        <v>42954</v>
      </c>
      <c r="Y46" s="488">
        <v>42954</v>
      </c>
      <c r="AA46" s="488"/>
      <c r="AB46" s="491" t="s">
        <v>1066</v>
      </c>
      <c r="AC46" s="491">
        <v>0</v>
      </c>
      <c r="AD46" s="491">
        <v>0</v>
      </c>
      <c r="AE46" s="491">
        <v>0</v>
      </c>
      <c r="AF46" s="491">
        <v>0</v>
      </c>
      <c r="AG46" s="491">
        <v>5</v>
      </c>
      <c r="AH46" s="491">
        <v>1</v>
      </c>
      <c r="AI46" s="491">
        <v>70095</v>
      </c>
      <c r="AJ46" s="491">
        <v>2120</v>
      </c>
      <c r="AK46" s="491">
        <v>0</v>
      </c>
      <c r="AL46" s="491">
        <v>0</v>
      </c>
      <c r="AO46" s="391"/>
      <c r="AP46" s="391"/>
      <c r="AQ46" s="491" t="str">
        <f t="shared" si="0"/>
        <v/>
      </c>
      <c r="AS46" s="491" t="str">
        <f t="shared" si="1"/>
        <v>wci_corp</v>
      </c>
    </row>
    <row r="47" spans="2:45">
      <c r="B47" s="491" t="s">
        <v>1073</v>
      </c>
      <c r="C47" s="488">
        <v>42978</v>
      </c>
      <c r="D47" s="382">
        <v>-134.4</v>
      </c>
      <c r="E47" s="382">
        <v>0</v>
      </c>
      <c r="F47" s="463" t="s">
        <v>657</v>
      </c>
      <c r="G47" s="491" t="s">
        <v>1093</v>
      </c>
      <c r="H47" s="391" t="s">
        <v>1071</v>
      </c>
      <c r="I47" s="491" t="s">
        <v>1092</v>
      </c>
      <c r="J47" s="491" t="s">
        <v>1084</v>
      </c>
      <c r="K47" s="491" t="s">
        <v>1068</v>
      </c>
      <c r="L47" s="376"/>
      <c r="M47" s="376"/>
      <c r="N47" s="376" t="s">
        <v>1062</v>
      </c>
      <c r="O47" s="381"/>
      <c r="P47" s="376"/>
      <c r="Q47" s="376"/>
      <c r="U47" s="491" t="s">
        <v>1091</v>
      </c>
      <c r="V47" s="491" t="s">
        <v>1090</v>
      </c>
      <c r="X47" s="488">
        <v>42954</v>
      </c>
      <c r="Y47" s="488">
        <v>42954</v>
      </c>
      <c r="AA47" s="488"/>
      <c r="AB47" s="491" t="s">
        <v>1066</v>
      </c>
      <c r="AC47" s="491">
        <v>0</v>
      </c>
      <c r="AD47" s="491">
        <v>0</v>
      </c>
      <c r="AE47" s="491">
        <v>0</v>
      </c>
      <c r="AF47" s="491">
        <v>0</v>
      </c>
      <c r="AG47" s="491">
        <v>5</v>
      </c>
      <c r="AH47" s="491">
        <v>1</v>
      </c>
      <c r="AI47" s="491">
        <v>70095</v>
      </c>
      <c r="AJ47" s="491">
        <v>2120</v>
      </c>
      <c r="AK47" s="491">
        <v>0</v>
      </c>
      <c r="AL47" s="491">
        <v>0</v>
      </c>
      <c r="AO47" s="391"/>
      <c r="AP47" s="391"/>
      <c r="AQ47" s="491" t="str">
        <f t="shared" si="0"/>
        <v/>
      </c>
      <c r="AS47" s="491" t="str">
        <f t="shared" si="1"/>
        <v>wci_corp</v>
      </c>
    </row>
    <row r="48" spans="2:45">
      <c r="B48" s="491" t="s">
        <v>1073</v>
      </c>
      <c r="C48" s="488">
        <v>42978</v>
      </c>
      <c r="D48" s="382">
        <v>-114.53</v>
      </c>
      <c r="E48" s="382">
        <v>0</v>
      </c>
      <c r="F48" s="463" t="s">
        <v>657</v>
      </c>
      <c r="G48" s="491" t="s">
        <v>1093</v>
      </c>
      <c r="H48" s="391" t="s">
        <v>1071</v>
      </c>
      <c r="I48" s="491" t="s">
        <v>1092</v>
      </c>
      <c r="J48" s="491" t="s">
        <v>1084</v>
      </c>
      <c r="K48" s="491" t="s">
        <v>1068</v>
      </c>
      <c r="L48" s="376"/>
      <c r="M48" s="376"/>
      <c r="N48" s="376" t="s">
        <v>1061</v>
      </c>
      <c r="O48" s="381"/>
      <c r="P48" s="376"/>
      <c r="Q48" s="376"/>
      <c r="U48" s="491" t="s">
        <v>1091</v>
      </c>
      <c r="V48" s="491" t="s">
        <v>1090</v>
      </c>
      <c r="X48" s="488">
        <v>42954</v>
      </c>
      <c r="Y48" s="488">
        <v>42954</v>
      </c>
      <c r="AA48" s="488"/>
      <c r="AB48" s="491" t="s">
        <v>1066</v>
      </c>
      <c r="AC48" s="491">
        <v>0</v>
      </c>
      <c r="AD48" s="491">
        <v>0</v>
      </c>
      <c r="AE48" s="491">
        <v>0</v>
      </c>
      <c r="AF48" s="491">
        <v>0</v>
      </c>
      <c r="AG48" s="491">
        <v>5</v>
      </c>
      <c r="AH48" s="491">
        <v>1</v>
      </c>
      <c r="AI48" s="491">
        <v>70095</v>
      </c>
      <c r="AJ48" s="491">
        <v>2120</v>
      </c>
      <c r="AK48" s="491">
        <v>0</v>
      </c>
      <c r="AL48" s="491">
        <v>0</v>
      </c>
      <c r="AO48" s="391"/>
      <c r="AP48" s="391"/>
      <c r="AQ48" s="491" t="str">
        <f t="shared" si="0"/>
        <v/>
      </c>
      <c r="AS48" s="491" t="str">
        <f t="shared" si="1"/>
        <v>wci_corp</v>
      </c>
    </row>
    <row r="49" spans="2:45">
      <c r="B49" s="491" t="s">
        <v>1073</v>
      </c>
      <c r="C49" s="488">
        <v>42978</v>
      </c>
      <c r="D49" s="382">
        <v>140.16999999999999</v>
      </c>
      <c r="E49" s="382">
        <v>0</v>
      </c>
      <c r="F49" s="463" t="s">
        <v>657</v>
      </c>
      <c r="G49" s="491" t="s">
        <v>1089</v>
      </c>
      <c r="H49" s="391" t="s">
        <v>1071</v>
      </c>
      <c r="I49" s="491" t="s">
        <v>1088</v>
      </c>
      <c r="J49" s="491" t="s">
        <v>1084</v>
      </c>
      <c r="K49" s="491" t="s">
        <v>1068</v>
      </c>
      <c r="L49" s="376"/>
      <c r="M49" s="376"/>
      <c r="N49" s="376" t="s">
        <v>1047</v>
      </c>
      <c r="O49" s="381"/>
      <c r="P49" s="376"/>
      <c r="Q49" s="376"/>
      <c r="U49" s="491" t="s">
        <v>1087</v>
      </c>
      <c r="V49" s="491" t="s">
        <v>1087</v>
      </c>
      <c r="X49" s="488">
        <v>42983</v>
      </c>
      <c r="Y49" s="488">
        <v>42984</v>
      </c>
      <c r="AA49" s="488"/>
      <c r="AB49" s="491" t="s">
        <v>1066</v>
      </c>
      <c r="AC49" s="491">
        <v>0</v>
      </c>
      <c r="AD49" s="491">
        <v>0</v>
      </c>
      <c r="AE49" s="491">
        <v>0</v>
      </c>
      <c r="AF49" s="491">
        <v>0</v>
      </c>
      <c r="AG49" s="491">
        <v>0</v>
      </c>
      <c r="AH49" s="491">
        <v>1</v>
      </c>
      <c r="AI49" s="491">
        <v>70095</v>
      </c>
      <c r="AJ49" s="491">
        <v>2120</v>
      </c>
      <c r="AK49" s="491">
        <v>0</v>
      </c>
      <c r="AL49" s="491">
        <v>0</v>
      </c>
      <c r="AO49" s="391"/>
      <c r="AP49" s="391"/>
      <c r="AQ49" s="491" t="str">
        <f t="shared" si="0"/>
        <v/>
      </c>
      <c r="AS49" s="491" t="str">
        <f t="shared" si="1"/>
        <v>wci_corp</v>
      </c>
    </row>
    <row r="50" spans="2:45">
      <c r="B50" s="491" t="s">
        <v>1073</v>
      </c>
      <c r="C50" s="488">
        <v>42978</v>
      </c>
      <c r="D50" s="382">
        <v>644.55999999999995</v>
      </c>
      <c r="E50" s="382">
        <v>0</v>
      </c>
      <c r="F50" s="463" t="s">
        <v>657</v>
      </c>
      <c r="G50" s="491" t="s">
        <v>1089</v>
      </c>
      <c r="H50" s="391" t="s">
        <v>1071</v>
      </c>
      <c r="I50" s="491" t="s">
        <v>1088</v>
      </c>
      <c r="J50" s="491" t="s">
        <v>1084</v>
      </c>
      <c r="K50" s="491" t="s">
        <v>1068</v>
      </c>
      <c r="L50" s="376"/>
      <c r="M50" s="376"/>
      <c r="N50" s="376" t="s">
        <v>1052</v>
      </c>
      <c r="O50" s="381"/>
      <c r="P50" s="376"/>
      <c r="Q50" s="376"/>
      <c r="U50" s="491" t="s">
        <v>1087</v>
      </c>
      <c r="V50" s="491" t="s">
        <v>1087</v>
      </c>
      <c r="X50" s="488">
        <v>42983</v>
      </c>
      <c r="Y50" s="488">
        <v>42984</v>
      </c>
      <c r="AA50" s="488"/>
      <c r="AB50" s="491" t="s">
        <v>1066</v>
      </c>
      <c r="AC50" s="491">
        <v>0</v>
      </c>
      <c r="AD50" s="491">
        <v>0</v>
      </c>
      <c r="AE50" s="491">
        <v>0</v>
      </c>
      <c r="AF50" s="491">
        <v>0</v>
      </c>
      <c r="AG50" s="491">
        <v>0</v>
      </c>
      <c r="AH50" s="491">
        <v>1</v>
      </c>
      <c r="AI50" s="491">
        <v>70095</v>
      </c>
      <c r="AJ50" s="491">
        <v>2120</v>
      </c>
      <c r="AK50" s="491">
        <v>0</v>
      </c>
      <c r="AL50" s="491">
        <v>0</v>
      </c>
      <c r="AO50" s="391"/>
      <c r="AP50" s="391"/>
      <c r="AQ50" s="491" t="str">
        <f t="shared" si="0"/>
        <v/>
      </c>
      <c r="AS50" s="491" t="str">
        <f t="shared" si="1"/>
        <v>wci_corp</v>
      </c>
    </row>
    <row r="51" spans="2:45">
      <c r="B51" s="491" t="s">
        <v>1073</v>
      </c>
      <c r="C51" s="488">
        <v>42978</v>
      </c>
      <c r="D51" s="382">
        <v>98.18</v>
      </c>
      <c r="E51" s="382">
        <v>0</v>
      </c>
      <c r="F51" s="463" t="s">
        <v>657</v>
      </c>
      <c r="G51" s="491" t="s">
        <v>1089</v>
      </c>
      <c r="H51" s="391" t="s">
        <v>1071</v>
      </c>
      <c r="I51" s="491" t="s">
        <v>1088</v>
      </c>
      <c r="J51" s="491" t="s">
        <v>1084</v>
      </c>
      <c r="K51" s="491" t="s">
        <v>1068</v>
      </c>
      <c r="L51" s="376"/>
      <c r="M51" s="376"/>
      <c r="N51" s="376" t="s">
        <v>1056</v>
      </c>
      <c r="O51" s="381"/>
      <c r="P51" s="376"/>
      <c r="Q51" s="376"/>
      <c r="U51" s="491" t="s">
        <v>1087</v>
      </c>
      <c r="V51" s="491" t="s">
        <v>1087</v>
      </c>
      <c r="X51" s="488">
        <v>42983</v>
      </c>
      <c r="Y51" s="488">
        <v>42984</v>
      </c>
      <c r="AA51" s="488"/>
      <c r="AB51" s="491" t="s">
        <v>1066</v>
      </c>
      <c r="AC51" s="491">
        <v>0</v>
      </c>
      <c r="AD51" s="491">
        <v>0</v>
      </c>
      <c r="AE51" s="491">
        <v>0</v>
      </c>
      <c r="AF51" s="491">
        <v>0</v>
      </c>
      <c r="AG51" s="491">
        <v>0</v>
      </c>
      <c r="AH51" s="491">
        <v>1</v>
      </c>
      <c r="AI51" s="491">
        <v>70095</v>
      </c>
      <c r="AJ51" s="491">
        <v>2120</v>
      </c>
      <c r="AK51" s="491">
        <v>0</v>
      </c>
      <c r="AL51" s="491">
        <v>0</v>
      </c>
      <c r="AO51" s="391"/>
      <c r="AP51" s="391"/>
      <c r="AQ51" s="491" t="str">
        <f t="shared" si="0"/>
        <v/>
      </c>
      <c r="AS51" s="491" t="str">
        <f t="shared" si="1"/>
        <v>wci_corp</v>
      </c>
    </row>
    <row r="52" spans="2:45">
      <c r="B52" s="491" t="s">
        <v>1073</v>
      </c>
      <c r="C52" s="488">
        <v>42978</v>
      </c>
      <c r="D52" s="382">
        <v>101.23</v>
      </c>
      <c r="E52" s="382">
        <v>0</v>
      </c>
      <c r="F52" s="463" t="s">
        <v>657</v>
      </c>
      <c r="G52" s="491" t="s">
        <v>1089</v>
      </c>
      <c r="H52" s="391" t="s">
        <v>1071</v>
      </c>
      <c r="I52" s="491" t="s">
        <v>1088</v>
      </c>
      <c r="J52" s="491" t="s">
        <v>1084</v>
      </c>
      <c r="K52" s="491" t="s">
        <v>1068</v>
      </c>
      <c r="L52" s="376"/>
      <c r="M52" s="376"/>
      <c r="N52" s="376" t="s">
        <v>1043</v>
      </c>
      <c r="O52" s="381"/>
      <c r="P52" s="376"/>
      <c r="Q52" s="376"/>
      <c r="U52" s="491" t="s">
        <v>1087</v>
      </c>
      <c r="V52" s="491" t="s">
        <v>1087</v>
      </c>
      <c r="X52" s="488">
        <v>42983</v>
      </c>
      <c r="Y52" s="488">
        <v>42984</v>
      </c>
      <c r="AA52" s="488"/>
      <c r="AB52" s="491" t="s">
        <v>1066</v>
      </c>
      <c r="AC52" s="491">
        <v>0</v>
      </c>
      <c r="AD52" s="491">
        <v>0</v>
      </c>
      <c r="AE52" s="491">
        <v>0</v>
      </c>
      <c r="AF52" s="491">
        <v>0</v>
      </c>
      <c r="AG52" s="491">
        <v>0</v>
      </c>
      <c r="AH52" s="491">
        <v>1</v>
      </c>
      <c r="AI52" s="491">
        <v>70095</v>
      </c>
      <c r="AJ52" s="491">
        <v>2120</v>
      </c>
      <c r="AK52" s="491">
        <v>0</v>
      </c>
      <c r="AL52" s="491">
        <v>0</v>
      </c>
      <c r="AO52" s="391"/>
      <c r="AP52" s="391"/>
      <c r="AQ52" s="491" t="str">
        <f t="shared" si="0"/>
        <v/>
      </c>
      <c r="AS52" s="491" t="str">
        <f t="shared" si="1"/>
        <v>wci_corp</v>
      </c>
    </row>
    <row r="53" spans="2:45">
      <c r="B53" s="491" t="s">
        <v>1073</v>
      </c>
      <c r="C53" s="488">
        <v>43039</v>
      </c>
      <c r="D53" s="382">
        <v>56.01</v>
      </c>
      <c r="E53" s="382">
        <v>0</v>
      </c>
      <c r="F53" s="463" t="s">
        <v>657</v>
      </c>
      <c r="G53" s="491" t="s">
        <v>1086</v>
      </c>
      <c r="H53" s="391" t="s">
        <v>1071</v>
      </c>
      <c r="I53" s="491" t="s">
        <v>1085</v>
      </c>
      <c r="J53" s="491" t="s">
        <v>1084</v>
      </c>
      <c r="K53" s="491" t="s">
        <v>1068</v>
      </c>
      <c r="L53" s="376"/>
      <c r="M53" s="376"/>
      <c r="N53" s="376" t="s">
        <v>1057</v>
      </c>
      <c r="O53" s="381"/>
      <c r="P53" s="376"/>
      <c r="Q53" s="376"/>
      <c r="U53" s="491" t="s">
        <v>1083</v>
      </c>
      <c r="V53" s="491" t="s">
        <v>1083</v>
      </c>
      <c r="X53" s="488">
        <v>43042</v>
      </c>
      <c r="Y53" s="488">
        <v>43042</v>
      </c>
      <c r="AA53" s="488"/>
      <c r="AB53" s="491" t="s">
        <v>1066</v>
      </c>
      <c r="AC53" s="491">
        <v>0</v>
      </c>
      <c r="AD53" s="491">
        <v>0</v>
      </c>
      <c r="AE53" s="491">
        <v>0</v>
      </c>
      <c r="AF53" s="491">
        <v>0</v>
      </c>
      <c r="AG53" s="491">
        <v>0</v>
      </c>
      <c r="AH53" s="491">
        <v>1</v>
      </c>
      <c r="AI53" s="491">
        <v>70095</v>
      </c>
      <c r="AJ53" s="491">
        <v>2120</v>
      </c>
      <c r="AK53" s="491">
        <v>0</v>
      </c>
      <c r="AL53" s="491">
        <v>0</v>
      </c>
      <c r="AO53" s="391"/>
      <c r="AP53" s="391"/>
      <c r="AQ53" s="491" t="str">
        <f t="shared" si="0"/>
        <v/>
      </c>
      <c r="AS53" s="491" t="str">
        <f t="shared" si="1"/>
        <v>wci_corp</v>
      </c>
    </row>
    <row r="54" spans="2:45">
      <c r="B54" s="491" t="s">
        <v>1073</v>
      </c>
      <c r="C54" s="488">
        <v>43039</v>
      </c>
      <c r="D54" s="382">
        <v>300</v>
      </c>
      <c r="E54" s="382">
        <v>0</v>
      </c>
      <c r="F54" s="463" t="s">
        <v>657</v>
      </c>
      <c r="G54" s="491" t="s">
        <v>1086</v>
      </c>
      <c r="H54" s="391" t="s">
        <v>1071</v>
      </c>
      <c r="I54" s="491" t="s">
        <v>1085</v>
      </c>
      <c r="J54" s="491" t="s">
        <v>1084</v>
      </c>
      <c r="K54" s="491" t="s">
        <v>1068</v>
      </c>
      <c r="L54" s="376"/>
      <c r="M54" s="376"/>
      <c r="N54" s="376" t="s">
        <v>1055</v>
      </c>
      <c r="O54" s="381"/>
      <c r="P54" s="376"/>
      <c r="Q54" s="376"/>
      <c r="U54" s="491" t="s">
        <v>1083</v>
      </c>
      <c r="V54" s="491" t="s">
        <v>1083</v>
      </c>
      <c r="X54" s="488">
        <v>43042</v>
      </c>
      <c r="Y54" s="488">
        <v>43042</v>
      </c>
      <c r="AA54" s="488"/>
      <c r="AB54" s="491" t="s">
        <v>1066</v>
      </c>
      <c r="AC54" s="491">
        <v>0</v>
      </c>
      <c r="AD54" s="491">
        <v>0</v>
      </c>
      <c r="AE54" s="491">
        <v>0</v>
      </c>
      <c r="AF54" s="491">
        <v>0</v>
      </c>
      <c r="AG54" s="491">
        <v>0</v>
      </c>
      <c r="AH54" s="491">
        <v>1</v>
      </c>
      <c r="AI54" s="491">
        <v>70095</v>
      </c>
      <c r="AJ54" s="491">
        <v>2120</v>
      </c>
      <c r="AK54" s="491">
        <v>0</v>
      </c>
      <c r="AL54" s="491">
        <v>0</v>
      </c>
      <c r="AO54" s="391"/>
      <c r="AP54" s="391"/>
      <c r="AQ54" s="491" t="str">
        <f t="shared" si="0"/>
        <v/>
      </c>
      <c r="AS54" s="491" t="str">
        <f t="shared" si="1"/>
        <v>wci_corp</v>
      </c>
    </row>
    <row r="55" spans="2:45">
      <c r="B55" s="491" t="s">
        <v>1073</v>
      </c>
      <c r="C55" s="488">
        <v>43069</v>
      </c>
      <c r="D55" s="382">
        <v>165.23</v>
      </c>
      <c r="E55" s="382">
        <v>0</v>
      </c>
      <c r="F55" s="463" t="s">
        <v>657</v>
      </c>
      <c r="G55" s="491" t="s">
        <v>1082</v>
      </c>
      <c r="H55" s="391" t="s">
        <v>1071</v>
      </c>
      <c r="I55" s="491" t="s">
        <v>1081</v>
      </c>
      <c r="J55" s="491" t="s">
        <v>1069</v>
      </c>
      <c r="K55" s="491" t="s">
        <v>1068</v>
      </c>
      <c r="L55" s="376"/>
      <c r="M55" s="376"/>
      <c r="N55" s="376" t="s">
        <v>1047</v>
      </c>
      <c r="O55" s="381"/>
      <c r="P55" s="376"/>
      <c r="Q55" s="376"/>
      <c r="U55" s="491" t="s">
        <v>1080</v>
      </c>
      <c r="V55" s="491" t="s">
        <v>1080</v>
      </c>
      <c r="X55" s="488">
        <v>43073</v>
      </c>
      <c r="Y55" s="488">
        <v>43073</v>
      </c>
      <c r="AA55" s="488"/>
      <c r="AB55" s="491" t="s">
        <v>1066</v>
      </c>
      <c r="AC55" s="491">
        <v>0</v>
      </c>
      <c r="AD55" s="491">
        <v>0</v>
      </c>
      <c r="AE55" s="491">
        <v>0</v>
      </c>
      <c r="AF55" s="491">
        <v>0</v>
      </c>
      <c r="AG55" s="491">
        <v>0</v>
      </c>
      <c r="AH55" s="491">
        <v>1</v>
      </c>
      <c r="AI55" s="491">
        <v>70095</v>
      </c>
      <c r="AJ55" s="491">
        <v>2120</v>
      </c>
      <c r="AK55" s="491">
        <v>0</v>
      </c>
      <c r="AL55" s="491">
        <v>0</v>
      </c>
      <c r="AO55" s="391"/>
      <c r="AP55" s="391"/>
      <c r="AQ55" s="491" t="str">
        <f t="shared" si="0"/>
        <v/>
      </c>
      <c r="AS55" s="491" t="str">
        <f t="shared" si="1"/>
        <v>wci_corp</v>
      </c>
    </row>
    <row r="56" spans="2:45">
      <c r="B56" s="491" t="s">
        <v>1073</v>
      </c>
      <c r="C56" s="488">
        <v>43069</v>
      </c>
      <c r="D56" s="382">
        <v>317.12</v>
      </c>
      <c r="E56" s="382">
        <v>0</v>
      </c>
      <c r="F56" s="463" t="s">
        <v>657</v>
      </c>
      <c r="G56" s="491" t="s">
        <v>1079</v>
      </c>
      <c r="H56" s="391" t="s">
        <v>1071</v>
      </c>
      <c r="I56" s="491" t="s">
        <v>1077</v>
      </c>
      <c r="J56" s="491" t="s">
        <v>1076</v>
      </c>
      <c r="K56" s="491" t="s">
        <v>1068</v>
      </c>
      <c r="L56" s="376"/>
      <c r="M56" s="376"/>
      <c r="N56" s="376" t="s">
        <v>1055</v>
      </c>
      <c r="O56" s="381"/>
      <c r="P56" s="376"/>
      <c r="Q56" s="376"/>
      <c r="U56" s="491" t="s">
        <v>1075</v>
      </c>
      <c r="V56" s="491" t="s">
        <v>1075</v>
      </c>
      <c r="X56" s="488">
        <v>43075</v>
      </c>
      <c r="Y56" s="488">
        <v>43075</v>
      </c>
      <c r="AA56" s="488"/>
      <c r="AB56" s="491" t="s">
        <v>1066</v>
      </c>
      <c r="AC56" s="491">
        <v>0</v>
      </c>
      <c r="AD56" s="491">
        <v>0</v>
      </c>
      <c r="AE56" s="491">
        <v>0</v>
      </c>
      <c r="AF56" s="491">
        <v>0</v>
      </c>
      <c r="AG56" s="491">
        <v>0</v>
      </c>
      <c r="AH56" s="491">
        <v>1</v>
      </c>
      <c r="AI56" s="491">
        <v>70095</v>
      </c>
      <c r="AJ56" s="491">
        <v>2120</v>
      </c>
      <c r="AK56" s="491">
        <v>0</v>
      </c>
      <c r="AL56" s="491">
        <v>0</v>
      </c>
      <c r="AO56" s="391"/>
      <c r="AP56" s="391"/>
      <c r="AQ56" s="491" t="str">
        <f t="shared" si="0"/>
        <v/>
      </c>
      <c r="AS56" s="491" t="str">
        <f t="shared" si="1"/>
        <v>wci_corp</v>
      </c>
    </row>
    <row r="57" spans="2:45">
      <c r="B57" s="491" t="s">
        <v>1073</v>
      </c>
      <c r="C57" s="488">
        <v>43100</v>
      </c>
      <c r="D57" s="382">
        <v>-317.12</v>
      </c>
      <c r="E57" s="382">
        <v>0</v>
      </c>
      <c r="F57" s="463" t="s">
        <v>657</v>
      </c>
      <c r="G57" s="491" t="s">
        <v>1078</v>
      </c>
      <c r="H57" s="391" t="s">
        <v>1071</v>
      </c>
      <c r="I57" s="491" t="s">
        <v>1077</v>
      </c>
      <c r="J57" s="491" t="s">
        <v>1076</v>
      </c>
      <c r="K57" s="491" t="s">
        <v>1068</v>
      </c>
      <c r="L57" s="376"/>
      <c r="M57" s="376"/>
      <c r="N57" s="376" t="s">
        <v>1055</v>
      </c>
      <c r="O57" s="381"/>
      <c r="P57" s="376"/>
      <c r="Q57" s="376"/>
      <c r="U57" s="491" t="s">
        <v>1075</v>
      </c>
      <c r="V57" s="491" t="s">
        <v>1074</v>
      </c>
      <c r="X57" s="488">
        <v>43075</v>
      </c>
      <c r="Y57" s="488">
        <v>43075</v>
      </c>
      <c r="AA57" s="488"/>
      <c r="AB57" s="491" t="s">
        <v>1066</v>
      </c>
      <c r="AC57" s="491">
        <v>0</v>
      </c>
      <c r="AD57" s="491">
        <v>0</v>
      </c>
      <c r="AE57" s="491">
        <v>0</v>
      </c>
      <c r="AF57" s="491">
        <v>0</v>
      </c>
      <c r="AG57" s="491">
        <v>5</v>
      </c>
      <c r="AH57" s="491">
        <v>1</v>
      </c>
      <c r="AI57" s="491">
        <v>70095</v>
      </c>
      <c r="AJ57" s="491">
        <v>2120</v>
      </c>
      <c r="AK57" s="491">
        <v>0</v>
      </c>
      <c r="AL57" s="491">
        <v>0</v>
      </c>
      <c r="AO57" s="391"/>
      <c r="AP57" s="391"/>
      <c r="AQ57" s="491" t="str">
        <f t="shared" si="0"/>
        <v/>
      </c>
      <c r="AS57" s="491" t="str">
        <f t="shared" si="1"/>
        <v>wci_corp</v>
      </c>
    </row>
    <row r="58" spans="2:45">
      <c r="B58" s="491" t="s">
        <v>1073</v>
      </c>
      <c r="C58" s="488">
        <v>43100</v>
      </c>
      <c r="D58" s="382">
        <v>317.12</v>
      </c>
      <c r="E58" s="382">
        <v>0</v>
      </c>
      <c r="F58" s="463" t="s">
        <v>657</v>
      </c>
      <c r="G58" s="491" t="s">
        <v>1072</v>
      </c>
      <c r="H58" s="391" t="s">
        <v>1071</v>
      </c>
      <c r="I58" s="491" t="s">
        <v>1070</v>
      </c>
      <c r="J58" s="491" t="s">
        <v>1069</v>
      </c>
      <c r="K58" s="491" t="s">
        <v>1068</v>
      </c>
      <c r="L58" s="376"/>
      <c r="M58" s="376"/>
      <c r="N58" s="376" t="s">
        <v>1055</v>
      </c>
      <c r="O58" s="381"/>
      <c r="P58" s="376"/>
      <c r="Q58" s="376"/>
      <c r="U58" s="491" t="s">
        <v>1067</v>
      </c>
      <c r="V58" s="491" t="s">
        <v>1067</v>
      </c>
      <c r="X58" s="488">
        <v>43103</v>
      </c>
      <c r="Y58" s="488">
        <v>43103</v>
      </c>
      <c r="AA58" s="488"/>
      <c r="AB58" s="491" t="s">
        <v>1066</v>
      </c>
      <c r="AC58" s="491">
        <v>0</v>
      </c>
      <c r="AD58" s="491">
        <v>0</v>
      </c>
      <c r="AE58" s="491">
        <v>0</v>
      </c>
      <c r="AF58" s="491">
        <v>0</v>
      </c>
      <c r="AG58" s="491">
        <v>0</v>
      </c>
      <c r="AH58" s="491">
        <v>1</v>
      </c>
      <c r="AI58" s="491">
        <v>70095</v>
      </c>
      <c r="AJ58" s="491">
        <v>2120</v>
      </c>
      <c r="AK58" s="491">
        <v>0</v>
      </c>
      <c r="AL58" s="491">
        <v>0</v>
      </c>
      <c r="AO58" s="391"/>
      <c r="AP58" s="391"/>
      <c r="AQ58" s="491" t="str">
        <f t="shared" si="0"/>
        <v/>
      </c>
      <c r="AS58" s="491" t="str">
        <f t="shared" si="1"/>
        <v>wci_corp</v>
      </c>
    </row>
    <row r="59" spans="2:45">
      <c r="B59" s="491" t="s">
        <v>1073</v>
      </c>
      <c r="C59" s="488">
        <v>43100</v>
      </c>
      <c r="D59" s="382">
        <v>138.63</v>
      </c>
      <c r="E59" s="382">
        <v>0</v>
      </c>
      <c r="F59" s="463" t="s">
        <v>657</v>
      </c>
      <c r="G59" s="491" t="s">
        <v>1072</v>
      </c>
      <c r="H59" s="391" t="s">
        <v>1071</v>
      </c>
      <c r="I59" s="491" t="s">
        <v>1070</v>
      </c>
      <c r="J59" s="491" t="s">
        <v>1069</v>
      </c>
      <c r="K59" s="491" t="s">
        <v>1068</v>
      </c>
      <c r="L59" s="376"/>
      <c r="M59" s="376"/>
      <c r="N59" s="376" t="s">
        <v>1058</v>
      </c>
      <c r="O59" s="381"/>
      <c r="P59" s="376"/>
      <c r="Q59" s="376"/>
      <c r="U59" s="491" t="s">
        <v>1067</v>
      </c>
      <c r="V59" s="491" t="s">
        <v>1067</v>
      </c>
      <c r="X59" s="488">
        <v>43103</v>
      </c>
      <c r="Y59" s="488">
        <v>43103</v>
      </c>
      <c r="AA59" s="488"/>
      <c r="AB59" s="491" t="s">
        <v>1066</v>
      </c>
      <c r="AC59" s="491">
        <v>0</v>
      </c>
      <c r="AD59" s="491">
        <v>0</v>
      </c>
      <c r="AE59" s="491">
        <v>0</v>
      </c>
      <c r="AF59" s="491">
        <v>0</v>
      </c>
      <c r="AG59" s="491">
        <v>0</v>
      </c>
      <c r="AH59" s="491">
        <v>1</v>
      </c>
      <c r="AI59" s="491">
        <v>70095</v>
      </c>
      <c r="AJ59" s="491">
        <v>2120</v>
      </c>
      <c r="AK59" s="491">
        <v>0</v>
      </c>
      <c r="AL59" s="491">
        <v>0</v>
      </c>
      <c r="AO59" s="391"/>
      <c r="AP59" s="391"/>
      <c r="AQ59" s="491" t="str">
        <f t="shared" si="0"/>
        <v/>
      </c>
      <c r="AS59" s="491" t="str">
        <f t="shared" si="1"/>
        <v>wci_corp</v>
      </c>
    </row>
    <row r="60" spans="2:45">
      <c r="B60" s="491" t="s">
        <v>1073</v>
      </c>
      <c r="C60" s="488">
        <v>43100</v>
      </c>
      <c r="D60" s="382">
        <v>84.88</v>
      </c>
      <c r="E60" s="382">
        <v>0</v>
      </c>
      <c r="F60" s="463" t="s">
        <v>657</v>
      </c>
      <c r="G60" s="491" t="s">
        <v>1072</v>
      </c>
      <c r="H60" s="391" t="s">
        <v>1071</v>
      </c>
      <c r="I60" s="491" t="s">
        <v>1070</v>
      </c>
      <c r="J60" s="491" t="s">
        <v>1069</v>
      </c>
      <c r="K60" s="491" t="s">
        <v>1068</v>
      </c>
      <c r="L60" s="376"/>
      <c r="M60" s="376"/>
      <c r="N60" s="376" t="s">
        <v>1058</v>
      </c>
      <c r="O60" s="381"/>
      <c r="P60" s="376"/>
      <c r="Q60" s="376"/>
      <c r="U60" s="491" t="s">
        <v>1067</v>
      </c>
      <c r="V60" s="491" t="s">
        <v>1067</v>
      </c>
      <c r="X60" s="488">
        <v>43103</v>
      </c>
      <c r="Y60" s="488">
        <v>43103</v>
      </c>
      <c r="AA60" s="488"/>
      <c r="AB60" s="491" t="s">
        <v>1066</v>
      </c>
      <c r="AC60" s="491">
        <v>0</v>
      </c>
      <c r="AD60" s="491">
        <v>0</v>
      </c>
      <c r="AE60" s="491">
        <v>0</v>
      </c>
      <c r="AF60" s="491">
        <v>0</v>
      </c>
      <c r="AG60" s="491">
        <v>0</v>
      </c>
      <c r="AH60" s="491">
        <v>1</v>
      </c>
      <c r="AI60" s="491">
        <v>70095</v>
      </c>
      <c r="AJ60" s="491">
        <v>2120</v>
      </c>
      <c r="AK60" s="491">
        <v>0</v>
      </c>
      <c r="AL60" s="491">
        <v>0</v>
      </c>
      <c r="AO60" s="391"/>
      <c r="AP60" s="391"/>
      <c r="AQ60" s="491" t="str">
        <f t="shared" si="0"/>
        <v/>
      </c>
      <c r="AS60" s="491" t="str">
        <f t="shared" si="1"/>
        <v>wci_corp</v>
      </c>
    </row>
    <row r="61" spans="2:45">
      <c r="B61" s="491" t="s">
        <v>1073</v>
      </c>
      <c r="C61" s="488">
        <v>43100</v>
      </c>
      <c r="D61" s="382">
        <v>21.51</v>
      </c>
      <c r="E61" s="382">
        <v>0</v>
      </c>
      <c r="F61" s="463" t="s">
        <v>657</v>
      </c>
      <c r="G61" s="491" t="s">
        <v>1072</v>
      </c>
      <c r="H61" s="391" t="s">
        <v>1071</v>
      </c>
      <c r="I61" s="491" t="s">
        <v>1070</v>
      </c>
      <c r="J61" s="491" t="s">
        <v>1069</v>
      </c>
      <c r="K61" s="491" t="s">
        <v>1068</v>
      </c>
      <c r="L61" s="376"/>
      <c r="M61" s="376"/>
      <c r="N61" s="376" t="s">
        <v>1058</v>
      </c>
      <c r="O61" s="381"/>
      <c r="P61" s="376"/>
      <c r="Q61" s="376"/>
      <c r="U61" s="491" t="s">
        <v>1067</v>
      </c>
      <c r="V61" s="491" t="s">
        <v>1067</v>
      </c>
      <c r="X61" s="488">
        <v>43103</v>
      </c>
      <c r="Y61" s="488">
        <v>43103</v>
      </c>
      <c r="AA61" s="488"/>
      <c r="AB61" s="491" t="s">
        <v>1066</v>
      </c>
      <c r="AC61" s="491">
        <v>0</v>
      </c>
      <c r="AD61" s="491">
        <v>0</v>
      </c>
      <c r="AE61" s="491">
        <v>0</v>
      </c>
      <c r="AF61" s="491">
        <v>0</v>
      </c>
      <c r="AG61" s="491">
        <v>0</v>
      </c>
      <c r="AH61" s="491">
        <v>1</v>
      </c>
      <c r="AI61" s="491">
        <v>70095</v>
      </c>
      <c r="AJ61" s="491">
        <v>2120</v>
      </c>
      <c r="AK61" s="491">
        <v>0</v>
      </c>
      <c r="AL61" s="491">
        <v>0</v>
      </c>
      <c r="AO61" s="391"/>
      <c r="AP61" s="391"/>
      <c r="AQ61" s="491" t="str">
        <f t="shared" si="0"/>
        <v/>
      </c>
      <c r="AS61" s="491" t="str">
        <f t="shared" si="1"/>
        <v>wci_corp</v>
      </c>
    </row>
    <row r="62" spans="2:45">
      <c r="B62" s="491" t="s">
        <v>1073</v>
      </c>
      <c r="C62" s="488">
        <v>43100</v>
      </c>
      <c r="D62" s="382">
        <v>20.45</v>
      </c>
      <c r="E62" s="382">
        <v>0</v>
      </c>
      <c r="F62" s="463" t="s">
        <v>657</v>
      </c>
      <c r="G62" s="491" t="s">
        <v>1072</v>
      </c>
      <c r="H62" s="391" t="s">
        <v>1071</v>
      </c>
      <c r="I62" s="491" t="s">
        <v>1070</v>
      </c>
      <c r="J62" s="491" t="s">
        <v>1069</v>
      </c>
      <c r="K62" s="491" t="s">
        <v>1068</v>
      </c>
      <c r="L62" s="376"/>
      <c r="M62" s="376"/>
      <c r="N62" s="376" t="s">
        <v>1058</v>
      </c>
      <c r="O62" s="381"/>
      <c r="P62" s="376"/>
      <c r="Q62" s="376"/>
      <c r="U62" s="491" t="s">
        <v>1067</v>
      </c>
      <c r="V62" s="491" t="s">
        <v>1067</v>
      </c>
      <c r="X62" s="488">
        <v>43103</v>
      </c>
      <c r="Y62" s="488">
        <v>43103</v>
      </c>
      <c r="AA62" s="488"/>
      <c r="AB62" s="491" t="s">
        <v>1066</v>
      </c>
      <c r="AC62" s="491">
        <v>0</v>
      </c>
      <c r="AD62" s="491">
        <v>0</v>
      </c>
      <c r="AE62" s="491">
        <v>0</v>
      </c>
      <c r="AF62" s="491">
        <v>0</v>
      </c>
      <c r="AG62" s="491">
        <v>0</v>
      </c>
      <c r="AH62" s="491">
        <v>1</v>
      </c>
      <c r="AI62" s="491">
        <v>70095</v>
      </c>
      <c r="AJ62" s="491">
        <v>2120</v>
      </c>
      <c r="AK62" s="491">
        <v>0</v>
      </c>
      <c r="AL62" s="491">
        <v>0</v>
      </c>
      <c r="AO62" s="391"/>
      <c r="AP62" s="391"/>
      <c r="AQ62" s="491" t="str">
        <f t="shared" si="0"/>
        <v/>
      </c>
      <c r="AS62" s="491" t="str">
        <f t="shared" si="1"/>
        <v>wci_corp</v>
      </c>
    </row>
    <row r="63" spans="2:45">
      <c r="B63" s="491" t="s">
        <v>1073</v>
      </c>
      <c r="C63" s="488">
        <v>43100</v>
      </c>
      <c r="D63" s="382">
        <v>50.56</v>
      </c>
      <c r="E63" s="382">
        <v>0</v>
      </c>
      <c r="F63" s="463" t="s">
        <v>657</v>
      </c>
      <c r="G63" s="491" t="s">
        <v>1072</v>
      </c>
      <c r="H63" s="391" t="s">
        <v>1071</v>
      </c>
      <c r="I63" s="491" t="s">
        <v>1070</v>
      </c>
      <c r="J63" s="491" t="s">
        <v>1069</v>
      </c>
      <c r="K63" s="491" t="s">
        <v>1068</v>
      </c>
      <c r="L63" s="376"/>
      <c r="M63" s="376"/>
      <c r="N63" s="376" t="s">
        <v>1047</v>
      </c>
      <c r="O63" s="381"/>
      <c r="P63" s="376"/>
      <c r="Q63" s="376"/>
      <c r="U63" s="491" t="s">
        <v>1067</v>
      </c>
      <c r="V63" s="491" t="s">
        <v>1067</v>
      </c>
      <c r="X63" s="488">
        <v>43103</v>
      </c>
      <c r="Y63" s="488">
        <v>43103</v>
      </c>
      <c r="AA63" s="488"/>
      <c r="AB63" s="491" t="s">
        <v>1066</v>
      </c>
      <c r="AC63" s="491">
        <v>0</v>
      </c>
      <c r="AD63" s="491">
        <v>0</v>
      </c>
      <c r="AE63" s="491">
        <v>0</v>
      </c>
      <c r="AF63" s="491">
        <v>0</v>
      </c>
      <c r="AG63" s="491">
        <v>0</v>
      </c>
      <c r="AH63" s="491">
        <v>1</v>
      </c>
      <c r="AI63" s="491">
        <v>70095</v>
      </c>
      <c r="AJ63" s="491">
        <v>2120</v>
      </c>
      <c r="AK63" s="491">
        <v>0</v>
      </c>
      <c r="AL63" s="491">
        <v>0</v>
      </c>
      <c r="AO63" s="391"/>
      <c r="AP63" s="391"/>
      <c r="AQ63" s="491" t="str">
        <f t="shared" si="0"/>
        <v/>
      </c>
      <c r="AS63" s="491" t="str">
        <f t="shared" si="1"/>
        <v>wci_corp</v>
      </c>
    </row>
    <row r="64" spans="2:45">
      <c r="B64" s="491" t="s">
        <v>1073</v>
      </c>
      <c r="C64" s="488">
        <v>43100</v>
      </c>
      <c r="D64" s="382">
        <v>307.12</v>
      </c>
      <c r="E64" s="382">
        <v>0</v>
      </c>
      <c r="F64" s="463" t="s">
        <v>657</v>
      </c>
      <c r="G64" s="491" t="s">
        <v>1072</v>
      </c>
      <c r="H64" s="391" t="s">
        <v>1071</v>
      </c>
      <c r="I64" s="491" t="s">
        <v>1070</v>
      </c>
      <c r="J64" s="491" t="s">
        <v>1069</v>
      </c>
      <c r="K64" s="491" t="s">
        <v>1068</v>
      </c>
      <c r="L64" s="376"/>
      <c r="M64" s="376"/>
      <c r="N64" s="376" t="s">
        <v>1055</v>
      </c>
      <c r="O64" s="381"/>
      <c r="P64" s="376"/>
      <c r="Q64" s="376"/>
      <c r="U64" s="491" t="s">
        <v>1067</v>
      </c>
      <c r="V64" s="491" t="s">
        <v>1067</v>
      </c>
      <c r="X64" s="488">
        <v>43103</v>
      </c>
      <c r="Y64" s="488">
        <v>43103</v>
      </c>
      <c r="AA64" s="488"/>
      <c r="AB64" s="491" t="s">
        <v>1066</v>
      </c>
      <c r="AC64" s="491">
        <v>0</v>
      </c>
      <c r="AD64" s="491">
        <v>0</v>
      </c>
      <c r="AE64" s="491">
        <v>0</v>
      </c>
      <c r="AF64" s="491">
        <v>0</v>
      </c>
      <c r="AG64" s="491">
        <v>0</v>
      </c>
      <c r="AH64" s="491">
        <v>1</v>
      </c>
      <c r="AI64" s="491">
        <v>70095</v>
      </c>
      <c r="AJ64" s="491">
        <v>2120</v>
      </c>
      <c r="AK64" s="491">
        <v>0</v>
      </c>
      <c r="AL64" s="491">
        <v>0</v>
      </c>
      <c r="AO64" s="391"/>
      <c r="AP64" s="391"/>
      <c r="AQ64" s="491" t="str">
        <f t="shared" si="0"/>
        <v/>
      </c>
      <c r="AS64" s="491" t="str">
        <f t="shared" si="1"/>
        <v>wci_corp</v>
      </c>
    </row>
    <row r="65" spans="2:45">
      <c r="B65" s="491" t="s">
        <v>1073</v>
      </c>
      <c r="C65" s="488">
        <v>43100</v>
      </c>
      <c r="D65" s="382">
        <v>36.97</v>
      </c>
      <c r="E65" s="382">
        <v>0</v>
      </c>
      <c r="F65" s="463" t="s">
        <v>657</v>
      </c>
      <c r="G65" s="491" t="s">
        <v>1072</v>
      </c>
      <c r="H65" s="391" t="s">
        <v>1071</v>
      </c>
      <c r="I65" s="491" t="s">
        <v>1070</v>
      </c>
      <c r="J65" s="491" t="s">
        <v>1069</v>
      </c>
      <c r="K65" s="491" t="s">
        <v>1068</v>
      </c>
      <c r="L65" s="376"/>
      <c r="M65" s="376"/>
      <c r="N65" s="376" t="s">
        <v>1047</v>
      </c>
      <c r="O65" s="381"/>
      <c r="P65" s="376"/>
      <c r="Q65" s="376"/>
      <c r="U65" s="491" t="s">
        <v>1067</v>
      </c>
      <c r="V65" s="491" t="s">
        <v>1067</v>
      </c>
      <c r="X65" s="488">
        <v>43103</v>
      </c>
      <c r="Y65" s="488">
        <v>43103</v>
      </c>
      <c r="AA65" s="488"/>
      <c r="AB65" s="491" t="s">
        <v>1066</v>
      </c>
      <c r="AC65" s="491">
        <v>0</v>
      </c>
      <c r="AD65" s="491">
        <v>0</v>
      </c>
      <c r="AE65" s="491">
        <v>0</v>
      </c>
      <c r="AF65" s="491">
        <v>0</v>
      </c>
      <c r="AG65" s="491">
        <v>0</v>
      </c>
      <c r="AH65" s="491">
        <v>1</v>
      </c>
      <c r="AI65" s="491">
        <v>70095</v>
      </c>
      <c r="AJ65" s="491">
        <v>2120</v>
      </c>
      <c r="AK65" s="491">
        <v>0</v>
      </c>
      <c r="AL65" s="491">
        <v>0</v>
      </c>
      <c r="AO65" s="391"/>
      <c r="AP65" s="391"/>
      <c r="AQ65" s="491" t="str">
        <f t="shared" si="0"/>
        <v/>
      </c>
      <c r="AS65" s="491" t="str">
        <f t="shared" si="1"/>
        <v>wci_corp</v>
      </c>
    </row>
    <row r="66" spans="2:45">
      <c r="B66" s="491" t="s">
        <v>1073</v>
      </c>
      <c r="C66" s="488">
        <v>43100</v>
      </c>
      <c r="D66" s="382">
        <v>600</v>
      </c>
      <c r="E66" s="382">
        <v>0</v>
      </c>
      <c r="F66" s="463" t="s">
        <v>657</v>
      </c>
      <c r="G66" s="491" t="s">
        <v>1072</v>
      </c>
      <c r="H66" s="391" t="s">
        <v>1071</v>
      </c>
      <c r="I66" s="491" t="s">
        <v>1070</v>
      </c>
      <c r="J66" s="491" t="s">
        <v>1069</v>
      </c>
      <c r="K66" s="491" t="s">
        <v>1068</v>
      </c>
      <c r="L66" s="376"/>
      <c r="M66" s="376"/>
      <c r="N66" s="376" t="s">
        <v>1049</v>
      </c>
      <c r="O66" s="381"/>
      <c r="P66" s="376"/>
      <c r="Q66" s="376"/>
      <c r="U66" s="491" t="s">
        <v>1067</v>
      </c>
      <c r="V66" s="491" t="s">
        <v>1067</v>
      </c>
      <c r="X66" s="488">
        <v>43103</v>
      </c>
      <c r="Y66" s="488">
        <v>43103</v>
      </c>
      <c r="AA66" s="488"/>
      <c r="AB66" s="491" t="s">
        <v>1066</v>
      </c>
      <c r="AC66" s="491">
        <v>0</v>
      </c>
      <c r="AD66" s="491">
        <v>0</v>
      </c>
      <c r="AE66" s="491">
        <v>0</v>
      </c>
      <c r="AF66" s="491">
        <v>0</v>
      </c>
      <c r="AG66" s="491">
        <v>0</v>
      </c>
      <c r="AH66" s="491">
        <v>1</v>
      </c>
      <c r="AI66" s="491">
        <v>70095</v>
      </c>
      <c r="AJ66" s="491">
        <v>2120</v>
      </c>
      <c r="AK66" s="491">
        <v>0</v>
      </c>
      <c r="AL66" s="491">
        <v>0</v>
      </c>
      <c r="AO66" s="391"/>
      <c r="AP66" s="391"/>
      <c r="AQ66" s="491" t="str">
        <f t="shared" si="0"/>
        <v/>
      </c>
      <c r="AS66" s="491" t="str">
        <f t="shared" si="1"/>
        <v>wci_corp</v>
      </c>
    </row>
    <row r="67" spans="2:45">
      <c r="C67" s="488"/>
      <c r="D67" s="501"/>
      <c r="E67" s="501"/>
      <c r="F67" s="501"/>
      <c r="H67" s="486"/>
    </row>
    <row r="68" spans="2:45">
      <c r="B68" s="489" t="s">
        <v>1065</v>
      </c>
      <c r="C68" s="489"/>
      <c r="D68" s="502"/>
      <c r="E68" s="502"/>
      <c r="F68" s="502"/>
      <c r="G68" s="489"/>
      <c r="H68" s="402"/>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89"/>
      <c r="AG68" s="489"/>
      <c r="AH68" s="489"/>
      <c r="AI68" s="489"/>
      <c r="AJ68" s="489"/>
      <c r="AK68" s="489"/>
      <c r="AL68" s="489"/>
      <c r="AM68" s="489"/>
      <c r="AN68" s="489"/>
      <c r="AO68" s="489"/>
      <c r="AP68" s="380"/>
    </row>
    <row r="69" spans="2:45" ht="16.5" hidden="1" customHeight="1">
      <c r="H69" s="486"/>
    </row>
    <row r="70" spans="2:45" ht="16.5" hidden="1" customHeight="1">
      <c r="H70" s="486"/>
    </row>
    <row r="71" spans="2:45" ht="16.5" hidden="1" customHeight="1">
      <c r="H71" s="486"/>
    </row>
    <row r="72" spans="2:45" ht="16.5" hidden="1" customHeight="1">
      <c r="H72" s="486"/>
    </row>
    <row r="73" spans="2:45" ht="16.5" hidden="1" customHeight="1">
      <c r="H73" s="486"/>
    </row>
    <row r="74" spans="2:45" ht="16.5" customHeight="1">
      <c r="B74" s="490" t="s">
        <v>1064</v>
      </c>
      <c r="C74" s="491" t="s">
        <v>1063</v>
      </c>
      <c r="D74" s="491" t="s">
        <v>1063</v>
      </c>
      <c r="H74" s="486"/>
    </row>
    <row r="75" spans="2:45">
      <c r="B75" s="376" t="s">
        <v>1062</v>
      </c>
      <c r="C75" s="379">
        <v>0</v>
      </c>
      <c r="D75" s="1237">
        <v>0</v>
      </c>
      <c r="H75" s="486"/>
    </row>
    <row r="76" spans="2:45">
      <c r="B76" s="376" t="s">
        <v>1061</v>
      </c>
      <c r="C76" s="379">
        <v>0</v>
      </c>
      <c r="D76" s="1237">
        <v>0</v>
      </c>
      <c r="H76" s="486"/>
    </row>
    <row r="77" spans="2:45">
      <c r="B77" s="376" t="s">
        <v>1060</v>
      </c>
      <c r="C77" s="379">
        <v>0</v>
      </c>
      <c r="D77" s="1237">
        <v>0</v>
      </c>
      <c r="H77" s="486"/>
    </row>
    <row r="78" spans="2:45">
      <c r="B78" s="376" t="s">
        <v>1059</v>
      </c>
      <c r="C78" s="379">
        <v>406.07</v>
      </c>
      <c r="D78" s="1237">
        <v>406.07</v>
      </c>
      <c r="H78" s="486"/>
    </row>
    <row r="79" spans="2:45" ht="15">
      <c r="B79" s="376" t="s">
        <v>1058</v>
      </c>
      <c r="C79" s="379">
        <v>265.46999999999997</v>
      </c>
      <c r="D79" s="1237">
        <v>265.46999999999997</v>
      </c>
      <c r="E79" s="1280" t="s">
        <v>2081</v>
      </c>
      <c r="H79" s="486"/>
    </row>
    <row r="80" spans="2:45" ht="15">
      <c r="B80" s="376" t="s">
        <v>1057</v>
      </c>
      <c r="C80" s="379">
        <v>56.01</v>
      </c>
      <c r="D80" s="1237">
        <v>56.01</v>
      </c>
      <c r="E80" s="1280" t="s">
        <v>1416</v>
      </c>
      <c r="H80" s="486"/>
    </row>
    <row r="81" spans="2:8" ht="15">
      <c r="B81" s="376" t="s">
        <v>1056</v>
      </c>
      <c r="C81" s="379">
        <v>98.18</v>
      </c>
      <c r="D81" s="1237">
        <v>98.18</v>
      </c>
      <c r="E81" s="1280" t="s">
        <v>2082</v>
      </c>
      <c r="H81" s="486"/>
    </row>
    <row r="82" spans="2:8" ht="15">
      <c r="B82" s="376" t="s">
        <v>1055</v>
      </c>
      <c r="C82" s="379">
        <v>1548.13</v>
      </c>
      <c r="D82" s="1237">
        <v>1548.13</v>
      </c>
      <c r="E82" s="1280" t="s">
        <v>2083</v>
      </c>
      <c r="H82" s="486"/>
    </row>
    <row r="83" spans="2:8" ht="15">
      <c r="B83" s="376" t="s">
        <v>1054</v>
      </c>
      <c r="C83" s="379">
        <v>100</v>
      </c>
      <c r="D83" s="1237">
        <v>100</v>
      </c>
      <c r="E83" s="1280" t="s">
        <v>1416</v>
      </c>
      <c r="H83" s="486"/>
    </row>
    <row r="84" spans="2:8" ht="15">
      <c r="B84" s="376" t="s">
        <v>1053</v>
      </c>
      <c r="C84" s="379">
        <v>40</v>
      </c>
      <c r="D84" s="1237">
        <v>40</v>
      </c>
      <c r="E84" s="1280" t="s">
        <v>1416</v>
      </c>
      <c r="H84" s="486"/>
    </row>
    <row r="85" spans="2:8" ht="15">
      <c r="B85" s="376" t="s">
        <v>1052</v>
      </c>
      <c r="C85" s="379">
        <v>644.55999999999995</v>
      </c>
      <c r="D85" s="1237">
        <v>644.55999999999995</v>
      </c>
      <c r="E85" s="1280" t="s">
        <v>2084</v>
      </c>
      <c r="H85" s="486"/>
    </row>
    <row r="86" spans="2:8" ht="15">
      <c r="B86" s="376" t="s">
        <v>1051</v>
      </c>
      <c r="C86" s="379">
        <v>86.23</v>
      </c>
      <c r="D86" s="1237">
        <v>86.23</v>
      </c>
      <c r="E86" s="1280" t="s">
        <v>2084</v>
      </c>
      <c r="H86" s="486"/>
    </row>
    <row r="87" spans="2:8" ht="15">
      <c r="B87" s="376" t="s">
        <v>1050</v>
      </c>
      <c r="C87" s="379">
        <v>20.22</v>
      </c>
      <c r="D87" s="1237">
        <v>20.22</v>
      </c>
      <c r="E87" s="1280" t="s">
        <v>2081</v>
      </c>
    </row>
    <row r="88" spans="2:8" ht="15">
      <c r="B88" s="376" t="s">
        <v>1049</v>
      </c>
      <c r="C88" s="379">
        <v>600</v>
      </c>
      <c r="D88" s="1237">
        <v>600</v>
      </c>
      <c r="E88" s="1280" t="s">
        <v>1416</v>
      </c>
    </row>
    <row r="89" spans="2:8">
      <c r="B89" s="376" t="s">
        <v>1048</v>
      </c>
      <c r="C89" s="379">
        <v>0</v>
      </c>
      <c r="D89" s="1237">
        <v>0</v>
      </c>
      <c r="E89" s="1244"/>
    </row>
    <row r="90" spans="2:8" ht="15">
      <c r="B90" s="376" t="s">
        <v>1047</v>
      </c>
      <c r="C90" s="379">
        <v>506.66999999999996</v>
      </c>
      <c r="D90" s="1237">
        <v>506.66999999999996</v>
      </c>
      <c r="E90" s="1280" t="s">
        <v>2083</v>
      </c>
    </row>
    <row r="91" spans="2:8" ht="15">
      <c r="B91" s="376" t="s">
        <v>1046</v>
      </c>
      <c r="C91" s="379">
        <v>216.86</v>
      </c>
      <c r="D91" s="1237">
        <v>216.86</v>
      </c>
      <c r="E91" s="1280" t="s">
        <v>2083</v>
      </c>
    </row>
    <row r="92" spans="2:8" ht="15">
      <c r="B92" s="376" t="s">
        <v>1045</v>
      </c>
      <c r="C92" s="379">
        <v>3717.48</v>
      </c>
      <c r="D92" s="1237">
        <v>3717.48</v>
      </c>
      <c r="E92" s="1280" t="s">
        <v>2084</v>
      </c>
    </row>
    <row r="93" spans="2:8" ht="15">
      <c r="B93" s="376" t="s">
        <v>1044</v>
      </c>
      <c r="C93" s="379">
        <v>146.38999999999999</v>
      </c>
      <c r="D93" s="1237">
        <v>146.38999999999999</v>
      </c>
      <c r="E93" s="1280" t="s">
        <v>2083</v>
      </c>
    </row>
    <row r="94" spans="2:8" ht="15">
      <c r="B94" s="376" t="s">
        <v>1043</v>
      </c>
      <c r="C94" s="379">
        <v>101.23</v>
      </c>
      <c r="D94" s="1237">
        <v>101.23</v>
      </c>
      <c r="E94" s="1280" t="s">
        <v>2082</v>
      </c>
    </row>
    <row r="95" spans="2:8">
      <c r="B95" s="376" t="s">
        <v>1042</v>
      </c>
      <c r="C95" s="379">
        <v>8553.4999999999982</v>
      </c>
      <c r="D95" s="1245">
        <v>8553.4999999999982</v>
      </c>
    </row>
    <row r="97" spans="4:5">
      <c r="D97" s="356" t="s">
        <v>1416</v>
      </c>
      <c r="E97" s="1243">
        <f>SUMIF(E78:E94,D97,D78:D94)</f>
        <v>796.01</v>
      </c>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40"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73"/>
  <sheetViews>
    <sheetView showGridLines="0" view="pageBreakPreview" topLeftCell="B9" zoomScale="60" zoomScaleNormal="70" workbookViewId="0">
      <pane ySplit="11" topLeftCell="A20" activePane="bottomLeft" state="frozen"/>
      <selection activeCell="Q27" sqref="Q27"/>
      <selection pane="bottomLeft" activeCell="Q27" sqref="Q27"/>
    </sheetView>
  </sheetViews>
  <sheetFormatPr defaultRowHeight="12.75" outlineLevelRow="1"/>
  <cols>
    <col min="1" max="1" width="2.7109375" style="491" customWidth="1"/>
    <col min="2" max="2" width="47.28515625" style="491" customWidth="1"/>
    <col min="3" max="3" width="19.85546875" style="491" customWidth="1"/>
    <col min="4" max="5" width="18.7109375" style="491" customWidth="1"/>
    <col min="6" max="6" width="12.28515625" style="491" customWidth="1"/>
    <col min="7" max="7" width="19" style="491" customWidth="1"/>
    <col min="8" max="8" width="7.85546875" style="491" customWidth="1"/>
    <col min="9" max="9" width="30.28515625" style="491" customWidth="1"/>
    <col min="10" max="10" width="10.28515625" style="491" customWidth="1"/>
    <col min="11" max="11" width="13.5703125" style="491" customWidth="1"/>
    <col min="12" max="12" width="15.140625" style="491" customWidth="1"/>
    <col min="13" max="13" width="29.85546875" style="491" customWidth="1"/>
    <col min="14" max="14" width="38.5703125" style="491" customWidth="1"/>
    <col min="15" max="15" width="11.42578125" style="491" customWidth="1"/>
    <col min="16" max="16" width="35.140625" style="491" customWidth="1"/>
    <col min="17" max="17" width="18" style="491" customWidth="1"/>
    <col min="18" max="18" width="14.140625" style="491" customWidth="1"/>
    <col min="19" max="19" width="17.7109375" style="491" customWidth="1"/>
    <col min="20" max="20" width="12.7109375" style="491" customWidth="1"/>
    <col min="21" max="21" width="15.85546875" style="491" customWidth="1"/>
    <col min="22" max="22" width="13.7109375" style="491" bestFit="1" customWidth="1"/>
    <col min="23" max="23" width="13.28515625" style="491" customWidth="1"/>
    <col min="24" max="24" width="12.28515625" style="491" customWidth="1"/>
    <col min="25" max="25" width="11.5703125" style="491" customWidth="1"/>
    <col min="26" max="26" width="9.85546875" style="491" customWidth="1"/>
    <col min="27" max="27" width="11.42578125" style="491" customWidth="1"/>
    <col min="28" max="28" width="11" style="491" customWidth="1"/>
    <col min="29" max="29" width="11.5703125" style="491" customWidth="1"/>
    <col min="30" max="30" width="7" style="491" customWidth="1"/>
    <col min="31" max="31" width="11.140625" style="491" customWidth="1"/>
    <col min="32" max="32" width="11" style="491" customWidth="1"/>
    <col min="33" max="33" width="8.5703125" style="491" customWidth="1"/>
    <col min="34" max="34" width="8.42578125" style="491" customWidth="1"/>
    <col min="35" max="36" width="10.28515625" style="491" customWidth="1"/>
    <col min="37" max="37" width="10.140625" style="491" customWidth="1"/>
    <col min="38" max="38" width="10.42578125" style="491" customWidth="1"/>
    <col min="39" max="39" width="21.140625" style="491" customWidth="1"/>
    <col min="40" max="42" width="18.85546875" style="491" customWidth="1"/>
    <col min="43" max="43" width="20.42578125" style="491" customWidth="1"/>
    <col min="44" max="44" width="9.140625" style="491" customWidth="1"/>
    <col min="45" max="45" width="9.140625" style="491" hidden="1" customWidth="1"/>
    <col min="46" max="46" width="9.140625" style="491" customWidth="1"/>
    <col min="47" max="16384" width="9.140625" style="491"/>
  </cols>
  <sheetData>
    <row r="1" spans="1:43" hidden="1" outlineLevel="1">
      <c r="A1" s="387" t="b">
        <v>1</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387"/>
      <c r="AO1" s="387"/>
      <c r="AP1" s="387"/>
      <c r="AQ1" s="387"/>
    </row>
    <row r="2" spans="1:43" hidden="1" outlineLevel="1">
      <c r="B2" s="491" t="s">
        <v>1239</v>
      </c>
      <c r="C2" s="491" t="s">
        <v>1238</v>
      </c>
      <c r="D2" s="462" t="s">
        <v>1237</v>
      </c>
      <c r="E2" s="462" t="s">
        <v>1236</v>
      </c>
      <c r="F2" s="462" t="s">
        <v>1235</v>
      </c>
      <c r="G2" s="491" t="s">
        <v>1234</v>
      </c>
      <c r="H2" s="491" t="s">
        <v>1233</v>
      </c>
      <c r="I2" s="491" t="s">
        <v>1232</v>
      </c>
      <c r="J2" s="491" t="s">
        <v>1165</v>
      </c>
      <c r="K2" s="491" t="s">
        <v>1231</v>
      </c>
      <c r="L2" s="491" t="s">
        <v>1230</v>
      </c>
      <c r="M2" s="491" t="s">
        <v>1229</v>
      </c>
      <c r="N2" s="491" t="s">
        <v>1228</v>
      </c>
      <c r="O2" s="491" t="s">
        <v>1227</v>
      </c>
      <c r="P2" s="491" t="s">
        <v>1226</v>
      </c>
      <c r="Q2" s="491" t="s">
        <v>1225</v>
      </c>
      <c r="R2" s="491" t="s">
        <v>1224</v>
      </c>
      <c r="S2" s="491" t="s">
        <v>1223</v>
      </c>
      <c r="T2" s="491" t="s">
        <v>1222</v>
      </c>
      <c r="U2" s="491" t="s">
        <v>1221</v>
      </c>
      <c r="V2" s="491" t="s">
        <v>1220</v>
      </c>
      <c r="W2" s="491" t="s">
        <v>1219</v>
      </c>
      <c r="X2" s="491" t="s">
        <v>1218</v>
      </c>
      <c r="Y2" s="491" t="s">
        <v>1217</v>
      </c>
      <c r="Z2" s="491" t="s">
        <v>1216</v>
      </c>
      <c r="AA2" s="491" t="s">
        <v>1215</v>
      </c>
      <c r="AB2" s="491" t="s">
        <v>1214</v>
      </c>
      <c r="AC2" s="491" t="s">
        <v>1213</v>
      </c>
      <c r="AD2" s="491" t="s">
        <v>1212</v>
      </c>
      <c r="AE2" s="491" t="s">
        <v>1211</v>
      </c>
      <c r="AF2" s="491" t="s">
        <v>1210</v>
      </c>
      <c r="AG2" s="491" t="s">
        <v>1209</v>
      </c>
      <c r="AH2" s="491" t="s">
        <v>1208</v>
      </c>
      <c r="AI2" s="491" t="s">
        <v>1207</v>
      </c>
      <c r="AJ2" s="491" t="s">
        <v>1206</v>
      </c>
      <c r="AK2" s="491" t="s">
        <v>1205</v>
      </c>
      <c r="AL2" s="491" t="s">
        <v>1204</v>
      </c>
      <c r="AM2" s="491" t="s">
        <v>1203</v>
      </c>
      <c r="AN2" s="491" t="s">
        <v>1135</v>
      </c>
      <c r="AO2" s="491" t="s">
        <v>1202</v>
      </c>
      <c r="AP2" s="491" t="s">
        <v>1201</v>
      </c>
      <c r="AQ2" s="462"/>
    </row>
    <row r="3" spans="1:43" hidden="1" outlineLevel="1">
      <c r="A3" s="387" t="s">
        <v>1200</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row>
    <row r="4" spans="1:43" hidden="1" outlineLevel="1">
      <c r="Q4" s="491" t="str">
        <f ca="1">_xll.ReportDrill('[52]JE Lookup'!B1,,_xll.PairGroup(_xll.Pair(G20:G48,'[52]JE Lookup'!N8),_xll.Pair(AB20:AB48,'[52]JE Lookup'!N7)),"JE Lookup")</f>
        <v>OK!: ReportDrill 'JE Lookup' Formula OK [jAction{}]</v>
      </c>
      <c r="U4" s="491" t="str">
        <f ca="1">_xll.ReportDrill(,"APDrill",_xll.PairGroup(_xll.PairExt(AQ20:AQ48,"H8")),"AP Detail")</f>
        <v>OK!: ReportDrill 'AP Detail' Formula OK [jAction{}]</v>
      </c>
      <c r="Y4" s="491" t="str">
        <f ca="1">_xll.ReportDrill(,"JEStaged_DrillToDetail",_xll.PairGroup(_xll.PairExt(Q19:Q48,"dControlNum",TRUE),_xll.PairExt(AP19:AP48,"dDistrict",TRUE),_xll.PairExt(AO19:AO48,"dApplyMonth",TRUE)),"JE Staged Details")</f>
        <v>OK!: ReportDrill 'JE Staged Details' Formula OK [jAction{}]</v>
      </c>
    </row>
    <row r="5" spans="1:43" hidden="1" outlineLevel="1">
      <c r="B5" s="491" t="str">
        <f ca="1">_xll.ReportRange("JEQuery_WithStaged",B20:AS47,B2:AS2,,_xll.Param(I12,DateTo,IF(M12="","all",M12),M13,M14,M15,P12,P13,P14,P15,EntrieShownLimit,DateFrom,DateTo),TRUE)</f>
        <v>OK!: ReportRange Formula OK [jAction{}]</v>
      </c>
      <c r="Q5" s="491" t="str">
        <f ca="1">_xll.ReportDrill('[52]JE Lookup'!B1,,_xll.PairGroup(_xll.Pair(V20:V48,'[52]JE Lookup'!N8),_xll.Pair(AS20:AS48,'[52]JE Lookup'!N7)),"I/C Originating JE")</f>
        <v>OK!: ReportDrill 'I/C Originating JE' Formula OK [jAction{}]</v>
      </c>
    </row>
    <row r="6" spans="1:43" hidden="1" outlineLevel="1">
      <c r="B6" s="385" t="s">
        <v>1199</v>
      </c>
      <c r="D6" s="491">
        <v>10000</v>
      </c>
    </row>
    <row r="7" spans="1:43" hidden="1" outlineLevel="1">
      <c r="A7" s="387" t="s">
        <v>1198</v>
      </c>
      <c r="B7" s="387"/>
      <c r="C7" s="387"/>
      <c r="D7" s="387"/>
      <c r="E7" s="387"/>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row>
    <row r="8" spans="1:43" hidden="1" outlineLevel="1">
      <c r="B8" s="486" t="s">
        <v>1197</v>
      </c>
      <c r="C8" s="491" t="str">
        <f>IF(DateFrom="",CurrentMonth,DateFrom)</f>
        <v>2017-01</v>
      </c>
      <c r="E8" s="486" t="s">
        <v>1196</v>
      </c>
      <c r="G8" s="491" t="str">
        <f>IF(DateTo="",CurrentMonth,DateTo)</f>
        <v>2017-12</v>
      </c>
      <c r="I8" s="486" t="s">
        <v>1195</v>
      </c>
      <c r="J8" s="376" t="str">
        <f ca="1">TEXT(NOW() - 15,"yyyy-mm")</f>
        <v>2018-01</v>
      </c>
    </row>
    <row r="9" spans="1:43" ht="18" collapsed="1">
      <c r="B9" s="470" t="s">
        <v>1194</v>
      </c>
      <c r="G9" s="398" t="s">
        <v>1193</v>
      </c>
      <c r="P9" s="386"/>
      <c r="U9" s="385"/>
    </row>
    <row r="10" spans="1:43" ht="14.25">
      <c r="B10" s="462" t="s">
        <v>1192</v>
      </c>
      <c r="G10" s="469"/>
      <c r="P10" s="386"/>
      <c r="U10" s="385"/>
    </row>
    <row r="11" spans="1:43">
      <c r="G11" s="456" t="s">
        <v>1191</v>
      </c>
      <c r="H11" s="472"/>
      <c r="I11" s="457"/>
      <c r="L11" s="472" t="s">
        <v>1190</v>
      </c>
      <c r="M11" s="472"/>
      <c r="N11" s="472"/>
      <c r="O11" s="472"/>
      <c r="P11" s="472"/>
      <c r="U11" s="462"/>
    </row>
    <row r="12" spans="1:43" s="385" customFormat="1">
      <c r="H12" s="356" t="s">
        <v>1189</v>
      </c>
      <c r="I12" s="396" t="s">
        <v>1188</v>
      </c>
      <c r="K12" s="397"/>
      <c r="L12" s="385" t="s">
        <v>1187</v>
      </c>
      <c r="M12" s="396" t="s">
        <v>193</v>
      </c>
      <c r="O12" s="356" t="s">
        <v>1186</v>
      </c>
      <c r="P12" s="401"/>
      <c r="Z12" s="491"/>
      <c r="AA12" s="491"/>
      <c r="AB12" s="491"/>
      <c r="AH12" s="491"/>
      <c r="AI12" s="491"/>
      <c r="AJ12" s="491"/>
      <c r="AK12" s="491"/>
      <c r="AL12" s="491"/>
    </row>
    <row r="13" spans="1:43" s="385" customFormat="1">
      <c r="H13" s="356" t="s">
        <v>1185</v>
      </c>
      <c r="I13" s="396" t="s">
        <v>197</v>
      </c>
      <c r="K13" s="397"/>
      <c r="L13" s="385" t="s">
        <v>1184</v>
      </c>
      <c r="M13" s="396" t="s">
        <v>1240</v>
      </c>
      <c r="N13" s="491"/>
      <c r="O13" s="356" t="s">
        <v>1182</v>
      </c>
      <c r="P13" s="498"/>
      <c r="Q13" s="471"/>
      <c r="Z13" s="491"/>
      <c r="AA13" s="491"/>
      <c r="AB13" s="491"/>
      <c r="AH13" s="491"/>
      <c r="AI13" s="491"/>
      <c r="AJ13" s="491"/>
      <c r="AK13" s="491"/>
      <c r="AL13" s="491"/>
    </row>
    <row r="14" spans="1:43">
      <c r="L14" s="385" t="s">
        <v>196</v>
      </c>
      <c r="M14" s="396" t="s">
        <v>195</v>
      </c>
      <c r="O14" s="356" t="s">
        <v>1181</v>
      </c>
      <c r="P14" s="498"/>
      <c r="Q14" s="471"/>
    </row>
    <row r="15" spans="1:43">
      <c r="L15" s="385" t="s">
        <v>653</v>
      </c>
      <c r="M15" s="396" t="s">
        <v>195</v>
      </c>
      <c r="O15" s="356" t="s">
        <v>1180</v>
      </c>
      <c r="P15" s="474" t="s">
        <v>1179</v>
      </c>
    </row>
    <row r="16" spans="1:43">
      <c r="B16" s="473" t="s">
        <v>1178</v>
      </c>
      <c r="C16" s="374"/>
      <c r="D16" s="499">
        <f>SUM(D19:D48)</f>
        <v>3396.96</v>
      </c>
      <c r="E16" s="499">
        <f>SUM(E19:E48)</f>
        <v>0</v>
      </c>
      <c r="F16" s="491" t="s">
        <v>1177</v>
      </c>
      <c r="N16" s="395"/>
      <c r="O16" s="395"/>
      <c r="P16" s="395"/>
      <c r="Q16" s="395"/>
    </row>
    <row r="17" spans="2:45">
      <c r="B17" s="473" t="s">
        <v>1176</v>
      </c>
      <c r="C17" s="374"/>
      <c r="D17" s="500">
        <f>COUNT(D20:D49)</f>
        <v>27</v>
      </c>
      <c r="E17" s="500">
        <f>COUNT(E20:E49)</f>
        <v>27</v>
      </c>
      <c r="F17" s="462" t="s">
        <v>1175</v>
      </c>
      <c r="G17" s="394" t="str">
        <f>""&amp;EntrieShownLimit</f>
        <v>10000</v>
      </c>
    </row>
    <row r="18" spans="2:45">
      <c r="O18" s="381"/>
      <c r="R18" s="476" t="s">
        <v>1174</v>
      </c>
      <c r="S18" s="393"/>
      <c r="T18" s="393"/>
      <c r="U18" s="393"/>
      <c r="V18" s="393"/>
      <c r="W18" s="393"/>
      <c r="X18" s="393"/>
      <c r="Y18" s="393"/>
      <c r="Z18" s="475"/>
      <c r="AA18" s="475"/>
      <c r="AB18" s="475"/>
      <c r="AC18" s="475"/>
      <c r="AD18" s="475"/>
      <c r="AE18" s="475"/>
      <c r="AF18" s="475"/>
      <c r="AG18" s="475"/>
      <c r="AH18" s="475"/>
      <c r="AI18" s="475"/>
      <c r="AJ18" s="475"/>
      <c r="AK18" s="475"/>
      <c r="AL18" s="475"/>
      <c r="AM18" s="475"/>
      <c r="AN18" s="475"/>
      <c r="AO18" s="475"/>
      <c r="AP18" s="475"/>
      <c r="AQ18" s="475"/>
    </row>
    <row r="19" spans="2:45" s="383" customFormat="1" ht="29.25" customHeight="1" thickBot="1">
      <c r="B19" s="477" t="s">
        <v>1173</v>
      </c>
      <c r="C19" s="377" t="s">
        <v>1172</v>
      </c>
      <c r="D19" s="384" t="s">
        <v>1171</v>
      </c>
      <c r="E19" s="384" t="s">
        <v>1170</v>
      </c>
      <c r="F19" s="384" t="s">
        <v>1169</v>
      </c>
      <c r="G19" s="460" t="s">
        <v>1168</v>
      </c>
      <c r="H19" s="477" t="s">
        <v>1167</v>
      </c>
      <c r="I19" s="477" t="s">
        <v>1166</v>
      </c>
      <c r="J19" s="477" t="s">
        <v>1165</v>
      </c>
      <c r="K19" s="477" t="s">
        <v>1164</v>
      </c>
      <c r="L19" s="477" t="s">
        <v>1163</v>
      </c>
      <c r="M19" s="477" t="s">
        <v>1162</v>
      </c>
      <c r="N19" s="477" t="s">
        <v>1161</v>
      </c>
      <c r="O19" s="478" t="s">
        <v>1160</v>
      </c>
      <c r="P19" s="477" t="s">
        <v>1159</v>
      </c>
      <c r="Q19" s="477" t="s">
        <v>1158</v>
      </c>
      <c r="R19" s="477" t="s">
        <v>1157</v>
      </c>
      <c r="S19" s="477" t="s">
        <v>1156</v>
      </c>
      <c r="T19" s="477" t="s">
        <v>1155</v>
      </c>
      <c r="U19" s="477" t="s">
        <v>1154</v>
      </c>
      <c r="V19" s="477" t="s">
        <v>1153</v>
      </c>
      <c r="W19" s="477" t="s">
        <v>1152</v>
      </c>
      <c r="X19" s="477" t="s">
        <v>1151</v>
      </c>
      <c r="Y19" s="477" t="s">
        <v>1150</v>
      </c>
      <c r="Z19" s="477" t="s">
        <v>1149</v>
      </c>
      <c r="AA19" s="477" t="s">
        <v>1148</v>
      </c>
      <c r="AB19" s="477" t="s">
        <v>1147</v>
      </c>
      <c r="AC19" s="392" t="s">
        <v>1146</v>
      </c>
      <c r="AD19" s="392" t="s">
        <v>1145</v>
      </c>
      <c r="AE19" s="392" t="s">
        <v>1144</v>
      </c>
      <c r="AF19" s="392" t="s">
        <v>1143</v>
      </c>
      <c r="AG19" s="392" t="s">
        <v>1142</v>
      </c>
      <c r="AH19" s="392" t="s">
        <v>1141</v>
      </c>
      <c r="AI19" s="377" t="s">
        <v>1140</v>
      </c>
      <c r="AJ19" s="377" t="s">
        <v>1139</v>
      </c>
      <c r="AK19" s="377" t="s">
        <v>1138</v>
      </c>
      <c r="AL19" s="377" t="s">
        <v>1137</v>
      </c>
      <c r="AM19" s="377" t="s">
        <v>1136</v>
      </c>
      <c r="AN19" s="377" t="s">
        <v>1135</v>
      </c>
      <c r="AO19" s="464" t="s">
        <v>1134</v>
      </c>
      <c r="AP19" s="464" t="s">
        <v>1133</v>
      </c>
      <c r="AQ19" s="464" t="s">
        <v>1132</v>
      </c>
    </row>
    <row r="20" spans="2:45">
      <c r="B20" s="491" t="s">
        <v>1241</v>
      </c>
      <c r="C20" s="488">
        <v>42744</v>
      </c>
      <c r="D20" s="382">
        <v>92.73</v>
      </c>
      <c r="E20" s="382">
        <v>0</v>
      </c>
      <c r="F20" s="463" t="s">
        <v>657</v>
      </c>
      <c r="G20" s="491" t="s">
        <v>1242</v>
      </c>
      <c r="H20" s="391" t="s">
        <v>1071</v>
      </c>
      <c r="I20" s="491" t="s">
        <v>1099</v>
      </c>
      <c r="J20" s="491" t="s">
        <v>1243</v>
      </c>
      <c r="K20" s="491" t="s">
        <v>1068</v>
      </c>
      <c r="L20" s="376" t="s">
        <v>1244</v>
      </c>
      <c r="M20" s="376"/>
      <c r="N20" s="376" t="s">
        <v>1245</v>
      </c>
      <c r="O20" s="381">
        <v>42736</v>
      </c>
      <c r="P20" s="376" t="s">
        <v>1246</v>
      </c>
      <c r="Q20" s="376">
        <v>13253</v>
      </c>
      <c r="R20" s="491" t="s">
        <v>1247</v>
      </c>
      <c r="U20" s="491" t="s">
        <v>1248</v>
      </c>
      <c r="V20" s="491" t="s">
        <v>1249</v>
      </c>
      <c r="W20" s="491">
        <v>2000</v>
      </c>
      <c r="X20" s="488">
        <v>42744</v>
      </c>
      <c r="Y20" s="488">
        <v>42744</v>
      </c>
      <c r="Z20" s="491">
        <v>8400</v>
      </c>
      <c r="AA20" s="488">
        <v>42801</v>
      </c>
      <c r="AB20" s="491" t="s">
        <v>1066</v>
      </c>
      <c r="AC20" s="491">
        <v>0</v>
      </c>
      <c r="AD20" s="491">
        <v>0</v>
      </c>
      <c r="AE20" s="491">
        <v>0</v>
      </c>
      <c r="AF20" s="491">
        <v>0</v>
      </c>
      <c r="AG20" s="491">
        <v>0</v>
      </c>
      <c r="AH20" s="491">
        <v>1</v>
      </c>
      <c r="AI20" s="491">
        <v>70195</v>
      </c>
      <c r="AJ20" s="491">
        <v>2120</v>
      </c>
      <c r="AK20" s="491">
        <v>0</v>
      </c>
      <c r="AL20" s="491">
        <v>0</v>
      </c>
      <c r="AO20" s="391"/>
      <c r="AP20" s="391"/>
      <c r="AQ20" s="491" t="str">
        <f>IF(LEFT(U20,2)="VO",U20,"")</f>
        <v>VO04166261</v>
      </c>
      <c r="AS20" s="491" t="str">
        <f>IF(RIGHT(K20,2)="IC",IF(OR(AB20="wci_canada",AB20="wci_can_corp"),"wci_can_Corp","wci_corp"),AB20)</f>
        <v>wci_corp</v>
      </c>
    </row>
    <row r="21" spans="2:45">
      <c r="B21" s="491" t="s">
        <v>1241</v>
      </c>
      <c r="C21" s="488">
        <v>42748</v>
      </c>
      <c r="D21" s="382">
        <v>300</v>
      </c>
      <c r="E21" s="382">
        <v>0</v>
      </c>
      <c r="F21" s="463" t="s">
        <v>657</v>
      </c>
      <c r="G21" s="491" t="s">
        <v>1250</v>
      </c>
      <c r="H21" s="391" t="s">
        <v>1071</v>
      </c>
      <c r="I21" s="491" t="s">
        <v>1099</v>
      </c>
      <c r="J21" s="491" t="s">
        <v>1243</v>
      </c>
      <c r="K21" s="491" t="s">
        <v>1068</v>
      </c>
      <c r="L21" s="376" t="s">
        <v>1251</v>
      </c>
      <c r="M21" s="376"/>
      <c r="N21" s="376" t="s">
        <v>1252</v>
      </c>
      <c r="O21" s="381">
        <v>42739</v>
      </c>
      <c r="P21" s="376" t="s">
        <v>1253</v>
      </c>
      <c r="Q21" s="376">
        <v>55</v>
      </c>
      <c r="R21" s="491" t="s">
        <v>1254</v>
      </c>
      <c r="U21" s="491" t="s">
        <v>1255</v>
      </c>
      <c r="V21" s="491" t="s">
        <v>1256</v>
      </c>
      <c r="W21" s="491">
        <v>2195</v>
      </c>
      <c r="X21" s="488">
        <v>42748</v>
      </c>
      <c r="Y21" s="488">
        <v>42748</v>
      </c>
      <c r="Z21" s="491">
        <v>300</v>
      </c>
      <c r="AA21" s="488">
        <v>42804</v>
      </c>
      <c r="AB21" s="491" t="s">
        <v>1066</v>
      </c>
      <c r="AC21" s="491">
        <v>0</v>
      </c>
      <c r="AD21" s="491">
        <v>0</v>
      </c>
      <c r="AE21" s="491">
        <v>0</v>
      </c>
      <c r="AF21" s="491">
        <v>0</v>
      </c>
      <c r="AG21" s="491">
        <v>0</v>
      </c>
      <c r="AH21" s="491">
        <v>1</v>
      </c>
      <c r="AI21" s="491">
        <v>70195</v>
      </c>
      <c r="AJ21" s="491">
        <v>2120</v>
      </c>
      <c r="AK21" s="491">
        <v>0</v>
      </c>
      <c r="AL21" s="491">
        <v>0</v>
      </c>
      <c r="AO21" s="391"/>
      <c r="AP21" s="391"/>
      <c r="AQ21" s="491" t="str">
        <f t="shared" ref="AQ21:AQ46" si="0">IF(LEFT(U21,2)="VO",U21,"")</f>
        <v>VO04172043</v>
      </c>
      <c r="AS21" s="491" t="str">
        <f t="shared" ref="AS21:AS46" si="1">IF(RIGHT(K21,2)="IC",IF(OR(AB21="wci_canada",AB21="wci_can_corp"),"wci_can_Corp","wci_corp"),AB21)</f>
        <v>wci_corp</v>
      </c>
    </row>
    <row r="22" spans="2:45">
      <c r="B22" s="491" t="s">
        <v>1241</v>
      </c>
      <c r="C22" s="488">
        <v>42766</v>
      </c>
      <c r="D22" s="382">
        <v>-30</v>
      </c>
      <c r="E22" s="382">
        <v>0</v>
      </c>
      <c r="F22" s="463" t="s">
        <v>657</v>
      </c>
      <c r="G22" s="491" t="s">
        <v>1257</v>
      </c>
      <c r="H22" s="391" t="s">
        <v>1071</v>
      </c>
      <c r="I22" s="491" t="s">
        <v>1077</v>
      </c>
      <c r="J22" s="491" t="s">
        <v>1119</v>
      </c>
      <c r="K22" s="491" t="s">
        <v>1068</v>
      </c>
      <c r="L22" s="376"/>
      <c r="M22" s="376"/>
      <c r="N22" s="376" t="s">
        <v>1258</v>
      </c>
      <c r="O22" s="381"/>
      <c r="P22" s="376"/>
      <c r="Q22" s="376"/>
      <c r="U22" s="491" t="s">
        <v>1259</v>
      </c>
      <c r="V22" s="491" t="s">
        <v>1260</v>
      </c>
      <c r="X22" s="488">
        <v>42741</v>
      </c>
      <c r="Y22" s="488">
        <v>42741</v>
      </c>
      <c r="AA22" s="488"/>
      <c r="AB22" s="491" t="s">
        <v>1066</v>
      </c>
      <c r="AC22" s="491">
        <v>0</v>
      </c>
      <c r="AD22" s="491">
        <v>0</v>
      </c>
      <c r="AE22" s="491">
        <v>0</v>
      </c>
      <c r="AF22" s="491">
        <v>0</v>
      </c>
      <c r="AG22" s="491">
        <v>5</v>
      </c>
      <c r="AH22" s="491">
        <v>1</v>
      </c>
      <c r="AI22" s="491">
        <v>70195</v>
      </c>
      <c r="AJ22" s="491">
        <v>2120</v>
      </c>
      <c r="AK22" s="491">
        <v>0</v>
      </c>
      <c r="AL22" s="491">
        <v>0</v>
      </c>
      <c r="AO22" s="391"/>
      <c r="AP22" s="391"/>
      <c r="AQ22" s="491" t="str">
        <f t="shared" si="0"/>
        <v/>
      </c>
      <c r="AS22" s="491" t="str">
        <f t="shared" si="1"/>
        <v>wci_corp</v>
      </c>
    </row>
    <row r="23" spans="2:45">
      <c r="B23" s="491" t="s">
        <v>1241</v>
      </c>
      <c r="C23" s="488">
        <v>42766</v>
      </c>
      <c r="D23" s="382">
        <v>-240</v>
      </c>
      <c r="E23" s="382">
        <v>0</v>
      </c>
      <c r="F23" s="463" t="s">
        <v>657</v>
      </c>
      <c r="G23" s="491" t="s">
        <v>1257</v>
      </c>
      <c r="H23" s="391" t="s">
        <v>1071</v>
      </c>
      <c r="I23" s="491" t="s">
        <v>1077</v>
      </c>
      <c r="J23" s="491" t="s">
        <v>1119</v>
      </c>
      <c r="K23" s="491" t="s">
        <v>1068</v>
      </c>
      <c r="L23" s="376"/>
      <c r="M23" s="376"/>
      <c r="N23" s="376" t="s">
        <v>1261</v>
      </c>
      <c r="O23" s="381"/>
      <c r="P23" s="376"/>
      <c r="Q23" s="376"/>
      <c r="U23" s="491" t="s">
        <v>1259</v>
      </c>
      <c r="V23" s="491" t="s">
        <v>1260</v>
      </c>
      <c r="X23" s="488">
        <v>42741</v>
      </c>
      <c r="Y23" s="488">
        <v>42741</v>
      </c>
      <c r="AA23" s="488"/>
      <c r="AB23" s="491" t="s">
        <v>1066</v>
      </c>
      <c r="AC23" s="491">
        <v>0</v>
      </c>
      <c r="AD23" s="491">
        <v>0</v>
      </c>
      <c r="AE23" s="491">
        <v>0</v>
      </c>
      <c r="AF23" s="491">
        <v>0</v>
      </c>
      <c r="AG23" s="491">
        <v>5</v>
      </c>
      <c r="AH23" s="491">
        <v>1</v>
      </c>
      <c r="AI23" s="491">
        <v>70195</v>
      </c>
      <c r="AJ23" s="491">
        <v>2120</v>
      </c>
      <c r="AK23" s="491">
        <v>0</v>
      </c>
      <c r="AL23" s="491">
        <v>0</v>
      </c>
      <c r="AO23" s="391"/>
      <c r="AP23" s="391"/>
      <c r="AQ23" s="491" t="str">
        <f t="shared" si="0"/>
        <v/>
      </c>
      <c r="AS23" s="491" t="str">
        <f t="shared" si="1"/>
        <v>wci_corp</v>
      </c>
    </row>
    <row r="24" spans="2:45">
      <c r="B24" s="491" t="s">
        <v>1241</v>
      </c>
      <c r="C24" s="488">
        <v>42766</v>
      </c>
      <c r="D24" s="382">
        <v>30</v>
      </c>
      <c r="E24" s="382">
        <v>0</v>
      </c>
      <c r="F24" s="463" t="s">
        <v>657</v>
      </c>
      <c r="G24" s="491" t="s">
        <v>1262</v>
      </c>
      <c r="H24" s="391" t="s">
        <v>1071</v>
      </c>
      <c r="I24" s="491" t="s">
        <v>1263</v>
      </c>
      <c r="J24" s="491" t="s">
        <v>1119</v>
      </c>
      <c r="K24" s="491" t="s">
        <v>1068</v>
      </c>
      <c r="L24" s="376"/>
      <c r="M24" s="376"/>
      <c r="N24" s="376" t="s">
        <v>1258</v>
      </c>
      <c r="O24" s="381"/>
      <c r="P24" s="376"/>
      <c r="Q24" s="376"/>
      <c r="U24" s="491" t="s">
        <v>1264</v>
      </c>
      <c r="V24" s="491" t="s">
        <v>1264</v>
      </c>
      <c r="X24" s="488">
        <v>42769</v>
      </c>
      <c r="Y24" s="488">
        <v>42769</v>
      </c>
      <c r="AA24" s="488"/>
      <c r="AB24" s="491" t="s">
        <v>1066</v>
      </c>
      <c r="AC24" s="491">
        <v>0</v>
      </c>
      <c r="AD24" s="491">
        <v>0</v>
      </c>
      <c r="AE24" s="491">
        <v>0</v>
      </c>
      <c r="AF24" s="491">
        <v>0</v>
      </c>
      <c r="AG24" s="491">
        <v>0</v>
      </c>
      <c r="AH24" s="491">
        <v>1</v>
      </c>
      <c r="AI24" s="491">
        <v>70195</v>
      </c>
      <c r="AJ24" s="491">
        <v>2120</v>
      </c>
      <c r="AK24" s="491">
        <v>0</v>
      </c>
      <c r="AL24" s="491">
        <v>0</v>
      </c>
      <c r="AO24" s="391"/>
      <c r="AP24" s="391"/>
      <c r="AQ24" s="491" t="str">
        <f t="shared" si="0"/>
        <v/>
      </c>
      <c r="AS24" s="491" t="str">
        <f t="shared" si="1"/>
        <v>wci_corp</v>
      </c>
    </row>
    <row r="25" spans="2:45">
      <c r="B25" s="491" t="s">
        <v>1241</v>
      </c>
      <c r="C25" s="488">
        <v>42766</v>
      </c>
      <c r="D25" s="382">
        <v>240</v>
      </c>
      <c r="E25" s="382">
        <v>0</v>
      </c>
      <c r="F25" s="463" t="s">
        <v>657</v>
      </c>
      <c r="G25" s="491" t="s">
        <v>1262</v>
      </c>
      <c r="H25" s="391" t="s">
        <v>1071</v>
      </c>
      <c r="I25" s="491" t="s">
        <v>1263</v>
      </c>
      <c r="J25" s="491" t="s">
        <v>1119</v>
      </c>
      <c r="K25" s="491" t="s">
        <v>1068</v>
      </c>
      <c r="L25" s="376"/>
      <c r="M25" s="376"/>
      <c r="N25" s="376" t="s">
        <v>1261</v>
      </c>
      <c r="O25" s="381"/>
      <c r="P25" s="376"/>
      <c r="Q25" s="376"/>
      <c r="U25" s="491" t="s">
        <v>1264</v>
      </c>
      <c r="V25" s="491" t="s">
        <v>1264</v>
      </c>
      <c r="X25" s="488">
        <v>42769</v>
      </c>
      <c r="Y25" s="488">
        <v>42769</v>
      </c>
      <c r="AA25" s="488"/>
      <c r="AB25" s="491" t="s">
        <v>1066</v>
      </c>
      <c r="AC25" s="491">
        <v>0</v>
      </c>
      <c r="AD25" s="491">
        <v>0</v>
      </c>
      <c r="AE25" s="491">
        <v>0</v>
      </c>
      <c r="AF25" s="491">
        <v>0</v>
      </c>
      <c r="AG25" s="491">
        <v>0</v>
      </c>
      <c r="AH25" s="491">
        <v>1</v>
      </c>
      <c r="AI25" s="491">
        <v>70195</v>
      </c>
      <c r="AJ25" s="491">
        <v>2120</v>
      </c>
      <c r="AK25" s="491">
        <v>0</v>
      </c>
      <c r="AL25" s="491">
        <v>0</v>
      </c>
      <c r="AO25" s="391"/>
      <c r="AP25" s="391"/>
      <c r="AQ25" s="491" t="str">
        <f t="shared" si="0"/>
        <v/>
      </c>
      <c r="AS25" s="491" t="str">
        <f t="shared" si="1"/>
        <v>wci_corp</v>
      </c>
    </row>
    <row r="26" spans="2:45">
      <c r="B26" s="491" t="s">
        <v>1241</v>
      </c>
      <c r="C26" s="488">
        <v>42769</v>
      </c>
      <c r="D26" s="382">
        <v>91.2</v>
      </c>
      <c r="E26" s="382">
        <v>0</v>
      </c>
      <c r="F26" s="463" t="s">
        <v>657</v>
      </c>
      <c r="G26" s="491" t="s">
        <v>1265</v>
      </c>
      <c r="H26" s="391" t="s">
        <v>1071</v>
      </c>
      <c r="I26" s="491" t="s">
        <v>1099</v>
      </c>
      <c r="J26" s="491" t="s">
        <v>1243</v>
      </c>
      <c r="K26" s="491" t="s">
        <v>1068</v>
      </c>
      <c r="L26" s="376" t="s">
        <v>1244</v>
      </c>
      <c r="M26" s="376"/>
      <c r="N26" s="376" t="s">
        <v>1245</v>
      </c>
      <c r="O26" s="381">
        <v>42767</v>
      </c>
      <c r="P26" s="376" t="s">
        <v>1266</v>
      </c>
      <c r="Q26" s="376">
        <v>13305</v>
      </c>
      <c r="R26" s="491" t="s">
        <v>1267</v>
      </c>
      <c r="U26" s="491" t="s">
        <v>1268</v>
      </c>
      <c r="V26" s="491" t="s">
        <v>1269</v>
      </c>
      <c r="W26" s="491">
        <v>2000</v>
      </c>
      <c r="X26" s="488">
        <v>42769</v>
      </c>
      <c r="Y26" s="488">
        <v>42769</v>
      </c>
      <c r="Z26" s="491">
        <v>8399.98</v>
      </c>
      <c r="AA26" s="488">
        <v>42832</v>
      </c>
      <c r="AB26" s="491" t="s">
        <v>1066</v>
      </c>
      <c r="AC26" s="491">
        <v>0</v>
      </c>
      <c r="AD26" s="491">
        <v>0</v>
      </c>
      <c r="AE26" s="491">
        <v>0</v>
      </c>
      <c r="AF26" s="491">
        <v>0</v>
      </c>
      <c r="AG26" s="491">
        <v>0</v>
      </c>
      <c r="AH26" s="491">
        <v>1</v>
      </c>
      <c r="AI26" s="491">
        <v>70195</v>
      </c>
      <c r="AJ26" s="491">
        <v>2120</v>
      </c>
      <c r="AK26" s="491">
        <v>0</v>
      </c>
      <c r="AL26" s="491">
        <v>0</v>
      </c>
      <c r="AO26" s="391"/>
      <c r="AP26" s="391"/>
      <c r="AQ26" s="491" t="str">
        <f t="shared" si="0"/>
        <v>VO04192647</v>
      </c>
      <c r="AS26" s="491" t="str">
        <f t="shared" si="1"/>
        <v>wci_corp</v>
      </c>
    </row>
    <row r="27" spans="2:45">
      <c r="B27" s="491" t="s">
        <v>1241</v>
      </c>
      <c r="C27" s="488">
        <v>42797</v>
      </c>
      <c r="D27" s="382">
        <v>104</v>
      </c>
      <c r="E27" s="382">
        <v>0</v>
      </c>
      <c r="F27" s="463" t="s">
        <v>657</v>
      </c>
      <c r="G27" s="491" t="s">
        <v>1270</v>
      </c>
      <c r="H27" s="391" t="s">
        <v>1071</v>
      </c>
      <c r="I27" s="491" t="s">
        <v>1099</v>
      </c>
      <c r="J27" s="491" t="s">
        <v>1243</v>
      </c>
      <c r="K27" s="491" t="s">
        <v>1068</v>
      </c>
      <c r="L27" s="376" t="s">
        <v>1271</v>
      </c>
      <c r="M27" s="376"/>
      <c r="N27" s="376" t="s">
        <v>1272</v>
      </c>
      <c r="O27" s="381">
        <v>42795</v>
      </c>
      <c r="P27" s="376" t="s">
        <v>1273</v>
      </c>
      <c r="Q27" s="376">
        <v>176910</v>
      </c>
      <c r="R27" s="491" t="s">
        <v>1274</v>
      </c>
      <c r="U27" s="491" t="s">
        <v>1275</v>
      </c>
      <c r="V27" s="491" t="s">
        <v>1276</v>
      </c>
      <c r="W27" s="491">
        <v>2000</v>
      </c>
      <c r="X27" s="488">
        <v>42797</v>
      </c>
      <c r="Y27" s="488">
        <v>42797</v>
      </c>
      <c r="Z27" s="491">
        <v>2600</v>
      </c>
      <c r="AA27" s="488">
        <v>42805</v>
      </c>
      <c r="AB27" s="491" t="s">
        <v>1066</v>
      </c>
      <c r="AC27" s="491">
        <v>0</v>
      </c>
      <c r="AD27" s="491">
        <v>0</v>
      </c>
      <c r="AE27" s="491">
        <v>0</v>
      </c>
      <c r="AF27" s="491">
        <v>0</v>
      </c>
      <c r="AG27" s="491">
        <v>0</v>
      </c>
      <c r="AH27" s="491">
        <v>1</v>
      </c>
      <c r="AI27" s="491">
        <v>70195</v>
      </c>
      <c r="AJ27" s="491">
        <v>2120</v>
      </c>
      <c r="AK27" s="491">
        <v>0</v>
      </c>
      <c r="AL27" s="491">
        <v>0</v>
      </c>
      <c r="AO27" s="391"/>
      <c r="AP27" s="391"/>
      <c r="AQ27" s="491" t="str">
        <f t="shared" si="0"/>
        <v>VO04220208</v>
      </c>
      <c r="AS27" s="491" t="str">
        <f t="shared" si="1"/>
        <v>wci_corp</v>
      </c>
    </row>
    <row r="28" spans="2:45">
      <c r="B28" s="491" t="s">
        <v>1241</v>
      </c>
      <c r="C28" s="488">
        <v>42803</v>
      </c>
      <c r="D28" s="382">
        <v>92.73</v>
      </c>
      <c r="E28" s="382">
        <v>0</v>
      </c>
      <c r="F28" s="463" t="s">
        <v>657</v>
      </c>
      <c r="G28" s="491" t="s">
        <v>1277</v>
      </c>
      <c r="H28" s="391" t="s">
        <v>1071</v>
      </c>
      <c r="I28" s="491" t="s">
        <v>1099</v>
      </c>
      <c r="J28" s="491" t="s">
        <v>1243</v>
      </c>
      <c r="K28" s="491" t="s">
        <v>1068</v>
      </c>
      <c r="L28" s="376" t="s">
        <v>1244</v>
      </c>
      <c r="M28" s="376"/>
      <c r="N28" s="376" t="s">
        <v>1245</v>
      </c>
      <c r="O28" s="381">
        <v>42795</v>
      </c>
      <c r="P28" s="376" t="s">
        <v>1278</v>
      </c>
      <c r="Q28" s="376">
        <v>13332</v>
      </c>
      <c r="R28" s="491" t="s">
        <v>1279</v>
      </c>
      <c r="U28" s="491" t="s">
        <v>1280</v>
      </c>
      <c r="V28" s="491" t="s">
        <v>1281</v>
      </c>
      <c r="W28" s="491">
        <v>2000</v>
      </c>
      <c r="X28" s="488">
        <v>42804</v>
      </c>
      <c r="Y28" s="488">
        <v>42808</v>
      </c>
      <c r="Z28" s="491">
        <v>8400</v>
      </c>
      <c r="AA28" s="488">
        <v>42860</v>
      </c>
      <c r="AB28" s="491" t="s">
        <v>1066</v>
      </c>
      <c r="AC28" s="491">
        <v>0</v>
      </c>
      <c r="AD28" s="491">
        <v>0</v>
      </c>
      <c r="AE28" s="491">
        <v>0</v>
      </c>
      <c r="AF28" s="491">
        <v>0</v>
      </c>
      <c r="AG28" s="491">
        <v>0</v>
      </c>
      <c r="AH28" s="491">
        <v>1</v>
      </c>
      <c r="AI28" s="491">
        <v>70195</v>
      </c>
      <c r="AJ28" s="491">
        <v>2120</v>
      </c>
      <c r="AK28" s="491">
        <v>0</v>
      </c>
      <c r="AL28" s="491">
        <v>0</v>
      </c>
      <c r="AO28" s="391"/>
      <c r="AP28" s="391"/>
      <c r="AQ28" s="491" t="str">
        <f t="shared" si="0"/>
        <v>VO04226137</v>
      </c>
      <c r="AS28" s="491" t="str">
        <f t="shared" si="1"/>
        <v>wci_corp</v>
      </c>
    </row>
    <row r="29" spans="2:45">
      <c r="B29" s="491" t="s">
        <v>1241</v>
      </c>
      <c r="C29" s="488">
        <v>42837</v>
      </c>
      <c r="D29" s="382">
        <v>91.2</v>
      </c>
      <c r="E29" s="382">
        <v>0</v>
      </c>
      <c r="F29" s="463" t="s">
        <v>657</v>
      </c>
      <c r="G29" s="491" t="s">
        <v>1282</v>
      </c>
      <c r="H29" s="391" t="s">
        <v>1071</v>
      </c>
      <c r="I29" s="491" t="s">
        <v>1099</v>
      </c>
      <c r="J29" s="491" t="s">
        <v>1098</v>
      </c>
      <c r="K29" s="491" t="s">
        <v>1068</v>
      </c>
      <c r="L29" s="376" t="s">
        <v>1244</v>
      </c>
      <c r="M29" s="376"/>
      <c r="N29" s="376" t="s">
        <v>1245</v>
      </c>
      <c r="O29" s="381">
        <v>42826</v>
      </c>
      <c r="P29" s="376" t="s">
        <v>1283</v>
      </c>
      <c r="Q29" s="376">
        <v>13359</v>
      </c>
      <c r="R29" s="491" t="s">
        <v>1284</v>
      </c>
      <c r="U29" s="491" t="s">
        <v>1285</v>
      </c>
      <c r="V29" s="491" t="s">
        <v>1286</v>
      </c>
      <c r="W29" s="491">
        <v>2000</v>
      </c>
      <c r="X29" s="488">
        <v>42837</v>
      </c>
      <c r="Y29" s="488">
        <v>42843</v>
      </c>
      <c r="Z29" s="491">
        <v>8400</v>
      </c>
      <c r="AA29" s="488">
        <v>42891</v>
      </c>
      <c r="AB29" s="491" t="s">
        <v>1066</v>
      </c>
      <c r="AC29" s="491">
        <v>0</v>
      </c>
      <c r="AD29" s="491">
        <v>0</v>
      </c>
      <c r="AE29" s="491">
        <v>0</v>
      </c>
      <c r="AF29" s="491">
        <v>0</v>
      </c>
      <c r="AG29" s="491">
        <v>0</v>
      </c>
      <c r="AH29" s="491">
        <v>1</v>
      </c>
      <c r="AI29" s="491">
        <v>70195</v>
      </c>
      <c r="AJ29" s="491">
        <v>2120</v>
      </c>
      <c r="AK29" s="491">
        <v>0</v>
      </c>
      <c r="AL29" s="491">
        <v>0</v>
      </c>
      <c r="AO29" s="391"/>
      <c r="AP29" s="391"/>
      <c r="AQ29" s="491" t="str">
        <f t="shared" si="0"/>
        <v>VO04255529</v>
      </c>
      <c r="AS29" s="491" t="str">
        <f t="shared" si="1"/>
        <v>wci_corp</v>
      </c>
    </row>
    <row r="30" spans="2:45">
      <c r="B30" s="491" t="s">
        <v>1241</v>
      </c>
      <c r="C30" s="488">
        <v>42872</v>
      </c>
      <c r="D30" s="382">
        <v>91.2</v>
      </c>
      <c r="E30" s="382">
        <v>0</v>
      </c>
      <c r="F30" s="463" t="s">
        <v>657</v>
      </c>
      <c r="G30" s="491" t="s">
        <v>1287</v>
      </c>
      <c r="H30" s="391" t="s">
        <v>1071</v>
      </c>
      <c r="I30" s="491" t="s">
        <v>1099</v>
      </c>
      <c r="J30" s="491" t="s">
        <v>1243</v>
      </c>
      <c r="K30" s="491" t="s">
        <v>1068</v>
      </c>
      <c r="L30" s="376" t="s">
        <v>1244</v>
      </c>
      <c r="M30" s="376"/>
      <c r="N30" s="376" t="s">
        <v>1245</v>
      </c>
      <c r="O30" s="381">
        <v>42856</v>
      </c>
      <c r="P30" s="376" t="s">
        <v>1288</v>
      </c>
      <c r="Q30" s="376">
        <v>13423</v>
      </c>
      <c r="R30" s="491" t="s">
        <v>1289</v>
      </c>
      <c r="U30" s="491" t="s">
        <v>1290</v>
      </c>
      <c r="V30" s="491" t="s">
        <v>1291</v>
      </c>
      <c r="W30" s="491">
        <v>2000</v>
      </c>
      <c r="X30" s="488">
        <v>42872</v>
      </c>
      <c r="Y30" s="488">
        <v>42872</v>
      </c>
      <c r="Z30" s="491">
        <v>8400</v>
      </c>
      <c r="AA30" s="488">
        <v>42921</v>
      </c>
      <c r="AB30" s="491" t="s">
        <v>1066</v>
      </c>
      <c r="AC30" s="491">
        <v>0</v>
      </c>
      <c r="AD30" s="491">
        <v>0</v>
      </c>
      <c r="AE30" s="491">
        <v>0</v>
      </c>
      <c r="AF30" s="491">
        <v>0</v>
      </c>
      <c r="AG30" s="491">
        <v>0</v>
      </c>
      <c r="AH30" s="491">
        <v>1</v>
      </c>
      <c r="AI30" s="491">
        <v>70195</v>
      </c>
      <c r="AJ30" s="491">
        <v>2120</v>
      </c>
      <c r="AK30" s="491">
        <v>0</v>
      </c>
      <c r="AL30" s="491">
        <v>0</v>
      </c>
      <c r="AO30" s="391"/>
      <c r="AP30" s="391"/>
      <c r="AQ30" s="491" t="str">
        <f t="shared" si="0"/>
        <v>VO04292441</v>
      </c>
      <c r="AS30" s="491" t="str">
        <f t="shared" si="1"/>
        <v>wci_corp</v>
      </c>
    </row>
    <row r="31" spans="2:45">
      <c r="B31" s="491" t="s">
        <v>1241</v>
      </c>
      <c r="C31" s="488">
        <v>42916</v>
      </c>
      <c r="D31" s="382">
        <v>91.2</v>
      </c>
      <c r="E31" s="382">
        <v>0</v>
      </c>
      <c r="F31" s="463" t="s">
        <v>657</v>
      </c>
      <c r="G31" s="491" t="s">
        <v>1292</v>
      </c>
      <c r="H31" s="391" t="s">
        <v>1071</v>
      </c>
      <c r="I31" s="491" t="s">
        <v>1293</v>
      </c>
      <c r="J31" s="491" t="s">
        <v>1084</v>
      </c>
      <c r="K31" s="491" t="s">
        <v>1068</v>
      </c>
      <c r="L31" s="376"/>
      <c r="M31" s="376"/>
      <c r="N31" s="376" t="s">
        <v>1294</v>
      </c>
      <c r="O31" s="381"/>
      <c r="P31" s="376"/>
      <c r="Q31" s="376"/>
      <c r="U31" s="491" t="s">
        <v>1295</v>
      </c>
      <c r="V31" s="491" t="s">
        <v>1295</v>
      </c>
      <c r="X31" s="488">
        <v>42926</v>
      </c>
      <c r="Y31" s="488">
        <v>42926</v>
      </c>
      <c r="AA31" s="488"/>
      <c r="AB31" s="491" t="s">
        <v>1066</v>
      </c>
      <c r="AC31" s="491">
        <v>0</v>
      </c>
      <c r="AD31" s="491">
        <v>0</v>
      </c>
      <c r="AE31" s="491">
        <v>0</v>
      </c>
      <c r="AF31" s="491">
        <v>0</v>
      </c>
      <c r="AG31" s="491">
        <v>0</v>
      </c>
      <c r="AH31" s="491">
        <v>1</v>
      </c>
      <c r="AI31" s="491">
        <v>70195</v>
      </c>
      <c r="AJ31" s="491">
        <v>2120</v>
      </c>
      <c r="AK31" s="491">
        <v>0</v>
      </c>
      <c r="AL31" s="491">
        <v>0</v>
      </c>
      <c r="AO31" s="391"/>
      <c r="AP31" s="391"/>
      <c r="AQ31" s="491" t="str">
        <f t="shared" si="0"/>
        <v/>
      </c>
      <c r="AS31" s="491" t="str">
        <f t="shared" si="1"/>
        <v>wci_corp</v>
      </c>
    </row>
    <row r="32" spans="2:45">
      <c r="B32" s="491" t="s">
        <v>1241</v>
      </c>
      <c r="C32" s="488">
        <v>42923</v>
      </c>
      <c r="D32" s="382">
        <v>91.2</v>
      </c>
      <c r="E32" s="382">
        <v>0</v>
      </c>
      <c r="F32" s="463" t="s">
        <v>657</v>
      </c>
      <c r="G32" s="491" t="s">
        <v>1296</v>
      </c>
      <c r="H32" s="391" t="s">
        <v>1071</v>
      </c>
      <c r="I32" s="491" t="s">
        <v>1099</v>
      </c>
      <c r="J32" s="491" t="s">
        <v>1243</v>
      </c>
      <c r="K32" s="491" t="s">
        <v>1068</v>
      </c>
      <c r="L32" s="376" t="s">
        <v>1244</v>
      </c>
      <c r="M32" s="376"/>
      <c r="N32" s="376" t="s">
        <v>1245</v>
      </c>
      <c r="O32" s="381">
        <v>42856</v>
      </c>
      <c r="P32" s="376" t="s">
        <v>1297</v>
      </c>
      <c r="Q32" s="376">
        <v>13486</v>
      </c>
      <c r="R32" s="491" t="s">
        <v>1298</v>
      </c>
      <c r="U32" s="491" t="s">
        <v>1299</v>
      </c>
      <c r="V32" s="491" t="s">
        <v>1300</v>
      </c>
      <c r="W32" s="491">
        <v>2000</v>
      </c>
      <c r="X32" s="488">
        <v>42923</v>
      </c>
      <c r="Y32" s="488">
        <v>42923</v>
      </c>
      <c r="Z32" s="491">
        <v>8400</v>
      </c>
      <c r="AA32" s="488">
        <v>42921</v>
      </c>
      <c r="AB32" s="491" t="s">
        <v>1066</v>
      </c>
      <c r="AC32" s="491">
        <v>0</v>
      </c>
      <c r="AD32" s="491">
        <v>0</v>
      </c>
      <c r="AE32" s="491">
        <v>0</v>
      </c>
      <c r="AF32" s="491">
        <v>0</v>
      </c>
      <c r="AG32" s="491">
        <v>0</v>
      </c>
      <c r="AH32" s="491">
        <v>1</v>
      </c>
      <c r="AI32" s="491">
        <v>70195</v>
      </c>
      <c r="AJ32" s="491">
        <v>2120</v>
      </c>
      <c r="AK32" s="491">
        <v>0</v>
      </c>
      <c r="AL32" s="491">
        <v>0</v>
      </c>
      <c r="AO32" s="391"/>
      <c r="AP32" s="391"/>
      <c r="AQ32" s="491" t="str">
        <f t="shared" si="0"/>
        <v>VO04340580</v>
      </c>
      <c r="AS32" s="491" t="str">
        <f t="shared" si="1"/>
        <v>wci_corp</v>
      </c>
    </row>
    <row r="33" spans="2:45">
      <c r="B33" s="491" t="s">
        <v>1241</v>
      </c>
      <c r="C33" s="488">
        <v>42947</v>
      </c>
      <c r="D33" s="382">
        <v>-91.2</v>
      </c>
      <c r="E33" s="382">
        <v>0</v>
      </c>
      <c r="F33" s="463" t="s">
        <v>657</v>
      </c>
      <c r="G33" s="491" t="s">
        <v>1301</v>
      </c>
      <c r="H33" s="391" t="s">
        <v>1071</v>
      </c>
      <c r="I33" s="491" t="s">
        <v>1293</v>
      </c>
      <c r="J33" s="491" t="s">
        <v>1302</v>
      </c>
      <c r="K33" s="491" t="s">
        <v>1068</v>
      </c>
      <c r="L33" s="376"/>
      <c r="M33" s="376"/>
      <c r="N33" s="376" t="s">
        <v>1294</v>
      </c>
      <c r="O33" s="381"/>
      <c r="P33" s="376"/>
      <c r="Q33" s="376"/>
      <c r="U33" s="491" t="s">
        <v>1295</v>
      </c>
      <c r="V33" s="491" t="s">
        <v>1303</v>
      </c>
      <c r="X33" s="488">
        <v>42926</v>
      </c>
      <c r="Y33" s="488">
        <v>42927</v>
      </c>
      <c r="AA33" s="488"/>
      <c r="AB33" s="491" t="s">
        <v>1066</v>
      </c>
      <c r="AC33" s="491">
        <v>0</v>
      </c>
      <c r="AD33" s="491">
        <v>0</v>
      </c>
      <c r="AE33" s="491">
        <v>0</v>
      </c>
      <c r="AF33" s="491">
        <v>0</v>
      </c>
      <c r="AG33" s="491">
        <v>5</v>
      </c>
      <c r="AH33" s="491">
        <v>1</v>
      </c>
      <c r="AI33" s="491">
        <v>70195</v>
      </c>
      <c r="AJ33" s="491">
        <v>2120</v>
      </c>
      <c r="AK33" s="491">
        <v>0</v>
      </c>
      <c r="AL33" s="491">
        <v>0</v>
      </c>
      <c r="AO33" s="391"/>
      <c r="AP33" s="391"/>
      <c r="AQ33" s="491" t="str">
        <f t="shared" si="0"/>
        <v/>
      </c>
      <c r="AS33" s="491" t="str">
        <f t="shared" si="1"/>
        <v>wci_corp</v>
      </c>
    </row>
    <row r="34" spans="2:45">
      <c r="B34" s="491" t="s">
        <v>1241</v>
      </c>
      <c r="C34" s="488">
        <v>42947</v>
      </c>
      <c r="D34" s="382">
        <v>106.72</v>
      </c>
      <c r="E34" s="382">
        <v>0</v>
      </c>
      <c r="F34" s="463" t="s">
        <v>657</v>
      </c>
      <c r="G34" s="491" t="s">
        <v>1104</v>
      </c>
      <c r="H34" s="391" t="s">
        <v>1071</v>
      </c>
      <c r="I34" s="491" t="s">
        <v>1103</v>
      </c>
      <c r="J34" s="491" t="s">
        <v>1084</v>
      </c>
      <c r="K34" s="491" t="s">
        <v>1068</v>
      </c>
      <c r="L34" s="376"/>
      <c r="M34" s="376"/>
      <c r="N34" s="376" t="s">
        <v>1304</v>
      </c>
      <c r="O34" s="381"/>
      <c r="P34" s="376"/>
      <c r="Q34" s="376"/>
      <c r="U34" s="491" t="s">
        <v>1102</v>
      </c>
      <c r="V34" s="491" t="s">
        <v>1102</v>
      </c>
      <c r="X34" s="488">
        <v>42948</v>
      </c>
      <c r="Y34" s="488">
        <v>42949</v>
      </c>
      <c r="AA34" s="488"/>
      <c r="AB34" s="491" t="s">
        <v>1066</v>
      </c>
      <c r="AC34" s="491">
        <v>0</v>
      </c>
      <c r="AD34" s="491">
        <v>0</v>
      </c>
      <c r="AE34" s="491">
        <v>0</v>
      </c>
      <c r="AF34" s="491">
        <v>0</v>
      </c>
      <c r="AG34" s="491">
        <v>0</v>
      </c>
      <c r="AH34" s="491">
        <v>1</v>
      </c>
      <c r="AI34" s="491">
        <v>70195</v>
      </c>
      <c r="AJ34" s="491">
        <v>2120</v>
      </c>
      <c r="AK34" s="491">
        <v>0</v>
      </c>
      <c r="AL34" s="491">
        <v>0</v>
      </c>
      <c r="AO34" s="391"/>
      <c r="AP34" s="391"/>
      <c r="AQ34" s="491" t="str">
        <f t="shared" si="0"/>
        <v/>
      </c>
      <c r="AS34" s="491" t="str">
        <f t="shared" si="1"/>
        <v>wci_corp</v>
      </c>
    </row>
    <row r="35" spans="2:45">
      <c r="B35" s="491" t="s">
        <v>1241</v>
      </c>
      <c r="C35" s="488">
        <v>42947</v>
      </c>
      <c r="D35" s="382">
        <v>91.2</v>
      </c>
      <c r="E35" s="382">
        <v>0</v>
      </c>
      <c r="F35" s="463" t="s">
        <v>657</v>
      </c>
      <c r="G35" s="491" t="s">
        <v>1305</v>
      </c>
      <c r="H35" s="391" t="s">
        <v>1071</v>
      </c>
      <c r="I35" s="491" t="s">
        <v>1293</v>
      </c>
      <c r="J35" s="491" t="s">
        <v>1084</v>
      </c>
      <c r="K35" s="491" t="s">
        <v>1068</v>
      </c>
      <c r="L35" s="376"/>
      <c r="M35" s="376"/>
      <c r="N35" s="376" t="s">
        <v>1306</v>
      </c>
      <c r="O35" s="381"/>
      <c r="P35" s="376"/>
      <c r="Q35" s="376"/>
      <c r="U35" s="491" t="s">
        <v>1307</v>
      </c>
      <c r="V35" s="491" t="s">
        <v>1307</v>
      </c>
      <c r="X35" s="488">
        <v>42954</v>
      </c>
      <c r="Y35" s="488">
        <v>42954</v>
      </c>
      <c r="AA35" s="488"/>
      <c r="AB35" s="491" t="s">
        <v>1066</v>
      </c>
      <c r="AC35" s="491">
        <v>0</v>
      </c>
      <c r="AD35" s="491">
        <v>0</v>
      </c>
      <c r="AE35" s="491">
        <v>0</v>
      </c>
      <c r="AF35" s="491">
        <v>0</v>
      </c>
      <c r="AG35" s="491">
        <v>0</v>
      </c>
      <c r="AH35" s="491">
        <v>1</v>
      </c>
      <c r="AI35" s="491">
        <v>70195</v>
      </c>
      <c r="AJ35" s="491">
        <v>2120</v>
      </c>
      <c r="AK35" s="491">
        <v>0</v>
      </c>
      <c r="AL35" s="491">
        <v>0</v>
      </c>
      <c r="AO35" s="391"/>
      <c r="AP35" s="391"/>
      <c r="AQ35" s="491" t="str">
        <f t="shared" si="0"/>
        <v/>
      </c>
      <c r="AS35" s="491" t="str">
        <f t="shared" si="1"/>
        <v>wci_corp</v>
      </c>
    </row>
    <row r="36" spans="2:45">
      <c r="B36" s="491" t="s">
        <v>1241</v>
      </c>
      <c r="C36" s="488">
        <v>42958</v>
      </c>
      <c r="D36" s="382">
        <v>91.2</v>
      </c>
      <c r="E36" s="382">
        <v>0</v>
      </c>
      <c r="F36" s="463" t="s">
        <v>657</v>
      </c>
      <c r="G36" s="491" t="s">
        <v>1308</v>
      </c>
      <c r="H36" s="391" t="s">
        <v>1071</v>
      </c>
      <c r="I36" s="491" t="s">
        <v>1099</v>
      </c>
      <c r="J36" s="491" t="s">
        <v>1243</v>
      </c>
      <c r="K36" s="491" t="s">
        <v>1068</v>
      </c>
      <c r="L36" s="376" t="s">
        <v>1244</v>
      </c>
      <c r="M36" s="376"/>
      <c r="N36" s="376" t="s">
        <v>1245</v>
      </c>
      <c r="O36" s="381">
        <v>42948</v>
      </c>
      <c r="P36" s="376" t="s">
        <v>1309</v>
      </c>
      <c r="Q36" s="376">
        <v>13600</v>
      </c>
      <c r="R36" s="491" t="s">
        <v>1310</v>
      </c>
      <c r="U36" s="491" t="s">
        <v>1311</v>
      </c>
      <c r="V36" s="491" t="s">
        <v>1312</v>
      </c>
      <c r="W36" s="491">
        <v>2000</v>
      </c>
      <c r="X36" s="488">
        <v>42958</v>
      </c>
      <c r="Y36" s="488">
        <v>42963</v>
      </c>
      <c r="Z36" s="491">
        <v>8400</v>
      </c>
      <c r="AA36" s="488">
        <v>43013</v>
      </c>
      <c r="AB36" s="491" t="s">
        <v>1066</v>
      </c>
      <c r="AC36" s="491">
        <v>0</v>
      </c>
      <c r="AD36" s="491">
        <v>0</v>
      </c>
      <c r="AE36" s="491">
        <v>0</v>
      </c>
      <c r="AF36" s="491">
        <v>0</v>
      </c>
      <c r="AG36" s="491">
        <v>0</v>
      </c>
      <c r="AH36" s="491">
        <v>1</v>
      </c>
      <c r="AI36" s="491">
        <v>70195</v>
      </c>
      <c r="AJ36" s="491">
        <v>2120</v>
      </c>
      <c r="AK36" s="491">
        <v>0</v>
      </c>
      <c r="AL36" s="491">
        <v>0</v>
      </c>
      <c r="AO36" s="391"/>
      <c r="AP36" s="391"/>
      <c r="AQ36" s="491" t="str">
        <f t="shared" si="0"/>
        <v>VO04377418</v>
      </c>
      <c r="AS36" s="491" t="str">
        <f t="shared" si="1"/>
        <v>wci_corp</v>
      </c>
    </row>
    <row r="37" spans="2:45">
      <c r="B37" s="491" t="s">
        <v>1241</v>
      </c>
      <c r="C37" s="488">
        <v>42978</v>
      </c>
      <c r="D37" s="382">
        <v>-91.2</v>
      </c>
      <c r="E37" s="382">
        <v>0</v>
      </c>
      <c r="F37" s="463" t="s">
        <v>657</v>
      </c>
      <c r="G37" s="491" t="s">
        <v>1313</v>
      </c>
      <c r="H37" s="391" t="s">
        <v>1071</v>
      </c>
      <c r="I37" s="491" t="s">
        <v>1293</v>
      </c>
      <c r="J37" s="491" t="s">
        <v>1084</v>
      </c>
      <c r="K37" s="491" t="s">
        <v>1068</v>
      </c>
      <c r="L37" s="376"/>
      <c r="M37" s="376"/>
      <c r="N37" s="376" t="s">
        <v>1306</v>
      </c>
      <c r="O37" s="381"/>
      <c r="P37" s="376"/>
      <c r="Q37" s="376"/>
      <c r="U37" s="491" t="s">
        <v>1307</v>
      </c>
      <c r="V37" s="491" t="s">
        <v>1314</v>
      </c>
      <c r="X37" s="488">
        <v>42954</v>
      </c>
      <c r="Y37" s="488">
        <v>42954</v>
      </c>
      <c r="AA37" s="488"/>
      <c r="AB37" s="491" t="s">
        <v>1066</v>
      </c>
      <c r="AC37" s="491">
        <v>0</v>
      </c>
      <c r="AD37" s="491">
        <v>0</v>
      </c>
      <c r="AE37" s="491">
        <v>0</v>
      </c>
      <c r="AF37" s="491">
        <v>0</v>
      </c>
      <c r="AG37" s="491">
        <v>5</v>
      </c>
      <c r="AH37" s="491">
        <v>1</v>
      </c>
      <c r="AI37" s="491">
        <v>70195</v>
      </c>
      <c r="AJ37" s="491">
        <v>2120</v>
      </c>
      <c r="AK37" s="491">
        <v>0</v>
      </c>
      <c r="AL37" s="491">
        <v>0</v>
      </c>
      <c r="AO37" s="391"/>
      <c r="AP37" s="391"/>
      <c r="AQ37" s="491" t="str">
        <f t="shared" si="0"/>
        <v/>
      </c>
      <c r="AS37" s="491" t="str">
        <f t="shared" si="1"/>
        <v>wci_corp</v>
      </c>
    </row>
    <row r="38" spans="2:45">
      <c r="B38" s="491" t="s">
        <v>1241</v>
      </c>
      <c r="C38" s="488">
        <v>42992</v>
      </c>
      <c r="D38" s="382">
        <v>91.2</v>
      </c>
      <c r="E38" s="382">
        <v>0</v>
      </c>
      <c r="F38" s="463" t="s">
        <v>657</v>
      </c>
      <c r="G38" s="491" t="s">
        <v>1315</v>
      </c>
      <c r="H38" s="391" t="s">
        <v>1071</v>
      </c>
      <c r="I38" s="491" t="s">
        <v>1099</v>
      </c>
      <c r="J38" s="491" t="s">
        <v>1243</v>
      </c>
      <c r="K38" s="491" t="s">
        <v>1068</v>
      </c>
      <c r="L38" s="376" t="s">
        <v>1244</v>
      </c>
      <c r="M38" s="376"/>
      <c r="N38" s="376" t="s">
        <v>1245</v>
      </c>
      <c r="O38" s="381">
        <v>42979</v>
      </c>
      <c r="P38" s="376" t="s">
        <v>1309</v>
      </c>
      <c r="Q38" s="376">
        <v>13627</v>
      </c>
      <c r="R38" s="491" t="s">
        <v>1316</v>
      </c>
      <c r="U38" s="491" t="s">
        <v>1317</v>
      </c>
      <c r="V38" s="491" t="s">
        <v>1318</v>
      </c>
      <c r="W38" s="491">
        <v>2000</v>
      </c>
      <c r="X38" s="488">
        <v>42992</v>
      </c>
      <c r="Y38" s="488">
        <v>42992</v>
      </c>
      <c r="Z38" s="491">
        <v>8400</v>
      </c>
      <c r="AA38" s="488">
        <v>43044</v>
      </c>
      <c r="AB38" s="491" t="s">
        <v>1066</v>
      </c>
      <c r="AC38" s="491">
        <v>0</v>
      </c>
      <c r="AD38" s="491">
        <v>0</v>
      </c>
      <c r="AE38" s="491">
        <v>0</v>
      </c>
      <c r="AF38" s="491">
        <v>0</v>
      </c>
      <c r="AG38" s="491">
        <v>0</v>
      </c>
      <c r="AH38" s="491">
        <v>1</v>
      </c>
      <c r="AI38" s="491">
        <v>70195</v>
      </c>
      <c r="AJ38" s="491">
        <v>2120</v>
      </c>
      <c r="AK38" s="491">
        <v>0</v>
      </c>
      <c r="AL38" s="491">
        <v>0</v>
      </c>
      <c r="AO38" s="391"/>
      <c r="AP38" s="391"/>
      <c r="AQ38" s="491" t="str">
        <f t="shared" si="0"/>
        <v>VO04409164</v>
      </c>
      <c r="AS38" s="491" t="str">
        <f t="shared" si="1"/>
        <v>wci_corp</v>
      </c>
    </row>
    <row r="39" spans="2:45">
      <c r="B39" s="491" t="s">
        <v>1241</v>
      </c>
      <c r="C39" s="488">
        <v>43020</v>
      </c>
      <c r="D39" s="382">
        <v>91.2</v>
      </c>
      <c r="E39" s="382">
        <v>0</v>
      </c>
      <c r="F39" s="463" t="s">
        <v>657</v>
      </c>
      <c r="G39" s="491" t="s">
        <v>1319</v>
      </c>
      <c r="H39" s="391" t="s">
        <v>1071</v>
      </c>
      <c r="I39" s="491" t="s">
        <v>1099</v>
      </c>
      <c r="J39" s="491" t="s">
        <v>1243</v>
      </c>
      <c r="K39" s="491" t="s">
        <v>1068</v>
      </c>
      <c r="L39" s="376" t="s">
        <v>1244</v>
      </c>
      <c r="M39" s="376"/>
      <c r="N39" s="376" t="s">
        <v>1245</v>
      </c>
      <c r="O39" s="381">
        <v>43009</v>
      </c>
      <c r="P39" s="376" t="s">
        <v>1309</v>
      </c>
      <c r="Q39" s="376">
        <v>13674</v>
      </c>
      <c r="R39" s="491" t="s">
        <v>1320</v>
      </c>
      <c r="U39" s="491" t="s">
        <v>1321</v>
      </c>
      <c r="V39" s="491" t="s">
        <v>1322</v>
      </c>
      <c r="W39" s="491">
        <v>2000</v>
      </c>
      <c r="X39" s="488">
        <v>43020</v>
      </c>
      <c r="Y39" s="488">
        <v>43028</v>
      </c>
      <c r="Z39" s="491">
        <v>8400</v>
      </c>
      <c r="AA39" s="488">
        <v>43073</v>
      </c>
      <c r="AB39" s="491" t="s">
        <v>1066</v>
      </c>
      <c r="AC39" s="491">
        <v>0</v>
      </c>
      <c r="AD39" s="491">
        <v>0</v>
      </c>
      <c r="AE39" s="491">
        <v>0</v>
      </c>
      <c r="AF39" s="491">
        <v>0</v>
      </c>
      <c r="AG39" s="491">
        <v>0</v>
      </c>
      <c r="AH39" s="491">
        <v>1</v>
      </c>
      <c r="AI39" s="491">
        <v>70195</v>
      </c>
      <c r="AJ39" s="491">
        <v>2120</v>
      </c>
      <c r="AK39" s="491">
        <v>0</v>
      </c>
      <c r="AL39" s="491">
        <v>0</v>
      </c>
      <c r="AO39" s="391"/>
      <c r="AP39" s="391"/>
      <c r="AQ39" s="491" t="str">
        <f t="shared" si="0"/>
        <v>VO04437537</v>
      </c>
      <c r="AS39" s="491" t="str">
        <f t="shared" si="1"/>
        <v>wci_corp</v>
      </c>
    </row>
    <row r="40" spans="2:45">
      <c r="B40" s="491" t="s">
        <v>1241</v>
      </c>
      <c r="C40" s="488">
        <v>43027</v>
      </c>
      <c r="D40" s="382">
        <v>91.2</v>
      </c>
      <c r="E40" s="382">
        <v>0</v>
      </c>
      <c r="F40" s="463" t="s">
        <v>657</v>
      </c>
      <c r="G40" s="491" t="s">
        <v>1323</v>
      </c>
      <c r="H40" s="391" t="s">
        <v>1071</v>
      </c>
      <c r="I40" s="491" t="s">
        <v>1099</v>
      </c>
      <c r="J40" s="491" t="s">
        <v>1243</v>
      </c>
      <c r="K40" s="491" t="s">
        <v>1068</v>
      </c>
      <c r="L40" s="376" t="s">
        <v>1244</v>
      </c>
      <c r="M40" s="376"/>
      <c r="N40" s="376" t="s">
        <v>1245</v>
      </c>
      <c r="O40" s="381">
        <v>42917</v>
      </c>
      <c r="P40" s="376" t="s">
        <v>1309</v>
      </c>
      <c r="Q40" s="376">
        <v>13563</v>
      </c>
      <c r="R40" s="491" t="s">
        <v>1324</v>
      </c>
      <c r="U40" s="491" t="s">
        <v>1325</v>
      </c>
      <c r="V40" s="491" t="s">
        <v>1326</v>
      </c>
      <c r="W40" s="491">
        <v>2000</v>
      </c>
      <c r="X40" s="488">
        <v>43027</v>
      </c>
      <c r="Y40" s="488">
        <v>43028</v>
      </c>
      <c r="Z40" s="491">
        <v>8400</v>
      </c>
      <c r="AA40" s="488">
        <v>42982</v>
      </c>
      <c r="AB40" s="491" t="s">
        <v>1066</v>
      </c>
      <c r="AC40" s="491">
        <v>0</v>
      </c>
      <c r="AD40" s="491">
        <v>0</v>
      </c>
      <c r="AE40" s="491">
        <v>0</v>
      </c>
      <c r="AF40" s="491">
        <v>0</v>
      </c>
      <c r="AG40" s="491">
        <v>0</v>
      </c>
      <c r="AH40" s="491">
        <v>1</v>
      </c>
      <c r="AI40" s="491">
        <v>70195</v>
      </c>
      <c r="AJ40" s="491">
        <v>2120</v>
      </c>
      <c r="AK40" s="491">
        <v>0</v>
      </c>
      <c r="AL40" s="491">
        <v>0</v>
      </c>
      <c r="AO40" s="391"/>
      <c r="AP40" s="391"/>
      <c r="AQ40" s="491" t="str">
        <f t="shared" si="0"/>
        <v>VO04452330</v>
      </c>
      <c r="AS40" s="491" t="str">
        <f t="shared" si="1"/>
        <v>wci_corp</v>
      </c>
    </row>
    <row r="41" spans="2:45">
      <c r="B41" s="491" t="s">
        <v>1241</v>
      </c>
      <c r="C41" s="488">
        <v>43053</v>
      </c>
      <c r="D41" s="382">
        <v>91.2</v>
      </c>
      <c r="E41" s="382">
        <v>0</v>
      </c>
      <c r="F41" s="463" t="s">
        <v>657</v>
      </c>
      <c r="G41" s="491" t="s">
        <v>1327</v>
      </c>
      <c r="H41" s="391" t="s">
        <v>1071</v>
      </c>
      <c r="I41" s="491" t="s">
        <v>1099</v>
      </c>
      <c r="J41" s="491" t="s">
        <v>1243</v>
      </c>
      <c r="K41" s="491" t="s">
        <v>1068</v>
      </c>
      <c r="L41" s="376" t="s">
        <v>1244</v>
      </c>
      <c r="M41" s="376"/>
      <c r="N41" s="376" t="s">
        <v>1245</v>
      </c>
      <c r="O41" s="381">
        <v>43040</v>
      </c>
      <c r="P41" s="376" t="s">
        <v>1328</v>
      </c>
      <c r="Q41" s="376">
        <v>13701</v>
      </c>
      <c r="R41" s="491" t="s">
        <v>1329</v>
      </c>
      <c r="U41" s="491" t="s">
        <v>1330</v>
      </c>
      <c r="V41" s="491" t="s">
        <v>1331</v>
      </c>
      <c r="W41" s="491">
        <v>2000</v>
      </c>
      <c r="X41" s="488">
        <v>43053</v>
      </c>
      <c r="Y41" s="488">
        <v>43053</v>
      </c>
      <c r="Z41" s="491">
        <v>8400</v>
      </c>
      <c r="AA41" s="488">
        <v>43073</v>
      </c>
      <c r="AB41" s="491" t="s">
        <v>1066</v>
      </c>
      <c r="AC41" s="491">
        <v>0</v>
      </c>
      <c r="AD41" s="491">
        <v>0</v>
      </c>
      <c r="AE41" s="491">
        <v>0</v>
      </c>
      <c r="AF41" s="491">
        <v>0</v>
      </c>
      <c r="AG41" s="491">
        <v>0</v>
      </c>
      <c r="AH41" s="491">
        <v>1</v>
      </c>
      <c r="AI41" s="491">
        <v>70195</v>
      </c>
      <c r="AJ41" s="491">
        <v>2120</v>
      </c>
      <c r="AK41" s="491">
        <v>0</v>
      </c>
      <c r="AL41" s="491">
        <v>0</v>
      </c>
      <c r="AO41" s="391"/>
      <c r="AP41" s="391"/>
      <c r="AQ41" s="491" t="str">
        <f t="shared" si="0"/>
        <v>VO04477067</v>
      </c>
      <c r="AS41" s="491" t="str">
        <f t="shared" si="1"/>
        <v>wci_corp</v>
      </c>
    </row>
    <row r="42" spans="2:45">
      <c r="B42" s="491" t="s">
        <v>1241</v>
      </c>
      <c r="C42" s="488">
        <v>43061</v>
      </c>
      <c r="D42" s="382">
        <v>843.54</v>
      </c>
      <c r="E42" s="382">
        <v>0</v>
      </c>
      <c r="F42" s="463" t="s">
        <v>657</v>
      </c>
      <c r="G42" s="491" t="s">
        <v>1332</v>
      </c>
      <c r="H42" s="391" t="s">
        <v>1071</v>
      </c>
      <c r="I42" s="491" t="s">
        <v>1099</v>
      </c>
      <c r="J42" s="491" t="s">
        <v>1243</v>
      </c>
      <c r="K42" s="491" t="s">
        <v>1068</v>
      </c>
      <c r="L42" s="376" t="s">
        <v>1333</v>
      </c>
      <c r="M42" s="376"/>
      <c r="N42" s="376" t="s">
        <v>1334</v>
      </c>
      <c r="O42" s="381">
        <v>43049</v>
      </c>
      <c r="P42" s="376" t="s">
        <v>1335</v>
      </c>
      <c r="Q42" s="376" t="s">
        <v>1336</v>
      </c>
      <c r="R42" s="491" t="s">
        <v>1337</v>
      </c>
      <c r="U42" s="491" t="s">
        <v>1338</v>
      </c>
      <c r="V42" s="491" t="s">
        <v>1339</v>
      </c>
      <c r="W42" s="491">
        <v>2195</v>
      </c>
      <c r="X42" s="488">
        <v>43061</v>
      </c>
      <c r="Y42" s="488">
        <v>43066</v>
      </c>
      <c r="Z42" s="491">
        <v>843.54</v>
      </c>
      <c r="AA42" s="488">
        <v>43070</v>
      </c>
      <c r="AB42" s="491" t="s">
        <v>1066</v>
      </c>
      <c r="AC42" s="491">
        <v>0</v>
      </c>
      <c r="AD42" s="491">
        <v>0</v>
      </c>
      <c r="AE42" s="491">
        <v>0</v>
      </c>
      <c r="AF42" s="491">
        <v>0</v>
      </c>
      <c r="AG42" s="491">
        <v>0</v>
      </c>
      <c r="AH42" s="491">
        <v>1</v>
      </c>
      <c r="AI42" s="491">
        <v>70195</v>
      </c>
      <c r="AJ42" s="491">
        <v>2120</v>
      </c>
      <c r="AK42" s="491">
        <v>0</v>
      </c>
      <c r="AL42" s="491">
        <v>0</v>
      </c>
      <c r="AO42" s="391"/>
      <c r="AP42" s="391"/>
      <c r="AQ42" s="491" t="str">
        <f t="shared" si="0"/>
        <v>VO04487217</v>
      </c>
      <c r="AS42" s="491" t="str">
        <f t="shared" si="1"/>
        <v>wci_corp</v>
      </c>
    </row>
    <row r="43" spans="2:45">
      <c r="B43" s="491" t="s">
        <v>1241</v>
      </c>
      <c r="C43" s="488">
        <v>43069</v>
      </c>
      <c r="D43" s="382">
        <v>390.24</v>
      </c>
      <c r="E43" s="382">
        <v>0</v>
      </c>
      <c r="F43" s="463" t="s">
        <v>657</v>
      </c>
      <c r="G43" s="491" t="s">
        <v>1082</v>
      </c>
      <c r="H43" s="391" t="s">
        <v>1071</v>
      </c>
      <c r="I43" s="491" t="s">
        <v>1081</v>
      </c>
      <c r="J43" s="491" t="s">
        <v>1069</v>
      </c>
      <c r="K43" s="491" t="s">
        <v>1068</v>
      </c>
      <c r="L43" s="376"/>
      <c r="M43" s="376"/>
      <c r="N43" s="376" t="s">
        <v>1340</v>
      </c>
      <c r="O43" s="381"/>
      <c r="P43" s="376"/>
      <c r="Q43" s="376"/>
      <c r="U43" s="491" t="s">
        <v>1080</v>
      </c>
      <c r="V43" s="491" t="s">
        <v>1080</v>
      </c>
      <c r="X43" s="488">
        <v>43073</v>
      </c>
      <c r="Y43" s="488">
        <v>43073</v>
      </c>
      <c r="AA43" s="488"/>
      <c r="AB43" s="491" t="s">
        <v>1066</v>
      </c>
      <c r="AC43" s="491">
        <v>0</v>
      </c>
      <c r="AD43" s="491">
        <v>0</v>
      </c>
      <c r="AE43" s="491">
        <v>0</v>
      </c>
      <c r="AF43" s="491">
        <v>0</v>
      </c>
      <c r="AG43" s="491">
        <v>0</v>
      </c>
      <c r="AH43" s="491">
        <v>1</v>
      </c>
      <c r="AI43" s="491">
        <v>70195</v>
      </c>
      <c r="AJ43" s="491">
        <v>2120</v>
      </c>
      <c r="AK43" s="491">
        <v>0</v>
      </c>
      <c r="AL43" s="491">
        <v>0</v>
      </c>
      <c r="AO43" s="391"/>
      <c r="AP43" s="391"/>
      <c r="AQ43" s="491" t="str">
        <f t="shared" si="0"/>
        <v/>
      </c>
      <c r="AS43" s="491" t="str">
        <f t="shared" si="1"/>
        <v>wci_corp</v>
      </c>
    </row>
    <row r="44" spans="2:45">
      <c r="B44" s="491" t="s">
        <v>1241</v>
      </c>
      <c r="C44" s="488">
        <v>43069</v>
      </c>
      <c r="D44" s="382">
        <v>255</v>
      </c>
      <c r="E44" s="382">
        <v>0</v>
      </c>
      <c r="F44" s="463" t="s">
        <v>657</v>
      </c>
      <c r="G44" s="491" t="s">
        <v>1082</v>
      </c>
      <c r="H44" s="391" t="s">
        <v>1071</v>
      </c>
      <c r="I44" s="491" t="s">
        <v>1081</v>
      </c>
      <c r="J44" s="491" t="s">
        <v>1069</v>
      </c>
      <c r="K44" s="491" t="s">
        <v>1068</v>
      </c>
      <c r="L44" s="376"/>
      <c r="M44" s="376"/>
      <c r="N44" s="376" t="s">
        <v>1261</v>
      </c>
      <c r="O44" s="381"/>
      <c r="P44" s="376"/>
      <c r="Q44" s="376"/>
      <c r="U44" s="491" t="s">
        <v>1080</v>
      </c>
      <c r="V44" s="491" t="s">
        <v>1080</v>
      </c>
      <c r="X44" s="488">
        <v>43073</v>
      </c>
      <c r="Y44" s="488">
        <v>43073</v>
      </c>
      <c r="AA44" s="488"/>
      <c r="AB44" s="491" t="s">
        <v>1066</v>
      </c>
      <c r="AC44" s="491">
        <v>0</v>
      </c>
      <c r="AD44" s="491">
        <v>0</v>
      </c>
      <c r="AE44" s="491">
        <v>0</v>
      </c>
      <c r="AF44" s="491">
        <v>0</v>
      </c>
      <c r="AG44" s="491">
        <v>0</v>
      </c>
      <c r="AH44" s="491">
        <v>1</v>
      </c>
      <c r="AI44" s="491">
        <v>70195</v>
      </c>
      <c r="AJ44" s="491">
        <v>2120</v>
      </c>
      <c r="AK44" s="491">
        <v>0</v>
      </c>
      <c r="AL44" s="491">
        <v>0</v>
      </c>
      <c r="AO44" s="391"/>
      <c r="AP44" s="391"/>
      <c r="AQ44" s="491" t="str">
        <f t="shared" si="0"/>
        <v/>
      </c>
      <c r="AS44" s="491" t="str">
        <f t="shared" si="1"/>
        <v>wci_corp</v>
      </c>
    </row>
    <row r="45" spans="2:45">
      <c r="B45" s="491" t="s">
        <v>1241</v>
      </c>
      <c r="C45" s="488">
        <v>43083</v>
      </c>
      <c r="D45" s="382">
        <v>91.2</v>
      </c>
      <c r="E45" s="382">
        <v>0</v>
      </c>
      <c r="F45" s="463" t="s">
        <v>657</v>
      </c>
      <c r="G45" s="491" t="s">
        <v>1341</v>
      </c>
      <c r="H45" s="391" t="s">
        <v>1071</v>
      </c>
      <c r="I45" s="491" t="s">
        <v>1099</v>
      </c>
      <c r="J45" s="491" t="s">
        <v>1243</v>
      </c>
      <c r="K45" s="491" t="s">
        <v>1068</v>
      </c>
      <c r="L45" s="376" t="s">
        <v>1342</v>
      </c>
      <c r="M45" s="376"/>
      <c r="N45" s="376" t="s">
        <v>1245</v>
      </c>
      <c r="O45" s="381">
        <v>43070</v>
      </c>
      <c r="P45" s="376" t="s">
        <v>1343</v>
      </c>
      <c r="Q45" s="376">
        <v>13728</v>
      </c>
      <c r="R45" s="491" t="s">
        <v>1344</v>
      </c>
      <c r="U45" s="491" t="s">
        <v>1345</v>
      </c>
      <c r="V45" s="491" t="s">
        <v>1346</v>
      </c>
      <c r="W45" s="491">
        <v>2000</v>
      </c>
      <c r="X45" s="488">
        <v>43083</v>
      </c>
      <c r="Y45" s="488">
        <v>43083</v>
      </c>
      <c r="Z45" s="491">
        <v>8400</v>
      </c>
      <c r="AA45" s="488">
        <v>43100</v>
      </c>
      <c r="AB45" s="491" t="s">
        <v>1066</v>
      </c>
      <c r="AC45" s="491">
        <v>0</v>
      </c>
      <c r="AD45" s="491">
        <v>0</v>
      </c>
      <c r="AE45" s="491">
        <v>0</v>
      </c>
      <c r="AF45" s="491">
        <v>0</v>
      </c>
      <c r="AG45" s="491">
        <v>0</v>
      </c>
      <c r="AH45" s="491">
        <v>1</v>
      </c>
      <c r="AI45" s="491">
        <v>70195</v>
      </c>
      <c r="AJ45" s="491">
        <v>2120</v>
      </c>
      <c r="AK45" s="491">
        <v>0</v>
      </c>
      <c r="AL45" s="491">
        <v>0</v>
      </c>
      <c r="AO45" s="391"/>
      <c r="AP45" s="391"/>
      <c r="AQ45" s="491" t="str">
        <f t="shared" si="0"/>
        <v>VO04505129</v>
      </c>
      <c r="AS45" s="491" t="str">
        <f t="shared" si="1"/>
        <v>wci_corp</v>
      </c>
    </row>
    <row r="46" spans="2:45">
      <c r="B46" s="491" t="s">
        <v>1241</v>
      </c>
      <c r="C46" s="488">
        <v>43100</v>
      </c>
      <c r="D46" s="382">
        <v>300</v>
      </c>
      <c r="E46" s="382">
        <v>0</v>
      </c>
      <c r="F46" s="463" t="s">
        <v>657</v>
      </c>
      <c r="G46" s="491" t="s">
        <v>1347</v>
      </c>
      <c r="H46" s="391" t="s">
        <v>1071</v>
      </c>
      <c r="I46" s="491" t="s">
        <v>1099</v>
      </c>
      <c r="J46" s="491" t="s">
        <v>1098</v>
      </c>
      <c r="K46" s="491" t="s">
        <v>1068</v>
      </c>
      <c r="L46" s="376" t="s">
        <v>1348</v>
      </c>
      <c r="M46" s="376"/>
      <c r="N46" s="376" t="s">
        <v>1252</v>
      </c>
      <c r="O46" s="381">
        <v>43080</v>
      </c>
      <c r="P46" s="376" t="s">
        <v>1349</v>
      </c>
      <c r="Q46" s="376">
        <v>253</v>
      </c>
      <c r="R46" s="491" t="s">
        <v>1350</v>
      </c>
      <c r="U46" s="491" t="s">
        <v>1351</v>
      </c>
      <c r="V46" s="491" t="s">
        <v>1352</v>
      </c>
      <c r="W46" s="491">
        <v>2195</v>
      </c>
      <c r="X46" s="488">
        <v>43100</v>
      </c>
      <c r="Y46" s="488">
        <v>43102</v>
      </c>
      <c r="Z46" s="491">
        <v>300</v>
      </c>
      <c r="AA46" s="488">
        <v>43145</v>
      </c>
      <c r="AB46" s="491" t="s">
        <v>1066</v>
      </c>
      <c r="AC46" s="491">
        <v>0</v>
      </c>
      <c r="AD46" s="491">
        <v>0</v>
      </c>
      <c r="AE46" s="491">
        <v>0</v>
      </c>
      <c r="AF46" s="491">
        <v>0</v>
      </c>
      <c r="AG46" s="491">
        <v>0</v>
      </c>
      <c r="AH46" s="491">
        <v>1</v>
      </c>
      <c r="AI46" s="491">
        <v>70195</v>
      </c>
      <c r="AJ46" s="491">
        <v>2120</v>
      </c>
      <c r="AK46" s="491">
        <v>0</v>
      </c>
      <c r="AL46" s="491">
        <v>0</v>
      </c>
      <c r="AO46" s="391"/>
      <c r="AP46" s="391"/>
      <c r="AQ46" s="491" t="str">
        <f t="shared" si="0"/>
        <v>VO04521760</v>
      </c>
      <c r="AS46" s="491" t="str">
        <f t="shared" si="1"/>
        <v>wci_corp</v>
      </c>
    </row>
    <row r="47" spans="2:45">
      <c r="C47" s="488"/>
      <c r="D47" s="501"/>
      <c r="E47" s="501"/>
      <c r="F47" s="501"/>
      <c r="H47" s="486"/>
    </row>
    <row r="48" spans="2:45">
      <c r="B48" s="489" t="s">
        <v>1065</v>
      </c>
      <c r="C48" s="489"/>
      <c r="D48" s="502"/>
      <c r="E48" s="502"/>
      <c r="F48" s="502"/>
      <c r="G48" s="489"/>
      <c r="H48" s="402"/>
      <c r="I48" s="489"/>
      <c r="J48" s="489"/>
      <c r="K48" s="489"/>
      <c r="L48" s="489"/>
      <c r="M48" s="489"/>
      <c r="N48" s="489"/>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c r="AL48" s="489"/>
      <c r="AM48" s="489"/>
      <c r="AN48" s="489"/>
      <c r="AO48" s="489"/>
      <c r="AP48" s="380"/>
    </row>
    <row r="49" spans="2:8">
      <c r="H49" s="486"/>
    </row>
    <row r="50" spans="2:8">
      <c r="H50" s="486"/>
    </row>
    <row r="51" spans="2:8">
      <c r="H51" s="486"/>
    </row>
    <row r="52" spans="2:8">
      <c r="H52" s="486"/>
    </row>
    <row r="53" spans="2:8">
      <c r="H53" s="486"/>
    </row>
    <row r="54" spans="2:8">
      <c r="H54" s="486"/>
    </row>
    <row r="55" spans="2:8">
      <c r="H55" s="486"/>
    </row>
    <row r="56" spans="2:8" ht="15">
      <c r="B56" s="504" t="s">
        <v>1064</v>
      </c>
      <c r="C56" t="s">
        <v>1063</v>
      </c>
      <c r="D56" s="1236" t="s">
        <v>1063</v>
      </c>
      <c r="H56" s="486"/>
    </row>
    <row r="57" spans="2:8" ht="15">
      <c r="B57" s="505" t="s">
        <v>1306</v>
      </c>
      <c r="C57" s="506">
        <v>0</v>
      </c>
      <c r="D57" s="521">
        <v>0</v>
      </c>
      <c r="H57" s="486"/>
    </row>
    <row r="58" spans="2:8" ht="15">
      <c r="B58" s="505" t="s">
        <v>1294</v>
      </c>
      <c r="C58" s="506">
        <v>0</v>
      </c>
      <c r="D58" s="521">
        <v>0</v>
      </c>
      <c r="H58" s="486"/>
    </row>
    <row r="59" spans="2:8" ht="15">
      <c r="B59" s="505" t="s">
        <v>1304</v>
      </c>
      <c r="C59" s="506">
        <v>106.72</v>
      </c>
      <c r="D59" s="521">
        <v>106.72</v>
      </c>
      <c r="H59" s="486"/>
    </row>
    <row r="60" spans="2:8" ht="15">
      <c r="B60" s="505" t="s">
        <v>1272</v>
      </c>
      <c r="C60" s="506">
        <v>104</v>
      </c>
      <c r="D60" s="521">
        <v>104</v>
      </c>
      <c r="E60" s="462" t="s">
        <v>1416</v>
      </c>
      <c r="H60" s="486"/>
    </row>
    <row r="61" spans="2:8" ht="15">
      <c r="B61" s="505" t="s">
        <v>1252</v>
      </c>
      <c r="C61" s="506">
        <v>600</v>
      </c>
      <c r="D61" s="521">
        <v>600</v>
      </c>
      <c r="E61" s="462" t="s">
        <v>1416</v>
      </c>
      <c r="H61" s="486"/>
    </row>
    <row r="62" spans="2:8" ht="15">
      <c r="B62" s="505" t="s">
        <v>1340</v>
      </c>
      <c r="C62" s="506">
        <v>390.24</v>
      </c>
      <c r="D62" s="521">
        <v>390.24</v>
      </c>
      <c r="H62" s="486"/>
    </row>
    <row r="63" spans="2:8" ht="15">
      <c r="B63" s="505" t="s">
        <v>1245</v>
      </c>
      <c r="C63" s="506">
        <v>1097.4600000000003</v>
      </c>
      <c r="D63" s="521">
        <v>1097.4600000000003</v>
      </c>
      <c r="H63" s="486"/>
    </row>
    <row r="64" spans="2:8" ht="15">
      <c r="B64" s="505" t="s">
        <v>1261</v>
      </c>
      <c r="C64" s="506">
        <v>255</v>
      </c>
      <c r="D64" s="521">
        <v>255</v>
      </c>
      <c r="E64" s="462" t="s">
        <v>1416</v>
      </c>
      <c r="H64" s="486"/>
    </row>
    <row r="65" spans="2:8" ht="15">
      <c r="B65" s="505" t="s">
        <v>1334</v>
      </c>
      <c r="C65" s="506">
        <v>843.54</v>
      </c>
      <c r="D65" s="521">
        <v>843.54</v>
      </c>
      <c r="H65" s="486"/>
    </row>
    <row r="66" spans="2:8" ht="15">
      <c r="B66" s="505" t="s">
        <v>1258</v>
      </c>
      <c r="C66" s="506">
        <v>0</v>
      </c>
      <c r="D66" s="521">
        <v>0</v>
      </c>
      <c r="H66" s="486"/>
    </row>
    <row r="67" spans="2:8" ht="15">
      <c r="B67" s="505" t="s">
        <v>1042</v>
      </c>
      <c r="C67" s="506">
        <v>3396.96</v>
      </c>
      <c r="D67" s="1242">
        <v>3396.96</v>
      </c>
    </row>
    <row r="68" spans="2:8" ht="15">
      <c r="B68"/>
      <c r="C68"/>
      <c r="D68"/>
    </row>
    <row r="69" spans="2:8" ht="15">
      <c r="B69"/>
      <c r="C69"/>
      <c r="D69" s="356" t="s">
        <v>1416</v>
      </c>
      <c r="E69" s="1243">
        <f>SUMIF(E57:E66,D69,D57:D66)</f>
        <v>959</v>
      </c>
    </row>
    <row r="70" spans="2:8" ht="15">
      <c r="B70"/>
      <c r="C70"/>
      <c r="D70" s="356" t="s">
        <v>2085</v>
      </c>
      <c r="E70" s="1235">
        <f>D63*0.16</f>
        <v>175.59360000000004</v>
      </c>
    </row>
    <row r="71" spans="2:8" ht="15">
      <c r="B71"/>
      <c r="C71"/>
      <c r="D71"/>
      <c r="E71" s="1234">
        <f>SUM(E69:E70)</f>
        <v>1134.5936000000002</v>
      </c>
    </row>
    <row r="72" spans="2:8" ht="15">
      <c r="B72"/>
      <c r="C72"/>
      <c r="D72"/>
    </row>
    <row r="73" spans="2:8" ht="15">
      <c r="B73"/>
      <c r="C73"/>
      <c r="D73"/>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35"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17"/>
  <sheetViews>
    <sheetView showGridLines="0" view="pageBreakPreview" topLeftCell="D7" zoomScaleNormal="75" zoomScaleSheetLayoutView="100" workbookViewId="0">
      <pane xSplit="5" ySplit="7" topLeftCell="I133" activePane="bottomRight" state="frozen"/>
      <selection activeCell="Q27" sqref="Q27"/>
      <selection pane="topRight" activeCell="Q27" sqref="Q27"/>
      <selection pane="bottomLeft" activeCell="Q27" sqref="Q27"/>
      <selection pane="bottomRight" activeCell="Q27" sqref="Q27"/>
    </sheetView>
  </sheetViews>
  <sheetFormatPr defaultColWidth="13.85546875" defaultRowHeight="12.75" outlineLevelRow="1"/>
  <cols>
    <col min="1" max="1" width="116.7109375" style="1259" customWidth="1"/>
    <col min="2" max="2" width="16.5703125" style="1259" customWidth="1"/>
    <col min="3" max="3" width="12.42578125" style="1259" customWidth="1"/>
    <col min="4" max="4" width="6.85546875" style="1259" customWidth="1"/>
    <col min="5" max="6" width="2.28515625" style="1259" customWidth="1"/>
    <col min="7" max="7" width="25.5703125" style="1259" customWidth="1"/>
    <col min="8" max="8" width="3.85546875" style="1259" customWidth="1"/>
    <col min="9" max="9" width="1.28515625" style="1259" customWidth="1"/>
    <col min="10" max="10" width="13.7109375" style="1259" customWidth="1"/>
    <col min="11" max="11" width="1.28515625" style="1259" customWidth="1"/>
    <col min="12" max="12" width="10.140625" style="1259" customWidth="1"/>
    <col min="13" max="13" width="1.28515625" style="1259" customWidth="1"/>
    <col min="14" max="14" width="10.140625" style="1259" customWidth="1"/>
    <col min="15" max="15" width="1.28515625" style="1259" customWidth="1"/>
    <col min="16" max="16" width="15.5703125" style="1259" customWidth="1"/>
    <col min="17" max="17" width="1.28515625" style="1259" customWidth="1"/>
    <col min="18" max="20" width="16.28515625" style="1259" bestFit="1" customWidth="1"/>
    <col min="21" max="21" width="1.28515625" style="1259" customWidth="1"/>
    <col min="22" max="22" width="15.42578125" style="1259" customWidth="1"/>
    <col min="23" max="23" width="2.85546875" style="1259" customWidth="1"/>
    <col min="24" max="16384" width="13.85546875" style="1259"/>
  </cols>
  <sheetData>
    <row r="1" spans="1:25">
      <c r="D1" s="1259" t="s">
        <v>177</v>
      </c>
      <c r="E1" s="1259" t="s">
        <v>178</v>
      </c>
      <c r="F1" s="1260"/>
      <c r="G1" s="1261"/>
      <c r="J1" s="1259" t="s">
        <v>190</v>
      </c>
      <c r="L1" s="1259" t="s">
        <v>1912</v>
      </c>
      <c r="N1" s="1259" t="s">
        <v>1913</v>
      </c>
      <c r="R1" s="1283" t="s">
        <v>188</v>
      </c>
      <c r="S1" s="1283" t="s">
        <v>189</v>
      </c>
    </row>
    <row r="2" spans="1:25" s="1340" customFormat="1" outlineLevel="1">
      <c r="A2" s="1337"/>
      <c r="B2" s="1285"/>
      <c r="C2" s="1286"/>
      <c r="D2" s="1338"/>
      <c r="E2" s="1338"/>
      <c r="F2" s="1339"/>
      <c r="G2" s="1339"/>
      <c r="H2" s="1337"/>
      <c r="I2" s="1337"/>
      <c r="J2" s="1289">
        <v>0</v>
      </c>
      <c r="K2" s="1337"/>
      <c r="L2" s="1289">
        <v>0</v>
      </c>
      <c r="M2" s="1337"/>
      <c r="N2" s="1290">
        <v>0</v>
      </c>
      <c r="O2" s="1337"/>
      <c r="P2" s="1289">
        <f>J2+L2+N2</f>
        <v>0</v>
      </c>
      <c r="Q2" s="1337"/>
      <c r="R2" s="1289">
        <v>0</v>
      </c>
      <c r="S2" s="1289">
        <v>0</v>
      </c>
      <c r="T2" s="1289">
        <f>P2</f>
        <v>0</v>
      </c>
      <c r="U2" s="1337"/>
      <c r="V2" s="1290">
        <f>T2-S2</f>
        <v>0</v>
      </c>
      <c r="W2" s="1337"/>
      <c r="X2" s="1337"/>
    </row>
    <row r="3" spans="1:25">
      <c r="G3" s="1261"/>
      <c r="J3" s="1259" t="str">
        <f>D9</f>
        <v>2016-12</v>
      </c>
      <c r="L3" s="1259" t="str">
        <f>D9</f>
        <v>2016-12</v>
      </c>
      <c r="N3" s="1259" t="str">
        <f>YearMonth</f>
        <v>2016-12</v>
      </c>
      <c r="P3" s="1259" t="str">
        <f>D9</f>
        <v>2016-12</v>
      </c>
      <c r="R3" s="1259" t="str">
        <f>IFERROR(TEXT(EDATE($B$7,MID(LEFT(R1,FIND(")",R1)-1),FIND("(",R1)+1,LEN(R1))),"yyyy-mm"),"")</f>
        <v>2016-10</v>
      </c>
      <c r="S3" s="1259" t="str">
        <f>IFERROR(TEXT(EDATE($B$7,MID(LEFT(S1,FIND(")",S1)-1),FIND("(",S1)+1,LEN(S1))),"yyyy-mm"),"")</f>
        <v>2016-11</v>
      </c>
      <c r="T3" s="1259" t="str">
        <f>D9</f>
        <v>2016-12</v>
      </c>
    </row>
    <row r="4" spans="1:25">
      <c r="A4" s="1259" t="str">
        <f>_xll.jBinder("MarkerCell")</f>
        <v>jBinderOption{MarkerCell}: This cell will be used to note the tab was created from the binder.</v>
      </c>
      <c r="B4" s="1259" t="str">
        <f ca="1">_xll.ReportVariable("FinCube",B11:B217,A1:Y1,A2:Y2,_xll.Param("BS"&amp;IF(ExcludeIC=TRUE,",!Eliminated",""),District,System,,,,"*",,RIGHT(YearMonth,2),LEFT(YearMonth,4),,,1,,FALSE))</f>
        <v>OK!: ReportVariable Formula OK [jAction{}]</v>
      </c>
      <c r="G4" s="1261"/>
      <c r="J4" s="1259" t="s">
        <v>1914</v>
      </c>
      <c r="L4" s="1259" t="s">
        <v>1915</v>
      </c>
      <c r="N4" s="1259" t="s">
        <v>1913</v>
      </c>
      <c r="P4" s="1259" t="s">
        <v>1179</v>
      </c>
      <c r="R4" s="1259" t="s">
        <v>1179</v>
      </c>
      <c r="S4" s="1259" t="s">
        <v>1179</v>
      </c>
      <c r="T4" s="1259" t="s">
        <v>1179</v>
      </c>
    </row>
    <row r="5" spans="1:25">
      <c r="A5" s="1259" t="str">
        <f>_xll.jBinder("ChooseSegmentListtoIterateThru","Dist")</f>
        <v>jBinderOption{ChooseSegmentListtoIterateThru|Dist}: Option "ChooseSegmentListtoIterateThru" has value "Dist"</v>
      </c>
      <c r="B5" s="1259" t="str">
        <f ca="1">_xll.ReportDrill(,"JEQuery_WithStaged",_xll.PairGroup(_xll.PairExt("C:d","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6" spans="1:25">
      <c r="A6" s="1259" t="str">
        <f>_xll.jBinder("CreateSummaryTab","False")</f>
        <v>jBinderOption{CreateSummaryTab|False}: Option "CreateSummaryTab" has value "False"</v>
      </c>
      <c r="B6" s="1259" t="str">
        <f ca="1">_xll.ReportDrill(,"JEQuery_WithStaged",_xll.PairGroup(_xll.PairExt("C:a","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7" spans="1:25" s="1342" customFormat="1" ht="15.75">
      <c r="A7" s="1259" t="str">
        <f ca="1">_xll.jBinder("Dist",District)</f>
        <v>jBinderOption{Dist||N7}: "Dist" can iterate on cell "N7"</v>
      </c>
      <c r="B7" s="1291">
        <f>DATEVALUE(RIGHT(YearMonth,2)&amp;"/1/"&amp;LEFT(YearMonth,4))</f>
        <v>42705</v>
      </c>
      <c r="C7" s="1259"/>
      <c r="D7" s="1341" t="s">
        <v>191</v>
      </c>
      <c r="L7" s="1343" t="s">
        <v>192</v>
      </c>
      <c r="N7" s="1344">
        <v>2120</v>
      </c>
      <c r="T7" s="1343" t="s">
        <v>194</v>
      </c>
      <c r="U7" s="1345"/>
      <c r="V7" s="1344"/>
      <c r="X7" s="1346"/>
    </row>
    <row r="8" spans="1:25" s="1342" customFormat="1" ht="15.75">
      <c r="A8" s="1342" t="str">
        <f>_xll.jBinder("TabSuffix","_BS")</f>
        <v>jBinderOption{TabSuffix|_BS}: Option "TabSuffix" has value "_BS"</v>
      </c>
      <c r="B8" s="1294"/>
      <c r="C8" s="1294"/>
      <c r="D8" s="1341" t="s">
        <v>1916</v>
      </c>
      <c r="J8" s="1347" t="str">
        <f>IF(ISERROR($B$7),"The date cell in D9  must be in YYYY-MM format","")</f>
        <v/>
      </c>
      <c r="N8" s="1344"/>
      <c r="T8" s="1343" t="s">
        <v>196</v>
      </c>
      <c r="V8" s="1348" t="s">
        <v>195</v>
      </c>
    </row>
    <row r="9" spans="1:25" s="1342" customFormat="1" ht="15.75">
      <c r="B9" s="1294"/>
      <c r="C9" s="1294"/>
      <c r="D9" s="1349" t="s">
        <v>2046</v>
      </c>
      <c r="J9" s="1350" t="s">
        <v>1917</v>
      </c>
      <c r="K9" s="1351"/>
      <c r="L9" s="1350" t="s">
        <v>1917</v>
      </c>
      <c r="M9" s="1351"/>
      <c r="N9" s="1350" t="s">
        <v>1917</v>
      </c>
      <c r="O9" s="1351"/>
      <c r="P9" s="1350" t="s">
        <v>1917</v>
      </c>
      <c r="Q9" s="1351"/>
      <c r="R9" s="1350" t="s">
        <v>1917</v>
      </c>
      <c r="S9" s="1350" t="s">
        <v>1917</v>
      </c>
      <c r="T9" s="1350" t="s">
        <v>1917</v>
      </c>
    </row>
    <row r="10" spans="1:25" s="1342" customFormat="1" ht="15">
      <c r="B10" s="1286"/>
      <c r="C10" s="1286"/>
      <c r="D10" s="1352"/>
      <c r="E10" s="1353"/>
      <c r="F10" s="1353"/>
      <c r="G10" s="1353"/>
      <c r="H10" s="1353"/>
      <c r="I10" s="1353"/>
      <c r="J10" s="1354" t="s">
        <v>1918</v>
      </c>
      <c r="K10" s="1354"/>
      <c r="L10" s="1354"/>
      <c r="M10" s="1354"/>
      <c r="N10" s="1354"/>
      <c r="O10" s="1354"/>
      <c r="P10" s="1354"/>
      <c r="Q10" s="1353"/>
      <c r="R10" s="1354" t="s">
        <v>1919</v>
      </c>
      <c r="S10" s="1354"/>
      <c r="T10" s="1354"/>
      <c r="U10" s="1353"/>
      <c r="V10" s="1353"/>
      <c r="W10" s="1353"/>
      <c r="X10" s="1353"/>
      <c r="Y10" s="1353"/>
    </row>
    <row r="11" spans="1:25" s="1355" customFormat="1">
      <c r="B11" s="1286"/>
      <c r="C11" s="1286"/>
      <c r="D11" s="1353"/>
      <c r="E11" s="1353"/>
      <c r="F11" s="1353"/>
      <c r="G11" s="1353"/>
      <c r="H11" s="1353"/>
      <c r="I11" s="1353"/>
      <c r="J11" s="1353"/>
      <c r="K11" s="1353"/>
      <c r="L11" s="1353"/>
      <c r="M11" s="1353"/>
      <c r="N11" s="1353"/>
      <c r="O11" s="1353"/>
      <c r="P11" s="1353"/>
      <c r="Q11" s="1353"/>
      <c r="R11" s="1353"/>
      <c r="S11" s="1353"/>
      <c r="T11" s="1300"/>
      <c r="U11" s="1353"/>
      <c r="V11" s="1353"/>
      <c r="W11" s="1353"/>
      <c r="X11" s="1353"/>
      <c r="Y11" s="1353"/>
    </row>
    <row r="12" spans="1:25" s="1355" customFormat="1">
      <c r="B12" s="1286"/>
      <c r="C12" s="1286"/>
      <c r="D12" s="1353"/>
      <c r="E12" s="1353"/>
      <c r="F12" s="1353"/>
      <c r="G12" s="1353"/>
      <c r="H12" s="1353"/>
      <c r="I12" s="1353"/>
      <c r="J12" s="1353"/>
      <c r="K12" s="1353"/>
      <c r="L12" s="1301" t="s">
        <v>1920</v>
      </c>
      <c r="M12" s="1356"/>
      <c r="N12" s="1301"/>
      <c r="O12" s="1353"/>
      <c r="P12" s="1303"/>
      <c r="Q12" s="1353"/>
      <c r="R12" s="1357"/>
      <c r="S12" s="1357"/>
      <c r="T12" s="1358" t="s">
        <v>26</v>
      </c>
      <c r="U12" s="1353"/>
      <c r="V12" s="1359" t="s">
        <v>1921</v>
      </c>
      <c r="W12" s="1353"/>
      <c r="X12" s="1353"/>
      <c r="Y12" s="1353"/>
    </row>
    <row r="13" spans="1:25" s="1355" customFormat="1" ht="13.5" thickBot="1">
      <c r="B13" s="1286"/>
      <c r="C13" s="1286"/>
      <c r="D13" s="1353"/>
      <c r="E13" s="1353"/>
      <c r="F13" s="1353"/>
      <c r="G13" s="1353"/>
      <c r="H13" s="1353"/>
      <c r="I13" s="1353"/>
      <c r="J13" s="1307" t="s">
        <v>1914</v>
      </c>
      <c r="K13" s="1353"/>
      <c r="L13" s="1307" t="s">
        <v>1915</v>
      </c>
      <c r="M13" s="1353"/>
      <c r="N13" s="1308" t="s">
        <v>1913</v>
      </c>
      <c r="O13" s="1353"/>
      <c r="P13" s="1307" t="s">
        <v>26</v>
      </c>
      <c r="Q13" s="1353"/>
      <c r="R13" s="1360">
        <f>IFERROR(EDATE(S13,-1),"")</f>
        <v>42644</v>
      </c>
      <c r="S13" s="1360">
        <f>IFERROR(EDATE(T13,-1),"")</f>
        <v>42675</v>
      </c>
      <c r="T13" s="1360">
        <f>$B$7</f>
        <v>42705</v>
      </c>
      <c r="U13" s="1353"/>
      <c r="V13" s="1308" t="s">
        <v>1922</v>
      </c>
      <c r="W13" s="1353"/>
      <c r="X13" s="1353"/>
      <c r="Y13" s="1353"/>
    </row>
    <row r="14" spans="1:25" s="1355" customFormat="1" ht="5.25" customHeight="1">
      <c r="B14" s="1286"/>
      <c r="C14" s="1286"/>
      <c r="D14" s="1353"/>
      <c r="E14" s="1353"/>
      <c r="F14" s="1361"/>
      <c r="G14" s="1353"/>
      <c r="H14" s="1353"/>
      <c r="I14" s="1353"/>
      <c r="J14" s="1350"/>
      <c r="K14" s="1353"/>
      <c r="L14" s="1350"/>
      <c r="M14" s="1353"/>
      <c r="N14" s="1350"/>
      <c r="O14" s="1353"/>
      <c r="P14" s="1350"/>
      <c r="Q14" s="1353"/>
      <c r="R14" s="1350"/>
      <c r="S14" s="1350"/>
      <c r="T14" s="1350"/>
      <c r="U14" s="1353"/>
      <c r="V14" s="1350"/>
      <c r="W14" s="1353"/>
      <c r="X14" s="1353"/>
      <c r="Y14" s="1353"/>
    </row>
    <row r="15" spans="1:25" s="1340" customFormat="1" ht="4.5" customHeight="1">
      <c r="B15" s="1286"/>
      <c r="C15" s="1286"/>
      <c r="D15" s="1337"/>
      <c r="E15" s="1337"/>
      <c r="F15" s="1337"/>
      <c r="G15" s="1337"/>
      <c r="H15" s="1337"/>
      <c r="I15" s="1337"/>
      <c r="J15" s="1337"/>
      <c r="K15" s="1337"/>
      <c r="L15" s="1337"/>
      <c r="M15" s="1337"/>
      <c r="N15" s="1337"/>
      <c r="O15" s="1337"/>
      <c r="P15" s="1337"/>
      <c r="Q15" s="1353"/>
      <c r="R15" s="1337"/>
      <c r="S15" s="1337"/>
      <c r="T15" s="1337"/>
      <c r="U15" s="1337"/>
      <c r="V15" s="1337"/>
      <c r="W15" s="1337"/>
      <c r="X15" s="1337"/>
      <c r="Y15" s="1337"/>
    </row>
    <row r="16" spans="1:25" s="1340" customFormat="1" outlineLevel="1">
      <c r="A16" s="1337"/>
      <c r="B16" s="1285" t="s">
        <v>1923</v>
      </c>
      <c r="C16" s="1286"/>
      <c r="D16" s="1338">
        <v>10050</v>
      </c>
      <c r="E16" s="1338" t="s">
        <v>1924</v>
      </c>
      <c r="F16" s="1339"/>
      <c r="G16" s="1339"/>
      <c r="H16" s="1337"/>
      <c r="I16" s="1337"/>
      <c r="J16" s="1289">
        <v>0</v>
      </c>
      <c r="K16" s="1337"/>
      <c r="L16" s="1289">
        <v>0</v>
      </c>
      <c r="M16" s="1337"/>
      <c r="N16" s="1290">
        <v>0</v>
      </c>
      <c r="O16" s="1337"/>
      <c r="P16" s="1289">
        <f t="shared" ref="P16:P26" si="0">J16+L16+N16</f>
        <v>0</v>
      </c>
      <c r="Q16" s="1337"/>
      <c r="R16" s="1289">
        <v>-1262.05</v>
      </c>
      <c r="S16" s="1289">
        <v>-1088.8499999999999</v>
      </c>
      <c r="T16" s="1289">
        <f t="shared" ref="T16:T26" si="1">P16</f>
        <v>0</v>
      </c>
      <c r="U16" s="1337"/>
      <c r="V16" s="1290">
        <f t="shared" ref="V16:V26" si="2">T16-S16</f>
        <v>1088.8499999999999</v>
      </c>
      <c r="W16" s="1337"/>
      <c r="X16" s="1337"/>
    </row>
    <row r="17" spans="1:25" s="1340" customFormat="1" outlineLevel="1">
      <c r="A17" s="1337"/>
      <c r="B17" s="1285" t="s">
        <v>203</v>
      </c>
      <c r="C17" s="1286"/>
      <c r="D17" s="1338">
        <v>10051</v>
      </c>
      <c r="E17" s="1338" t="s">
        <v>2078</v>
      </c>
      <c r="F17" s="1339"/>
      <c r="G17" s="1339"/>
      <c r="H17" s="1337"/>
      <c r="I17" s="1337"/>
      <c r="J17" s="1289">
        <v>650</v>
      </c>
      <c r="K17" s="1337"/>
      <c r="L17" s="1289">
        <v>0</v>
      </c>
      <c r="M17" s="1337"/>
      <c r="N17" s="1290">
        <v>0</v>
      </c>
      <c r="O17" s="1337"/>
      <c r="P17" s="1289">
        <f t="shared" si="0"/>
        <v>650</v>
      </c>
      <c r="Q17" s="1337"/>
      <c r="R17" s="1289">
        <v>650</v>
      </c>
      <c r="S17" s="1289">
        <v>650</v>
      </c>
      <c r="T17" s="1289">
        <f t="shared" si="1"/>
        <v>650</v>
      </c>
      <c r="U17" s="1337"/>
      <c r="V17" s="1290">
        <f t="shared" si="2"/>
        <v>0</v>
      </c>
      <c r="W17" s="1337"/>
      <c r="X17" s="1337"/>
    </row>
    <row r="18" spans="1:25" s="1340" customFormat="1" outlineLevel="1">
      <c r="A18" s="1337"/>
      <c r="B18" s="1285" t="s">
        <v>203</v>
      </c>
      <c r="C18" s="1286"/>
      <c r="D18" s="1338">
        <v>10070</v>
      </c>
      <c r="E18" s="1338" t="s">
        <v>1925</v>
      </c>
      <c r="F18" s="1339"/>
      <c r="G18" s="1339"/>
      <c r="H18" s="1337"/>
      <c r="I18" s="1337"/>
      <c r="J18" s="1289">
        <v>-14935</v>
      </c>
      <c r="K18" s="1337"/>
      <c r="L18" s="1289">
        <v>0</v>
      </c>
      <c r="M18" s="1337"/>
      <c r="N18" s="1290">
        <v>0</v>
      </c>
      <c r="O18" s="1337"/>
      <c r="P18" s="1289">
        <f t="shared" si="0"/>
        <v>-14935</v>
      </c>
      <c r="Q18" s="1337"/>
      <c r="R18" s="1289">
        <v>-14935</v>
      </c>
      <c r="S18" s="1289">
        <v>-14935</v>
      </c>
      <c r="T18" s="1289">
        <f t="shared" si="1"/>
        <v>-14935</v>
      </c>
      <c r="U18" s="1337"/>
      <c r="V18" s="1290">
        <f t="shared" si="2"/>
        <v>0</v>
      </c>
      <c r="W18" s="1337"/>
      <c r="X18" s="1337"/>
    </row>
    <row r="19" spans="1:25" s="1340" customFormat="1" outlineLevel="1">
      <c r="A19" s="1337"/>
      <c r="B19" s="1285" t="s">
        <v>203</v>
      </c>
      <c r="C19" s="1286"/>
      <c r="D19" s="1338">
        <v>10071</v>
      </c>
      <c r="E19" s="1338" t="s">
        <v>1926</v>
      </c>
      <c r="F19" s="1339"/>
      <c r="G19" s="1339"/>
      <c r="H19" s="1337"/>
      <c r="I19" s="1337"/>
      <c r="J19" s="1289">
        <v>14935</v>
      </c>
      <c r="K19" s="1337"/>
      <c r="L19" s="1289">
        <v>0</v>
      </c>
      <c r="M19" s="1337"/>
      <c r="N19" s="1290">
        <v>0</v>
      </c>
      <c r="O19" s="1337"/>
      <c r="P19" s="1289">
        <f t="shared" si="0"/>
        <v>14935</v>
      </c>
      <c r="Q19" s="1337"/>
      <c r="R19" s="1289">
        <v>14935</v>
      </c>
      <c r="S19" s="1289">
        <v>14935</v>
      </c>
      <c r="T19" s="1289">
        <f t="shared" si="1"/>
        <v>14935</v>
      </c>
      <c r="U19" s="1337"/>
      <c r="V19" s="1290">
        <f t="shared" si="2"/>
        <v>0</v>
      </c>
      <c r="W19" s="1337"/>
      <c r="X19" s="1337"/>
    </row>
    <row r="20" spans="1:25" s="1340" customFormat="1" hidden="1" outlineLevel="1">
      <c r="A20" s="1337"/>
      <c r="B20" s="1285" t="s">
        <v>203</v>
      </c>
      <c r="C20" s="1286"/>
      <c r="D20" s="1338">
        <v>10092</v>
      </c>
      <c r="E20" s="1338" t="s">
        <v>1481</v>
      </c>
      <c r="F20" s="1339"/>
      <c r="G20" s="1339"/>
      <c r="H20" s="1337"/>
      <c r="I20" s="1337"/>
      <c r="J20" s="1289">
        <v>0</v>
      </c>
      <c r="K20" s="1337"/>
      <c r="L20" s="1289">
        <v>0</v>
      </c>
      <c r="M20" s="1337"/>
      <c r="N20" s="1290">
        <v>0</v>
      </c>
      <c r="O20" s="1337"/>
      <c r="P20" s="1289">
        <f t="shared" si="0"/>
        <v>0</v>
      </c>
      <c r="Q20" s="1337"/>
      <c r="R20" s="1289">
        <v>0</v>
      </c>
      <c r="S20" s="1289">
        <v>0</v>
      </c>
      <c r="T20" s="1289">
        <f t="shared" si="1"/>
        <v>0</v>
      </c>
      <c r="U20" s="1337"/>
      <c r="V20" s="1290">
        <f t="shared" si="2"/>
        <v>0</v>
      </c>
      <c r="W20" s="1337"/>
      <c r="X20" s="1337"/>
    </row>
    <row r="21" spans="1:25" s="1340" customFormat="1" hidden="1" outlineLevel="1">
      <c r="A21" s="1337"/>
      <c r="B21" s="1285" t="s">
        <v>203</v>
      </c>
      <c r="C21" s="1286"/>
      <c r="D21" s="1338">
        <v>10093</v>
      </c>
      <c r="E21" s="1338" t="s">
        <v>1927</v>
      </c>
      <c r="F21" s="1339"/>
      <c r="G21" s="1339"/>
      <c r="H21" s="1337"/>
      <c r="I21" s="1337"/>
      <c r="J21" s="1289">
        <v>0</v>
      </c>
      <c r="K21" s="1337"/>
      <c r="L21" s="1289">
        <v>0</v>
      </c>
      <c r="M21" s="1337"/>
      <c r="N21" s="1290">
        <v>0</v>
      </c>
      <c r="O21" s="1337"/>
      <c r="P21" s="1289">
        <f t="shared" si="0"/>
        <v>0</v>
      </c>
      <c r="Q21" s="1337"/>
      <c r="R21" s="1289">
        <v>0</v>
      </c>
      <c r="S21" s="1289">
        <v>0</v>
      </c>
      <c r="T21" s="1289">
        <f t="shared" si="1"/>
        <v>0</v>
      </c>
      <c r="U21" s="1337"/>
      <c r="V21" s="1290">
        <f t="shared" si="2"/>
        <v>0</v>
      </c>
      <c r="W21" s="1337"/>
      <c r="X21" s="1337"/>
    </row>
    <row r="22" spans="1:25" s="1340" customFormat="1" hidden="1" outlineLevel="1">
      <c r="A22" s="1337"/>
      <c r="B22" s="1285" t="s">
        <v>203</v>
      </c>
      <c r="C22" s="1286"/>
      <c r="D22" s="1338">
        <v>10095</v>
      </c>
      <c r="E22" s="1338" t="s">
        <v>1928</v>
      </c>
      <c r="F22" s="1339"/>
      <c r="G22" s="1339"/>
      <c r="H22" s="1337"/>
      <c r="I22" s="1337"/>
      <c r="J22" s="1289">
        <v>0</v>
      </c>
      <c r="K22" s="1337"/>
      <c r="L22" s="1289">
        <v>0</v>
      </c>
      <c r="M22" s="1337"/>
      <c r="N22" s="1290">
        <v>0</v>
      </c>
      <c r="O22" s="1337"/>
      <c r="P22" s="1289">
        <f t="shared" si="0"/>
        <v>0</v>
      </c>
      <c r="Q22" s="1337"/>
      <c r="R22" s="1289">
        <v>0</v>
      </c>
      <c r="S22" s="1289">
        <v>0</v>
      </c>
      <c r="T22" s="1289">
        <f t="shared" si="1"/>
        <v>0</v>
      </c>
      <c r="U22" s="1337"/>
      <c r="V22" s="1290">
        <f t="shared" si="2"/>
        <v>0</v>
      </c>
      <c r="W22" s="1337"/>
      <c r="X22" s="1337"/>
    </row>
    <row r="23" spans="1:25" s="1340" customFormat="1" hidden="1" outlineLevel="1">
      <c r="A23" s="1337"/>
      <c r="B23" s="1285" t="s">
        <v>203</v>
      </c>
      <c r="C23" s="1286"/>
      <c r="D23" s="1338">
        <v>10096</v>
      </c>
      <c r="E23" s="1338" t="s">
        <v>1929</v>
      </c>
      <c r="F23" s="1339"/>
      <c r="G23" s="1339"/>
      <c r="H23" s="1337"/>
      <c r="I23" s="1337"/>
      <c r="J23" s="1289">
        <v>0</v>
      </c>
      <c r="K23" s="1337"/>
      <c r="L23" s="1289">
        <v>0</v>
      </c>
      <c r="M23" s="1337"/>
      <c r="N23" s="1290">
        <v>0</v>
      </c>
      <c r="O23" s="1337"/>
      <c r="P23" s="1289">
        <f t="shared" si="0"/>
        <v>0</v>
      </c>
      <c r="Q23" s="1337"/>
      <c r="R23" s="1289">
        <v>0</v>
      </c>
      <c r="S23" s="1289">
        <v>0</v>
      </c>
      <c r="T23" s="1289">
        <f t="shared" si="1"/>
        <v>0</v>
      </c>
      <c r="U23" s="1337"/>
      <c r="V23" s="1290">
        <f t="shared" si="2"/>
        <v>0</v>
      </c>
      <c r="W23" s="1337"/>
      <c r="X23" s="1337"/>
    </row>
    <row r="24" spans="1:25" s="1340" customFormat="1" hidden="1" outlineLevel="1">
      <c r="A24" s="1337"/>
      <c r="B24" s="1285" t="s">
        <v>203</v>
      </c>
      <c r="C24" s="1286"/>
      <c r="D24" s="1338">
        <v>10097</v>
      </c>
      <c r="E24" s="1338" t="s">
        <v>1930</v>
      </c>
      <c r="F24" s="1339"/>
      <c r="G24" s="1339"/>
      <c r="H24" s="1337"/>
      <c r="I24" s="1337"/>
      <c r="J24" s="1289">
        <v>0</v>
      </c>
      <c r="K24" s="1337"/>
      <c r="L24" s="1289">
        <v>0</v>
      </c>
      <c r="M24" s="1337"/>
      <c r="N24" s="1290">
        <v>0</v>
      </c>
      <c r="O24" s="1337"/>
      <c r="P24" s="1289">
        <f t="shared" si="0"/>
        <v>0</v>
      </c>
      <c r="Q24" s="1337"/>
      <c r="R24" s="1289">
        <v>0</v>
      </c>
      <c r="S24" s="1289">
        <v>0</v>
      </c>
      <c r="T24" s="1289">
        <f t="shared" si="1"/>
        <v>0</v>
      </c>
      <c r="U24" s="1337"/>
      <c r="V24" s="1290">
        <f t="shared" si="2"/>
        <v>0</v>
      </c>
      <c r="W24" s="1337"/>
      <c r="X24" s="1337"/>
    </row>
    <row r="25" spans="1:25" s="1340" customFormat="1" hidden="1" outlineLevel="1">
      <c r="A25" s="1337"/>
      <c r="B25" s="1285" t="s">
        <v>203</v>
      </c>
      <c r="C25" s="1286"/>
      <c r="D25" s="1338">
        <v>10098</v>
      </c>
      <c r="E25" s="1338" t="s">
        <v>1931</v>
      </c>
      <c r="F25" s="1339"/>
      <c r="G25" s="1339"/>
      <c r="H25" s="1337"/>
      <c r="I25" s="1337"/>
      <c r="J25" s="1289">
        <v>0</v>
      </c>
      <c r="K25" s="1337"/>
      <c r="L25" s="1289">
        <v>0</v>
      </c>
      <c r="M25" s="1337"/>
      <c r="N25" s="1290">
        <v>0</v>
      </c>
      <c r="O25" s="1337"/>
      <c r="P25" s="1289">
        <f t="shared" si="0"/>
        <v>0</v>
      </c>
      <c r="Q25" s="1337"/>
      <c r="R25" s="1289">
        <v>0</v>
      </c>
      <c r="S25" s="1289">
        <v>0</v>
      </c>
      <c r="T25" s="1289">
        <f t="shared" si="1"/>
        <v>0</v>
      </c>
      <c r="U25" s="1337"/>
      <c r="V25" s="1290">
        <f t="shared" si="2"/>
        <v>0</v>
      </c>
      <c r="W25" s="1337"/>
      <c r="X25" s="1337"/>
    </row>
    <row r="26" spans="1:25" s="1340" customFormat="1" outlineLevel="1">
      <c r="A26" s="1337"/>
      <c r="B26" s="1285" t="s">
        <v>203</v>
      </c>
      <c r="C26" s="1286"/>
      <c r="D26" s="1338">
        <v>10099</v>
      </c>
      <c r="E26" s="1338" t="s">
        <v>1932</v>
      </c>
      <c r="F26" s="1339"/>
      <c r="G26" s="1339"/>
      <c r="H26" s="1337"/>
      <c r="I26" s="1337"/>
      <c r="J26" s="1289">
        <v>0</v>
      </c>
      <c r="K26" s="1337"/>
      <c r="L26" s="1289">
        <v>0</v>
      </c>
      <c r="M26" s="1337"/>
      <c r="N26" s="1290">
        <v>0</v>
      </c>
      <c r="O26" s="1337"/>
      <c r="P26" s="1289">
        <f t="shared" si="0"/>
        <v>0</v>
      </c>
      <c r="Q26" s="1337"/>
      <c r="R26" s="1289">
        <v>0</v>
      </c>
      <c r="S26" s="1289">
        <v>-240.04</v>
      </c>
      <c r="T26" s="1289">
        <f t="shared" si="1"/>
        <v>0</v>
      </c>
      <c r="U26" s="1337"/>
      <c r="V26" s="1290">
        <f t="shared" si="2"/>
        <v>240.04</v>
      </c>
      <c r="W26" s="1337"/>
      <c r="X26" s="1337"/>
    </row>
    <row r="27" spans="1:25" s="1340" customFormat="1" ht="4.5" customHeight="1" outlineLevel="1">
      <c r="A27" s="1278"/>
      <c r="B27" s="1311" t="s">
        <v>195</v>
      </c>
      <c r="C27" s="1311"/>
      <c r="D27" s="1337"/>
      <c r="E27" s="1337"/>
      <c r="F27" s="1337"/>
      <c r="G27" s="1337"/>
      <c r="H27" s="1337"/>
      <c r="I27" s="1337"/>
      <c r="J27" s="1362"/>
      <c r="K27" s="1337"/>
      <c r="L27" s="1362"/>
      <c r="M27" s="1337"/>
      <c r="N27" s="1362"/>
      <c r="O27" s="1337"/>
      <c r="P27" s="1362"/>
      <c r="Q27" s="1337"/>
      <c r="R27" s="1362"/>
      <c r="S27" s="1362"/>
      <c r="T27" s="1362"/>
      <c r="U27" s="1337"/>
      <c r="V27" s="1362"/>
      <c r="W27" s="1337"/>
      <c r="X27" s="1337"/>
      <c r="Y27" s="1337"/>
    </row>
    <row r="28" spans="1:25" s="1340" customFormat="1">
      <c r="A28" s="1286" t="s">
        <v>1923</v>
      </c>
      <c r="B28" s="1286" t="s">
        <v>195</v>
      </c>
      <c r="C28" s="1286"/>
      <c r="D28" s="1337"/>
      <c r="E28" s="1337"/>
      <c r="F28" s="1337" t="s">
        <v>1933</v>
      </c>
      <c r="G28" s="1337"/>
      <c r="H28" s="1337"/>
      <c r="I28" s="1337"/>
      <c r="J28" s="1313">
        <f>SUM(J16:J27)</f>
        <v>650</v>
      </c>
      <c r="K28" s="1337"/>
      <c r="L28" s="1313">
        <f>SUM(L16:L27)</f>
        <v>0</v>
      </c>
      <c r="M28" s="1337"/>
      <c r="N28" s="1314">
        <f>SUM(N16:N27)</f>
        <v>0</v>
      </c>
      <c r="O28" s="1337"/>
      <c r="P28" s="1313">
        <f t="shared" ref="P28" si="3">J28+L28+N28</f>
        <v>650</v>
      </c>
      <c r="Q28" s="1337"/>
      <c r="R28" s="1313">
        <f>SUM(R16:R27)</f>
        <v>-612.04999999999927</v>
      </c>
      <c r="S28" s="1313">
        <f>SUM(S16:S27)</f>
        <v>-678.89000000000033</v>
      </c>
      <c r="T28" s="1313">
        <f>SUM(T16:T27)</f>
        <v>650</v>
      </c>
      <c r="U28" s="1337"/>
      <c r="V28" s="1314">
        <f>SUM(V16:V27)</f>
        <v>1328.8899999999999</v>
      </c>
      <c r="W28" s="1337"/>
      <c r="X28" s="1337"/>
      <c r="Y28" s="1337"/>
    </row>
    <row r="29" spans="1:25" s="1340" customFormat="1" outlineLevel="1">
      <c r="A29" s="1337"/>
      <c r="B29" s="1285" t="s">
        <v>1934</v>
      </c>
      <c r="C29" s="1286"/>
      <c r="D29" s="1338">
        <v>11501</v>
      </c>
      <c r="E29" s="1338" t="s">
        <v>1935</v>
      </c>
      <c r="F29" s="1339"/>
      <c r="G29" s="1339"/>
      <c r="H29" s="1337"/>
      <c r="I29" s="1337"/>
      <c r="J29" s="1289">
        <v>248446.15</v>
      </c>
      <c r="K29" s="1337"/>
      <c r="L29" s="1289">
        <v>0</v>
      </c>
      <c r="M29" s="1337"/>
      <c r="N29" s="1290">
        <v>0</v>
      </c>
      <c r="O29" s="1337"/>
      <c r="P29" s="1289">
        <f t="shared" ref="P29:P36" si="4">J29+L29+N29</f>
        <v>248446.15</v>
      </c>
      <c r="Q29" s="1337"/>
      <c r="R29" s="1289">
        <v>259434.36</v>
      </c>
      <c r="S29" s="1289">
        <v>348567.65</v>
      </c>
      <c r="T29" s="1289">
        <f t="shared" ref="T29:T36" si="5">P29</f>
        <v>248446.15</v>
      </c>
      <c r="U29" s="1337"/>
      <c r="V29" s="1290">
        <f t="shared" ref="V29:V36" si="6">T29-S29</f>
        <v>-100121.50000000003</v>
      </c>
      <c r="W29" s="1337"/>
      <c r="X29" s="1337"/>
    </row>
    <row r="30" spans="1:25" s="1340" customFormat="1" outlineLevel="1">
      <c r="A30" s="1337"/>
      <c r="B30" s="1285" t="s">
        <v>203</v>
      </c>
      <c r="C30" s="1286"/>
      <c r="D30" s="1338">
        <v>11502</v>
      </c>
      <c r="E30" s="1338" t="s">
        <v>1936</v>
      </c>
      <c r="F30" s="1339"/>
      <c r="G30" s="1339"/>
      <c r="H30" s="1337"/>
      <c r="I30" s="1337"/>
      <c r="J30" s="1289">
        <v>-2983.71</v>
      </c>
      <c r="K30" s="1337"/>
      <c r="L30" s="1289">
        <v>0</v>
      </c>
      <c r="M30" s="1337"/>
      <c r="N30" s="1290">
        <v>0</v>
      </c>
      <c r="O30" s="1337"/>
      <c r="P30" s="1289">
        <f t="shared" si="4"/>
        <v>-2983.71</v>
      </c>
      <c r="Q30" s="1337"/>
      <c r="R30" s="1289">
        <v>-3305.43</v>
      </c>
      <c r="S30" s="1289">
        <v>-3760.31</v>
      </c>
      <c r="T30" s="1289">
        <f t="shared" si="5"/>
        <v>-2983.71</v>
      </c>
      <c r="U30" s="1337"/>
      <c r="V30" s="1290">
        <f t="shared" si="6"/>
        <v>776.59999999999991</v>
      </c>
      <c r="W30" s="1337"/>
      <c r="X30" s="1337"/>
    </row>
    <row r="31" spans="1:25" s="1340" customFormat="1" outlineLevel="1">
      <c r="A31" s="1337"/>
      <c r="B31" s="1285" t="s">
        <v>203</v>
      </c>
      <c r="C31" s="1286"/>
      <c r="D31" s="1338">
        <v>11511</v>
      </c>
      <c r="E31" s="1338" t="s">
        <v>2076</v>
      </c>
      <c r="F31" s="1339"/>
      <c r="G31" s="1339"/>
      <c r="H31" s="1337"/>
      <c r="I31" s="1337"/>
      <c r="J31" s="1289">
        <v>2845.21</v>
      </c>
      <c r="K31" s="1337"/>
      <c r="L31" s="1289">
        <v>0</v>
      </c>
      <c r="M31" s="1337"/>
      <c r="N31" s="1290">
        <v>0</v>
      </c>
      <c r="O31" s="1337"/>
      <c r="P31" s="1289">
        <f t="shared" si="4"/>
        <v>2845.21</v>
      </c>
      <c r="Q31" s="1337"/>
      <c r="R31" s="1289">
        <v>2845.21</v>
      </c>
      <c r="S31" s="1289">
        <v>2845.21</v>
      </c>
      <c r="T31" s="1289">
        <f t="shared" si="5"/>
        <v>2845.21</v>
      </c>
      <c r="U31" s="1337"/>
      <c r="V31" s="1290">
        <f t="shared" si="6"/>
        <v>0</v>
      </c>
      <c r="W31" s="1337"/>
      <c r="X31" s="1337"/>
    </row>
    <row r="32" spans="1:25" s="1340" customFormat="1" outlineLevel="1">
      <c r="A32" s="1337"/>
      <c r="B32" s="1285" t="s">
        <v>203</v>
      </c>
      <c r="C32" s="1286"/>
      <c r="D32" s="1338">
        <v>11800</v>
      </c>
      <c r="E32" s="1338" t="s">
        <v>1937</v>
      </c>
      <c r="F32" s="1339"/>
      <c r="G32" s="1339"/>
      <c r="H32" s="1337"/>
      <c r="I32" s="1337"/>
      <c r="J32" s="1289">
        <v>9193.7900000000009</v>
      </c>
      <c r="K32" s="1337"/>
      <c r="L32" s="1289">
        <v>0</v>
      </c>
      <c r="M32" s="1337"/>
      <c r="N32" s="1290">
        <v>0</v>
      </c>
      <c r="O32" s="1337"/>
      <c r="P32" s="1289">
        <f t="shared" si="4"/>
        <v>9193.7900000000009</v>
      </c>
      <c r="Q32" s="1337"/>
      <c r="R32" s="1289">
        <v>10511.79</v>
      </c>
      <c r="S32" s="1289">
        <v>10511.79</v>
      </c>
      <c r="T32" s="1289">
        <f t="shared" si="5"/>
        <v>9193.7900000000009</v>
      </c>
      <c r="U32" s="1337"/>
      <c r="V32" s="1290">
        <f t="shared" si="6"/>
        <v>-1318</v>
      </c>
      <c r="W32" s="1337"/>
      <c r="X32" s="1337"/>
    </row>
    <row r="33" spans="1:25" s="1340" customFormat="1" outlineLevel="1">
      <c r="A33" s="1337"/>
      <c r="B33" s="1285" t="s">
        <v>203</v>
      </c>
      <c r="C33" s="1286"/>
      <c r="D33" s="1338">
        <v>11900</v>
      </c>
      <c r="E33" s="1338" t="s">
        <v>2077</v>
      </c>
      <c r="F33" s="1339"/>
      <c r="G33" s="1339"/>
      <c r="H33" s="1337"/>
      <c r="I33" s="1337"/>
      <c r="J33" s="1289">
        <v>-21433.73</v>
      </c>
      <c r="K33" s="1337"/>
      <c r="L33" s="1289">
        <v>0</v>
      </c>
      <c r="M33" s="1337"/>
      <c r="N33" s="1290">
        <v>0</v>
      </c>
      <c r="O33" s="1337"/>
      <c r="P33" s="1289">
        <f t="shared" si="4"/>
        <v>-21433.73</v>
      </c>
      <c r="Q33" s="1337"/>
      <c r="R33" s="1289">
        <v>-21433.73</v>
      </c>
      <c r="S33" s="1289">
        <v>-21433.73</v>
      </c>
      <c r="T33" s="1289">
        <f t="shared" si="5"/>
        <v>-21433.73</v>
      </c>
      <c r="U33" s="1337"/>
      <c r="V33" s="1290">
        <f t="shared" si="6"/>
        <v>0</v>
      </c>
      <c r="W33" s="1337"/>
      <c r="X33" s="1337"/>
    </row>
    <row r="34" spans="1:25" s="1340" customFormat="1" outlineLevel="1">
      <c r="A34" s="1337"/>
      <c r="B34" s="1285" t="s">
        <v>203</v>
      </c>
      <c r="C34" s="1286"/>
      <c r="D34" s="1338">
        <v>11901</v>
      </c>
      <c r="E34" s="1338" t="s">
        <v>1938</v>
      </c>
      <c r="F34" s="1339"/>
      <c r="G34" s="1339"/>
      <c r="H34" s="1337"/>
      <c r="I34" s="1337"/>
      <c r="J34" s="1289">
        <v>-117641.65</v>
      </c>
      <c r="K34" s="1337"/>
      <c r="L34" s="1289">
        <v>0</v>
      </c>
      <c r="M34" s="1337"/>
      <c r="N34" s="1290">
        <v>0</v>
      </c>
      <c r="O34" s="1337"/>
      <c r="P34" s="1289">
        <f t="shared" si="4"/>
        <v>-117641.65</v>
      </c>
      <c r="Q34" s="1337"/>
      <c r="R34" s="1289">
        <v>-115316.51</v>
      </c>
      <c r="S34" s="1289">
        <v>-115384.78</v>
      </c>
      <c r="T34" s="1289">
        <f t="shared" si="5"/>
        <v>-117641.65</v>
      </c>
      <c r="U34" s="1337"/>
      <c r="V34" s="1290">
        <f t="shared" si="6"/>
        <v>-2256.8699999999953</v>
      </c>
      <c r="W34" s="1337"/>
      <c r="X34" s="1337"/>
    </row>
    <row r="35" spans="1:25" s="1340" customFormat="1" outlineLevel="1">
      <c r="A35" s="1337"/>
      <c r="B35" s="1285" t="s">
        <v>203</v>
      </c>
      <c r="C35" s="1286"/>
      <c r="D35" s="1338">
        <v>11902</v>
      </c>
      <c r="E35" s="1338" t="s">
        <v>1939</v>
      </c>
      <c r="F35" s="1339"/>
      <c r="G35" s="1339"/>
      <c r="H35" s="1337"/>
      <c r="I35" s="1337"/>
      <c r="J35" s="1289">
        <v>190010.34</v>
      </c>
      <c r="K35" s="1337"/>
      <c r="L35" s="1289">
        <v>0</v>
      </c>
      <c r="M35" s="1337"/>
      <c r="N35" s="1290">
        <v>0</v>
      </c>
      <c r="O35" s="1337"/>
      <c r="P35" s="1289">
        <f t="shared" si="4"/>
        <v>190010.34</v>
      </c>
      <c r="Q35" s="1337"/>
      <c r="R35" s="1289">
        <v>188368.36</v>
      </c>
      <c r="S35" s="1289">
        <v>189103.27</v>
      </c>
      <c r="T35" s="1289">
        <f t="shared" si="5"/>
        <v>190010.34</v>
      </c>
      <c r="U35" s="1337"/>
      <c r="V35" s="1290">
        <f t="shared" si="6"/>
        <v>907.07000000000698</v>
      </c>
      <c r="W35" s="1337"/>
      <c r="X35" s="1337"/>
    </row>
    <row r="36" spans="1:25" s="1340" customFormat="1" outlineLevel="1">
      <c r="A36" s="1337"/>
      <c r="B36" s="1285" t="s">
        <v>203</v>
      </c>
      <c r="C36" s="1286"/>
      <c r="D36" s="1338">
        <v>11903</v>
      </c>
      <c r="E36" s="1338" t="s">
        <v>1940</v>
      </c>
      <c r="F36" s="1339"/>
      <c r="G36" s="1339"/>
      <c r="H36" s="1337"/>
      <c r="I36" s="1337"/>
      <c r="J36" s="1289">
        <v>-54008.46</v>
      </c>
      <c r="K36" s="1337"/>
      <c r="L36" s="1289">
        <v>0</v>
      </c>
      <c r="M36" s="1337"/>
      <c r="N36" s="1290">
        <v>0</v>
      </c>
      <c r="O36" s="1337"/>
      <c r="P36" s="1289">
        <f t="shared" si="4"/>
        <v>-54008.46</v>
      </c>
      <c r="Q36" s="1337"/>
      <c r="R36" s="1289">
        <v>-53173.97</v>
      </c>
      <c r="S36" s="1289">
        <v>-53507.08</v>
      </c>
      <c r="T36" s="1289">
        <f t="shared" si="5"/>
        <v>-54008.46</v>
      </c>
      <c r="U36" s="1337"/>
      <c r="V36" s="1290">
        <f t="shared" si="6"/>
        <v>-501.37999999999738</v>
      </c>
      <c r="W36" s="1337"/>
      <c r="X36" s="1337"/>
    </row>
    <row r="37" spans="1:25" s="1340" customFormat="1" ht="5.0999999999999996" customHeight="1" outlineLevel="1">
      <c r="A37" s="1286" t="s">
        <v>195</v>
      </c>
      <c r="B37" s="1311" t="s">
        <v>195</v>
      </c>
      <c r="C37" s="1311"/>
      <c r="D37" s="1339"/>
      <c r="E37" s="1339"/>
      <c r="F37" s="1339"/>
      <c r="G37" s="1339"/>
      <c r="H37" s="1337"/>
      <c r="I37" s="1337"/>
      <c r="J37" s="1315"/>
      <c r="K37" s="1337"/>
      <c r="L37" s="1315"/>
      <c r="M37" s="1337"/>
      <c r="N37" s="1316"/>
      <c r="O37" s="1337"/>
      <c r="P37" s="1315"/>
      <c r="Q37" s="1337"/>
      <c r="R37" s="1315"/>
      <c r="S37" s="1315"/>
      <c r="T37" s="1315"/>
      <c r="U37" s="1337"/>
      <c r="V37" s="1316"/>
      <c r="W37" s="1337"/>
      <c r="X37" s="1337"/>
      <c r="Y37" s="1337"/>
    </row>
    <row r="38" spans="1:25" s="1340" customFormat="1">
      <c r="A38" s="1286" t="s">
        <v>1934</v>
      </c>
      <c r="B38" s="1286" t="s">
        <v>195</v>
      </c>
      <c r="C38" s="1286"/>
      <c r="D38" s="1337"/>
      <c r="E38" s="1337"/>
      <c r="F38" s="1338" t="s">
        <v>1941</v>
      </c>
      <c r="G38" s="1337"/>
      <c r="H38" s="1337"/>
      <c r="I38" s="1337"/>
      <c r="J38" s="1313">
        <f>SUM(J29:J37)</f>
        <v>254427.94000000003</v>
      </c>
      <c r="K38" s="1337"/>
      <c r="L38" s="1313">
        <f>SUM(L29:L37)</f>
        <v>0</v>
      </c>
      <c r="M38" s="1337"/>
      <c r="N38" s="1314">
        <f>SUM(N29:N37)</f>
        <v>0</v>
      </c>
      <c r="O38" s="1337"/>
      <c r="P38" s="1313">
        <f>J38+L38+N38</f>
        <v>254427.94000000003</v>
      </c>
      <c r="Q38" s="1337"/>
      <c r="R38" s="1313">
        <f>SUM(R29:R37)</f>
        <v>267930.07999999996</v>
      </c>
      <c r="S38" s="1313">
        <f>SUM(S29:S37)</f>
        <v>356942.02</v>
      </c>
      <c r="T38" s="1313">
        <f>SUM(T29:T37)</f>
        <v>254427.94000000003</v>
      </c>
      <c r="U38" s="1337"/>
      <c r="V38" s="1314">
        <f>SUM(V29:V37)</f>
        <v>-102514.08000000002</v>
      </c>
      <c r="W38" s="1337"/>
      <c r="X38" s="1337"/>
      <c r="Y38" s="1337"/>
    </row>
    <row r="39" spans="1:25" s="1340" customFormat="1" outlineLevel="1">
      <c r="A39" s="1337"/>
      <c r="B39" s="1285" t="s">
        <v>1942</v>
      </c>
      <c r="C39" s="1286"/>
      <c r="D39" s="1338">
        <v>12001</v>
      </c>
      <c r="E39" s="1338" t="s">
        <v>2073</v>
      </c>
      <c r="F39" s="1339"/>
      <c r="G39" s="1339"/>
      <c r="H39" s="1337"/>
      <c r="I39" s="1337"/>
      <c r="J39" s="1289">
        <v>11981.67</v>
      </c>
      <c r="K39" s="1337"/>
      <c r="L39" s="1289">
        <v>0</v>
      </c>
      <c r="M39" s="1337"/>
      <c r="N39" s="1290">
        <v>0</v>
      </c>
      <c r="O39" s="1337"/>
      <c r="P39" s="1289">
        <f>J39+L39+N39</f>
        <v>11981.67</v>
      </c>
      <c r="Q39" s="1337"/>
      <c r="R39" s="1289">
        <v>11981.67</v>
      </c>
      <c r="S39" s="1289">
        <v>11981.67</v>
      </c>
      <c r="T39" s="1289">
        <f t="shared" ref="T39:T41" si="7">P39</f>
        <v>11981.67</v>
      </c>
      <c r="U39" s="1337"/>
      <c r="V39" s="1290">
        <f t="shared" ref="V39:V41" si="8">T39-S39</f>
        <v>0</v>
      </c>
      <c r="W39" s="1337"/>
      <c r="X39" s="1337"/>
    </row>
    <row r="40" spans="1:25" s="1340" customFormat="1" outlineLevel="1">
      <c r="A40" s="1337"/>
      <c r="B40" s="1285" t="s">
        <v>203</v>
      </c>
      <c r="C40" s="1286"/>
      <c r="D40" s="1338">
        <v>12003</v>
      </c>
      <c r="E40" s="1338" t="s">
        <v>2074</v>
      </c>
      <c r="F40" s="1339"/>
      <c r="G40" s="1339"/>
      <c r="H40" s="1337"/>
      <c r="I40" s="1337"/>
      <c r="J40" s="1289">
        <v>2246.91</v>
      </c>
      <c r="K40" s="1337"/>
      <c r="L40" s="1289">
        <v>0</v>
      </c>
      <c r="M40" s="1337"/>
      <c r="N40" s="1290">
        <v>0</v>
      </c>
      <c r="O40" s="1337"/>
      <c r="P40" s="1289">
        <f>J40+L40+N40</f>
        <v>2246.91</v>
      </c>
      <c r="Q40" s="1337"/>
      <c r="R40" s="1289">
        <v>2246.91</v>
      </c>
      <c r="S40" s="1289">
        <v>2246.91</v>
      </c>
      <c r="T40" s="1289">
        <f t="shared" si="7"/>
        <v>2246.91</v>
      </c>
      <c r="U40" s="1337"/>
      <c r="V40" s="1290">
        <f t="shared" si="8"/>
        <v>0</v>
      </c>
      <c r="W40" s="1337"/>
      <c r="X40" s="1337"/>
    </row>
    <row r="41" spans="1:25" s="1340" customFormat="1" outlineLevel="1">
      <c r="A41" s="1337"/>
      <c r="B41" s="1285" t="s">
        <v>203</v>
      </c>
      <c r="C41" s="1286"/>
      <c r="D41" s="1338">
        <v>12004</v>
      </c>
      <c r="E41" s="1338" t="s">
        <v>2075</v>
      </c>
      <c r="F41" s="1339"/>
      <c r="G41" s="1339"/>
      <c r="H41" s="1337"/>
      <c r="I41" s="1337"/>
      <c r="J41" s="1289">
        <v>1560</v>
      </c>
      <c r="K41" s="1337"/>
      <c r="L41" s="1289">
        <v>0</v>
      </c>
      <c r="M41" s="1337"/>
      <c r="N41" s="1290">
        <v>0</v>
      </c>
      <c r="O41" s="1337"/>
      <c r="P41" s="1289">
        <f>J41+L41+N41</f>
        <v>1560</v>
      </c>
      <c r="Q41" s="1337"/>
      <c r="R41" s="1289">
        <v>1560</v>
      </c>
      <c r="S41" s="1289">
        <v>1560</v>
      </c>
      <c r="T41" s="1289">
        <f t="shared" si="7"/>
        <v>1560</v>
      </c>
      <c r="U41" s="1337"/>
      <c r="V41" s="1290">
        <f t="shared" si="8"/>
        <v>0</v>
      </c>
      <c r="W41" s="1337"/>
      <c r="X41" s="1337"/>
    </row>
    <row r="42" spans="1:25" s="1340" customFormat="1" ht="5.0999999999999996" customHeight="1" outlineLevel="1">
      <c r="A42" s="1286" t="s">
        <v>195</v>
      </c>
      <c r="B42" s="1311" t="s">
        <v>195</v>
      </c>
      <c r="C42" s="1311"/>
      <c r="D42" s="1339"/>
      <c r="E42" s="1339"/>
      <c r="F42" s="1339"/>
      <c r="G42" s="1339"/>
      <c r="H42" s="1337"/>
      <c r="I42" s="1337"/>
      <c r="J42" s="1315"/>
      <c r="K42" s="1337"/>
      <c r="L42" s="1315"/>
      <c r="M42" s="1337"/>
      <c r="N42" s="1316"/>
      <c r="O42" s="1337"/>
      <c r="P42" s="1315"/>
      <c r="Q42" s="1337"/>
      <c r="R42" s="1315"/>
      <c r="S42" s="1315"/>
      <c r="T42" s="1315"/>
      <c r="U42" s="1337"/>
      <c r="V42" s="1316"/>
      <c r="W42" s="1337"/>
      <c r="X42" s="1337"/>
      <c r="Y42" s="1337"/>
    </row>
    <row r="43" spans="1:25" s="1340" customFormat="1">
      <c r="A43" s="1286" t="s">
        <v>1942</v>
      </c>
      <c r="B43" s="1286" t="s">
        <v>195</v>
      </c>
      <c r="C43" s="1286"/>
      <c r="D43" s="1337"/>
      <c r="E43" s="1337"/>
      <c r="F43" s="1338" t="s">
        <v>1943</v>
      </c>
      <c r="G43" s="1337"/>
      <c r="H43" s="1337"/>
      <c r="I43" s="1337"/>
      <c r="J43" s="1313">
        <f>SUM(J39:J42)</f>
        <v>15788.58</v>
      </c>
      <c r="K43" s="1337"/>
      <c r="L43" s="1313">
        <f>SUM(L39:L42)</f>
        <v>0</v>
      </c>
      <c r="M43" s="1337"/>
      <c r="N43" s="1314">
        <f>SUM(N39:N42)</f>
        <v>0</v>
      </c>
      <c r="O43" s="1337"/>
      <c r="P43" s="1313">
        <f t="shared" ref="P43:P48" si="9">J43+L43+N43</f>
        <v>15788.58</v>
      </c>
      <c r="Q43" s="1337"/>
      <c r="R43" s="1313">
        <f>SUM(R39:R42)</f>
        <v>15788.58</v>
      </c>
      <c r="S43" s="1313">
        <f>SUM(S39:S42)</f>
        <v>15788.58</v>
      </c>
      <c r="T43" s="1313">
        <f>SUM(T39:T42)</f>
        <v>15788.58</v>
      </c>
      <c r="U43" s="1337"/>
      <c r="V43" s="1314">
        <f>SUM(V39:V42)</f>
        <v>0</v>
      </c>
      <c r="W43" s="1337"/>
      <c r="X43" s="1337"/>
      <c r="Y43" s="1337"/>
    </row>
    <row r="44" spans="1:25" s="1340" customFormat="1" outlineLevel="1">
      <c r="A44" s="1337"/>
      <c r="B44" s="1285" t="s">
        <v>1944</v>
      </c>
      <c r="C44" s="1286"/>
      <c r="D44" s="1338">
        <v>13001</v>
      </c>
      <c r="E44" s="1338" t="s">
        <v>1945</v>
      </c>
      <c r="F44" s="1339"/>
      <c r="G44" s="1339"/>
      <c r="H44" s="1337"/>
      <c r="I44" s="1337"/>
      <c r="J44" s="1289">
        <v>10231.44</v>
      </c>
      <c r="K44" s="1337"/>
      <c r="L44" s="1289">
        <v>0</v>
      </c>
      <c r="M44" s="1337"/>
      <c r="N44" s="1290">
        <v>0</v>
      </c>
      <c r="O44" s="1337"/>
      <c r="P44" s="1289">
        <f t="shared" si="9"/>
        <v>10231.44</v>
      </c>
      <c r="Q44" s="1337"/>
      <c r="R44" s="1289">
        <v>3095</v>
      </c>
      <c r="S44" s="1289">
        <v>11053.47</v>
      </c>
      <c r="T44" s="1289">
        <f t="shared" ref="T44:T48" si="10">P44</f>
        <v>10231.44</v>
      </c>
      <c r="U44" s="1337"/>
      <c r="V44" s="1290">
        <f t="shared" ref="V44:V48" si="11">T44-S44</f>
        <v>-822.02999999999884</v>
      </c>
      <c r="W44" s="1337"/>
      <c r="X44" s="1337"/>
    </row>
    <row r="45" spans="1:25" s="1340" customFormat="1" hidden="1" outlineLevel="1">
      <c r="A45" s="1337"/>
      <c r="B45" s="1285" t="s">
        <v>203</v>
      </c>
      <c r="C45" s="1286"/>
      <c r="D45" s="1338">
        <v>13002</v>
      </c>
      <c r="E45" s="1338" t="s">
        <v>2080</v>
      </c>
      <c r="F45" s="1339"/>
      <c r="G45" s="1339"/>
      <c r="H45" s="1337"/>
      <c r="I45" s="1337"/>
      <c r="J45" s="1289">
        <v>0</v>
      </c>
      <c r="K45" s="1337"/>
      <c r="L45" s="1289">
        <v>0</v>
      </c>
      <c r="M45" s="1337"/>
      <c r="N45" s="1290">
        <v>0</v>
      </c>
      <c r="O45" s="1337"/>
      <c r="P45" s="1289">
        <f t="shared" si="9"/>
        <v>0</v>
      </c>
      <c r="Q45" s="1337"/>
      <c r="R45" s="1289">
        <v>0</v>
      </c>
      <c r="S45" s="1289">
        <v>0</v>
      </c>
      <c r="T45" s="1289">
        <f t="shared" si="10"/>
        <v>0</v>
      </c>
      <c r="U45" s="1337"/>
      <c r="V45" s="1290">
        <f t="shared" si="11"/>
        <v>0</v>
      </c>
      <c r="W45" s="1337"/>
      <c r="X45" s="1337"/>
    </row>
    <row r="46" spans="1:25" s="1340" customFormat="1" hidden="1" outlineLevel="1">
      <c r="A46" s="1337"/>
      <c r="B46" s="1285" t="s">
        <v>203</v>
      </c>
      <c r="C46" s="1286"/>
      <c r="D46" s="1338">
        <v>13003</v>
      </c>
      <c r="E46" s="1338" t="s">
        <v>1946</v>
      </c>
      <c r="F46" s="1339"/>
      <c r="G46" s="1339"/>
      <c r="H46" s="1337"/>
      <c r="I46" s="1337"/>
      <c r="J46" s="1289">
        <v>0</v>
      </c>
      <c r="K46" s="1337"/>
      <c r="L46" s="1289">
        <v>0</v>
      </c>
      <c r="M46" s="1337"/>
      <c r="N46" s="1290">
        <v>0</v>
      </c>
      <c r="O46" s="1337"/>
      <c r="P46" s="1289">
        <f t="shared" si="9"/>
        <v>0</v>
      </c>
      <c r="Q46" s="1337"/>
      <c r="R46" s="1289">
        <v>0</v>
      </c>
      <c r="S46" s="1289">
        <v>0</v>
      </c>
      <c r="T46" s="1289">
        <f t="shared" si="10"/>
        <v>0</v>
      </c>
      <c r="U46" s="1337"/>
      <c r="V46" s="1290">
        <f t="shared" si="11"/>
        <v>0</v>
      </c>
      <c r="W46" s="1337"/>
      <c r="X46" s="1337"/>
    </row>
    <row r="47" spans="1:25" s="1340" customFormat="1" outlineLevel="1">
      <c r="A47" s="1337"/>
      <c r="B47" s="1285" t="s">
        <v>203</v>
      </c>
      <c r="C47" s="1286"/>
      <c r="D47" s="1338">
        <v>13004</v>
      </c>
      <c r="E47" s="1338" t="s">
        <v>1947</v>
      </c>
      <c r="F47" s="1339"/>
      <c r="G47" s="1339"/>
      <c r="H47" s="1337"/>
      <c r="I47" s="1337"/>
      <c r="J47" s="1289">
        <v>0</v>
      </c>
      <c r="K47" s="1337"/>
      <c r="L47" s="1289">
        <v>0</v>
      </c>
      <c r="M47" s="1337"/>
      <c r="N47" s="1290">
        <v>0</v>
      </c>
      <c r="O47" s="1337"/>
      <c r="P47" s="1289">
        <f t="shared" si="9"/>
        <v>0</v>
      </c>
      <c r="Q47" s="1337"/>
      <c r="R47" s="1289">
        <v>552.13</v>
      </c>
      <c r="S47" s="1289">
        <v>276.02</v>
      </c>
      <c r="T47" s="1289">
        <f t="shared" si="10"/>
        <v>0</v>
      </c>
      <c r="U47" s="1337"/>
      <c r="V47" s="1290">
        <f t="shared" si="11"/>
        <v>-276.02</v>
      </c>
      <c r="W47" s="1337"/>
      <c r="X47" s="1337"/>
    </row>
    <row r="48" spans="1:25" s="1340" customFormat="1" outlineLevel="1">
      <c r="A48" s="1337"/>
      <c r="B48" s="1285" t="s">
        <v>203</v>
      </c>
      <c r="C48" s="1286"/>
      <c r="D48" s="1338">
        <v>13008</v>
      </c>
      <c r="E48" s="1338" t="s">
        <v>1948</v>
      </c>
      <c r="F48" s="1339"/>
      <c r="G48" s="1339"/>
      <c r="H48" s="1337"/>
      <c r="I48" s="1337"/>
      <c r="J48" s="1289">
        <v>1720.45</v>
      </c>
      <c r="K48" s="1337"/>
      <c r="L48" s="1289">
        <v>0</v>
      </c>
      <c r="M48" s="1337"/>
      <c r="N48" s="1290">
        <v>0</v>
      </c>
      <c r="O48" s="1337"/>
      <c r="P48" s="1289">
        <f t="shared" si="9"/>
        <v>1720.45</v>
      </c>
      <c r="Q48" s="1337"/>
      <c r="R48" s="1289">
        <v>2420.39</v>
      </c>
      <c r="S48" s="1289">
        <v>2070.42</v>
      </c>
      <c r="T48" s="1289">
        <f t="shared" si="10"/>
        <v>1720.45</v>
      </c>
      <c r="U48" s="1337"/>
      <c r="V48" s="1290">
        <f t="shared" si="11"/>
        <v>-349.97</v>
      </c>
      <c r="W48" s="1337"/>
      <c r="X48" s="1337"/>
    </row>
    <row r="49" spans="1:25" s="1340" customFormat="1" ht="3.75" customHeight="1" outlineLevel="1">
      <c r="A49" s="1286" t="s">
        <v>195</v>
      </c>
      <c r="B49" s="1311" t="s">
        <v>195</v>
      </c>
      <c r="C49" s="1311"/>
      <c r="D49" s="1339"/>
      <c r="E49" s="1339"/>
      <c r="F49" s="1339"/>
      <c r="G49" s="1339"/>
      <c r="H49" s="1337"/>
      <c r="I49" s="1337"/>
      <c r="J49" s="1315"/>
      <c r="K49" s="1337"/>
      <c r="L49" s="1315"/>
      <c r="M49" s="1337"/>
      <c r="N49" s="1316"/>
      <c r="O49" s="1337"/>
      <c r="P49" s="1315"/>
      <c r="Q49" s="1337"/>
      <c r="R49" s="1315"/>
      <c r="S49" s="1315"/>
      <c r="T49" s="1315"/>
      <c r="U49" s="1337"/>
      <c r="V49" s="1316"/>
      <c r="W49" s="1337"/>
      <c r="X49" s="1337"/>
      <c r="Y49" s="1337"/>
    </row>
    <row r="50" spans="1:25" s="1340" customFormat="1">
      <c r="A50" s="1286" t="s">
        <v>1944</v>
      </c>
      <c r="B50" s="1286" t="s">
        <v>195</v>
      </c>
      <c r="C50" s="1286"/>
      <c r="D50" s="1337"/>
      <c r="E50" s="1337"/>
      <c r="F50" s="1338" t="s">
        <v>1949</v>
      </c>
      <c r="G50" s="1337"/>
      <c r="H50" s="1337"/>
      <c r="I50" s="1337"/>
      <c r="J50" s="1313">
        <f>SUM(J44:J49)</f>
        <v>11951.890000000001</v>
      </c>
      <c r="K50" s="1337"/>
      <c r="L50" s="1313">
        <f>SUM(L44:L49)</f>
        <v>0</v>
      </c>
      <c r="M50" s="1337"/>
      <c r="N50" s="1314">
        <f>SUM(N44:N49)</f>
        <v>0</v>
      </c>
      <c r="O50" s="1337"/>
      <c r="P50" s="1313">
        <f>J50+L50+N50</f>
        <v>11951.890000000001</v>
      </c>
      <c r="Q50" s="1337"/>
      <c r="R50" s="1313">
        <f>SUM(R44:R49)</f>
        <v>6067.52</v>
      </c>
      <c r="S50" s="1313">
        <f>SUM(S44:S49)</f>
        <v>13399.91</v>
      </c>
      <c r="T50" s="1313">
        <f>SUM(T44:T49)</f>
        <v>11951.890000000001</v>
      </c>
      <c r="U50" s="1363"/>
      <c r="V50" s="1314">
        <f>SUM(V44:V49)</f>
        <v>-1448.0199999999988</v>
      </c>
      <c r="W50" s="1337"/>
      <c r="X50" s="1337"/>
      <c r="Y50" s="1337"/>
    </row>
    <row r="51" spans="1:25" s="1340" customFormat="1" hidden="1" outlineLevel="1">
      <c r="A51" s="1337"/>
      <c r="B51" s="1285" t="s">
        <v>1950</v>
      </c>
      <c r="C51" s="1286"/>
      <c r="D51" s="1338"/>
      <c r="E51" s="1338"/>
      <c r="F51" s="1339"/>
      <c r="G51" s="1339"/>
      <c r="H51" s="1337"/>
      <c r="I51" s="1337"/>
      <c r="J51" s="1289"/>
      <c r="K51" s="1337"/>
      <c r="L51" s="1289"/>
      <c r="M51" s="1337"/>
      <c r="N51" s="1290"/>
      <c r="O51" s="1337"/>
      <c r="P51" s="1289">
        <f>J51+L51+N51</f>
        <v>0</v>
      </c>
      <c r="Q51" s="1337"/>
      <c r="R51" s="1289"/>
      <c r="S51" s="1289"/>
      <c r="T51" s="1289">
        <f>P51</f>
        <v>0</v>
      </c>
      <c r="U51" s="1337"/>
      <c r="V51" s="1290">
        <f>T51-S51</f>
        <v>0</v>
      </c>
      <c r="W51" s="1337"/>
      <c r="X51" s="1337"/>
    </row>
    <row r="52" spans="1:25" s="1340" customFormat="1" ht="3.75" hidden="1" customHeight="1" outlineLevel="1">
      <c r="A52" s="1286" t="s">
        <v>195</v>
      </c>
      <c r="B52" s="1311" t="s">
        <v>195</v>
      </c>
      <c r="C52" s="1311"/>
      <c r="D52" s="1339"/>
      <c r="E52" s="1339"/>
      <c r="F52" s="1339"/>
      <c r="G52" s="1339"/>
      <c r="H52" s="1337"/>
      <c r="I52" s="1337"/>
      <c r="J52" s="1315"/>
      <c r="K52" s="1337"/>
      <c r="L52" s="1315"/>
      <c r="M52" s="1337"/>
      <c r="N52" s="1316"/>
      <c r="O52" s="1337"/>
      <c r="P52" s="1315"/>
      <c r="Q52" s="1337"/>
      <c r="R52" s="1315"/>
      <c r="S52" s="1315"/>
      <c r="T52" s="1315"/>
      <c r="U52" s="1337"/>
      <c r="V52" s="1316"/>
      <c r="W52" s="1337"/>
      <c r="X52" s="1337"/>
      <c r="Y52" s="1337"/>
    </row>
    <row r="53" spans="1:25" s="1340" customFormat="1" hidden="1" collapsed="1">
      <c r="A53" s="1286" t="s">
        <v>1950</v>
      </c>
      <c r="B53" s="1286" t="s">
        <v>195</v>
      </c>
      <c r="C53" s="1286"/>
      <c r="D53" s="1337"/>
      <c r="E53" s="1337"/>
      <c r="F53" s="1338" t="s">
        <v>1951</v>
      </c>
      <c r="G53" s="1337"/>
      <c r="H53" s="1337"/>
      <c r="I53" s="1337"/>
      <c r="J53" s="1313">
        <f>SUM(J51:J52)</f>
        <v>0</v>
      </c>
      <c r="K53" s="1337"/>
      <c r="L53" s="1313">
        <f>SUM(L51:L52)</f>
        <v>0</v>
      </c>
      <c r="M53" s="1337"/>
      <c r="N53" s="1314">
        <f>SUM(N51:N52)</f>
        <v>0</v>
      </c>
      <c r="O53" s="1337"/>
      <c r="P53" s="1313">
        <f>J53+L53+N53</f>
        <v>0</v>
      </c>
      <c r="Q53" s="1337"/>
      <c r="R53" s="1313">
        <f>SUM(R51:R52)</f>
        <v>0</v>
      </c>
      <c r="S53" s="1313">
        <f>SUM(S51:S52)</f>
        <v>0</v>
      </c>
      <c r="T53" s="1313">
        <f>SUM(T51:T52)</f>
        <v>0</v>
      </c>
      <c r="U53" s="1363"/>
      <c r="V53" s="1314">
        <f>SUM(V51:V52)</f>
        <v>0</v>
      </c>
      <c r="W53" s="1337"/>
      <c r="X53" s="1337"/>
      <c r="Y53" s="1337"/>
    </row>
    <row r="54" spans="1:25" s="1340" customFormat="1" ht="7.5" customHeight="1">
      <c r="A54" s="1311" t="s">
        <v>195</v>
      </c>
      <c r="B54" s="1311" t="s">
        <v>195</v>
      </c>
      <c r="C54" s="1311"/>
      <c r="D54" s="1337"/>
      <c r="E54" s="1337"/>
      <c r="F54" s="1337"/>
      <c r="G54" s="1337"/>
      <c r="H54" s="1337"/>
      <c r="I54" s="1337"/>
      <c r="J54" s="1318"/>
      <c r="K54" s="1337"/>
      <c r="L54" s="1318"/>
      <c r="M54" s="1337"/>
      <c r="N54" s="1318"/>
      <c r="O54" s="1337"/>
      <c r="P54" s="1318"/>
      <c r="Q54" s="1337"/>
      <c r="R54" s="1318"/>
      <c r="S54" s="1318"/>
      <c r="T54" s="1318"/>
      <c r="U54" s="1337"/>
      <c r="V54" s="1318"/>
      <c r="W54" s="1337"/>
      <c r="X54" s="1337"/>
      <c r="Y54" s="1337"/>
    </row>
    <row r="55" spans="1:25" s="1340" customFormat="1">
      <c r="A55" s="1286" t="s">
        <v>195</v>
      </c>
      <c r="B55" s="1311" t="s">
        <v>195</v>
      </c>
      <c r="C55" s="1311"/>
      <c r="D55" s="1337"/>
      <c r="E55" s="1364" t="s">
        <v>1952</v>
      </c>
      <c r="F55" s="1337"/>
      <c r="G55" s="1337"/>
      <c r="H55" s="1337"/>
      <c r="I55" s="1337"/>
      <c r="J55" s="1320">
        <f>SUM(J28,J38,J43,J50,J53)</f>
        <v>282818.41000000003</v>
      </c>
      <c r="K55" s="1337"/>
      <c r="L55" s="1320">
        <f>SUM(L28,L38,L43,L50,L53)</f>
        <v>0</v>
      </c>
      <c r="M55" s="1337"/>
      <c r="N55" s="1321">
        <f>SUM(N28,N38,N43,N50,N53)</f>
        <v>0</v>
      </c>
      <c r="O55" s="1337"/>
      <c r="P55" s="1320">
        <f>SUM(P28,P38,P43,P50,P53)</f>
        <v>282818.41000000003</v>
      </c>
      <c r="Q55" s="1337"/>
      <c r="R55" s="1320">
        <f>SUM(R28,R38,R43,R50,R53)</f>
        <v>289174.13</v>
      </c>
      <c r="S55" s="1320">
        <f>SUM(S28,S38,S43,S50,S53)</f>
        <v>385451.62</v>
      </c>
      <c r="T55" s="1320">
        <f>SUM(T28,T38,T43,T50,T53)</f>
        <v>282818.41000000003</v>
      </c>
      <c r="U55" s="1337"/>
      <c r="V55" s="1321">
        <f>SUM(V28,V38,V43,V50,V53)</f>
        <v>-102633.21000000002</v>
      </c>
      <c r="W55" s="1337"/>
      <c r="X55" s="1337"/>
      <c r="Y55" s="1337"/>
    </row>
    <row r="56" spans="1:25" s="1340" customFormat="1" ht="4.5" customHeight="1">
      <c r="A56" s="1311" t="s">
        <v>195</v>
      </c>
      <c r="B56" s="1311" t="s">
        <v>195</v>
      </c>
      <c r="C56" s="1311"/>
      <c r="D56" s="1337"/>
      <c r="E56" s="1337"/>
      <c r="F56" s="1337"/>
      <c r="G56" s="1337"/>
      <c r="H56" s="1337"/>
      <c r="I56" s="1337"/>
      <c r="J56" s="1318"/>
      <c r="K56" s="1337"/>
      <c r="L56" s="1318"/>
      <c r="M56" s="1337"/>
      <c r="N56" s="1290"/>
      <c r="O56" s="1337"/>
      <c r="P56" s="1318"/>
      <c r="Q56" s="1337"/>
      <c r="R56" s="1318"/>
      <c r="S56" s="1318"/>
      <c r="T56" s="1318"/>
      <c r="U56" s="1337"/>
      <c r="V56" s="1290"/>
      <c r="W56" s="1337"/>
      <c r="X56" s="1337"/>
      <c r="Y56" s="1337"/>
    </row>
    <row r="57" spans="1:25" s="1340" customFormat="1" ht="3.75" customHeight="1" outlineLevel="1">
      <c r="A57" s="1311" t="s">
        <v>195</v>
      </c>
      <c r="B57" s="1311" t="s">
        <v>195</v>
      </c>
      <c r="C57" s="1311"/>
      <c r="D57" s="1337"/>
      <c r="E57" s="1337"/>
      <c r="F57" s="1337"/>
      <c r="G57" s="1337"/>
      <c r="H57" s="1337"/>
      <c r="I57" s="1337"/>
      <c r="J57" s="1318"/>
      <c r="K57" s="1337"/>
      <c r="L57" s="1318"/>
      <c r="M57" s="1337"/>
      <c r="N57" s="1290"/>
      <c r="O57" s="1337"/>
      <c r="P57" s="1318"/>
      <c r="Q57" s="1337"/>
      <c r="R57" s="1318"/>
      <c r="S57" s="1318"/>
      <c r="T57" s="1318"/>
      <c r="U57" s="1337"/>
      <c r="V57" s="1290"/>
      <c r="W57" s="1337"/>
      <c r="X57" s="1337"/>
      <c r="Y57" s="1337"/>
    </row>
    <row r="58" spans="1:25" s="1340" customFormat="1" outlineLevel="1">
      <c r="A58" s="1337"/>
      <c r="B58" s="1285" t="s">
        <v>1953</v>
      </c>
      <c r="C58" s="1286"/>
      <c r="D58" s="1338">
        <v>14002</v>
      </c>
      <c r="E58" s="1338" t="s">
        <v>2056</v>
      </c>
      <c r="F58" s="1339"/>
      <c r="G58" s="1339"/>
      <c r="H58" s="1337"/>
      <c r="I58" s="1337"/>
      <c r="J58" s="1289">
        <v>94000</v>
      </c>
      <c r="K58" s="1337"/>
      <c r="L58" s="1289">
        <v>0</v>
      </c>
      <c r="M58" s="1337"/>
      <c r="N58" s="1290">
        <v>0</v>
      </c>
      <c r="O58" s="1337"/>
      <c r="P58" s="1289">
        <f t="shared" ref="P58:P89" si="12">J58+L58+N58</f>
        <v>94000</v>
      </c>
      <c r="Q58" s="1337"/>
      <c r="R58" s="1289">
        <v>94000</v>
      </c>
      <c r="S58" s="1289">
        <v>94000</v>
      </c>
      <c r="T58" s="1289">
        <f t="shared" ref="T58:T89" si="13">P58</f>
        <v>94000</v>
      </c>
      <c r="U58" s="1337"/>
      <c r="V58" s="1290">
        <f t="shared" ref="V58:V89" si="14">T58-S58</f>
        <v>0</v>
      </c>
      <c r="W58" s="1337"/>
      <c r="X58" s="1337"/>
    </row>
    <row r="59" spans="1:25" s="1340" customFormat="1" outlineLevel="1">
      <c r="A59" s="1337"/>
      <c r="B59" s="1285" t="s">
        <v>203</v>
      </c>
      <c r="C59" s="1286"/>
      <c r="D59" s="1338">
        <v>14011</v>
      </c>
      <c r="E59" s="1338" t="s">
        <v>2057</v>
      </c>
      <c r="F59" s="1339"/>
      <c r="G59" s="1339"/>
      <c r="H59" s="1337"/>
      <c r="I59" s="1337"/>
      <c r="J59" s="1289">
        <v>58390.41</v>
      </c>
      <c r="K59" s="1337"/>
      <c r="L59" s="1289">
        <v>0</v>
      </c>
      <c r="M59" s="1337"/>
      <c r="N59" s="1290">
        <v>0</v>
      </c>
      <c r="O59" s="1337"/>
      <c r="P59" s="1289">
        <f t="shared" si="12"/>
        <v>58390.41</v>
      </c>
      <c r="Q59" s="1337"/>
      <c r="R59" s="1289">
        <v>58390.41</v>
      </c>
      <c r="S59" s="1289">
        <v>58390.41</v>
      </c>
      <c r="T59" s="1289">
        <f t="shared" si="13"/>
        <v>58390.41</v>
      </c>
      <c r="U59" s="1337"/>
      <c r="V59" s="1290">
        <f t="shared" si="14"/>
        <v>0</v>
      </c>
      <c r="W59" s="1337"/>
      <c r="X59" s="1337"/>
    </row>
    <row r="60" spans="1:25" s="1340" customFormat="1" outlineLevel="1">
      <c r="A60" s="1337"/>
      <c r="B60" s="1285" t="s">
        <v>203</v>
      </c>
      <c r="C60" s="1286"/>
      <c r="D60" s="1338">
        <v>14016</v>
      </c>
      <c r="E60" s="1338" t="s">
        <v>2058</v>
      </c>
      <c r="F60" s="1339"/>
      <c r="G60" s="1339"/>
      <c r="H60" s="1337"/>
      <c r="I60" s="1337"/>
      <c r="J60" s="1289">
        <v>-14470.47</v>
      </c>
      <c r="K60" s="1337"/>
      <c r="L60" s="1289">
        <v>0</v>
      </c>
      <c r="M60" s="1337"/>
      <c r="N60" s="1290">
        <v>0</v>
      </c>
      <c r="O60" s="1337"/>
      <c r="P60" s="1289">
        <f t="shared" si="12"/>
        <v>-14470.47</v>
      </c>
      <c r="Q60" s="1337"/>
      <c r="R60" s="1289">
        <v>-13497.3</v>
      </c>
      <c r="S60" s="1289">
        <v>-13983.88</v>
      </c>
      <c r="T60" s="1289">
        <f t="shared" si="13"/>
        <v>-14470.47</v>
      </c>
      <c r="U60" s="1337"/>
      <c r="V60" s="1290">
        <f t="shared" si="14"/>
        <v>-486.59000000000015</v>
      </c>
      <c r="W60" s="1337"/>
      <c r="X60" s="1337"/>
    </row>
    <row r="61" spans="1:25" s="1340" customFormat="1" outlineLevel="1">
      <c r="A61" s="1337"/>
      <c r="B61" s="1285" t="s">
        <v>203</v>
      </c>
      <c r="C61" s="1286"/>
      <c r="D61" s="1338">
        <v>14041</v>
      </c>
      <c r="E61" s="1338" t="s">
        <v>1954</v>
      </c>
      <c r="F61" s="1339"/>
      <c r="G61" s="1339"/>
      <c r="H61" s="1337"/>
      <c r="I61" s="1337"/>
      <c r="J61" s="1289">
        <v>1937232.94</v>
      </c>
      <c r="K61" s="1337"/>
      <c r="L61" s="1289">
        <v>0</v>
      </c>
      <c r="M61" s="1337"/>
      <c r="N61" s="1290">
        <v>0</v>
      </c>
      <c r="O61" s="1337"/>
      <c r="P61" s="1289">
        <f t="shared" si="12"/>
        <v>1937232.94</v>
      </c>
      <c r="Q61" s="1337"/>
      <c r="R61" s="1289">
        <v>1937232.94</v>
      </c>
      <c r="S61" s="1289">
        <v>1937232.94</v>
      </c>
      <c r="T61" s="1289">
        <f t="shared" si="13"/>
        <v>1937232.94</v>
      </c>
      <c r="U61" s="1337"/>
      <c r="V61" s="1290">
        <f t="shared" si="14"/>
        <v>0</v>
      </c>
      <c r="W61" s="1337"/>
      <c r="X61" s="1337"/>
    </row>
    <row r="62" spans="1:25" s="1340" customFormat="1" outlineLevel="1">
      <c r="A62" s="1337"/>
      <c r="B62" s="1285" t="s">
        <v>203</v>
      </c>
      <c r="C62" s="1286"/>
      <c r="D62" s="1338">
        <v>14042</v>
      </c>
      <c r="E62" s="1338" t="s">
        <v>1955</v>
      </c>
      <c r="F62" s="1339"/>
      <c r="G62" s="1339"/>
      <c r="H62" s="1337"/>
      <c r="I62" s="1337"/>
      <c r="J62" s="1289">
        <v>574940</v>
      </c>
      <c r="K62" s="1337"/>
      <c r="L62" s="1289">
        <v>0</v>
      </c>
      <c r="M62" s="1337"/>
      <c r="N62" s="1290">
        <v>0</v>
      </c>
      <c r="O62" s="1337"/>
      <c r="P62" s="1289">
        <f t="shared" si="12"/>
        <v>574940</v>
      </c>
      <c r="Q62" s="1337"/>
      <c r="R62" s="1289">
        <v>574940</v>
      </c>
      <c r="S62" s="1289">
        <v>574940</v>
      </c>
      <c r="T62" s="1289">
        <f t="shared" si="13"/>
        <v>574940</v>
      </c>
      <c r="U62" s="1337"/>
      <c r="V62" s="1290">
        <f t="shared" si="14"/>
        <v>0</v>
      </c>
      <c r="W62" s="1337"/>
      <c r="X62" s="1337"/>
    </row>
    <row r="63" spans="1:25" s="1340" customFormat="1" outlineLevel="1">
      <c r="A63" s="1337"/>
      <c r="B63" s="1285" t="s">
        <v>203</v>
      </c>
      <c r="C63" s="1286"/>
      <c r="D63" s="1338">
        <v>14043</v>
      </c>
      <c r="E63" s="1338" t="s">
        <v>1956</v>
      </c>
      <c r="F63" s="1339"/>
      <c r="G63" s="1339"/>
      <c r="H63" s="1337"/>
      <c r="I63" s="1337"/>
      <c r="J63" s="1289">
        <v>-600482.44999999995</v>
      </c>
      <c r="K63" s="1337"/>
      <c r="L63" s="1289">
        <v>0</v>
      </c>
      <c r="M63" s="1337"/>
      <c r="N63" s="1290">
        <v>0</v>
      </c>
      <c r="O63" s="1337"/>
      <c r="P63" s="1289">
        <f t="shared" si="12"/>
        <v>-600482.44999999995</v>
      </c>
      <c r="Q63" s="1337"/>
      <c r="R63" s="1289">
        <v>-600482.44999999995</v>
      </c>
      <c r="S63" s="1289">
        <v>-600482.44999999995</v>
      </c>
      <c r="T63" s="1289">
        <f t="shared" si="13"/>
        <v>-600482.44999999995</v>
      </c>
      <c r="U63" s="1337"/>
      <c r="V63" s="1290">
        <f t="shared" si="14"/>
        <v>0</v>
      </c>
      <c r="W63" s="1337"/>
      <c r="X63" s="1337"/>
    </row>
    <row r="64" spans="1:25" s="1340" customFormat="1" outlineLevel="1">
      <c r="A64" s="1337"/>
      <c r="B64" s="1285" t="s">
        <v>203</v>
      </c>
      <c r="C64" s="1286"/>
      <c r="D64" s="1338">
        <v>14044</v>
      </c>
      <c r="E64" s="1338" t="s">
        <v>1957</v>
      </c>
      <c r="F64" s="1339"/>
      <c r="G64" s="1339"/>
      <c r="H64" s="1337"/>
      <c r="I64" s="1337"/>
      <c r="J64" s="1289">
        <v>-24147.8</v>
      </c>
      <c r="K64" s="1337"/>
      <c r="L64" s="1289">
        <v>0</v>
      </c>
      <c r="M64" s="1337"/>
      <c r="N64" s="1290">
        <v>0</v>
      </c>
      <c r="O64" s="1337"/>
      <c r="P64" s="1289">
        <f t="shared" si="12"/>
        <v>-24147.8</v>
      </c>
      <c r="Q64" s="1337"/>
      <c r="R64" s="1289">
        <v>-24147.8</v>
      </c>
      <c r="S64" s="1289">
        <v>-24147.8</v>
      </c>
      <c r="T64" s="1289">
        <f t="shared" si="13"/>
        <v>-24147.8</v>
      </c>
      <c r="U64" s="1337"/>
      <c r="V64" s="1290">
        <f t="shared" si="14"/>
        <v>0</v>
      </c>
      <c r="W64" s="1337"/>
      <c r="X64" s="1337"/>
    </row>
    <row r="65" spans="1:24" s="1340" customFormat="1" outlineLevel="1">
      <c r="A65" s="1337"/>
      <c r="B65" s="1285" t="s">
        <v>203</v>
      </c>
      <c r="C65" s="1286"/>
      <c r="D65" s="1338">
        <v>14046</v>
      </c>
      <c r="E65" s="1338" t="s">
        <v>1958</v>
      </c>
      <c r="F65" s="1339"/>
      <c r="G65" s="1339"/>
      <c r="H65" s="1337"/>
      <c r="I65" s="1337"/>
      <c r="J65" s="1289">
        <v>-1088197.82</v>
      </c>
      <c r="K65" s="1337"/>
      <c r="L65" s="1289">
        <v>0</v>
      </c>
      <c r="M65" s="1337"/>
      <c r="N65" s="1290">
        <v>0</v>
      </c>
      <c r="O65" s="1337"/>
      <c r="P65" s="1289">
        <f t="shared" si="12"/>
        <v>-1088197.82</v>
      </c>
      <c r="Q65" s="1337"/>
      <c r="R65" s="1289">
        <v>-1062233.3500000001</v>
      </c>
      <c r="S65" s="1289">
        <v>-1075215.58</v>
      </c>
      <c r="T65" s="1289">
        <f t="shared" si="13"/>
        <v>-1088197.82</v>
      </c>
      <c r="U65" s="1337"/>
      <c r="V65" s="1290">
        <f t="shared" si="14"/>
        <v>-12982.239999999991</v>
      </c>
      <c r="W65" s="1337"/>
      <c r="X65" s="1337"/>
    </row>
    <row r="66" spans="1:24" s="1340" customFormat="1" outlineLevel="1">
      <c r="A66" s="1337"/>
      <c r="B66" s="1285" t="s">
        <v>203</v>
      </c>
      <c r="C66" s="1286"/>
      <c r="D66" s="1338">
        <v>14047</v>
      </c>
      <c r="E66" s="1338" t="s">
        <v>1956</v>
      </c>
      <c r="F66" s="1339"/>
      <c r="G66" s="1339"/>
      <c r="H66" s="1337"/>
      <c r="I66" s="1337"/>
      <c r="J66" s="1289">
        <v>23625.71</v>
      </c>
      <c r="K66" s="1337"/>
      <c r="L66" s="1289">
        <v>0</v>
      </c>
      <c r="M66" s="1337"/>
      <c r="N66" s="1290">
        <v>0</v>
      </c>
      <c r="O66" s="1337"/>
      <c r="P66" s="1289">
        <f t="shared" si="12"/>
        <v>23625.71</v>
      </c>
      <c r="Q66" s="1337"/>
      <c r="R66" s="1289">
        <v>23625.71</v>
      </c>
      <c r="S66" s="1289">
        <v>23625.71</v>
      </c>
      <c r="T66" s="1289">
        <f t="shared" si="13"/>
        <v>23625.71</v>
      </c>
      <c r="U66" s="1337"/>
      <c r="V66" s="1290">
        <f t="shared" si="14"/>
        <v>0</v>
      </c>
      <c r="W66" s="1337"/>
      <c r="X66" s="1337"/>
    </row>
    <row r="67" spans="1:24" s="1340" customFormat="1" outlineLevel="1">
      <c r="A67" s="1337"/>
      <c r="B67" s="1285" t="s">
        <v>203</v>
      </c>
      <c r="C67" s="1286"/>
      <c r="D67" s="1338">
        <v>14048</v>
      </c>
      <c r="E67" s="1338" t="s">
        <v>1957</v>
      </c>
      <c r="F67" s="1339"/>
      <c r="G67" s="1339"/>
      <c r="H67" s="1337"/>
      <c r="I67" s="1337"/>
      <c r="J67" s="1289">
        <v>24147.8</v>
      </c>
      <c r="K67" s="1337"/>
      <c r="L67" s="1289">
        <v>0</v>
      </c>
      <c r="M67" s="1337"/>
      <c r="N67" s="1290">
        <v>0</v>
      </c>
      <c r="O67" s="1337"/>
      <c r="P67" s="1289">
        <f t="shared" si="12"/>
        <v>24147.8</v>
      </c>
      <c r="Q67" s="1337"/>
      <c r="R67" s="1289">
        <v>24147.8</v>
      </c>
      <c r="S67" s="1289">
        <v>24147.8</v>
      </c>
      <c r="T67" s="1289">
        <f t="shared" si="13"/>
        <v>24147.8</v>
      </c>
      <c r="U67" s="1337"/>
      <c r="V67" s="1290">
        <f t="shared" si="14"/>
        <v>0</v>
      </c>
      <c r="W67" s="1337"/>
      <c r="X67" s="1337"/>
    </row>
    <row r="68" spans="1:24" s="1340" customFormat="1" outlineLevel="1">
      <c r="A68" s="1337"/>
      <c r="B68" s="1285" t="s">
        <v>203</v>
      </c>
      <c r="C68" s="1286"/>
      <c r="D68" s="1338">
        <v>14051</v>
      </c>
      <c r="E68" s="1338" t="s">
        <v>1959</v>
      </c>
      <c r="F68" s="1339"/>
      <c r="G68" s="1339"/>
      <c r="H68" s="1337"/>
      <c r="I68" s="1337"/>
      <c r="J68" s="1289">
        <v>492578.53</v>
      </c>
      <c r="K68" s="1337"/>
      <c r="L68" s="1289">
        <v>0</v>
      </c>
      <c r="M68" s="1337"/>
      <c r="N68" s="1290">
        <v>0</v>
      </c>
      <c r="O68" s="1337"/>
      <c r="P68" s="1289">
        <f t="shared" si="12"/>
        <v>492578.53</v>
      </c>
      <c r="Q68" s="1337"/>
      <c r="R68" s="1289">
        <v>492578.53</v>
      </c>
      <c r="S68" s="1289">
        <v>492578.53</v>
      </c>
      <c r="T68" s="1289">
        <f t="shared" si="13"/>
        <v>492578.53</v>
      </c>
      <c r="U68" s="1337"/>
      <c r="V68" s="1290">
        <f t="shared" si="14"/>
        <v>0</v>
      </c>
      <c r="W68" s="1337"/>
      <c r="X68" s="1337"/>
    </row>
    <row r="69" spans="1:24" s="1340" customFormat="1" outlineLevel="1">
      <c r="A69" s="1337"/>
      <c r="B69" s="1285" t="s">
        <v>203</v>
      </c>
      <c r="C69" s="1286"/>
      <c r="D69" s="1338">
        <v>14052</v>
      </c>
      <c r="E69" s="1338" t="s">
        <v>1960</v>
      </c>
      <c r="F69" s="1339"/>
      <c r="G69" s="1339"/>
      <c r="H69" s="1337"/>
      <c r="I69" s="1337"/>
      <c r="J69" s="1289">
        <v>72790</v>
      </c>
      <c r="K69" s="1337"/>
      <c r="L69" s="1289">
        <v>0</v>
      </c>
      <c r="M69" s="1337"/>
      <c r="N69" s="1290">
        <v>0</v>
      </c>
      <c r="O69" s="1337"/>
      <c r="P69" s="1289">
        <f t="shared" si="12"/>
        <v>72790</v>
      </c>
      <c r="Q69" s="1337"/>
      <c r="R69" s="1289">
        <v>72790</v>
      </c>
      <c r="S69" s="1289">
        <v>72790</v>
      </c>
      <c r="T69" s="1289">
        <f t="shared" si="13"/>
        <v>72790</v>
      </c>
      <c r="U69" s="1337"/>
      <c r="V69" s="1290">
        <f t="shared" si="14"/>
        <v>0</v>
      </c>
      <c r="W69" s="1337"/>
      <c r="X69" s="1337"/>
    </row>
    <row r="70" spans="1:24" s="1340" customFormat="1" outlineLevel="1">
      <c r="A70" s="1337"/>
      <c r="B70" s="1285" t="s">
        <v>203</v>
      </c>
      <c r="C70" s="1286"/>
      <c r="D70" s="1338">
        <v>14053</v>
      </c>
      <c r="E70" s="1338" t="s">
        <v>2059</v>
      </c>
      <c r="F70" s="1339"/>
      <c r="G70" s="1339"/>
      <c r="H70" s="1337"/>
      <c r="I70" s="1337"/>
      <c r="J70" s="1289">
        <v>11193.65</v>
      </c>
      <c r="K70" s="1337"/>
      <c r="L70" s="1289">
        <v>0</v>
      </c>
      <c r="M70" s="1337"/>
      <c r="N70" s="1290">
        <v>0</v>
      </c>
      <c r="O70" s="1337"/>
      <c r="P70" s="1289">
        <f t="shared" si="12"/>
        <v>11193.65</v>
      </c>
      <c r="Q70" s="1337"/>
      <c r="R70" s="1289">
        <v>11193.65</v>
      </c>
      <c r="S70" s="1289">
        <v>11193.65</v>
      </c>
      <c r="T70" s="1289">
        <f t="shared" si="13"/>
        <v>11193.65</v>
      </c>
      <c r="U70" s="1337"/>
      <c r="V70" s="1290">
        <f t="shared" si="14"/>
        <v>0</v>
      </c>
      <c r="W70" s="1337"/>
      <c r="X70" s="1337"/>
    </row>
    <row r="71" spans="1:24" s="1340" customFormat="1" outlineLevel="1">
      <c r="A71" s="1337"/>
      <c r="B71" s="1285" t="s">
        <v>203</v>
      </c>
      <c r="C71" s="1286"/>
      <c r="D71" s="1338">
        <v>14054</v>
      </c>
      <c r="E71" s="1338" t="s">
        <v>2060</v>
      </c>
      <c r="F71" s="1339"/>
      <c r="G71" s="1339"/>
      <c r="H71" s="1337"/>
      <c r="I71" s="1337"/>
      <c r="J71" s="1289">
        <v>-3682</v>
      </c>
      <c r="K71" s="1337"/>
      <c r="L71" s="1289">
        <v>0</v>
      </c>
      <c r="M71" s="1337"/>
      <c r="N71" s="1290">
        <v>0</v>
      </c>
      <c r="O71" s="1337"/>
      <c r="P71" s="1289">
        <f t="shared" si="12"/>
        <v>-3682</v>
      </c>
      <c r="Q71" s="1337"/>
      <c r="R71" s="1289">
        <v>-3682</v>
      </c>
      <c r="S71" s="1289">
        <v>-3682</v>
      </c>
      <c r="T71" s="1289">
        <f t="shared" si="13"/>
        <v>-3682</v>
      </c>
      <c r="U71" s="1337"/>
      <c r="V71" s="1290">
        <f t="shared" si="14"/>
        <v>0</v>
      </c>
      <c r="W71" s="1337"/>
      <c r="X71" s="1337"/>
    </row>
    <row r="72" spans="1:24" s="1340" customFormat="1" outlineLevel="1">
      <c r="A72" s="1337"/>
      <c r="B72" s="1285" t="s">
        <v>203</v>
      </c>
      <c r="C72" s="1286"/>
      <c r="D72" s="1338">
        <v>14056</v>
      </c>
      <c r="E72" s="1338" t="s">
        <v>1961</v>
      </c>
      <c r="F72" s="1339"/>
      <c r="G72" s="1339"/>
      <c r="H72" s="1337"/>
      <c r="I72" s="1337"/>
      <c r="J72" s="1289">
        <v>-372475.7</v>
      </c>
      <c r="K72" s="1337"/>
      <c r="L72" s="1289">
        <v>0</v>
      </c>
      <c r="M72" s="1337"/>
      <c r="N72" s="1290">
        <v>0</v>
      </c>
      <c r="O72" s="1337"/>
      <c r="P72" s="1289">
        <f t="shared" si="12"/>
        <v>-372475.7</v>
      </c>
      <c r="Q72" s="1337"/>
      <c r="R72" s="1289">
        <v>-366578.04</v>
      </c>
      <c r="S72" s="1289">
        <v>-369526.87</v>
      </c>
      <c r="T72" s="1289">
        <f t="shared" si="13"/>
        <v>-372475.7</v>
      </c>
      <c r="U72" s="1337"/>
      <c r="V72" s="1290">
        <f t="shared" si="14"/>
        <v>-2948.8300000000163</v>
      </c>
      <c r="W72" s="1337"/>
      <c r="X72" s="1337"/>
    </row>
    <row r="73" spans="1:24" s="1340" customFormat="1" outlineLevel="1">
      <c r="A73" s="1337"/>
      <c r="B73" s="1285" t="s">
        <v>203</v>
      </c>
      <c r="C73" s="1286"/>
      <c r="D73" s="1338">
        <v>14057</v>
      </c>
      <c r="E73" s="1338" t="s">
        <v>2061</v>
      </c>
      <c r="F73" s="1339"/>
      <c r="G73" s="1339"/>
      <c r="H73" s="1337"/>
      <c r="I73" s="1337"/>
      <c r="J73" s="1289">
        <v>-4409.91</v>
      </c>
      <c r="K73" s="1337"/>
      <c r="L73" s="1289">
        <v>0</v>
      </c>
      <c r="M73" s="1337"/>
      <c r="N73" s="1290">
        <v>0</v>
      </c>
      <c r="O73" s="1337"/>
      <c r="P73" s="1289">
        <f t="shared" si="12"/>
        <v>-4409.91</v>
      </c>
      <c r="Q73" s="1337"/>
      <c r="R73" s="1289">
        <v>-4409.91</v>
      </c>
      <c r="S73" s="1289">
        <v>-4409.91</v>
      </c>
      <c r="T73" s="1289">
        <f t="shared" si="13"/>
        <v>-4409.91</v>
      </c>
      <c r="U73" s="1337"/>
      <c r="V73" s="1290">
        <f t="shared" si="14"/>
        <v>0</v>
      </c>
      <c r="W73" s="1337"/>
      <c r="X73" s="1337"/>
    </row>
    <row r="74" spans="1:24" s="1340" customFormat="1" outlineLevel="1">
      <c r="A74" s="1337"/>
      <c r="B74" s="1285" t="s">
        <v>203</v>
      </c>
      <c r="C74" s="1286"/>
      <c r="D74" s="1338">
        <v>14058</v>
      </c>
      <c r="E74" s="1338" t="s">
        <v>2062</v>
      </c>
      <c r="F74" s="1339"/>
      <c r="G74" s="1339"/>
      <c r="H74" s="1337"/>
      <c r="I74" s="1337"/>
      <c r="J74" s="1289">
        <v>428.11</v>
      </c>
      <c r="K74" s="1337"/>
      <c r="L74" s="1289">
        <v>0</v>
      </c>
      <c r="M74" s="1337"/>
      <c r="N74" s="1290">
        <v>0</v>
      </c>
      <c r="O74" s="1337"/>
      <c r="P74" s="1289">
        <f t="shared" si="12"/>
        <v>428.11</v>
      </c>
      <c r="Q74" s="1337"/>
      <c r="R74" s="1289">
        <v>428.11</v>
      </c>
      <c r="S74" s="1289">
        <v>428.11</v>
      </c>
      <c r="T74" s="1289">
        <f t="shared" si="13"/>
        <v>428.11</v>
      </c>
      <c r="U74" s="1337"/>
      <c r="V74" s="1290">
        <f t="shared" si="14"/>
        <v>0</v>
      </c>
      <c r="W74" s="1337"/>
      <c r="X74" s="1337"/>
    </row>
    <row r="75" spans="1:24" s="1340" customFormat="1" outlineLevel="1">
      <c r="A75" s="1337"/>
      <c r="B75" s="1285" t="s">
        <v>203</v>
      </c>
      <c r="C75" s="1286"/>
      <c r="D75" s="1338">
        <v>14071</v>
      </c>
      <c r="E75" s="1338" t="s">
        <v>2063</v>
      </c>
      <c r="F75" s="1339"/>
      <c r="G75" s="1339"/>
      <c r="H75" s="1337"/>
      <c r="I75" s="1337"/>
      <c r="J75" s="1289">
        <v>35123.47</v>
      </c>
      <c r="K75" s="1337"/>
      <c r="L75" s="1289">
        <v>0</v>
      </c>
      <c r="M75" s="1337"/>
      <c r="N75" s="1290">
        <v>0</v>
      </c>
      <c r="O75" s="1337"/>
      <c r="P75" s="1289">
        <f t="shared" si="12"/>
        <v>35123.47</v>
      </c>
      <c r="Q75" s="1337"/>
      <c r="R75" s="1289">
        <v>35123.47</v>
      </c>
      <c r="S75" s="1289">
        <v>35123.47</v>
      </c>
      <c r="T75" s="1289">
        <f t="shared" si="13"/>
        <v>35123.47</v>
      </c>
      <c r="U75" s="1337"/>
      <c r="V75" s="1290">
        <f t="shared" si="14"/>
        <v>0</v>
      </c>
      <c r="W75" s="1337"/>
      <c r="X75" s="1337"/>
    </row>
    <row r="76" spans="1:24" s="1340" customFormat="1" outlineLevel="1">
      <c r="A76" s="1337"/>
      <c r="B76" s="1285" t="s">
        <v>203</v>
      </c>
      <c r="C76" s="1286"/>
      <c r="D76" s="1338">
        <v>14073</v>
      </c>
      <c r="E76" s="1338" t="s">
        <v>2064</v>
      </c>
      <c r="F76" s="1339"/>
      <c r="G76" s="1339"/>
      <c r="H76" s="1337"/>
      <c r="I76" s="1337"/>
      <c r="J76" s="1289">
        <v>4572.38</v>
      </c>
      <c r="K76" s="1337"/>
      <c r="L76" s="1289">
        <v>0</v>
      </c>
      <c r="M76" s="1337"/>
      <c r="N76" s="1290">
        <v>0</v>
      </c>
      <c r="O76" s="1337"/>
      <c r="P76" s="1289">
        <f t="shared" si="12"/>
        <v>4572.38</v>
      </c>
      <c r="Q76" s="1337"/>
      <c r="R76" s="1289">
        <v>4572.38</v>
      </c>
      <c r="S76" s="1289">
        <v>4572.38</v>
      </c>
      <c r="T76" s="1289">
        <f t="shared" si="13"/>
        <v>4572.38</v>
      </c>
      <c r="U76" s="1337"/>
      <c r="V76" s="1290">
        <f t="shared" si="14"/>
        <v>0</v>
      </c>
      <c r="W76" s="1337"/>
      <c r="X76" s="1337"/>
    </row>
    <row r="77" spans="1:24" s="1340" customFormat="1" outlineLevel="1">
      <c r="A77" s="1337"/>
      <c r="B77" s="1285" t="s">
        <v>203</v>
      </c>
      <c r="C77" s="1286"/>
      <c r="D77" s="1338">
        <v>14076</v>
      </c>
      <c r="E77" s="1338" t="s">
        <v>1962</v>
      </c>
      <c r="F77" s="1339"/>
      <c r="G77" s="1339"/>
      <c r="H77" s="1337"/>
      <c r="I77" s="1337"/>
      <c r="J77" s="1289">
        <v>-28629.59</v>
      </c>
      <c r="K77" s="1337"/>
      <c r="L77" s="1289">
        <v>0</v>
      </c>
      <c r="M77" s="1337"/>
      <c r="N77" s="1290">
        <v>0</v>
      </c>
      <c r="O77" s="1337"/>
      <c r="P77" s="1289">
        <f t="shared" si="12"/>
        <v>-28629.59</v>
      </c>
      <c r="Q77" s="1337"/>
      <c r="R77" s="1289">
        <v>-28228.12</v>
      </c>
      <c r="S77" s="1289">
        <v>-28487.16</v>
      </c>
      <c r="T77" s="1289">
        <f t="shared" si="13"/>
        <v>-28629.59</v>
      </c>
      <c r="U77" s="1337"/>
      <c r="V77" s="1290">
        <f t="shared" si="14"/>
        <v>-142.43000000000029</v>
      </c>
      <c r="W77" s="1337"/>
      <c r="X77" s="1337"/>
    </row>
    <row r="78" spans="1:24" s="1340" customFormat="1" outlineLevel="1">
      <c r="A78" s="1337"/>
      <c r="B78" s="1285" t="s">
        <v>203</v>
      </c>
      <c r="C78" s="1286"/>
      <c r="D78" s="1338">
        <v>14077</v>
      </c>
      <c r="E78" s="1338" t="s">
        <v>2065</v>
      </c>
      <c r="F78" s="1339"/>
      <c r="G78" s="1339"/>
      <c r="H78" s="1337"/>
      <c r="I78" s="1337"/>
      <c r="J78" s="1289">
        <v>-3429.3</v>
      </c>
      <c r="K78" s="1337"/>
      <c r="L78" s="1289">
        <v>0</v>
      </c>
      <c r="M78" s="1337"/>
      <c r="N78" s="1290">
        <v>0</v>
      </c>
      <c r="O78" s="1337"/>
      <c r="P78" s="1289">
        <f t="shared" si="12"/>
        <v>-3429.3</v>
      </c>
      <c r="Q78" s="1337"/>
      <c r="R78" s="1289">
        <v>-3429.3</v>
      </c>
      <c r="S78" s="1289">
        <v>-3429.3</v>
      </c>
      <c r="T78" s="1289">
        <f t="shared" si="13"/>
        <v>-3429.3</v>
      </c>
      <c r="U78" s="1337"/>
      <c r="V78" s="1290">
        <f t="shared" si="14"/>
        <v>0</v>
      </c>
      <c r="W78" s="1337"/>
      <c r="X78" s="1337"/>
    </row>
    <row r="79" spans="1:24" s="1340" customFormat="1" outlineLevel="1">
      <c r="A79" s="1337"/>
      <c r="B79" s="1285" t="s">
        <v>203</v>
      </c>
      <c r="C79" s="1286"/>
      <c r="D79" s="1338">
        <v>14081</v>
      </c>
      <c r="E79" s="1338" t="s">
        <v>2066</v>
      </c>
      <c r="F79" s="1339"/>
      <c r="G79" s="1339"/>
      <c r="H79" s="1337"/>
      <c r="I79" s="1337"/>
      <c r="J79" s="1289">
        <v>101069.3</v>
      </c>
      <c r="K79" s="1337"/>
      <c r="L79" s="1289">
        <v>0</v>
      </c>
      <c r="M79" s="1337"/>
      <c r="N79" s="1290">
        <v>0</v>
      </c>
      <c r="O79" s="1337"/>
      <c r="P79" s="1289">
        <f t="shared" si="12"/>
        <v>101069.3</v>
      </c>
      <c r="Q79" s="1337"/>
      <c r="R79" s="1289">
        <v>101069.3</v>
      </c>
      <c r="S79" s="1289">
        <v>101069.3</v>
      </c>
      <c r="T79" s="1289">
        <f t="shared" si="13"/>
        <v>101069.3</v>
      </c>
      <c r="U79" s="1337"/>
      <c r="V79" s="1290">
        <f t="shared" si="14"/>
        <v>0</v>
      </c>
      <c r="W79" s="1337"/>
      <c r="X79" s="1337"/>
    </row>
    <row r="80" spans="1:24" s="1340" customFormat="1" outlineLevel="1">
      <c r="A80" s="1337"/>
      <c r="B80" s="1285" t="s">
        <v>203</v>
      </c>
      <c r="C80" s="1286"/>
      <c r="D80" s="1338">
        <v>14082</v>
      </c>
      <c r="E80" s="1338" t="s">
        <v>2067</v>
      </c>
      <c r="F80" s="1339"/>
      <c r="G80" s="1339"/>
      <c r="H80" s="1337"/>
      <c r="I80" s="1337"/>
      <c r="J80" s="1289">
        <v>200000</v>
      </c>
      <c r="K80" s="1337"/>
      <c r="L80" s="1289">
        <v>0</v>
      </c>
      <c r="M80" s="1337"/>
      <c r="N80" s="1290">
        <v>0</v>
      </c>
      <c r="O80" s="1337"/>
      <c r="P80" s="1289">
        <f t="shared" si="12"/>
        <v>200000</v>
      </c>
      <c r="Q80" s="1337"/>
      <c r="R80" s="1289">
        <v>200000</v>
      </c>
      <c r="S80" s="1289">
        <v>200000</v>
      </c>
      <c r="T80" s="1289">
        <f t="shared" si="13"/>
        <v>200000</v>
      </c>
      <c r="U80" s="1337"/>
      <c r="V80" s="1290">
        <f t="shared" si="14"/>
        <v>0</v>
      </c>
      <c r="W80" s="1337"/>
      <c r="X80" s="1337"/>
    </row>
    <row r="81" spans="1:25" s="1340" customFormat="1" outlineLevel="1">
      <c r="A81" s="1337"/>
      <c r="B81" s="1285" t="s">
        <v>203</v>
      </c>
      <c r="C81" s="1286"/>
      <c r="D81" s="1338">
        <v>14086</v>
      </c>
      <c r="E81" s="1338" t="s">
        <v>2068</v>
      </c>
      <c r="F81" s="1339"/>
      <c r="G81" s="1339"/>
      <c r="H81" s="1337"/>
      <c r="I81" s="1337"/>
      <c r="J81" s="1289">
        <v>-183218.23</v>
      </c>
      <c r="K81" s="1337"/>
      <c r="L81" s="1289">
        <v>0</v>
      </c>
      <c r="M81" s="1337"/>
      <c r="N81" s="1290">
        <v>0</v>
      </c>
      <c r="O81" s="1337"/>
      <c r="P81" s="1289">
        <f t="shared" si="12"/>
        <v>-183218.23</v>
      </c>
      <c r="Q81" s="1337"/>
      <c r="R81" s="1289">
        <v>-179997.65</v>
      </c>
      <c r="S81" s="1289">
        <v>-181607.95</v>
      </c>
      <c r="T81" s="1289">
        <f t="shared" si="13"/>
        <v>-183218.23</v>
      </c>
      <c r="U81" s="1337"/>
      <c r="V81" s="1290">
        <f t="shared" si="14"/>
        <v>-1610.2799999999988</v>
      </c>
      <c r="W81" s="1337"/>
      <c r="X81" s="1337"/>
    </row>
    <row r="82" spans="1:25" s="1340" customFormat="1" outlineLevel="1">
      <c r="A82" s="1337"/>
      <c r="B82" s="1285" t="s">
        <v>203</v>
      </c>
      <c r="C82" s="1286"/>
      <c r="D82" s="1338">
        <v>14103</v>
      </c>
      <c r="E82" s="1338" t="s">
        <v>2069</v>
      </c>
      <c r="F82" s="1339"/>
      <c r="G82" s="1339"/>
      <c r="H82" s="1337"/>
      <c r="I82" s="1337"/>
      <c r="J82" s="1289">
        <v>2658.37</v>
      </c>
      <c r="K82" s="1337"/>
      <c r="L82" s="1289">
        <v>0</v>
      </c>
      <c r="M82" s="1337"/>
      <c r="N82" s="1290">
        <v>0</v>
      </c>
      <c r="O82" s="1337"/>
      <c r="P82" s="1289">
        <f t="shared" si="12"/>
        <v>2658.37</v>
      </c>
      <c r="Q82" s="1337"/>
      <c r="R82" s="1289">
        <v>2658.37</v>
      </c>
      <c r="S82" s="1289">
        <v>2658.37</v>
      </c>
      <c r="T82" s="1289">
        <f t="shared" si="13"/>
        <v>2658.37</v>
      </c>
      <c r="U82" s="1337"/>
      <c r="V82" s="1290">
        <f t="shared" si="14"/>
        <v>0</v>
      </c>
      <c r="W82" s="1337"/>
      <c r="X82" s="1337"/>
    </row>
    <row r="83" spans="1:25" s="1340" customFormat="1" outlineLevel="1">
      <c r="A83" s="1337"/>
      <c r="B83" s="1285" t="s">
        <v>203</v>
      </c>
      <c r="C83" s="1286"/>
      <c r="D83" s="1338">
        <v>14106</v>
      </c>
      <c r="E83" s="1338" t="s">
        <v>1964</v>
      </c>
      <c r="F83" s="1339"/>
      <c r="G83" s="1339"/>
      <c r="H83" s="1337"/>
      <c r="I83" s="1337"/>
      <c r="J83" s="1289">
        <v>-310.14</v>
      </c>
      <c r="K83" s="1337"/>
      <c r="L83" s="1289">
        <v>0</v>
      </c>
      <c r="M83" s="1337"/>
      <c r="N83" s="1290">
        <v>0</v>
      </c>
      <c r="O83" s="1337"/>
      <c r="P83" s="1289">
        <f t="shared" si="12"/>
        <v>-310.14</v>
      </c>
      <c r="Q83" s="1337"/>
      <c r="R83" s="1289">
        <v>-221.53</v>
      </c>
      <c r="S83" s="1289">
        <v>-265.83999999999997</v>
      </c>
      <c r="T83" s="1289">
        <f t="shared" si="13"/>
        <v>-310.14</v>
      </c>
      <c r="U83" s="1337"/>
      <c r="V83" s="1290">
        <f t="shared" si="14"/>
        <v>-44.300000000000011</v>
      </c>
      <c r="W83" s="1337"/>
      <c r="X83" s="1337"/>
    </row>
    <row r="84" spans="1:25" s="1340" customFormat="1" outlineLevel="1">
      <c r="A84" s="1337"/>
      <c r="B84" s="1285" t="s">
        <v>203</v>
      </c>
      <c r="C84" s="1286"/>
      <c r="D84" s="1338">
        <v>14107</v>
      </c>
      <c r="E84" s="1338" t="s">
        <v>2070</v>
      </c>
      <c r="F84" s="1339"/>
      <c r="G84" s="1339"/>
      <c r="H84" s="1337"/>
      <c r="I84" s="1337"/>
      <c r="J84" s="1289">
        <v>-88.61</v>
      </c>
      <c r="K84" s="1337"/>
      <c r="L84" s="1289">
        <v>0</v>
      </c>
      <c r="M84" s="1337"/>
      <c r="N84" s="1290">
        <v>0</v>
      </c>
      <c r="O84" s="1337"/>
      <c r="P84" s="1289">
        <f t="shared" si="12"/>
        <v>-88.61</v>
      </c>
      <c r="Q84" s="1337"/>
      <c r="R84" s="1289">
        <v>-88.61</v>
      </c>
      <c r="S84" s="1289">
        <v>-88.61</v>
      </c>
      <c r="T84" s="1289">
        <f t="shared" si="13"/>
        <v>-88.61</v>
      </c>
      <c r="U84" s="1337"/>
      <c r="V84" s="1290">
        <f t="shared" si="14"/>
        <v>0</v>
      </c>
      <c r="W84" s="1337"/>
      <c r="X84" s="1337"/>
    </row>
    <row r="85" spans="1:25" s="1340" customFormat="1" outlineLevel="1">
      <c r="A85" s="1337"/>
      <c r="B85" s="1285" t="s">
        <v>203</v>
      </c>
      <c r="C85" s="1286"/>
      <c r="D85" s="1338">
        <v>14111</v>
      </c>
      <c r="E85" s="1338" t="s">
        <v>1965</v>
      </c>
      <c r="F85" s="1339"/>
      <c r="G85" s="1339"/>
      <c r="H85" s="1337"/>
      <c r="I85" s="1337"/>
      <c r="J85" s="1289">
        <v>45392.51</v>
      </c>
      <c r="K85" s="1337"/>
      <c r="L85" s="1289">
        <v>0</v>
      </c>
      <c r="M85" s="1337"/>
      <c r="N85" s="1290">
        <v>0</v>
      </c>
      <c r="O85" s="1337"/>
      <c r="P85" s="1289">
        <f t="shared" si="12"/>
        <v>45392.51</v>
      </c>
      <c r="Q85" s="1337"/>
      <c r="R85" s="1289">
        <v>45392.51</v>
      </c>
      <c r="S85" s="1289">
        <v>45392.51</v>
      </c>
      <c r="T85" s="1289">
        <f t="shared" si="13"/>
        <v>45392.51</v>
      </c>
      <c r="U85" s="1337"/>
      <c r="V85" s="1290">
        <f t="shared" si="14"/>
        <v>0</v>
      </c>
      <c r="W85" s="1337"/>
      <c r="X85" s="1337"/>
    </row>
    <row r="86" spans="1:25" s="1340" customFormat="1" outlineLevel="1">
      <c r="A86" s="1337"/>
      <c r="B86" s="1285" t="s">
        <v>203</v>
      </c>
      <c r="C86" s="1286"/>
      <c r="D86" s="1338">
        <v>14113</v>
      </c>
      <c r="E86" s="1338" t="s">
        <v>2071</v>
      </c>
      <c r="F86" s="1339"/>
      <c r="G86" s="1339"/>
      <c r="H86" s="1337"/>
      <c r="I86" s="1337"/>
      <c r="J86" s="1289">
        <v>-4291.8599999999997</v>
      </c>
      <c r="K86" s="1337"/>
      <c r="L86" s="1289">
        <v>0</v>
      </c>
      <c r="M86" s="1337"/>
      <c r="N86" s="1290">
        <v>0</v>
      </c>
      <c r="O86" s="1337"/>
      <c r="P86" s="1289">
        <f t="shared" si="12"/>
        <v>-4291.8599999999997</v>
      </c>
      <c r="Q86" s="1337"/>
      <c r="R86" s="1289">
        <v>-4291.8599999999997</v>
      </c>
      <c r="S86" s="1289">
        <v>-4291.8599999999997</v>
      </c>
      <c r="T86" s="1289">
        <f t="shared" si="13"/>
        <v>-4291.8599999999997</v>
      </c>
      <c r="U86" s="1337"/>
      <c r="V86" s="1290">
        <f t="shared" si="14"/>
        <v>0</v>
      </c>
      <c r="W86" s="1337"/>
      <c r="X86" s="1337"/>
    </row>
    <row r="87" spans="1:25" s="1340" customFormat="1" outlineLevel="1">
      <c r="A87" s="1337"/>
      <c r="B87" s="1285" t="s">
        <v>203</v>
      </c>
      <c r="C87" s="1286"/>
      <c r="D87" s="1338">
        <v>14116</v>
      </c>
      <c r="E87" s="1338" t="s">
        <v>1966</v>
      </c>
      <c r="F87" s="1339"/>
      <c r="G87" s="1339"/>
      <c r="H87" s="1337"/>
      <c r="I87" s="1337"/>
      <c r="J87" s="1289">
        <v>-39854.94</v>
      </c>
      <c r="K87" s="1337"/>
      <c r="L87" s="1289">
        <v>0</v>
      </c>
      <c r="M87" s="1337"/>
      <c r="N87" s="1290">
        <v>0</v>
      </c>
      <c r="O87" s="1337"/>
      <c r="P87" s="1289">
        <f t="shared" si="12"/>
        <v>-39854.94</v>
      </c>
      <c r="Q87" s="1337"/>
      <c r="R87" s="1289">
        <v>-38569.050000000003</v>
      </c>
      <c r="S87" s="1289">
        <v>-39212</v>
      </c>
      <c r="T87" s="1289">
        <f t="shared" si="13"/>
        <v>-39854.94</v>
      </c>
      <c r="U87" s="1337"/>
      <c r="V87" s="1290">
        <f t="shared" si="14"/>
        <v>-642.94000000000233</v>
      </c>
      <c r="W87" s="1337"/>
      <c r="X87" s="1337"/>
    </row>
    <row r="88" spans="1:25" s="1340" customFormat="1" outlineLevel="1">
      <c r="A88" s="1337"/>
      <c r="B88" s="1285" t="s">
        <v>203</v>
      </c>
      <c r="C88" s="1286"/>
      <c r="D88" s="1338">
        <v>14117</v>
      </c>
      <c r="E88" s="1338" t="s">
        <v>2072</v>
      </c>
      <c r="F88" s="1339"/>
      <c r="G88" s="1339"/>
      <c r="H88" s="1337"/>
      <c r="I88" s="1337"/>
      <c r="J88" s="1289">
        <v>2998.84</v>
      </c>
      <c r="K88" s="1337"/>
      <c r="L88" s="1289">
        <v>0</v>
      </c>
      <c r="M88" s="1337"/>
      <c r="N88" s="1290">
        <v>0</v>
      </c>
      <c r="O88" s="1337"/>
      <c r="P88" s="1289">
        <f t="shared" si="12"/>
        <v>2998.84</v>
      </c>
      <c r="Q88" s="1337"/>
      <c r="R88" s="1289">
        <v>2998.84</v>
      </c>
      <c r="S88" s="1289">
        <v>2998.84</v>
      </c>
      <c r="T88" s="1289">
        <f t="shared" si="13"/>
        <v>2998.84</v>
      </c>
      <c r="U88" s="1337"/>
      <c r="V88" s="1290">
        <f t="shared" si="14"/>
        <v>0</v>
      </c>
      <c r="W88" s="1337"/>
      <c r="X88" s="1337"/>
    </row>
    <row r="89" spans="1:25" s="1340" customFormat="1" outlineLevel="1">
      <c r="A89" s="1337"/>
      <c r="B89" s="1285" t="s">
        <v>203</v>
      </c>
      <c r="C89" s="1286"/>
      <c r="D89" s="1338">
        <v>14201</v>
      </c>
      <c r="E89" s="1338" t="s">
        <v>2047</v>
      </c>
      <c r="F89" s="1339"/>
      <c r="G89" s="1339"/>
      <c r="H89" s="1337"/>
      <c r="I89" s="1337"/>
      <c r="J89" s="1289">
        <v>937.45</v>
      </c>
      <c r="K89" s="1337"/>
      <c r="L89" s="1289">
        <v>0</v>
      </c>
      <c r="M89" s="1337"/>
      <c r="N89" s="1290">
        <v>0</v>
      </c>
      <c r="O89" s="1337"/>
      <c r="P89" s="1289">
        <f t="shared" si="12"/>
        <v>937.45</v>
      </c>
      <c r="Q89" s="1337"/>
      <c r="R89" s="1289">
        <v>937.45</v>
      </c>
      <c r="S89" s="1289">
        <v>937.45</v>
      </c>
      <c r="T89" s="1289">
        <f t="shared" si="13"/>
        <v>937.45</v>
      </c>
      <c r="U89" s="1337"/>
      <c r="V89" s="1290">
        <f t="shared" si="14"/>
        <v>0</v>
      </c>
      <c r="W89" s="1337"/>
      <c r="X89" s="1337"/>
    </row>
    <row r="90" spans="1:25" s="1340" customFormat="1" ht="4.5" customHeight="1" outlineLevel="1">
      <c r="A90" s="1311" t="s">
        <v>195</v>
      </c>
      <c r="B90" s="1311" t="s">
        <v>195</v>
      </c>
      <c r="C90" s="1311"/>
      <c r="D90" s="1365"/>
      <c r="E90" s="1337"/>
      <c r="F90" s="1337"/>
      <c r="G90" s="1337"/>
      <c r="H90" s="1337"/>
      <c r="I90" s="1337"/>
      <c r="J90" s="1315"/>
      <c r="K90" s="1337"/>
      <c r="L90" s="1315"/>
      <c r="M90" s="1337"/>
      <c r="N90" s="1316"/>
      <c r="O90" s="1337"/>
      <c r="P90" s="1315"/>
      <c r="Q90" s="1337"/>
      <c r="R90" s="1315"/>
      <c r="S90" s="1315"/>
      <c r="T90" s="1315"/>
      <c r="U90" s="1337"/>
      <c r="V90" s="1316"/>
      <c r="W90" s="1337"/>
      <c r="X90" s="1337"/>
      <c r="Y90" s="1337"/>
    </row>
    <row r="91" spans="1:25" s="1340" customFormat="1">
      <c r="A91" s="1286" t="s">
        <v>1953</v>
      </c>
      <c r="B91" s="1311" t="s">
        <v>195</v>
      </c>
      <c r="C91" s="1311"/>
      <c r="D91" s="1337"/>
      <c r="E91" s="1337"/>
      <c r="F91" s="1337" t="s">
        <v>1968</v>
      </c>
      <c r="G91" s="1337"/>
      <c r="H91" s="1337"/>
      <c r="I91" s="1337"/>
      <c r="J91" s="1313">
        <f>SUM(J58:J90)</f>
        <v>1314390.6499999999</v>
      </c>
      <c r="K91" s="1337"/>
      <c r="L91" s="1313">
        <f>SUM(L58:L90)</f>
        <v>0</v>
      </c>
      <c r="M91" s="1337"/>
      <c r="N91" s="1314">
        <f>SUM(N58:N90)</f>
        <v>0</v>
      </c>
      <c r="O91" s="1337"/>
      <c r="P91" s="1313">
        <f>J91+L91+N91</f>
        <v>1314390.6499999999</v>
      </c>
      <c r="Q91" s="1337"/>
      <c r="R91" s="1313">
        <f>SUM(R58:R90)</f>
        <v>1352222.4999999995</v>
      </c>
      <c r="S91" s="1313">
        <f>SUM(S58:S90)</f>
        <v>1333248.2599999995</v>
      </c>
      <c r="T91" s="1313">
        <f>SUM(T58:T90)</f>
        <v>1314390.6499999999</v>
      </c>
      <c r="U91" s="1337"/>
      <c r="V91" s="1314">
        <f>SUM(V58:V90)</f>
        <v>-18857.610000000008</v>
      </c>
      <c r="W91" s="1337"/>
      <c r="X91" s="1337"/>
      <c r="Y91" s="1337"/>
    </row>
    <row r="92" spans="1:25" s="1340" customFormat="1" hidden="1" outlineLevel="1">
      <c r="A92" s="1337"/>
      <c r="B92" s="1285" t="s">
        <v>1969</v>
      </c>
      <c r="C92" s="1286"/>
      <c r="D92" s="1338"/>
      <c r="E92" s="1338"/>
      <c r="F92" s="1339"/>
      <c r="G92" s="1339"/>
      <c r="H92" s="1337"/>
      <c r="I92" s="1337"/>
      <c r="J92" s="1289"/>
      <c r="K92" s="1337"/>
      <c r="L92" s="1289"/>
      <c r="M92" s="1337"/>
      <c r="N92" s="1290"/>
      <c r="O92" s="1337"/>
      <c r="P92" s="1289">
        <f>J92+L92+N92</f>
        <v>0</v>
      </c>
      <c r="Q92" s="1337"/>
      <c r="R92" s="1289"/>
      <c r="S92" s="1289"/>
      <c r="T92" s="1289">
        <f>P92</f>
        <v>0</v>
      </c>
      <c r="U92" s="1337"/>
      <c r="V92" s="1290">
        <f>T92-S92</f>
        <v>0</v>
      </c>
      <c r="W92" s="1337"/>
      <c r="X92" s="1337"/>
    </row>
    <row r="93" spans="1:25" s="1340" customFormat="1" ht="4.5" customHeight="1" outlineLevel="1">
      <c r="A93" s="1311" t="s">
        <v>195</v>
      </c>
      <c r="B93" s="1311" t="s">
        <v>195</v>
      </c>
      <c r="C93" s="1311"/>
      <c r="D93" s="1339"/>
      <c r="E93" s="1339"/>
      <c r="F93" s="1339"/>
      <c r="G93" s="1339"/>
      <c r="H93" s="1337"/>
      <c r="I93" s="1337"/>
      <c r="J93" s="1315"/>
      <c r="K93" s="1337"/>
      <c r="L93" s="1315"/>
      <c r="M93" s="1337"/>
      <c r="N93" s="1316"/>
      <c r="O93" s="1337"/>
      <c r="P93" s="1315"/>
      <c r="Q93" s="1337"/>
      <c r="R93" s="1315"/>
      <c r="S93" s="1315"/>
      <c r="T93" s="1315"/>
      <c r="U93" s="1337"/>
      <c r="V93" s="1316"/>
      <c r="W93" s="1337"/>
      <c r="X93" s="1337"/>
      <c r="Y93" s="1337"/>
    </row>
    <row r="94" spans="1:25" s="1340" customFormat="1" hidden="1">
      <c r="A94" s="1286" t="s">
        <v>1969</v>
      </c>
      <c r="B94" s="1311" t="s">
        <v>195</v>
      </c>
      <c r="C94" s="1311"/>
      <c r="D94" s="1337"/>
      <c r="E94" s="1337"/>
      <c r="F94" s="1338" t="s">
        <v>1970</v>
      </c>
      <c r="G94" s="1337"/>
      <c r="H94" s="1337"/>
      <c r="I94" s="1337"/>
      <c r="J94" s="1313">
        <f>SUM(J92:J93)</f>
        <v>0</v>
      </c>
      <c r="K94" s="1337"/>
      <c r="L94" s="1313">
        <f>SUM(L92:L93)</f>
        <v>0</v>
      </c>
      <c r="M94" s="1337"/>
      <c r="N94" s="1314">
        <f>SUM(N92:N93)</f>
        <v>0</v>
      </c>
      <c r="O94" s="1337"/>
      <c r="P94" s="1313">
        <f>J94+L94+N94</f>
        <v>0</v>
      </c>
      <c r="Q94" s="1337"/>
      <c r="R94" s="1313">
        <f>SUM(R92:R93)</f>
        <v>0</v>
      </c>
      <c r="S94" s="1313">
        <f>SUM(S92:S93)</f>
        <v>0</v>
      </c>
      <c r="T94" s="1313">
        <f>SUM(T92:T93)</f>
        <v>0</v>
      </c>
      <c r="U94" s="1337"/>
      <c r="V94" s="1314">
        <f>SUM(V92:V93)</f>
        <v>0</v>
      </c>
      <c r="W94" s="1337"/>
      <c r="X94" s="1337"/>
      <c r="Y94" s="1337"/>
    </row>
    <row r="95" spans="1:25" s="1340" customFormat="1" outlineLevel="1">
      <c r="A95" s="1337"/>
      <c r="B95" s="1285" t="s">
        <v>1971</v>
      </c>
      <c r="C95" s="1286"/>
      <c r="D95" s="1338">
        <v>15111</v>
      </c>
      <c r="E95" s="1338" t="s">
        <v>1972</v>
      </c>
      <c r="F95" s="1339"/>
      <c r="G95" s="1339"/>
      <c r="H95" s="1337"/>
      <c r="I95" s="1337"/>
      <c r="J95" s="1289">
        <v>2548700.21</v>
      </c>
      <c r="K95" s="1337"/>
      <c r="L95" s="1289">
        <v>0</v>
      </c>
      <c r="M95" s="1337"/>
      <c r="N95" s="1290">
        <v>0</v>
      </c>
      <c r="O95" s="1337"/>
      <c r="P95" s="1289">
        <f>J95+L95+N95</f>
        <v>2548700.21</v>
      </c>
      <c r="Q95" s="1337"/>
      <c r="R95" s="1289">
        <v>2548700.21</v>
      </c>
      <c r="S95" s="1289">
        <v>2548700.21</v>
      </c>
      <c r="T95" s="1289">
        <f t="shared" ref="T95:T96" si="15">P95</f>
        <v>2548700.21</v>
      </c>
      <c r="U95" s="1337"/>
      <c r="V95" s="1290">
        <f t="shared" ref="V95:V96" si="16">T95-S95</f>
        <v>0</v>
      </c>
      <c r="W95" s="1337"/>
      <c r="X95" s="1337"/>
    </row>
    <row r="96" spans="1:25" s="1340" customFormat="1" outlineLevel="1">
      <c r="A96" s="1337"/>
      <c r="B96" s="1285" t="s">
        <v>203</v>
      </c>
      <c r="C96" s="1286"/>
      <c r="D96" s="1338">
        <v>15112</v>
      </c>
      <c r="E96" s="1338" t="s">
        <v>2055</v>
      </c>
      <c r="F96" s="1339"/>
      <c r="G96" s="1339"/>
      <c r="H96" s="1337"/>
      <c r="I96" s="1337"/>
      <c r="J96" s="1289">
        <v>-94415.71</v>
      </c>
      <c r="K96" s="1337"/>
      <c r="L96" s="1289">
        <v>0</v>
      </c>
      <c r="M96" s="1337"/>
      <c r="N96" s="1290">
        <v>0</v>
      </c>
      <c r="O96" s="1337"/>
      <c r="P96" s="1289">
        <f>J96+L96+N96</f>
        <v>-94415.71</v>
      </c>
      <c r="Q96" s="1337"/>
      <c r="R96" s="1289">
        <v>-94415.71</v>
      </c>
      <c r="S96" s="1289">
        <v>-94415.71</v>
      </c>
      <c r="T96" s="1289">
        <f t="shared" si="15"/>
        <v>-94415.71</v>
      </c>
      <c r="U96" s="1337"/>
      <c r="V96" s="1290">
        <f t="shared" si="16"/>
        <v>0</v>
      </c>
      <c r="W96" s="1337"/>
      <c r="X96" s="1337"/>
    </row>
    <row r="97" spans="1:25" s="1340" customFormat="1" ht="4.5" customHeight="1" outlineLevel="1">
      <c r="A97" s="1311" t="s">
        <v>195</v>
      </c>
      <c r="B97" s="1337" t="s">
        <v>195</v>
      </c>
      <c r="C97" s="1366"/>
      <c r="D97" s="1365"/>
      <c r="E97" s="1337"/>
      <c r="F97" s="1337"/>
      <c r="G97" s="1337"/>
      <c r="H97" s="1337"/>
      <c r="I97" s="1337"/>
      <c r="J97" s="1315"/>
      <c r="K97" s="1337"/>
      <c r="L97" s="1315"/>
      <c r="M97" s="1337"/>
      <c r="N97" s="1316"/>
      <c r="O97" s="1337"/>
      <c r="P97" s="1315"/>
      <c r="Q97" s="1337"/>
      <c r="R97" s="1315"/>
      <c r="S97" s="1315"/>
      <c r="T97" s="1315"/>
      <c r="U97" s="1337"/>
      <c r="V97" s="1316"/>
      <c r="W97" s="1337"/>
      <c r="X97" s="1337"/>
      <c r="Y97" s="1337"/>
    </row>
    <row r="98" spans="1:25" s="1340" customFormat="1">
      <c r="A98" s="1286" t="s">
        <v>1971</v>
      </c>
      <c r="B98" s="1311" t="s">
        <v>195</v>
      </c>
      <c r="C98" s="1311"/>
      <c r="D98" s="1337"/>
      <c r="E98" s="1337"/>
      <c r="F98" s="1337" t="s">
        <v>1858</v>
      </c>
      <c r="G98" s="1337"/>
      <c r="H98" s="1337"/>
      <c r="I98" s="1337"/>
      <c r="J98" s="1313">
        <f>SUM(J95:J97)</f>
        <v>2454284.5</v>
      </c>
      <c r="K98" s="1337"/>
      <c r="L98" s="1313">
        <f>SUM(L95:L97)</f>
        <v>0</v>
      </c>
      <c r="M98" s="1337"/>
      <c r="N98" s="1314">
        <f>SUM(N95:N97)</f>
        <v>0</v>
      </c>
      <c r="O98" s="1337"/>
      <c r="P98" s="1313">
        <f t="shared" ref="P98:P103" si="17">J98+L98+N98</f>
        <v>2454284.5</v>
      </c>
      <c r="Q98" s="1337"/>
      <c r="R98" s="1313">
        <f>SUM(R95:R97)</f>
        <v>2454284.5</v>
      </c>
      <c r="S98" s="1313">
        <f>SUM(S95:S97)</f>
        <v>2454284.5</v>
      </c>
      <c r="T98" s="1313">
        <f>SUM(T95:T97)</f>
        <v>2454284.5</v>
      </c>
      <c r="U98" s="1337"/>
      <c r="V98" s="1314">
        <f>SUM(V95:V97)</f>
        <v>0</v>
      </c>
      <c r="W98" s="1337"/>
      <c r="X98" s="1337"/>
      <c r="Y98" s="1337"/>
    </row>
    <row r="99" spans="1:25" s="1340" customFormat="1" outlineLevel="1">
      <c r="A99" s="1337"/>
      <c r="B99" s="1285" t="s">
        <v>1973</v>
      </c>
      <c r="C99" s="1286"/>
      <c r="D99" s="1338">
        <v>15211</v>
      </c>
      <c r="E99" s="1338" t="s">
        <v>2049</v>
      </c>
      <c r="F99" s="1339"/>
      <c r="G99" s="1339"/>
      <c r="H99" s="1337"/>
      <c r="I99" s="1337"/>
      <c r="J99" s="1289">
        <v>31000</v>
      </c>
      <c r="K99" s="1337"/>
      <c r="L99" s="1289">
        <v>0</v>
      </c>
      <c r="M99" s="1337"/>
      <c r="N99" s="1290">
        <v>0</v>
      </c>
      <c r="O99" s="1337"/>
      <c r="P99" s="1289">
        <f t="shared" si="17"/>
        <v>31000</v>
      </c>
      <c r="Q99" s="1337"/>
      <c r="R99" s="1289">
        <v>31000</v>
      </c>
      <c r="S99" s="1289">
        <v>31000</v>
      </c>
      <c r="T99" s="1289">
        <f t="shared" ref="T99:T103" si="18">P99</f>
        <v>31000</v>
      </c>
      <c r="U99" s="1337"/>
      <c r="V99" s="1290">
        <f t="shared" ref="V99:V103" si="19">T99-S99</f>
        <v>0</v>
      </c>
      <c r="W99" s="1337"/>
      <c r="X99" s="1337"/>
    </row>
    <row r="100" spans="1:25" s="1340" customFormat="1" outlineLevel="1">
      <c r="A100" s="1337"/>
      <c r="B100" s="1285" t="s">
        <v>203</v>
      </c>
      <c r="C100" s="1286"/>
      <c r="D100" s="1338">
        <v>15216</v>
      </c>
      <c r="E100" s="1338" t="s">
        <v>2050</v>
      </c>
      <c r="F100" s="1339"/>
      <c r="G100" s="1339"/>
      <c r="H100" s="1337"/>
      <c r="I100" s="1337"/>
      <c r="J100" s="1289">
        <v>-31000</v>
      </c>
      <c r="K100" s="1337"/>
      <c r="L100" s="1289">
        <v>0</v>
      </c>
      <c r="M100" s="1337"/>
      <c r="N100" s="1290">
        <v>0</v>
      </c>
      <c r="O100" s="1337"/>
      <c r="P100" s="1289">
        <f t="shared" si="17"/>
        <v>-31000</v>
      </c>
      <c r="Q100" s="1337"/>
      <c r="R100" s="1289">
        <v>-31000</v>
      </c>
      <c r="S100" s="1289">
        <v>-31000</v>
      </c>
      <c r="T100" s="1289">
        <f t="shared" si="18"/>
        <v>-31000</v>
      </c>
      <c r="U100" s="1337"/>
      <c r="V100" s="1290">
        <f t="shared" si="19"/>
        <v>0</v>
      </c>
      <c r="W100" s="1337"/>
      <c r="X100" s="1337"/>
    </row>
    <row r="101" spans="1:25" s="1340" customFormat="1" outlineLevel="1">
      <c r="A101" s="1337"/>
      <c r="B101" s="1285" t="s">
        <v>203</v>
      </c>
      <c r="C101" s="1286"/>
      <c r="D101" s="1338">
        <v>15251</v>
      </c>
      <c r="E101" s="1338" t="s">
        <v>2051</v>
      </c>
      <c r="F101" s="1339"/>
      <c r="G101" s="1339"/>
      <c r="H101" s="1337"/>
      <c r="I101" s="1337"/>
      <c r="J101" s="1289">
        <v>113859.33</v>
      </c>
      <c r="K101" s="1337"/>
      <c r="L101" s="1289">
        <v>0</v>
      </c>
      <c r="M101" s="1337"/>
      <c r="N101" s="1290">
        <v>0</v>
      </c>
      <c r="O101" s="1337"/>
      <c r="P101" s="1289">
        <f t="shared" si="17"/>
        <v>113859.33</v>
      </c>
      <c r="Q101" s="1337"/>
      <c r="R101" s="1289">
        <v>113859.33</v>
      </c>
      <c r="S101" s="1289">
        <v>113859.33</v>
      </c>
      <c r="T101" s="1289">
        <f t="shared" si="18"/>
        <v>113859.33</v>
      </c>
      <c r="U101" s="1337"/>
      <c r="V101" s="1290">
        <f t="shared" si="19"/>
        <v>0</v>
      </c>
      <c r="W101" s="1337"/>
      <c r="X101" s="1337"/>
    </row>
    <row r="102" spans="1:25" s="1340" customFormat="1" outlineLevel="1">
      <c r="A102" s="1337"/>
      <c r="B102" s="1285" t="s">
        <v>203</v>
      </c>
      <c r="C102" s="1286"/>
      <c r="D102" s="1338">
        <v>15256</v>
      </c>
      <c r="E102" s="1338" t="s">
        <v>2053</v>
      </c>
      <c r="F102" s="1339"/>
      <c r="G102" s="1339"/>
      <c r="H102" s="1337"/>
      <c r="I102" s="1337"/>
      <c r="J102" s="1289">
        <v>-66875.94</v>
      </c>
      <c r="K102" s="1337"/>
      <c r="L102" s="1289">
        <v>0</v>
      </c>
      <c r="M102" s="1337"/>
      <c r="N102" s="1290">
        <v>0</v>
      </c>
      <c r="O102" s="1337"/>
      <c r="P102" s="1289">
        <f t="shared" si="17"/>
        <v>-66875.94</v>
      </c>
      <c r="Q102" s="1337"/>
      <c r="R102" s="1289">
        <v>-65572.53</v>
      </c>
      <c r="S102" s="1289">
        <v>-66224.23</v>
      </c>
      <c r="T102" s="1289">
        <f t="shared" si="18"/>
        <v>-66875.94</v>
      </c>
      <c r="U102" s="1337"/>
      <c r="V102" s="1290">
        <f t="shared" si="19"/>
        <v>-651.7100000000064</v>
      </c>
      <c r="W102" s="1337"/>
      <c r="X102" s="1337"/>
    </row>
    <row r="103" spans="1:25" s="1340" customFormat="1" outlineLevel="1">
      <c r="A103" s="1337"/>
      <c r="B103" s="1285" t="s">
        <v>203</v>
      </c>
      <c r="C103" s="1286"/>
      <c r="D103" s="1338">
        <v>15261</v>
      </c>
      <c r="E103" s="1338" t="s">
        <v>1974</v>
      </c>
      <c r="F103" s="1339"/>
      <c r="G103" s="1339"/>
      <c r="H103" s="1337"/>
      <c r="I103" s="1337"/>
      <c r="J103" s="1289">
        <v>167101.01999999999</v>
      </c>
      <c r="K103" s="1337"/>
      <c r="L103" s="1289">
        <v>0</v>
      </c>
      <c r="M103" s="1337"/>
      <c r="N103" s="1290">
        <v>0</v>
      </c>
      <c r="O103" s="1337"/>
      <c r="P103" s="1289">
        <f t="shared" si="17"/>
        <v>167101.01999999999</v>
      </c>
      <c r="Q103" s="1337"/>
      <c r="R103" s="1289">
        <v>167101.01999999999</v>
      </c>
      <c r="S103" s="1289">
        <v>167101.01999999999</v>
      </c>
      <c r="T103" s="1289">
        <f t="shared" si="18"/>
        <v>167101.01999999999</v>
      </c>
      <c r="U103" s="1337"/>
      <c r="V103" s="1290">
        <f t="shared" si="19"/>
        <v>0</v>
      </c>
      <c r="W103" s="1337"/>
      <c r="X103" s="1337"/>
    </row>
    <row r="104" spans="1:25" s="1340" customFormat="1" ht="5.0999999999999996" customHeight="1" outlineLevel="1">
      <c r="A104" s="1311" t="s">
        <v>195</v>
      </c>
      <c r="B104" s="1286" t="s">
        <v>195</v>
      </c>
      <c r="C104" s="1286"/>
      <c r="D104" s="1339"/>
      <c r="E104" s="1339"/>
      <c r="F104" s="1339"/>
      <c r="G104" s="1339"/>
      <c r="H104" s="1337"/>
      <c r="I104" s="1337"/>
      <c r="J104" s="1315"/>
      <c r="K104" s="1337"/>
      <c r="L104" s="1315"/>
      <c r="M104" s="1337"/>
      <c r="N104" s="1316"/>
      <c r="O104" s="1337"/>
      <c r="P104" s="1315"/>
      <c r="Q104" s="1337"/>
      <c r="R104" s="1315"/>
      <c r="S104" s="1315"/>
      <c r="T104" s="1315"/>
      <c r="U104" s="1337"/>
      <c r="V104" s="1316"/>
      <c r="W104" s="1337"/>
      <c r="X104" s="1337"/>
      <c r="Y104" s="1337"/>
    </row>
    <row r="105" spans="1:25" s="1340" customFormat="1">
      <c r="A105" s="1286" t="s">
        <v>1973</v>
      </c>
      <c r="B105" s="1311" t="s">
        <v>195</v>
      </c>
      <c r="C105" s="1311"/>
      <c r="D105" s="1337"/>
      <c r="E105" s="1337"/>
      <c r="F105" s="1338" t="s">
        <v>1975</v>
      </c>
      <c r="G105" s="1367"/>
      <c r="H105" s="1367"/>
      <c r="I105" s="1367"/>
      <c r="J105" s="1313">
        <f>SUM(J99:J104)</f>
        <v>214084.40999999997</v>
      </c>
      <c r="K105" s="1337"/>
      <c r="L105" s="1313">
        <f>SUM(L99:L104)</f>
        <v>0</v>
      </c>
      <c r="M105" s="1337"/>
      <c r="N105" s="1314">
        <f>SUM(N99:N104)</f>
        <v>0</v>
      </c>
      <c r="O105" s="1337"/>
      <c r="P105" s="1313">
        <f>J105+L105+N105</f>
        <v>214084.40999999997</v>
      </c>
      <c r="Q105" s="1337"/>
      <c r="R105" s="1313">
        <f>SUM(R99:R104)</f>
        <v>215387.82</v>
      </c>
      <c r="S105" s="1313">
        <f>SUM(S99:S104)</f>
        <v>214736.12</v>
      </c>
      <c r="T105" s="1313">
        <f>SUM(T99:T104)</f>
        <v>214084.40999999997</v>
      </c>
      <c r="U105" s="1337"/>
      <c r="V105" s="1314">
        <f>SUM(V99:V104)</f>
        <v>-651.7100000000064</v>
      </c>
      <c r="W105" s="1337"/>
      <c r="X105" s="1337"/>
      <c r="Y105" s="1337"/>
    </row>
    <row r="106" spans="1:25" s="1340" customFormat="1" hidden="1" outlineLevel="1">
      <c r="A106" s="1337"/>
      <c r="B106" s="1285" t="s">
        <v>1976</v>
      </c>
      <c r="C106" s="1286"/>
      <c r="D106" s="1338"/>
      <c r="E106" s="1338"/>
      <c r="F106" s="1339"/>
      <c r="G106" s="1339"/>
      <c r="H106" s="1337"/>
      <c r="I106" s="1337"/>
      <c r="J106" s="1289"/>
      <c r="K106" s="1337"/>
      <c r="L106" s="1289"/>
      <c r="M106" s="1337"/>
      <c r="N106" s="1290"/>
      <c r="O106" s="1337"/>
      <c r="P106" s="1289">
        <f>J106+L106+N106</f>
        <v>0</v>
      </c>
      <c r="Q106" s="1337"/>
      <c r="R106" s="1289"/>
      <c r="S106" s="1289"/>
      <c r="T106" s="1289">
        <f>P106</f>
        <v>0</v>
      </c>
      <c r="U106" s="1337"/>
      <c r="V106" s="1290">
        <f>T106-S106</f>
        <v>0</v>
      </c>
      <c r="W106" s="1337"/>
      <c r="X106" s="1337"/>
    </row>
    <row r="107" spans="1:25" s="1340" customFormat="1" ht="5.0999999999999996" hidden="1" customHeight="1" outlineLevel="1">
      <c r="A107" s="1311" t="s">
        <v>195</v>
      </c>
      <c r="B107" s="1286" t="s">
        <v>195</v>
      </c>
      <c r="C107" s="1286"/>
      <c r="D107" s="1339"/>
      <c r="E107" s="1339"/>
      <c r="F107" s="1339"/>
      <c r="G107" s="1339"/>
      <c r="H107" s="1337"/>
      <c r="I107" s="1337"/>
      <c r="J107" s="1315"/>
      <c r="K107" s="1337"/>
      <c r="L107" s="1315"/>
      <c r="M107" s="1337"/>
      <c r="N107" s="1316"/>
      <c r="O107" s="1337"/>
      <c r="P107" s="1315"/>
      <c r="Q107" s="1337"/>
      <c r="R107" s="1315"/>
      <c r="S107" s="1315"/>
      <c r="T107" s="1315"/>
      <c r="U107" s="1337"/>
      <c r="V107" s="1316"/>
      <c r="W107" s="1337"/>
      <c r="X107" s="1337"/>
      <c r="Y107" s="1337"/>
    </row>
    <row r="108" spans="1:25" s="1340" customFormat="1" hidden="1" collapsed="1">
      <c r="A108" s="1286" t="s">
        <v>1976</v>
      </c>
      <c r="B108" s="1286" t="s">
        <v>195</v>
      </c>
      <c r="C108" s="1286"/>
      <c r="D108" s="1337"/>
      <c r="E108" s="1337"/>
      <c r="F108" s="1338" t="s">
        <v>1977</v>
      </c>
      <c r="G108" s="1367"/>
      <c r="H108" s="1367"/>
      <c r="I108" s="1367"/>
      <c r="J108" s="1313">
        <f>SUM(J106:J107)</f>
        <v>0</v>
      </c>
      <c r="K108" s="1337"/>
      <c r="L108" s="1313">
        <f>SUM(L106:L107)</f>
        <v>0</v>
      </c>
      <c r="M108" s="1337"/>
      <c r="N108" s="1314">
        <f>SUM(N106:N107)</f>
        <v>0</v>
      </c>
      <c r="O108" s="1337"/>
      <c r="P108" s="1313">
        <f>J108+L108+N108</f>
        <v>0</v>
      </c>
      <c r="Q108" s="1337"/>
      <c r="R108" s="1313">
        <f>SUM(R106:R107)</f>
        <v>0</v>
      </c>
      <c r="S108" s="1313">
        <f>SUM(S106:S107)</f>
        <v>0</v>
      </c>
      <c r="T108" s="1313">
        <f>SUM(T106:T107)</f>
        <v>0</v>
      </c>
      <c r="U108" s="1337"/>
      <c r="V108" s="1314">
        <f>SUM(V106:V107)</f>
        <v>0</v>
      </c>
      <c r="W108" s="1337"/>
      <c r="X108" s="1337"/>
      <c r="Y108" s="1337"/>
    </row>
    <row r="109" spans="1:25" s="1340" customFormat="1" hidden="1" outlineLevel="1">
      <c r="A109" s="1337"/>
      <c r="B109" s="1285" t="s">
        <v>1978</v>
      </c>
      <c r="C109" s="1286"/>
      <c r="D109" s="1338"/>
      <c r="E109" s="1338"/>
      <c r="F109" s="1339"/>
      <c r="G109" s="1339"/>
      <c r="H109" s="1337"/>
      <c r="I109" s="1337"/>
      <c r="J109" s="1289"/>
      <c r="K109" s="1337"/>
      <c r="L109" s="1289"/>
      <c r="M109" s="1337"/>
      <c r="N109" s="1290"/>
      <c r="O109" s="1337"/>
      <c r="P109" s="1289">
        <f>J109+L109+N109</f>
        <v>0</v>
      </c>
      <c r="Q109" s="1337"/>
      <c r="R109" s="1289"/>
      <c r="S109" s="1289"/>
      <c r="T109" s="1289">
        <f>P109</f>
        <v>0</v>
      </c>
      <c r="U109" s="1337"/>
      <c r="V109" s="1290">
        <f>T109-S109</f>
        <v>0</v>
      </c>
      <c r="W109" s="1337"/>
      <c r="X109" s="1337"/>
    </row>
    <row r="110" spans="1:25" s="1340" customFormat="1" ht="4.5" hidden="1" customHeight="1" outlineLevel="1">
      <c r="A110" s="1286" t="s">
        <v>195</v>
      </c>
      <c r="B110" s="1337" t="s">
        <v>195</v>
      </c>
      <c r="C110" s="1366"/>
      <c r="D110" s="1365"/>
      <c r="E110" s="1337"/>
      <c r="F110" s="1337"/>
      <c r="G110" s="1337"/>
      <c r="H110" s="1337"/>
      <c r="I110" s="1337"/>
      <c r="J110" s="1315"/>
      <c r="K110" s="1337"/>
      <c r="L110" s="1315"/>
      <c r="M110" s="1337"/>
      <c r="N110" s="1316"/>
      <c r="O110" s="1337"/>
      <c r="P110" s="1315"/>
      <c r="Q110" s="1337"/>
      <c r="R110" s="1315"/>
      <c r="S110" s="1315"/>
      <c r="T110" s="1315"/>
      <c r="U110" s="1337"/>
      <c r="V110" s="1316"/>
      <c r="W110" s="1337"/>
      <c r="X110" s="1337"/>
      <c r="Y110" s="1337"/>
    </row>
    <row r="111" spans="1:25" s="1340" customFormat="1" hidden="1" collapsed="1">
      <c r="A111" s="1286" t="s">
        <v>1978</v>
      </c>
      <c r="B111" s="1311" t="s">
        <v>195</v>
      </c>
      <c r="C111" s="1311"/>
      <c r="D111" s="1337"/>
      <c r="E111" s="1337"/>
      <c r="F111" s="1337" t="s">
        <v>1979</v>
      </c>
      <c r="G111" s="1337"/>
      <c r="H111" s="1337"/>
      <c r="I111" s="1337"/>
      <c r="J111" s="1313">
        <f>SUM(J109:J110)</f>
        <v>0</v>
      </c>
      <c r="K111" s="1337"/>
      <c r="L111" s="1313">
        <f>SUM(L109:L110)</f>
        <v>0</v>
      </c>
      <c r="M111" s="1337"/>
      <c r="N111" s="1314">
        <f>SUM(N109:N110)</f>
        <v>0</v>
      </c>
      <c r="O111" s="1337"/>
      <c r="P111" s="1313">
        <f>J111+L111+N111</f>
        <v>0</v>
      </c>
      <c r="Q111" s="1337"/>
      <c r="R111" s="1313">
        <f>SUM(R109:R110)</f>
        <v>0</v>
      </c>
      <c r="S111" s="1313">
        <f>SUM(S109:S110)</f>
        <v>0</v>
      </c>
      <c r="T111" s="1313">
        <f>SUM(T109:T110)</f>
        <v>0</v>
      </c>
      <c r="U111" s="1337"/>
      <c r="V111" s="1314">
        <f>SUM(V109:V110)</f>
        <v>0</v>
      </c>
      <c r="W111" s="1337"/>
      <c r="X111" s="1337"/>
      <c r="Y111" s="1337"/>
    </row>
    <row r="112" spans="1:25" s="1340" customFormat="1" hidden="1" outlineLevel="1">
      <c r="A112" s="1337"/>
      <c r="B112" s="1285" t="s">
        <v>1980</v>
      </c>
      <c r="C112" s="1286"/>
      <c r="D112" s="1338"/>
      <c r="E112" s="1338"/>
      <c r="F112" s="1339"/>
      <c r="G112" s="1339"/>
      <c r="H112" s="1337"/>
      <c r="I112" s="1337"/>
      <c r="J112" s="1289"/>
      <c r="K112" s="1337"/>
      <c r="L112" s="1289"/>
      <c r="M112" s="1337"/>
      <c r="N112" s="1290"/>
      <c r="O112" s="1337"/>
      <c r="P112" s="1289">
        <f>J112+L112+N112</f>
        <v>0</v>
      </c>
      <c r="Q112" s="1337"/>
      <c r="R112" s="1289"/>
      <c r="S112" s="1289"/>
      <c r="T112" s="1289">
        <f>P112</f>
        <v>0</v>
      </c>
      <c r="U112" s="1337"/>
      <c r="V112" s="1290">
        <f>T112-S112</f>
        <v>0</v>
      </c>
      <c r="W112" s="1337"/>
      <c r="X112" s="1337"/>
    </row>
    <row r="113" spans="1:25" s="1340" customFormat="1" ht="5.0999999999999996" hidden="1" customHeight="1" outlineLevel="1">
      <c r="A113" s="1311" t="s">
        <v>195</v>
      </c>
      <c r="B113" s="1311" t="s">
        <v>195</v>
      </c>
      <c r="C113" s="1311"/>
      <c r="D113" s="1339"/>
      <c r="E113" s="1339"/>
      <c r="F113" s="1339"/>
      <c r="G113" s="1339"/>
      <c r="H113" s="1337"/>
      <c r="I113" s="1337"/>
      <c r="J113" s="1315"/>
      <c r="K113" s="1337"/>
      <c r="L113" s="1315"/>
      <c r="M113" s="1337"/>
      <c r="N113" s="1316"/>
      <c r="O113" s="1337"/>
      <c r="P113" s="1315"/>
      <c r="Q113" s="1337"/>
      <c r="R113" s="1315"/>
      <c r="S113" s="1315"/>
      <c r="T113" s="1315"/>
      <c r="U113" s="1337"/>
      <c r="V113" s="1316"/>
      <c r="W113" s="1337"/>
      <c r="X113" s="1337"/>
      <c r="Y113" s="1337"/>
    </row>
    <row r="114" spans="1:25" s="1340" customFormat="1" hidden="1" collapsed="1">
      <c r="A114" s="1286" t="s">
        <v>1980</v>
      </c>
      <c r="B114" s="1311" t="s">
        <v>195</v>
      </c>
      <c r="C114" s="1311"/>
      <c r="D114" s="1337"/>
      <c r="E114" s="1337"/>
      <c r="F114" s="1338" t="s">
        <v>1981</v>
      </c>
      <c r="G114" s="1337"/>
      <c r="H114" s="1337"/>
      <c r="I114" s="1337"/>
      <c r="J114" s="1313">
        <f>SUM(J112:J113)</f>
        <v>0</v>
      </c>
      <c r="K114" s="1337"/>
      <c r="L114" s="1313">
        <f>SUM(L112:L113)</f>
        <v>0</v>
      </c>
      <c r="M114" s="1337"/>
      <c r="N114" s="1314">
        <f>SUM(N112:N113)</f>
        <v>0</v>
      </c>
      <c r="O114" s="1337"/>
      <c r="P114" s="1313">
        <f>J114+L114+N114</f>
        <v>0</v>
      </c>
      <c r="Q114" s="1337"/>
      <c r="R114" s="1313">
        <f>SUM(R112:R113)</f>
        <v>0</v>
      </c>
      <c r="S114" s="1313">
        <f>SUM(S112:S113)</f>
        <v>0</v>
      </c>
      <c r="T114" s="1313">
        <f>SUM(T112:T113)</f>
        <v>0</v>
      </c>
      <c r="U114" s="1337"/>
      <c r="V114" s="1314">
        <f>SUM(V112:V113)</f>
        <v>0</v>
      </c>
      <c r="W114" s="1337"/>
      <c r="X114" s="1337"/>
      <c r="Y114" s="1337"/>
    </row>
    <row r="115" spans="1:25" s="1340" customFormat="1" hidden="1" outlineLevel="1">
      <c r="A115" s="1337"/>
      <c r="B115" s="1285" t="s">
        <v>1982</v>
      </c>
      <c r="C115" s="1286"/>
      <c r="D115" s="1338"/>
      <c r="E115" s="1338"/>
      <c r="F115" s="1339"/>
      <c r="G115" s="1339"/>
      <c r="H115" s="1337"/>
      <c r="I115" s="1337"/>
      <c r="J115" s="1289"/>
      <c r="K115" s="1337"/>
      <c r="L115" s="1289"/>
      <c r="M115" s="1337"/>
      <c r="N115" s="1290"/>
      <c r="O115" s="1337"/>
      <c r="P115" s="1289">
        <f>J115+L115+N115</f>
        <v>0</v>
      </c>
      <c r="Q115" s="1337"/>
      <c r="R115" s="1289"/>
      <c r="S115" s="1289"/>
      <c r="T115" s="1289">
        <f>P115</f>
        <v>0</v>
      </c>
      <c r="U115" s="1337"/>
      <c r="V115" s="1290">
        <f>T115-S115</f>
        <v>0</v>
      </c>
      <c r="W115" s="1337"/>
      <c r="X115" s="1337"/>
    </row>
    <row r="116" spans="1:25" s="1340" customFormat="1" ht="5.0999999999999996" hidden="1" customHeight="1" outlineLevel="1">
      <c r="A116" s="1311" t="s">
        <v>195</v>
      </c>
      <c r="B116" s="1311" t="s">
        <v>195</v>
      </c>
      <c r="C116" s="1311"/>
      <c r="D116" s="1339"/>
      <c r="E116" s="1339"/>
      <c r="F116" s="1339"/>
      <c r="G116" s="1339"/>
      <c r="H116" s="1337"/>
      <c r="I116" s="1337"/>
      <c r="J116" s="1315"/>
      <c r="K116" s="1337"/>
      <c r="L116" s="1315"/>
      <c r="M116" s="1337"/>
      <c r="N116" s="1316"/>
      <c r="O116" s="1337"/>
      <c r="P116" s="1315"/>
      <c r="Q116" s="1337"/>
      <c r="R116" s="1315"/>
      <c r="S116" s="1315"/>
      <c r="T116" s="1315"/>
      <c r="U116" s="1337"/>
      <c r="V116" s="1316"/>
      <c r="W116" s="1337"/>
      <c r="X116" s="1337"/>
      <c r="Y116" s="1337"/>
    </row>
    <row r="117" spans="1:25" s="1340" customFormat="1" hidden="1" collapsed="1">
      <c r="A117" s="1286" t="s">
        <v>1982</v>
      </c>
      <c r="B117" s="1286" t="s">
        <v>195</v>
      </c>
      <c r="C117" s="1286"/>
      <c r="D117" s="1337"/>
      <c r="E117" s="1337"/>
      <c r="F117" s="1338" t="s">
        <v>1983</v>
      </c>
      <c r="G117" s="1337"/>
      <c r="H117" s="1337"/>
      <c r="I117" s="1337"/>
      <c r="J117" s="1313">
        <f>SUM(J115:J116)</f>
        <v>0</v>
      </c>
      <c r="K117" s="1337"/>
      <c r="L117" s="1313">
        <f>SUM(L115:L116)</f>
        <v>0</v>
      </c>
      <c r="M117" s="1337"/>
      <c r="N117" s="1314">
        <f>SUM(N115:N116)</f>
        <v>0</v>
      </c>
      <c r="O117" s="1337"/>
      <c r="P117" s="1313">
        <f>J117+L117+N117</f>
        <v>0</v>
      </c>
      <c r="Q117" s="1337"/>
      <c r="R117" s="1313">
        <f>SUM(R115:R116)</f>
        <v>0</v>
      </c>
      <c r="S117" s="1313">
        <f>SUM(S115:S116)</f>
        <v>0</v>
      </c>
      <c r="T117" s="1313">
        <f>SUM(T115:T116)</f>
        <v>0</v>
      </c>
      <c r="U117" s="1337"/>
      <c r="V117" s="1314">
        <f>SUM(V115:V116)</f>
        <v>0</v>
      </c>
      <c r="W117" s="1337"/>
      <c r="X117" s="1337"/>
      <c r="Y117" s="1337"/>
    </row>
    <row r="118" spans="1:25" s="1340" customFormat="1" outlineLevel="1">
      <c r="A118" s="1337"/>
      <c r="B118" s="1285" t="s">
        <v>1984</v>
      </c>
      <c r="C118" s="1286"/>
      <c r="D118" s="1338">
        <v>17100</v>
      </c>
      <c r="E118" s="1338" t="s">
        <v>1985</v>
      </c>
      <c r="F118" s="1339"/>
      <c r="G118" s="1339"/>
      <c r="H118" s="1337"/>
      <c r="I118" s="1337"/>
      <c r="J118" s="1289">
        <v>41201.47</v>
      </c>
      <c r="K118" s="1337"/>
      <c r="L118" s="1289">
        <v>0</v>
      </c>
      <c r="M118" s="1337"/>
      <c r="N118" s="1290">
        <v>0</v>
      </c>
      <c r="O118" s="1337"/>
      <c r="P118" s="1289">
        <f>J118+L118+N118</f>
        <v>41201.47</v>
      </c>
      <c r="Q118" s="1337"/>
      <c r="R118" s="1289">
        <v>4827.2299999999996</v>
      </c>
      <c r="S118" s="1289">
        <v>40566.61</v>
      </c>
      <c r="T118" s="1289">
        <f t="shared" ref="T118:T119" si="20">P118</f>
        <v>41201.47</v>
      </c>
      <c r="U118" s="1337"/>
      <c r="V118" s="1290">
        <f t="shared" ref="V118:V119" si="21">T118-S118</f>
        <v>634.86000000000058</v>
      </c>
      <c r="W118" s="1337"/>
      <c r="X118" s="1337"/>
    </row>
    <row r="119" spans="1:25" s="1340" customFormat="1" outlineLevel="1">
      <c r="A119" s="1337"/>
      <c r="B119" s="1285" t="s">
        <v>203</v>
      </c>
      <c r="C119" s="1286"/>
      <c r="D119" s="1338">
        <v>18100</v>
      </c>
      <c r="E119" s="1338" t="s">
        <v>1986</v>
      </c>
      <c r="F119" s="1339"/>
      <c r="G119" s="1339"/>
      <c r="H119" s="1337"/>
      <c r="I119" s="1337"/>
      <c r="J119" s="1289">
        <v>-3508344</v>
      </c>
      <c r="K119" s="1337"/>
      <c r="L119" s="1289">
        <v>0</v>
      </c>
      <c r="M119" s="1337"/>
      <c r="N119" s="1290">
        <v>0</v>
      </c>
      <c r="O119" s="1337"/>
      <c r="P119" s="1289">
        <f>J119+L119+N119</f>
        <v>-3508344</v>
      </c>
      <c r="Q119" s="1337"/>
      <c r="R119" s="1289">
        <v>-3508344</v>
      </c>
      <c r="S119" s="1289">
        <v>-3508344</v>
      </c>
      <c r="T119" s="1289">
        <f t="shared" si="20"/>
        <v>-3508344</v>
      </c>
      <c r="U119" s="1337"/>
      <c r="V119" s="1290">
        <f t="shared" si="21"/>
        <v>0</v>
      </c>
      <c r="W119" s="1337"/>
      <c r="X119" s="1337"/>
    </row>
    <row r="120" spans="1:25" s="1340" customFormat="1" ht="5.0999999999999996" customHeight="1" outlineLevel="1">
      <c r="A120" s="1286" t="s">
        <v>195</v>
      </c>
      <c r="B120" s="1286" t="s">
        <v>195</v>
      </c>
      <c r="C120" s="1286"/>
      <c r="D120" s="1339"/>
      <c r="E120" s="1339"/>
      <c r="F120" s="1339"/>
      <c r="G120" s="1339"/>
      <c r="H120" s="1337"/>
      <c r="I120" s="1337"/>
      <c r="J120" s="1315"/>
      <c r="K120" s="1337"/>
      <c r="L120" s="1315"/>
      <c r="M120" s="1337"/>
      <c r="N120" s="1316"/>
      <c r="O120" s="1337"/>
      <c r="P120" s="1315"/>
      <c r="Q120" s="1337"/>
      <c r="R120" s="1315"/>
      <c r="S120" s="1315"/>
      <c r="T120" s="1315"/>
      <c r="U120" s="1337"/>
      <c r="V120" s="1316"/>
      <c r="W120" s="1337"/>
      <c r="X120" s="1337"/>
      <c r="Y120" s="1337"/>
    </row>
    <row r="121" spans="1:25" s="1340" customFormat="1">
      <c r="A121" s="1286" t="s">
        <v>1984</v>
      </c>
      <c r="B121" s="1286" t="s">
        <v>195</v>
      </c>
      <c r="C121" s="1286"/>
      <c r="D121" s="1337"/>
      <c r="E121" s="1337"/>
      <c r="F121" s="1338" t="s">
        <v>1987</v>
      </c>
      <c r="G121" s="1337"/>
      <c r="H121" s="1337"/>
      <c r="I121" s="1337"/>
      <c r="J121" s="1313">
        <f>SUM(J118:J120)</f>
        <v>-3467142.53</v>
      </c>
      <c r="K121" s="1337"/>
      <c r="L121" s="1313">
        <f>SUM(L118:L120)</f>
        <v>0</v>
      </c>
      <c r="M121" s="1337"/>
      <c r="N121" s="1314">
        <f>SUM(N118:N120)</f>
        <v>0</v>
      </c>
      <c r="O121" s="1337"/>
      <c r="P121" s="1313">
        <f>J121+L121+N121</f>
        <v>-3467142.53</v>
      </c>
      <c r="Q121" s="1337"/>
      <c r="R121" s="1313">
        <f>SUM(R118:R120)</f>
        <v>-3503516.77</v>
      </c>
      <c r="S121" s="1313">
        <f>SUM(S118:S120)</f>
        <v>-3467777.39</v>
      </c>
      <c r="T121" s="1313">
        <f>SUM(T118:T120)</f>
        <v>-3467142.53</v>
      </c>
      <c r="U121" s="1337"/>
      <c r="V121" s="1314">
        <f>SUM(V118:V120)</f>
        <v>634.86000000000058</v>
      </c>
      <c r="W121" s="1337"/>
      <c r="X121" s="1337"/>
      <c r="Y121" s="1337"/>
    </row>
    <row r="122" spans="1:25" s="1340" customFormat="1" ht="7.5" customHeight="1">
      <c r="A122" s="1286" t="s">
        <v>195</v>
      </c>
      <c r="B122" s="1311" t="s">
        <v>195</v>
      </c>
      <c r="C122" s="1311"/>
      <c r="D122" s="1337"/>
      <c r="E122" s="1337"/>
      <c r="F122" s="1337"/>
      <c r="G122" s="1337"/>
      <c r="H122" s="1337"/>
      <c r="I122" s="1337"/>
      <c r="J122" s="1318"/>
      <c r="K122" s="1337"/>
      <c r="L122" s="1318"/>
      <c r="M122" s="1337"/>
      <c r="N122" s="1290"/>
      <c r="O122" s="1337"/>
      <c r="P122" s="1318"/>
      <c r="Q122" s="1337"/>
      <c r="R122" s="1318"/>
      <c r="S122" s="1318"/>
      <c r="T122" s="1318"/>
      <c r="U122" s="1337"/>
      <c r="V122" s="1290"/>
      <c r="W122" s="1337"/>
      <c r="X122" s="1337"/>
      <c r="Y122" s="1337"/>
    </row>
    <row r="123" spans="1:25" s="1340" customFormat="1" ht="13.5" thickBot="1">
      <c r="A123" s="1286" t="s">
        <v>195</v>
      </c>
      <c r="B123" s="1311" t="s">
        <v>195</v>
      </c>
      <c r="C123" s="1311"/>
      <c r="D123" s="1337"/>
      <c r="E123" s="1364" t="s">
        <v>1988</v>
      </c>
      <c r="F123" s="1337"/>
      <c r="G123" s="1337"/>
      <c r="H123" s="1337"/>
      <c r="I123" s="1337"/>
      <c r="J123" s="1325">
        <f>SUM(J91,J94,J98,J105,J108,J111,J114,J117,J121,J55)</f>
        <v>798435.44000000029</v>
      </c>
      <c r="K123" s="1337"/>
      <c r="L123" s="1325">
        <f>SUM(L91,L94,L98,L105,L108,L111,L114,L117,L121,L55)</f>
        <v>0</v>
      </c>
      <c r="M123" s="1337"/>
      <c r="N123" s="1326">
        <f>SUM(N91,N94,N98,N105,N108,N111,N114,N117,N121,N55)</f>
        <v>0</v>
      </c>
      <c r="O123" s="1337"/>
      <c r="P123" s="1325">
        <f>SUM(P91,P94,P98,P105,P108,P111,P114,P117,P121,P55)</f>
        <v>798435.44000000029</v>
      </c>
      <c r="Q123" s="1337"/>
      <c r="R123" s="1325">
        <f>SUM(R91,R94,R98,R105,R108,R111,R114,R117,R121,R55)</f>
        <v>807552.17999999935</v>
      </c>
      <c r="S123" s="1325">
        <f>SUM(S91,S94,S98,S105,S108,S111,S114,S117,S121,S55)</f>
        <v>919943.10999999975</v>
      </c>
      <c r="T123" s="1325">
        <f>SUM(T91,T94,T98,T105,T108,T111,T114,T117,T121,T55)</f>
        <v>798435.44000000029</v>
      </c>
      <c r="U123" s="1337"/>
      <c r="V123" s="1326">
        <f>SUM(V91,V94,V98,V105,V108,V111,V114,V117,V121,V55)</f>
        <v>-121507.67000000004</v>
      </c>
      <c r="W123" s="1337"/>
      <c r="X123" s="1337"/>
      <c r="Y123" s="1337"/>
    </row>
    <row r="124" spans="1:25" s="1340" customFormat="1" ht="4.5" customHeight="1" thickTop="1">
      <c r="A124" s="1311" t="s">
        <v>195</v>
      </c>
      <c r="B124" s="1311"/>
      <c r="C124" s="1311"/>
      <c r="D124" s="1337"/>
      <c r="E124" s="1364"/>
      <c r="F124" s="1337"/>
      <c r="G124" s="1337"/>
      <c r="H124" s="1337"/>
      <c r="I124" s="1337"/>
      <c r="J124" s="1314"/>
      <c r="K124" s="1366"/>
      <c r="L124" s="1314"/>
      <c r="M124" s="1366"/>
      <c r="N124" s="1314"/>
      <c r="O124" s="1366"/>
      <c r="P124" s="1314"/>
      <c r="Q124" s="1366"/>
      <c r="R124" s="1314"/>
      <c r="S124" s="1314"/>
      <c r="T124" s="1314"/>
      <c r="U124" s="1366"/>
      <c r="V124" s="1314"/>
      <c r="W124" s="1337"/>
      <c r="X124" s="1337"/>
      <c r="Y124" s="1337"/>
    </row>
    <row r="125" spans="1:25" s="1340" customFormat="1" hidden="1" outlineLevel="1">
      <c r="A125" s="1337"/>
      <c r="B125" s="1285" t="s">
        <v>1989</v>
      </c>
      <c r="C125" s="1286"/>
      <c r="D125" s="1338"/>
      <c r="E125" s="1338"/>
      <c r="F125" s="1339"/>
      <c r="G125" s="1339"/>
      <c r="H125" s="1337"/>
      <c r="I125" s="1337"/>
      <c r="J125" s="1289"/>
      <c r="K125" s="1337"/>
      <c r="L125" s="1289"/>
      <c r="M125" s="1337"/>
      <c r="N125" s="1290"/>
      <c r="O125" s="1337"/>
      <c r="P125" s="1289">
        <f>J125+L125+N125</f>
        <v>0</v>
      </c>
      <c r="Q125" s="1337"/>
      <c r="R125" s="1289"/>
      <c r="S125" s="1289"/>
      <c r="T125" s="1289">
        <f>P125</f>
        <v>0</v>
      </c>
      <c r="U125" s="1337"/>
      <c r="V125" s="1290">
        <f>T125-S125</f>
        <v>0</v>
      </c>
      <c r="W125" s="1337"/>
      <c r="X125" s="1337"/>
    </row>
    <row r="126" spans="1:25" s="1340" customFormat="1" ht="5.0999999999999996" hidden="1" customHeight="1" outlineLevel="1">
      <c r="A126" s="1311"/>
      <c r="B126" s="1311"/>
      <c r="C126" s="1311"/>
      <c r="D126" s="1338"/>
      <c r="E126" s="1338"/>
      <c r="F126" s="1337"/>
      <c r="G126" s="1337"/>
      <c r="H126" s="1337"/>
      <c r="I126" s="1337"/>
      <c r="J126" s="1315"/>
      <c r="K126" s="1337"/>
      <c r="L126" s="1315"/>
      <c r="M126" s="1337"/>
      <c r="N126" s="1316"/>
      <c r="O126" s="1337"/>
      <c r="P126" s="1315"/>
      <c r="Q126" s="1337"/>
      <c r="R126" s="1315"/>
      <c r="S126" s="1315"/>
      <c r="T126" s="1315"/>
      <c r="U126" s="1337"/>
      <c r="V126" s="1316"/>
      <c r="W126" s="1337"/>
      <c r="X126" s="1337"/>
      <c r="Y126" s="1337"/>
    </row>
    <row r="127" spans="1:25" s="1340" customFormat="1" ht="12.75" hidden="1" customHeight="1" collapsed="1">
      <c r="A127" s="1286" t="s">
        <v>1989</v>
      </c>
      <c r="B127" s="1311" t="s">
        <v>195</v>
      </c>
      <c r="C127" s="1311"/>
      <c r="D127" s="1337"/>
      <c r="E127" s="1337"/>
      <c r="F127" s="1337" t="s">
        <v>1990</v>
      </c>
      <c r="G127" s="1337"/>
      <c r="H127" s="1337"/>
      <c r="I127" s="1337"/>
      <c r="J127" s="1313">
        <f>SUM(J125:J126)</f>
        <v>0</v>
      </c>
      <c r="K127" s="1337"/>
      <c r="L127" s="1313">
        <f>SUM(L125:L126)</f>
        <v>0</v>
      </c>
      <c r="M127" s="1337"/>
      <c r="N127" s="1314">
        <f>SUM(N125:N126)</f>
        <v>0</v>
      </c>
      <c r="O127" s="1337"/>
      <c r="P127" s="1313">
        <f>J127+L127+N127</f>
        <v>0</v>
      </c>
      <c r="Q127" s="1337"/>
      <c r="R127" s="1313">
        <f>SUM(R125:R126)</f>
        <v>0</v>
      </c>
      <c r="S127" s="1313">
        <f>SUM(S125:S126)</f>
        <v>0</v>
      </c>
      <c r="T127" s="1313">
        <f>SUM(T125:T126)</f>
        <v>0</v>
      </c>
      <c r="U127" s="1337"/>
      <c r="V127" s="1314">
        <f>SUM(V125:V126)</f>
        <v>0</v>
      </c>
      <c r="W127" s="1337"/>
      <c r="X127" s="1337"/>
      <c r="Y127" s="1337"/>
    </row>
    <row r="128" spans="1:25" s="1340" customFormat="1" hidden="1" outlineLevel="1">
      <c r="A128" s="1311"/>
      <c r="B128" s="1286" t="s">
        <v>195</v>
      </c>
      <c r="C128" s="1286"/>
      <c r="D128" s="1337"/>
      <c r="E128" s="1337"/>
      <c r="F128" s="1337"/>
      <c r="G128" s="1337"/>
      <c r="H128" s="1337"/>
      <c r="I128" s="1337"/>
      <c r="J128" s="1318"/>
      <c r="K128" s="1337"/>
      <c r="L128" s="1318"/>
      <c r="M128" s="1337"/>
      <c r="N128" s="1290"/>
      <c r="O128" s="1337"/>
      <c r="P128" s="1318"/>
      <c r="Q128" s="1337"/>
      <c r="R128" s="1318"/>
      <c r="S128" s="1318"/>
      <c r="T128" s="1318"/>
      <c r="U128" s="1337"/>
      <c r="V128" s="1290"/>
      <c r="W128" s="1337"/>
      <c r="X128" s="1337"/>
      <c r="Y128" s="1337"/>
    </row>
    <row r="129" spans="1:25" s="1340" customFormat="1" hidden="1" outlineLevel="1">
      <c r="A129" s="1337"/>
      <c r="B129" s="1285" t="s">
        <v>1991</v>
      </c>
      <c r="C129" s="1286"/>
      <c r="D129" s="1338"/>
      <c r="E129" s="1338"/>
      <c r="F129" s="1339"/>
      <c r="G129" s="1339"/>
      <c r="H129" s="1337"/>
      <c r="I129" s="1337"/>
      <c r="J129" s="1289"/>
      <c r="K129" s="1337"/>
      <c r="L129" s="1289"/>
      <c r="M129" s="1337"/>
      <c r="N129" s="1290"/>
      <c r="O129" s="1337"/>
      <c r="P129" s="1289">
        <f>J129+L129+N129</f>
        <v>0</v>
      </c>
      <c r="Q129" s="1337"/>
      <c r="R129" s="1289"/>
      <c r="S129" s="1289"/>
      <c r="T129" s="1289">
        <f>P129</f>
        <v>0</v>
      </c>
      <c r="U129" s="1337"/>
      <c r="V129" s="1290">
        <f>T129-S129</f>
        <v>0</v>
      </c>
      <c r="W129" s="1337"/>
      <c r="X129" s="1337"/>
    </row>
    <row r="130" spans="1:25" s="1340" customFormat="1" ht="5.0999999999999996" customHeight="1" outlineLevel="1">
      <c r="A130" s="1286" t="s">
        <v>195</v>
      </c>
      <c r="B130" s="1286" t="s">
        <v>195</v>
      </c>
      <c r="C130" s="1286"/>
      <c r="D130" s="1339"/>
      <c r="E130" s="1339"/>
      <c r="F130" s="1339"/>
      <c r="G130" s="1339"/>
      <c r="H130" s="1337"/>
      <c r="I130" s="1337"/>
      <c r="J130" s="1315"/>
      <c r="K130" s="1337"/>
      <c r="L130" s="1315"/>
      <c r="M130" s="1337"/>
      <c r="N130" s="1316"/>
      <c r="O130" s="1337"/>
      <c r="P130" s="1315"/>
      <c r="Q130" s="1337"/>
      <c r="R130" s="1315"/>
      <c r="S130" s="1315"/>
      <c r="T130" s="1315"/>
      <c r="U130" s="1337"/>
      <c r="V130" s="1316"/>
      <c r="W130" s="1337"/>
      <c r="X130" s="1337"/>
      <c r="Y130" s="1337"/>
    </row>
    <row r="131" spans="1:25" s="1340" customFormat="1" ht="12.75" customHeight="1">
      <c r="A131" s="1286" t="s">
        <v>1991</v>
      </c>
      <c r="B131" s="1286" t="s">
        <v>195</v>
      </c>
      <c r="C131" s="1286"/>
      <c r="D131" s="1337"/>
      <c r="E131" s="1337"/>
      <c r="F131" s="1338" t="s">
        <v>1992</v>
      </c>
      <c r="G131" s="1337"/>
      <c r="H131" s="1337"/>
      <c r="I131" s="1337"/>
      <c r="J131" s="1313">
        <f>SUM(J129:J130)</f>
        <v>0</v>
      </c>
      <c r="K131" s="1337"/>
      <c r="L131" s="1313">
        <f>SUM(L129:L130)</f>
        <v>0</v>
      </c>
      <c r="M131" s="1337"/>
      <c r="N131" s="1314">
        <f>SUM(N129:N130)</f>
        <v>0</v>
      </c>
      <c r="O131" s="1337"/>
      <c r="P131" s="1313">
        <f t="shared" ref="P131" si="22">J131+L131+N131</f>
        <v>0</v>
      </c>
      <c r="Q131" s="1337"/>
      <c r="R131" s="1313">
        <f>SUM(R129:R130)</f>
        <v>0</v>
      </c>
      <c r="S131" s="1313">
        <f>SUM(S129:S130)</f>
        <v>0</v>
      </c>
      <c r="T131" s="1313">
        <f>SUM(T129:T130)</f>
        <v>0</v>
      </c>
      <c r="U131" s="1337"/>
      <c r="V131" s="1314">
        <f>SUM(V129:V130)</f>
        <v>0</v>
      </c>
      <c r="W131" s="1337"/>
      <c r="X131" s="1337"/>
      <c r="Y131" s="1337"/>
    </row>
    <row r="132" spans="1:25" s="1340" customFormat="1" outlineLevel="1">
      <c r="A132" s="1337"/>
      <c r="B132" s="1285" t="s">
        <v>1993</v>
      </c>
      <c r="C132" s="1286"/>
      <c r="D132" s="1338">
        <v>20120</v>
      </c>
      <c r="E132" s="1338" t="s">
        <v>1994</v>
      </c>
      <c r="F132" s="1339"/>
      <c r="G132" s="1339"/>
      <c r="H132" s="1337"/>
      <c r="I132" s="1337"/>
      <c r="J132" s="1289">
        <v>17176.61</v>
      </c>
      <c r="K132" s="1337"/>
      <c r="L132" s="1289">
        <v>0</v>
      </c>
      <c r="M132" s="1337"/>
      <c r="N132" s="1290">
        <v>0</v>
      </c>
      <c r="O132" s="1337"/>
      <c r="P132" s="1289">
        <f t="shared" ref="P132:P138" si="23">J132+L132+N132</f>
        <v>17176.61</v>
      </c>
      <c r="Q132" s="1337"/>
      <c r="R132" s="1289">
        <v>19691.509999999998</v>
      </c>
      <c r="S132" s="1289">
        <v>94075.88</v>
      </c>
      <c r="T132" s="1289">
        <f t="shared" ref="T132:T138" si="24">P132</f>
        <v>17176.61</v>
      </c>
      <c r="U132" s="1337"/>
      <c r="V132" s="1290">
        <f t="shared" ref="V132:V138" si="25">T132-S132</f>
        <v>-76899.27</v>
      </c>
      <c r="W132" s="1337"/>
      <c r="X132" s="1337"/>
    </row>
    <row r="133" spans="1:25" s="1340" customFormat="1" outlineLevel="1">
      <c r="A133" s="1337"/>
      <c r="B133" s="1285" t="s">
        <v>203</v>
      </c>
      <c r="C133" s="1286"/>
      <c r="D133" s="1338">
        <v>20123</v>
      </c>
      <c r="E133" s="1338" t="s">
        <v>1996</v>
      </c>
      <c r="F133" s="1339"/>
      <c r="G133" s="1339"/>
      <c r="H133" s="1337"/>
      <c r="I133" s="1337"/>
      <c r="J133" s="1289">
        <v>2209</v>
      </c>
      <c r="K133" s="1337"/>
      <c r="L133" s="1289">
        <v>0</v>
      </c>
      <c r="M133" s="1337"/>
      <c r="N133" s="1290">
        <v>0</v>
      </c>
      <c r="O133" s="1337"/>
      <c r="P133" s="1289">
        <f t="shared" si="23"/>
        <v>2209</v>
      </c>
      <c r="Q133" s="1337"/>
      <c r="R133" s="1289">
        <v>10789.2</v>
      </c>
      <c r="S133" s="1289">
        <v>808.31</v>
      </c>
      <c r="T133" s="1289">
        <f t="shared" si="24"/>
        <v>2209</v>
      </c>
      <c r="U133" s="1337"/>
      <c r="V133" s="1290">
        <f t="shared" si="25"/>
        <v>1400.69</v>
      </c>
      <c r="W133" s="1337"/>
      <c r="X133" s="1337"/>
    </row>
    <row r="134" spans="1:25" s="1340" customFormat="1" outlineLevel="1">
      <c r="A134" s="1337"/>
      <c r="B134" s="1285" t="s">
        <v>203</v>
      </c>
      <c r="C134" s="1286"/>
      <c r="D134" s="1338">
        <v>20140</v>
      </c>
      <c r="E134" s="1338" t="s">
        <v>1997</v>
      </c>
      <c r="F134" s="1339"/>
      <c r="G134" s="1339"/>
      <c r="H134" s="1337"/>
      <c r="I134" s="1337"/>
      <c r="J134" s="1289">
        <v>84.65</v>
      </c>
      <c r="K134" s="1337"/>
      <c r="L134" s="1289">
        <v>0</v>
      </c>
      <c r="M134" s="1337"/>
      <c r="N134" s="1290">
        <v>0</v>
      </c>
      <c r="O134" s="1337"/>
      <c r="P134" s="1289">
        <f t="shared" si="23"/>
        <v>84.65</v>
      </c>
      <c r="Q134" s="1337"/>
      <c r="R134" s="1289">
        <v>0.04</v>
      </c>
      <c r="S134" s="1289">
        <v>0.04</v>
      </c>
      <c r="T134" s="1289">
        <f t="shared" si="24"/>
        <v>84.65</v>
      </c>
      <c r="U134" s="1337"/>
      <c r="V134" s="1290">
        <f t="shared" si="25"/>
        <v>84.61</v>
      </c>
      <c r="W134" s="1337"/>
      <c r="X134" s="1337"/>
    </row>
    <row r="135" spans="1:25" s="1340" customFormat="1" outlineLevel="1">
      <c r="A135" s="1337"/>
      <c r="B135" s="1285" t="s">
        <v>203</v>
      </c>
      <c r="C135" s="1286"/>
      <c r="D135" s="1338">
        <v>20170</v>
      </c>
      <c r="E135" s="1338" t="s">
        <v>2048</v>
      </c>
      <c r="F135" s="1339"/>
      <c r="G135" s="1339"/>
      <c r="H135" s="1337"/>
      <c r="I135" s="1337"/>
      <c r="J135" s="1289">
        <v>4131.3</v>
      </c>
      <c r="K135" s="1337"/>
      <c r="L135" s="1289">
        <v>0</v>
      </c>
      <c r="M135" s="1337"/>
      <c r="N135" s="1290">
        <v>0</v>
      </c>
      <c r="O135" s="1337"/>
      <c r="P135" s="1289">
        <f t="shared" si="23"/>
        <v>4131.3</v>
      </c>
      <c r="Q135" s="1337"/>
      <c r="R135" s="1289">
        <v>4312.92</v>
      </c>
      <c r="S135" s="1289">
        <v>4312.4799999999996</v>
      </c>
      <c r="T135" s="1289">
        <f t="shared" si="24"/>
        <v>4131.3</v>
      </c>
      <c r="U135" s="1337"/>
      <c r="V135" s="1290">
        <f t="shared" si="25"/>
        <v>-181.17999999999938</v>
      </c>
      <c r="W135" s="1337"/>
      <c r="X135" s="1337"/>
    </row>
    <row r="136" spans="1:25" s="1340" customFormat="1" outlineLevel="1">
      <c r="A136" s="1337"/>
      <c r="B136" s="1285" t="s">
        <v>203</v>
      </c>
      <c r="C136" s="1286"/>
      <c r="D136" s="1338">
        <v>20175</v>
      </c>
      <c r="E136" s="1338" t="s">
        <v>1998</v>
      </c>
      <c r="F136" s="1339"/>
      <c r="G136" s="1339"/>
      <c r="H136" s="1337"/>
      <c r="I136" s="1337"/>
      <c r="J136" s="1289">
        <v>7349.45</v>
      </c>
      <c r="K136" s="1337"/>
      <c r="L136" s="1289">
        <v>0</v>
      </c>
      <c r="M136" s="1337"/>
      <c r="N136" s="1290">
        <v>0</v>
      </c>
      <c r="O136" s="1337"/>
      <c r="P136" s="1289">
        <f t="shared" si="23"/>
        <v>7349.45</v>
      </c>
      <c r="Q136" s="1337"/>
      <c r="R136" s="1289">
        <v>4863.6899999999996</v>
      </c>
      <c r="S136" s="1289">
        <v>6115.52</v>
      </c>
      <c r="T136" s="1289">
        <f t="shared" si="24"/>
        <v>7349.45</v>
      </c>
      <c r="U136" s="1337"/>
      <c r="V136" s="1290">
        <f t="shared" si="25"/>
        <v>1233.9299999999994</v>
      </c>
      <c r="W136" s="1337"/>
      <c r="X136" s="1337"/>
    </row>
    <row r="137" spans="1:25" s="1340" customFormat="1" outlineLevel="1">
      <c r="A137" s="1337"/>
      <c r="B137" s="1285" t="s">
        <v>203</v>
      </c>
      <c r="C137" s="1286"/>
      <c r="D137" s="1338">
        <v>20178</v>
      </c>
      <c r="E137" s="1338" t="s">
        <v>1999</v>
      </c>
      <c r="F137" s="1339"/>
      <c r="G137" s="1339"/>
      <c r="H137" s="1337"/>
      <c r="I137" s="1337"/>
      <c r="J137" s="1289">
        <v>11379</v>
      </c>
      <c r="K137" s="1337"/>
      <c r="L137" s="1289">
        <v>0</v>
      </c>
      <c r="M137" s="1337"/>
      <c r="N137" s="1290">
        <v>0</v>
      </c>
      <c r="O137" s="1337"/>
      <c r="P137" s="1289">
        <f t="shared" si="23"/>
        <v>11379</v>
      </c>
      <c r="Q137" s="1337"/>
      <c r="R137" s="1289">
        <v>9599</v>
      </c>
      <c r="S137" s="1289">
        <v>10806</v>
      </c>
      <c r="T137" s="1289">
        <f t="shared" si="24"/>
        <v>11379</v>
      </c>
      <c r="U137" s="1337"/>
      <c r="V137" s="1290">
        <f t="shared" si="25"/>
        <v>573</v>
      </c>
      <c r="W137" s="1337"/>
      <c r="X137" s="1337"/>
    </row>
    <row r="138" spans="1:25" s="1340" customFormat="1" outlineLevel="1">
      <c r="A138" s="1337"/>
      <c r="B138" s="1285" t="s">
        <v>203</v>
      </c>
      <c r="C138" s="1286"/>
      <c r="D138" s="1338">
        <v>20180</v>
      </c>
      <c r="E138" s="1338" t="s">
        <v>2000</v>
      </c>
      <c r="F138" s="1339"/>
      <c r="G138" s="1339"/>
      <c r="H138" s="1337"/>
      <c r="I138" s="1337"/>
      <c r="J138" s="1289">
        <v>10507.51</v>
      </c>
      <c r="K138" s="1337"/>
      <c r="L138" s="1289">
        <v>0</v>
      </c>
      <c r="M138" s="1337"/>
      <c r="N138" s="1290">
        <v>0</v>
      </c>
      <c r="O138" s="1337"/>
      <c r="P138" s="1289">
        <f t="shared" si="23"/>
        <v>10507.51</v>
      </c>
      <c r="Q138" s="1337"/>
      <c r="R138" s="1289">
        <v>10913.98</v>
      </c>
      <c r="S138" s="1289">
        <v>13644.22</v>
      </c>
      <c r="T138" s="1289">
        <f t="shared" si="24"/>
        <v>10507.51</v>
      </c>
      <c r="U138" s="1337"/>
      <c r="V138" s="1290">
        <f t="shared" si="25"/>
        <v>-3136.7099999999991</v>
      </c>
      <c r="W138" s="1337"/>
      <c r="X138" s="1337"/>
    </row>
    <row r="139" spans="1:25" s="1340" customFormat="1" ht="5.0999999999999996" customHeight="1" outlineLevel="1">
      <c r="A139" s="1286" t="s">
        <v>195</v>
      </c>
      <c r="B139" s="1286" t="s">
        <v>195</v>
      </c>
      <c r="C139" s="1286"/>
      <c r="D139" s="1339"/>
      <c r="E139" s="1339"/>
      <c r="F139" s="1339"/>
      <c r="G139" s="1339"/>
      <c r="H139" s="1337"/>
      <c r="I139" s="1337"/>
      <c r="J139" s="1315"/>
      <c r="K139" s="1337"/>
      <c r="L139" s="1315"/>
      <c r="M139" s="1337"/>
      <c r="N139" s="1316"/>
      <c r="O139" s="1337"/>
      <c r="P139" s="1315"/>
      <c r="Q139" s="1337"/>
      <c r="R139" s="1315"/>
      <c r="S139" s="1315"/>
      <c r="T139" s="1315"/>
      <c r="U139" s="1337"/>
      <c r="V139" s="1316"/>
      <c r="W139" s="1337"/>
      <c r="X139" s="1337"/>
      <c r="Y139" s="1337"/>
    </row>
    <row r="140" spans="1:25" s="1340" customFormat="1">
      <c r="A140" s="1286" t="s">
        <v>1993</v>
      </c>
      <c r="B140" s="1286" t="s">
        <v>195</v>
      </c>
      <c r="C140" s="1286"/>
      <c r="D140" s="1337"/>
      <c r="E140" s="1337"/>
      <c r="F140" s="1338" t="s">
        <v>2001</v>
      </c>
      <c r="G140" s="1337"/>
      <c r="H140" s="1337"/>
      <c r="I140" s="1337"/>
      <c r="J140" s="1313">
        <f>SUM(J132:J139)</f>
        <v>52837.520000000004</v>
      </c>
      <c r="K140" s="1337"/>
      <c r="L140" s="1313">
        <f>SUM(L132:L139)</f>
        <v>0</v>
      </c>
      <c r="M140" s="1337"/>
      <c r="N140" s="1314">
        <f>SUM(N132:N139)</f>
        <v>0</v>
      </c>
      <c r="O140" s="1337"/>
      <c r="P140" s="1313">
        <f>J140+L140+N140</f>
        <v>52837.520000000004</v>
      </c>
      <c r="Q140" s="1337"/>
      <c r="R140" s="1313">
        <f>SUM(R132:R139)</f>
        <v>60170.34</v>
      </c>
      <c r="S140" s="1313">
        <f>SUM(S132:S139)</f>
        <v>129762.45</v>
      </c>
      <c r="T140" s="1313">
        <f>SUM(T132:T139)</f>
        <v>52837.520000000004</v>
      </c>
      <c r="U140" s="1337"/>
      <c r="V140" s="1314">
        <f>SUM(V132:V139)</f>
        <v>-76924.929999999993</v>
      </c>
      <c r="W140" s="1337"/>
      <c r="X140" s="1337"/>
      <c r="Y140" s="1337"/>
    </row>
    <row r="141" spans="1:25" s="1340" customFormat="1" outlineLevel="1">
      <c r="A141" s="1337"/>
      <c r="B141" s="1285" t="s">
        <v>2002</v>
      </c>
      <c r="C141" s="1286"/>
      <c r="D141" s="1338">
        <v>20300</v>
      </c>
      <c r="E141" s="1338" t="s">
        <v>2003</v>
      </c>
      <c r="F141" s="1339"/>
      <c r="G141" s="1339"/>
      <c r="H141" s="1337"/>
      <c r="I141" s="1337"/>
      <c r="J141" s="1289">
        <v>34951.360000000001</v>
      </c>
      <c r="K141" s="1337"/>
      <c r="L141" s="1289">
        <v>0</v>
      </c>
      <c r="M141" s="1337"/>
      <c r="N141" s="1290">
        <v>0</v>
      </c>
      <c r="O141" s="1337"/>
      <c r="P141" s="1289">
        <f>J141+L141+N141</f>
        <v>34951.360000000001</v>
      </c>
      <c r="Q141" s="1337"/>
      <c r="R141" s="1289">
        <v>34631.519999999997</v>
      </c>
      <c r="S141" s="1289">
        <v>85462.15</v>
      </c>
      <c r="T141" s="1289">
        <f>P141</f>
        <v>34951.360000000001</v>
      </c>
      <c r="U141" s="1337"/>
      <c r="V141" s="1290">
        <f>T141-S141</f>
        <v>-50510.789999999994</v>
      </c>
      <c r="W141" s="1337"/>
      <c r="X141" s="1337"/>
    </row>
    <row r="142" spans="1:25" s="1340" customFormat="1" ht="5.0999999999999996" customHeight="1" outlineLevel="1">
      <c r="A142" s="1286" t="s">
        <v>195</v>
      </c>
      <c r="B142" s="1311" t="s">
        <v>195</v>
      </c>
      <c r="C142" s="1311"/>
      <c r="D142" s="1339"/>
      <c r="E142" s="1339"/>
      <c r="F142" s="1339"/>
      <c r="G142" s="1339"/>
      <c r="H142" s="1337"/>
      <c r="I142" s="1337"/>
      <c r="J142" s="1315"/>
      <c r="K142" s="1337"/>
      <c r="L142" s="1315"/>
      <c r="M142" s="1337"/>
      <c r="N142" s="1316"/>
      <c r="O142" s="1337"/>
      <c r="P142" s="1315"/>
      <c r="Q142" s="1337"/>
      <c r="R142" s="1315"/>
      <c r="S142" s="1315"/>
      <c r="T142" s="1315"/>
      <c r="U142" s="1337"/>
      <c r="V142" s="1316"/>
      <c r="W142" s="1337"/>
      <c r="X142" s="1337"/>
      <c r="Y142" s="1337"/>
    </row>
    <row r="143" spans="1:25" s="1340" customFormat="1">
      <c r="A143" s="1286" t="s">
        <v>2002</v>
      </c>
      <c r="B143" s="1311" t="s">
        <v>195</v>
      </c>
      <c r="C143" s="1311"/>
      <c r="D143" s="1337"/>
      <c r="E143" s="1337"/>
      <c r="F143" s="1338" t="s">
        <v>2004</v>
      </c>
      <c r="G143" s="1337"/>
      <c r="H143" s="1337"/>
      <c r="I143" s="1337"/>
      <c r="J143" s="1313">
        <f>SUM(J141:J142)</f>
        <v>34951.360000000001</v>
      </c>
      <c r="K143" s="1337"/>
      <c r="L143" s="1313">
        <f>SUM(L141:L142)</f>
        <v>0</v>
      </c>
      <c r="M143" s="1337"/>
      <c r="N143" s="1314">
        <f>SUM(N141:N142)</f>
        <v>0</v>
      </c>
      <c r="O143" s="1337"/>
      <c r="P143" s="1313">
        <f t="shared" ref="P143" si="26">J143+L143+N143</f>
        <v>34951.360000000001</v>
      </c>
      <c r="Q143" s="1337"/>
      <c r="R143" s="1313">
        <f>SUM(R141:R142)</f>
        <v>34631.519999999997</v>
      </c>
      <c r="S143" s="1313">
        <f>SUM(S141:S142)</f>
        <v>85462.15</v>
      </c>
      <c r="T143" s="1313">
        <f>SUM(T141:T142)</f>
        <v>34951.360000000001</v>
      </c>
      <c r="U143" s="1337"/>
      <c r="V143" s="1314">
        <f>SUM(V141:V142)</f>
        <v>-50510.789999999994</v>
      </c>
      <c r="W143" s="1337"/>
      <c r="X143" s="1337"/>
      <c r="Y143" s="1337"/>
    </row>
    <row r="144" spans="1:25" s="1340" customFormat="1" outlineLevel="1">
      <c r="A144" s="1337"/>
      <c r="B144" s="1285" t="s">
        <v>2005</v>
      </c>
      <c r="C144" s="1286"/>
      <c r="D144" s="1338">
        <v>20320</v>
      </c>
      <c r="E144" s="1338" t="s">
        <v>2006</v>
      </c>
      <c r="F144" s="1339"/>
      <c r="G144" s="1339"/>
      <c r="H144" s="1337"/>
      <c r="I144" s="1337"/>
      <c r="J144" s="1289">
        <v>13842.43</v>
      </c>
      <c r="K144" s="1337"/>
      <c r="L144" s="1289">
        <v>0</v>
      </c>
      <c r="M144" s="1337"/>
      <c r="N144" s="1290">
        <v>0</v>
      </c>
      <c r="O144" s="1337"/>
      <c r="P144" s="1289">
        <f t="shared" ref="P144:P149" si="27">J144+L144+N144</f>
        <v>13842.43</v>
      </c>
      <c r="Q144" s="1337"/>
      <c r="R144" s="1289">
        <v>30521.8</v>
      </c>
      <c r="S144" s="1289">
        <v>9433.7099999999991</v>
      </c>
      <c r="T144" s="1289">
        <f t="shared" ref="T144:T149" si="28">P144</f>
        <v>13842.43</v>
      </c>
      <c r="U144" s="1337"/>
      <c r="V144" s="1290">
        <f t="shared" ref="V144:V149" si="29">T144-S144</f>
        <v>4408.7200000000012</v>
      </c>
      <c r="W144" s="1337"/>
      <c r="X144" s="1337"/>
    </row>
    <row r="145" spans="1:25" s="1340" customFormat="1" outlineLevel="1">
      <c r="A145" s="1337"/>
      <c r="B145" s="1285" t="s">
        <v>203</v>
      </c>
      <c r="C145" s="1286"/>
      <c r="D145" s="1338">
        <v>20321</v>
      </c>
      <c r="E145" s="1338" t="s">
        <v>2007</v>
      </c>
      <c r="F145" s="1339"/>
      <c r="G145" s="1339"/>
      <c r="H145" s="1337"/>
      <c r="I145" s="1337"/>
      <c r="J145" s="1289">
        <v>15260.49</v>
      </c>
      <c r="K145" s="1337"/>
      <c r="L145" s="1289">
        <v>0</v>
      </c>
      <c r="M145" s="1337"/>
      <c r="N145" s="1290">
        <v>0</v>
      </c>
      <c r="O145" s="1337"/>
      <c r="P145" s="1289">
        <f t="shared" si="27"/>
        <v>15260.49</v>
      </c>
      <c r="Q145" s="1337"/>
      <c r="R145" s="1289">
        <v>12400.1</v>
      </c>
      <c r="S145" s="1289">
        <v>15355.83</v>
      </c>
      <c r="T145" s="1289">
        <f t="shared" si="28"/>
        <v>15260.49</v>
      </c>
      <c r="U145" s="1337"/>
      <c r="V145" s="1290">
        <f t="shared" si="29"/>
        <v>-95.340000000000146</v>
      </c>
      <c r="W145" s="1337"/>
      <c r="X145" s="1337"/>
    </row>
    <row r="146" spans="1:25" s="1340" customFormat="1" outlineLevel="1">
      <c r="A146" s="1337"/>
      <c r="B146" s="1285" t="s">
        <v>203</v>
      </c>
      <c r="C146" s="1286"/>
      <c r="D146" s="1338">
        <v>20340</v>
      </c>
      <c r="E146" s="1338" t="s">
        <v>2008</v>
      </c>
      <c r="F146" s="1339"/>
      <c r="G146" s="1339"/>
      <c r="H146" s="1337"/>
      <c r="I146" s="1337"/>
      <c r="J146" s="1289">
        <v>3008.17</v>
      </c>
      <c r="K146" s="1337"/>
      <c r="L146" s="1289">
        <v>0</v>
      </c>
      <c r="M146" s="1337"/>
      <c r="N146" s="1290">
        <v>0</v>
      </c>
      <c r="O146" s="1337"/>
      <c r="P146" s="1289">
        <f t="shared" si="27"/>
        <v>3008.17</v>
      </c>
      <c r="Q146" s="1337"/>
      <c r="R146" s="1289">
        <v>15249.77</v>
      </c>
      <c r="S146" s="1289">
        <v>16661.77</v>
      </c>
      <c r="T146" s="1289">
        <f t="shared" si="28"/>
        <v>3008.17</v>
      </c>
      <c r="U146" s="1337"/>
      <c r="V146" s="1290">
        <f t="shared" si="29"/>
        <v>-13653.6</v>
      </c>
      <c r="W146" s="1337"/>
      <c r="X146" s="1337"/>
    </row>
    <row r="147" spans="1:25" s="1340" customFormat="1" outlineLevel="1">
      <c r="A147" s="1337"/>
      <c r="B147" s="1285" t="s">
        <v>203</v>
      </c>
      <c r="C147" s="1286"/>
      <c r="D147" s="1338">
        <v>20351</v>
      </c>
      <c r="E147" s="1338" t="s">
        <v>2009</v>
      </c>
      <c r="F147" s="1339"/>
      <c r="G147" s="1339"/>
      <c r="H147" s="1337"/>
      <c r="I147" s="1337"/>
      <c r="J147" s="1289">
        <v>713.21</v>
      </c>
      <c r="K147" s="1337"/>
      <c r="L147" s="1289">
        <v>0</v>
      </c>
      <c r="M147" s="1337"/>
      <c r="N147" s="1290">
        <v>0</v>
      </c>
      <c r="O147" s="1337"/>
      <c r="P147" s="1289">
        <f t="shared" si="27"/>
        <v>713.21</v>
      </c>
      <c r="Q147" s="1337"/>
      <c r="R147" s="1289">
        <v>959.51</v>
      </c>
      <c r="S147" s="1289">
        <v>506.94</v>
      </c>
      <c r="T147" s="1289">
        <f t="shared" si="28"/>
        <v>713.21</v>
      </c>
      <c r="U147" s="1337"/>
      <c r="V147" s="1290">
        <f t="shared" si="29"/>
        <v>206.27000000000004</v>
      </c>
      <c r="W147" s="1337"/>
      <c r="X147" s="1337"/>
    </row>
    <row r="148" spans="1:25" s="1340" customFormat="1" hidden="1" outlineLevel="1">
      <c r="A148" s="1337"/>
      <c r="B148" s="1285" t="s">
        <v>203</v>
      </c>
      <c r="C148" s="1286"/>
      <c r="D148" s="1338">
        <v>20360</v>
      </c>
      <c r="E148" s="1338" t="s">
        <v>2010</v>
      </c>
      <c r="F148" s="1339"/>
      <c r="G148" s="1339"/>
      <c r="H148" s="1337"/>
      <c r="I148" s="1337"/>
      <c r="J148" s="1289">
        <v>0</v>
      </c>
      <c r="K148" s="1337"/>
      <c r="L148" s="1289">
        <v>0</v>
      </c>
      <c r="M148" s="1337"/>
      <c r="N148" s="1290">
        <v>0</v>
      </c>
      <c r="O148" s="1337"/>
      <c r="P148" s="1289">
        <f t="shared" si="27"/>
        <v>0</v>
      </c>
      <c r="Q148" s="1337"/>
      <c r="R148" s="1289">
        <v>0</v>
      </c>
      <c r="S148" s="1289">
        <v>0</v>
      </c>
      <c r="T148" s="1289">
        <f t="shared" si="28"/>
        <v>0</v>
      </c>
      <c r="U148" s="1337"/>
      <c r="V148" s="1290">
        <f t="shared" si="29"/>
        <v>0</v>
      </c>
      <c r="W148" s="1337"/>
      <c r="X148" s="1337"/>
    </row>
    <row r="149" spans="1:25" s="1340" customFormat="1" outlineLevel="1">
      <c r="A149" s="1337"/>
      <c r="B149" s="1285" t="s">
        <v>203</v>
      </c>
      <c r="C149" s="1286"/>
      <c r="D149" s="1338">
        <v>20397</v>
      </c>
      <c r="E149" s="1338" t="s">
        <v>2079</v>
      </c>
      <c r="F149" s="1339"/>
      <c r="G149" s="1339"/>
      <c r="H149" s="1337"/>
      <c r="I149" s="1337"/>
      <c r="J149" s="1289">
        <v>0</v>
      </c>
      <c r="K149" s="1337"/>
      <c r="L149" s="1289">
        <v>0</v>
      </c>
      <c r="M149" s="1337"/>
      <c r="N149" s="1290">
        <v>0</v>
      </c>
      <c r="O149" s="1337"/>
      <c r="P149" s="1289">
        <f t="shared" si="27"/>
        <v>0</v>
      </c>
      <c r="Q149" s="1337"/>
      <c r="R149" s="1289">
        <v>4.7699999999999996</v>
      </c>
      <c r="S149" s="1289">
        <v>0</v>
      </c>
      <c r="T149" s="1289">
        <f t="shared" si="28"/>
        <v>0</v>
      </c>
      <c r="U149" s="1337"/>
      <c r="V149" s="1290">
        <f t="shared" si="29"/>
        <v>0</v>
      </c>
      <c r="W149" s="1337"/>
      <c r="X149" s="1337"/>
    </row>
    <row r="150" spans="1:25" s="1340" customFormat="1" ht="4.5" customHeight="1" outlineLevel="1">
      <c r="A150" s="1311" t="s">
        <v>195</v>
      </c>
      <c r="B150" s="1311" t="s">
        <v>195</v>
      </c>
      <c r="C150" s="1311"/>
      <c r="D150" s="1365"/>
      <c r="E150" s="1337"/>
      <c r="F150" s="1337"/>
      <c r="G150" s="1337"/>
      <c r="H150" s="1337"/>
      <c r="I150" s="1337"/>
      <c r="J150" s="1315"/>
      <c r="K150" s="1337"/>
      <c r="L150" s="1315"/>
      <c r="M150" s="1337"/>
      <c r="N150" s="1316"/>
      <c r="O150" s="1337"/>
      <c r="P150" s="1315"/>
      <c r="Q150" s="1337"/>
      <c r="R150" s="1315"/>
      <c r="S150" s="1315"/>
      <c r="T150" s="1315"/>
      <c r="U150" s="1337"/>
      <c r="V150" s="1316"/>
      <c r="W150" s="1337"/>
      <c r="X150" s="1337"/>
      <c r="Y150" s="1337"/>
    </row>
    <row r="151" spans="1:25" s="1340" customFormat="1">
      <c r="A151" s="1286" t="s">
        <v>2005</v>
      </c>
      <c r="B151" s="1311" t="s">
        <v>195</v>
      </c>
      <c r="C151" s="1311"/>
      <c r="D151" s="1337"/>
      <c r="E151" s="1337"/>
      <c r="F151" s="1337" t="s">
        <v>2011</v>
      </c>
      <c r="G151" s="1337"/>
      <c r="H151" s="1337"/>
      <c r="I151" s="1337"/>
      <c r="J151" s="1313">
        <f>SUM(J144:J150)</f>
        <v>32824.299999999996</v>
      </c>
      <c r="K151" s="1337"/>
      <c r="L151" s="1313">
        <f>SUM(L144:L150)</f>
        <v>0</v>
      </c>
      <c r="M151" s="1337"/>
      <c r="N151" s="1314">
        <f>SUM(N144:N150)</f>
        <v>0</v>
      </c>
      <c r="O151" s="1337"/>
      <c r="P151" s="1313">
        <f>J151+L151+N151</f>
        <v>32824.299999999996</v>
      </c>
      <c r="Q151" s="1337"/>
      <c r="R151" s="1313">
        <f>SUM(R144:R150)</f>
        <v>59135.95</v>
      </c>
      <c r="S151" s="1313">
        <f>SUM(S144:S150)</f>
        <v>41958.25</v>
      </c>
      <c r="T151" s="1313">
        <f>SUM(T144:T150)</f>
        <v>32824.299999999996</v>
      </c>
      <c r="U151" s="1337"/>
      <c r="V151" s="1314">
        <f>SUM(V144:V150)</f>
        <v>-9133.9499999999989</v>
      </c>
      <c r="W151" s="1337"/>
      <c r="X151" s="1337"/>
      <c r="Y151" s="1337"/>
    </row>
    <row r="152" spans="1:25" s="1340" customFormat="1" ht="7.5" customHeight="1">
      <c r="A152" s="1311" t="s">
        <v>195</v>
      </c>
      <c r="B152" s="1311" t="s">
        <v>195</v>
      </c>
      <c r="C152" s="1311"/>
      <c r="D152" s="1337"/>
      <c r="E152" s="1337"/>
      <c r="F152" s="1337"/>
      <c r="G152" s="1337"/>
      <c r="H152" s="1337"/>
      <c r="I152" s="1337"/>
      <c r="J152" s="1318"/>
      <c r="K152" s="1337"/>
      <c r="L152" s="1318"/>
      <c r="M152" s="1337"/>
      <c r="N152" s="1290"/>
      <c r="O152" s="1337"/>
      <c r="P152" s="1318"/>
      <c r="Q152" s="1337"/>
      <c r="R152" s="1318"/>
      <c r="S152" s="1318"/>
      <c r="T152" s="1318"/>
      <c r="U152" s="1337"/>
      <c r="V152" s="1290"/>
      <c r="W152" s="1337"/>
      <c r="X152" s="1337"/>
      <c r="Y152" s="1337"/>
    </row>
    <row r="153" spans="1:25" s="1340" customFormat="1">
      <c r="A153" s="1311" t="s">
        <v>195</v>
      </c>
      <c r="B153" s="1311" t="s">
        <v>195</v>
      </c>
      <c r="C153" s="1311"/>
      <c r="D153" s="1337"/>
      <c r="E153" s="1364" t="s">
        <v>2012</v>
      </c>
      <c r="F153" s="1337"/>
      <c r="G153" s="1337"/>
      <c r="H153" s="1337"/>
      <c r="I153" s="1337"/>
      <c r="J153" s="1320">
        <f>SUM(J131,J140,J143,J151,J127)</f>
        <v>120613.18</v>
      </c>
      <c r="K153" s="1337"/>
      <c r="L153" s="1320">
        <f>SUM(L131,L140,L143,L151,L127)</f>
        <v>0</v>
      </c>
      <c r="M153" s="1337"/>
      <c r="N153" s="1321">
        <f>SUM(N131,N140,N143,N151)</f>
        <v>0</v>
      </c>
      <c r="O153" s="1337"/>
      <c r="P153" s="1320">
        <f>SUM(P131,P140,P143,P151,P127)</f>
        <v>120613.18</v>
      </c>
      <c r="Q153" s="1337"/>
      <c r="R153" s="1320">
        <f>SUM(R131,R140,R143,R151,R127)</f>
        <v>153937.81</v>
      </c>
      <c r="S153" s="1320">
        <f>SUM(S131,S140,S143,S151,S127)</f>
        <v>257182.84999999998</v>
      </c>
      <c r="T153" s="1320">
        <f>SUM(T131,T140,T143,T151,T127)</f>
        <v>120613.18</v>
      </c>
      <c r="U153" s="1337"/>
      <c r="V153" s="1321">
        <f>SUM(V131,V140,V143,V151,V127)</f>
        <v>-136569.66999999998</v>
      </c>
      <c r="W153" s="1337"/>
      <c r="X153" s="1337"/>
      <c r="Y153" s="1337"/>
    </row>
    <row r="154" spans="1:25" s="1340" customFormat="1" ht="7.5" customHeight="1">
      <c r="A154" s="1311" t="s">
        <v>195</v>
      </c>
      <c r="B154" s="1311" t="s">
        <v>195</v>
      </c>
      <c r="C154" s="1311"/>
      <c r="D154" s="1337"/>
      <c r="E154" s="1337"/>
      <c r="F154" s="1337"/>
      <c r="G154" s="1337"/>
      <c r="H154" s="1337"/>
      <c r="I154" s="1337"/>
      <c r="J154" s="1318"/>
      <c r="K154" s="1337"/>
      <c r="L154" s="1318"/>
      <c r="M154" s="1337"/>
      <c r="N154" s="1290"/>
      <c r="O154" s="1337"/>
      <c r="P154" s="1318"/>
      <c r="Q154" s="1337"/>
      <c r="R154" s="1318"/>
      <c r="S154" s="1318"/>
      <c r="T154" s="1318"/>
      <c r="U154" s="1337"/>
      <c r="V154" s="1290"/>
      <c r="W154" s="1337"/>
      <c r="X154" s="1337"/>
      <c r="Y154" s="1337"/>
    </row>
    <row r="155" spans="1:25" s="1340" customFormat="1" hidden="1" outlineLevel="1">
      <c r="A155" s="1311" t="s">
        <v>195</v>
      </c>
      <c r="B155" s="1311" t="s">
        <v>195</v>
      </c>
      <c r="C155" s="1311"/>
      <c r="D155" s="1337"/>
      <c r="E155" s="1337"/>
      <c r="F155" s="1337"/>
      <c r="G155" s="1337"/>
      <c r="H155" s="1337"/>
      <c r="I155" s="1337"/>
      <c r="J155" s="1318"/>
      <c r="K155" s="1337"/>
      <c r="L155" s="1318"/>
      <c r="M155" s="1337"/>
      <c r="N155" s="1290"/>
      <c r="O155" s="1337"/>
      <c r="P155" s="1318"/>
      <c r="Q155" s="1337"/>
      <c r="R155" s="1318"/>
      <c r="S155" s="1318"/>
      <c r="T155" s="1318"/>
      <c r="U155" s="1337"/>
      <c r="V155" s="1290"/>
      <c r="W155" s="1337"/>
      <c r="X155" s="1337"/>
      <c r="Y155" s="1337"/>
    </row>
    <row r="156" spans="1:25" s="1340" customFormat="1" hidden="1" outlineLevel="1">
      <c r="A156" s="1337"/>
      <c r="B156" s="1285" t="s">
        <v>2013</v>
      </c>
      <c r="C156" s="1286"/>
      <c r="D156" s="1338"/>
      <c r="E156" s="1338"/>
      <c r="F156" s="1339"/>
      <c r="G156" s="1339"/>
      <c r="H156" s="1337"/>
      <c r="I156" s="1337"/>
      <c r="J156" s="1289"/>
      <c r="K156" s="1337"/>
      <c r="L156" s="1289"/>
      <c r="M156" s="1337"/>
      <c r="N156" s="1290"/>
      <c r="O156" s="1337"/>
      <c r="P156" s="1289">
        <f>J156+L156+N156</f>
        <v>0</v>
      </c>
      <c r="Q156" s="1337"/>
      <c r="R156" s="1289"/>
      <c r="S156" s="1289"/>
      <c r="T156" s="1289">
        <f>P156</f>
        <v>0</v>
      </c>
      <c r="U156" s="1337"/>
      <c r="V156" s="1290">
        <f>T156-S156</f>
        <v>0</v>
      </c>
      <c r="W156" s="1337"/>
      <c r="X156" s="1337"/>
    </row>
    <row r="157" spans="1:25" s="1340" customFormat="1" ht="5.0999999999999996" hidden="1" customHeight="1" outlineLevel="1">
      <c r="A157" s="1311" t="s">
        <v>195</v>
      </c>
      <c r="B157" s="1311" t="s">
        <v>195</v>
      </c>
      <c r="C157" s="1311"/>
      <c r="D157" s="1339"/>
      <c r="E157" s="1339"/>
      <c r="F157" s="1339"/>
      <c r="G157" s="1339"/>
      <c r="H157" s="1337"/>
      <c r="I157" s="1337"/>
      <c r="J157" s="1315"/>
      <c r="K157" s="1337"/>
      <c r="L157" s="1315"/>
      <c r="M157" s="1337"/>
      <c r="N157" s="1316"/>
      <c r="O157" s="1337"/>
      <c r="P157" s="1315"/>
      <c r="Q157" s="1337"/>
      <c r="R157" s="1315"/>
      <c r="S157" s="1315"/>
      <c r="T157" s="1315"/>
      <c r="U157" s="1337"/>
      <c r="V157" s="1316"/>
      <c r="W157" s="1337"/>
      <c r="X157" s="1337"/>
      <c r="Y157" s="1337"/>
    </row>
    <row r="158" spans="1:25" s="1340" customFormat="1" hidden="1" collapsed="1">
      <c r="A158" s="1286" t="s">
        <v>2013</v>
      </c>
      <c r="B158" s="1311" t="s">
        <v>195</v>
      </c>
      <c r="C158" s="1311"/>
      <c r="D158" s="1337"/>
      <c r="E158" s="1337"/>
      <c r="F158" s="1338" t="s">
        <v>2014</v>
      </c>
      <c r="G158" s="1337"/>
      <c r="H158" s="1337"/>
      <c r="I158" s="1337"/>
      <c r="J158" s="1313">
        <f>SUM(J156:J157)</f>
        <v>0</v>
      </c>
      <c r="K158" s="1337"/>
      <c r="L158" s="1313">
        <f>SUM(L156:L157)</f>
        <v>0</v>
      </c>
      <c r="M158" s="1337"/>
      <c r="N158" s="1314">
        <f>SUM(N156:N157)</f>
        <v>0</v>
      </c>
      <c r="O158" s="1337"/>
      <c r="P158" s="1313">
        <f>J158+L158+N158</f>
        <v>0</v>
      </c>
      <c r="Q158" s="1337"/>
      <c r="R158" s="1313">
        <f>SUM(R156:R157)</f>
        <v>0</v>
      </c>
      <c r="S158" s="1313">
        <f>SUM(S156:S157)</f>
        <v>0</v>
      </c>
      <c r="T158" s="1313">
        <f>SUM(T156:T157)</f>
        <v>0</v>
      </c>
      <c r="U158" s="1337"/>
      <c r="V158" s="1314">
        <f>SUM(V156:V157)</f>
        <v>0</v>
      </c>
      <c r="W158" s="1337"/>
      <c r="X158" s="1337"/>
      <c r="Y158" s="1337"/>
    </row>
    <row r="159" spans="1:25" s="1340" customFormat="1" hidden="1" outlineLevel="1">
      <c r="A159" s="1337"/>
      <c r="B159" s="1285" t="s">
        <v>2015</v>
      </c>
      <c r="C159" s="1286"/>
      <c r="D159" s="1338"/>
      <c r="E159" s="1338"/>
      <c r="F159" s="1339"/>
      <c r="G159" s="1339"/>
      <c r="H159" s="1337"/>
      <c r="I159" s="1337"/>
      <c r="J159" s="1289"/>
      <c r="K159" s="1337"/>
      <c r="L159" s="1289"/>
      <c r="M159" s="1337"/>
      <c r="N159" s="1290"/>
      <c r="O159" s="1337"/>
      <c r="P159" s="1289">
        <f>J159+L159+N159</f>
        <v>0</v>
      </c>
      <c r="Q159" s="1337"/>
      <c r="R159" s="1289"/>
      <c r="S159" s="1289"/>
      <c r="T159" s="1289">
        <f>P159</f>
        <v>0</v>
      </c>
      <c r="U159" s="1337"/>
      <c r="V159" s="1290">
        <f>T159-S159</f>
        <v>0</v>
      </c>
      <c r="W159" s="1337"/>
      <c r="X159" s="1337"/>
    </row>
    <row r="160" spans="1:25" s="1340" customFormat="1" ht="5.0999999999999996" hidden="1" customHeight="1" outlineLevel="1">
      <c r="A160" s="1311" t="s">
        <v>195</v>
      </c>
      <c r="B160" s="1311" t="s">
        <v>195</v>
      </c>
      <c r="C160" s="1311"/>
      <c r="D160" s="1339"/>
      <c r="E160" s="1339"/>
      <c r="F160" s="1339"/>
      <c r="G160" s="1339"/>
      <c r="H160" s="1337"/>
      <c r="I160" s="1337"/>
      <c r="J160" s="1315"/>
      <c r="K160" s="1337"/>
      <c r="L160" s="1315"/>
      <c r="M160" s="1337"/>
      <c r="N160" s="1316"/>
      <c r="O160" s="1337"/>
      <c r="P160" s="1315"/>
      <c r="Q160" s="1337"/>
      <c r="R160" s="1315"/>
      <c r="S160" s="1315"/>
      <c r="T160" s="1315"/>
      <c r="U160" s="1337"/>
      <c r="V160" s="1316"/>
      <c r="W160" s="1337"/>
      <c r="X160" s="1337"/>
      <c r="Y160" s="1337"/>
    </row>
    <row r="161" spans="1:25" s="1340" customFormat="1" hidden="1" collapsed="1">
      <c r="A161" s="1286" t="s">
        <v>2015</v>
      </c>
      <c r="B161" s="1311" t="s">
        <v>195</v>
      </c>
      <c r="C161" s="1311"/>
      <c r="D161" s="1337"/>
      <c r="E161" s="1337"/>
      <c r="F161" s="1338" t="s">
        <v>2016</v>
      </c>
      <c r="G161" s="1337"/>
      <c r="H161" s="1337"/>
      <c r="I161" s="1337"/>
      <c r="J161" s="1313">
        <f>SUM(J159:J160)</f>
        <v>0</v>
      </c>
      <c r="K161" s="1337"/>
      <c r="L161" s="1313">
        <f>SUM(L159:L160)</f>
        <v>0</v>
      </c>
      <c r="M161" s="1337"/>
      <c r="N161" s="1314">
        <f>SUM(N159:N160)</f>
        <v>0</v>
      </c>
      <c r="O161" s="1337"/>
      <c r="P161" s="1313">
        <f>J161+L161+N161</f>
        <v>0</v>
      </c>
      <c r="Q161" s="1337"/>
      <c r="R161" s="1313">
        <f>SUM(R159:R160)</f>
        <v>0</v>
      </c>
      <c r="S161" s="1313">
        <f>SUM(S159:S160)</f>
        <v>0</v>
      </c>
      <c r="T161" s="1313">
        <f>SUM(T159:T160)</f>
        <v>0</v>
      </c>
      <c r="U161" s="1337"/>
      <c r="V161" s="1314">
        <f>SUM(V159:V160)</f>
        <v>0</v>
      </c>
      <c r="W161" s="1337"/>
      <c r="X161" s="1337"/>
      <c r="Y161" s="1337"/>
    </row>
    <row r="162" spans="1:25" s="1340" customFormat="1" hidden="1" outlineLevel="1">
      <c r="A162" s="1337"/>
      <c r="B162" s="1285" t="s">
        <v>2017</v>
      </c>
      <c r="C162" s="1286"/>
      <c r="D162" s="1338"/>
      <c r="E162" s="1338"/>
      <c r="F162" s="1339"/>
      <c r="G162" s="1339"/>
      <c r="H162" s="1337"/>
      <c r="I162" s="1337"/>
      <c r="J162" s="1289"/>
      <c r="K162" s="1337"/>
      <c r="L162" s="1289"/>
      <c r="M162" s="1337"/>
      <c r="N162" s="1290"/>
      <c r="O162" s="1337"/>
      <c r="P162" s="1289">
        <f>J162+L162+N162</f>
        <v>0</v>
      </c>
      <c r="Q162" s="1337"/>
      <c r="R162" s="1289"/>
      <c r="S162" s="1289"/>
      <c r="T162" s="1289">
        <f>P162</f>
        <v>0</v>
      </c>
      <c r="U162" s="1337"/>
      <c r="V162" s="1290">
        <f>T162-S162</f>
        <v>0</v>
      </c>
      <c r="W162" s="1337"/>
      <c r="X162" s="1337"/>
    </row>
    <row r="163" spans="1:25" s="1340" customFormat="1" ht="5.0999999999999996" hidden="1" customHeight="1" outlineLevel="1">
      <c r="A163" s="1311" t="s">
        <v>195</v>
      </c>
      <c r="B163" s="1286" t="s">
        <v>195</v>
      </c>
      <c r="C163" s="1286"/>
      <c r="D163" s="1339"/>
      <c r="E163" s="1339"/>
      <c r="F163" s="1339"/>
      <c r="G163" s="1339"/>
      <c r="H163" s="1337"/>
      <c r="I163" s="1337"/>
      <c r="J163" s="1315"/>
      <c r="K163" s="1337"/>
      <c r="L163" s="1315"/>
      <c r="M163" s="1337"/>
      <c r="N163" s="1316"/>
      <c r="O163" s="1337"/>
      <c r="P163" s="1315"/>
      <c r="Q163" s="1337"/>
      <c r="R163" s="1315"/>
      <c r="S163" s="1315"/>
      <c r="T163" s="1315"/>
      <c r="U163" s="1337"/>
      <c r="V163" s="1316"/>
      <c r="W163" s="1337"/>
      <c r="X163" s="1337"/>
      <c r="Y163" s="1337"/>
    </row>
    <row r="164" spans="1:25" s="1340" customFormat="1" hidden="1" collapsed="1">
      <c r="A164" s="1286" t="s">
        <v>2017</v>
      </c>
      <c r="B164" s="1286" t="s">
        <v>195</v>
      </c>
      <c r="C164" s="1286"/>
      <c r="D164" s="1337"/>
      <c r="E164" s="1337"/>
      <c r="F164" s="1338" t="s">
        <v>2018</v>
      </c>
      <c r="G164" s="1337"/>
      <c r="H164" s="1337"/>
      <c r="I164" s="1337"/>
      <c r="J164" s="1313">
        <f>SUM(J162:J163)</f>
        <v>0</v>
      </c>
      <c r="K164" s="1337"/>
      <c r="L164" s="1313">
        <f>SUM(L162:L163)</f>
        <v>0</v>
      </c>
      <c r="M164" s="1337"/>
      <c r="N164" s="1314">
        <f>SUM(N162:N163)</f>
        <v>0</v>
      </c>
      <c r="O164" s="1337"/>
      <c r="P164" s="1313">
        <f>J164+L164+N164</f>
        <v>0</v>
      </c>
      <c r="Q164" s="1337"/>
      <c r="R164" s="1313">
        <f>SUM(R162:R163)</f>
        <v>0</v>
      </c>
      <c r="S164" s="1313">
        <f>SUM(S162:S163)</f>
        <v>0</v>
      </c>
      <c r="T164" s="1313">
        <f>SUM(T162:T163)</f>
        <v>0</v>
      </c>
      <c r="U164" s="1337"/>
      <c r="V164" s="1314">
        <f>SUM(V162:V163)</f>
        <v>0</v>
      </c>
      <c r="W164" s="1337"/>
      <c r="X164" s="1337"/>
      <c r="Y164" s="1337"/>
    </row>
    <row r="165" spans="1:25" s="1340" customFormat="1" hidden="1" outlineLevel="1">
      <c r="A165" s="1337"/>
      <c r="B165" s="1285" t="s">
        <v>2019</v>
      </c>
      <c r="C165" s="1286"/>
      <c r="D165" s="1338"/>
      <c r="E165" s="1338"/>
      <c r="F165" s="1339"/>
      <c r="G165" s="1339"/>
      <c r="H165" s="1337"/>
      <c r="I165" s="1337"/>
      <c r="J165" s="1289"/>
      <c r="K165" s="1337"/>
      <c r="L165" s="1289"/>
      <c r="M165" s="1337"/>
      <c r="N165" s="1290"/>
      <c r="O165" s="1337"/>
      <c r="P165" s="1289">
        <f>J165+L165+N165</f>
        <v>0</v>
      </c>
      <c r="Q165" s="1337"/>
      <c r="R165" s="1289"/>
      <c r="S165" s="1289"/>
      <c r="T165" s="1289">
        <f>P165</f>
        <v>0</v>
      </c>
      <c r="U165" s="1337"/>
      <c r="V165" s="1290">
        <f>T165-S165</f>
        <v>0</v>
      </c>
      <c r="W165" s="1337"/>
      <c r="X165" s="1337"/>
    </row>
    <row r="166" spans="1:25" s="1340" customFormat="1" ht="5.0999999999999996" hidden="1" customHeight="1" outlineLevel="1">
      <c r="A166" s="1286" t="s">
        <v>195</v>
      </c>
      <c r="B166" s="1311"/>
      <c r="C166" s="1311"/>
      <c r="D166" s="1338"/>
      <c r="E166" s="1338"/>
      <c r="F166" s="1337"/>
      <c r="G166" s="1337"/>
      <c r="H166" s="1337"/>
      <c r="I166" s="1337"/>
      <c r="J166" s="1315"/>
      <c r="K166" s="1337"/>
      <c r="L166" s="1315"/>
      <c r="M166" s="1337"/>
      <c r="N166" s="1316"/>
      <c r="O166" s="1337"/>
      <c r="P166" s="1315"/>
      <c r="Q166" s="1337"/>
      <c r="R166" s="1315"/>
      <c r="S166" s="1315"/>
      <c r="T166" s="1315"/>
      <c r="U166" s="1337"/>
      <c r="V166" s="1316"/>
      <c r="W166" s="1337"/>
      <c r="X166" s="1337"/>
      <c r="Y166" s="1337"/>
    </row>
    <row r="167" spans="1:25" s="1340" customFormat="1" ht="12.75" hidden="1" customHeight="1" collapsed="1">
      <c r="A167" s="1286" t="s">
        <v>2019</v>
      </c>
      <c r="B167" s="1311" t="s">
        <v>195</v>
      </c>
      <c r="C167" s="1311"/>
      <c r="D167" s="1337"/>
      <c r="E167" s="1337"/>
      <c r="F167" s="1337" t="s">
        <v>2020</v>
      </c>
      <c r="G167" s="1337"/>
      <c r="H167" s="1337"/>
      <c r="I167" s="1337"/>
      <c r="J167" s="1313">
        <f>SUM(J165:J166)</f>
        <v>0</v>
      </c>
      <c r="K167" s="1337"/>
      <c r="L167" s="1313">
        <f>SUM(L165:L166)</f>
        <v>0</v>
      </c>
      <c r="M167" s="1337"/>
      <c r="N167" s="1314">
        <f>SUM(N165:N166)</f>
        <v>0</v>
      </c>
      <c r="O167" s="1337"/>
      <c r="P167" s="1313">
        <f>J167+L167+N167</f>
        <v>0</v>
      </c>
      <c r="Q167" s="1337"/>
      <c r="R167" s="1313">
        <f>SUM(R165:R166)</f>
        <v>0</v>
      </c>
      <c r="S167" s="1313">
        <f>SUM(S165:S166)</f>
        <v>0</v>
      </c>
      <c r="T167" s="1313">
        <f>SUM(T165:T166)</f>
        <v>0</v>
      </c>
      <c r="U167" s="1337"/>
      <c r="V167" s="1314">
        <f>SUM(V165:V166)</f>
        <v>0</v>
      </c>
      <c r="W167" s="1337"/>
      <c r="X167" s="1337"/>
      <c r="Y167" s="1337"/>
    </row>
    <row r="168" spans="1:25" s="1340" customFormat="1" hidden="1" outlineLevel="1">
      <c r="A168" s="1337"/>
      <c r="B168" s="1285" t="s">
        <v>2021</v>
      </c>
      <c r="C168" s="1286"/>
      <c r="D168" s="1338"/>
      <c r="E168" s="1338"/>
      <c r="F168" s="1339"/>
      <c r="G168" s="1339"/>
      <c r="H168" s="1337"/>
      <c r="I168" s="1337"/>
      <c r="J168" s="1289"/>
      <c r="K168" s="1337"/>
      <c r="L168" s="1289"/>
      <c r="M168" s="1337"/>
      <c r="N168" s="1290"/>
      <c r="O168" s="1337"/>
      <c r="P168" s="1289">
        <f>J168+L168+N168</f>
        <v>0</v>
      </c>
      <c r="Q168" s="1337"/>
      <c r="R168" s="1289"/>
      <c r="S168" s="1289"/>
      <c r="T168" s="1289">
        <f>P168</f>
        <v>0</v>
      </c>
      <c r="U168" s="1337"/>
      <c r="V168" s="1290">
        <f>T168-S168</f>
        <v>0</v>
      </c>
      <c r="W168" s="1337"/>
      <c r="X168" s="1337"/>
    </row>
    <row r="169" spans="1:25" s="1340" customFormat="1" ht="5.0999999999999996" hidden="1" customHeight="1" outlineLevel="1">
      <c r="A169" s="1311" t="s">
        <v>195</v>
      </c>
      <c r="B169" s="1286" t="s">
        <v>195</v>
      </c>
      <c r="C169" s="1286"/>
      <c r="D169" s="1339"/>
      <c r="E169" s="1339"/>
      <c r="F169" s="1339"/>
      <c r="G169" s="1339"/>
      <c r="H169" s="1337"/>
      <c r="I169" s="1337"/>
      <c r="J169" s="1315"/>
      <c r="K169" s="1337"/>
      <c r="L169" s="1315"/>
      <c r="M169" s="1337"/>
      <c r="N169" s="1316"/>
      <c r="O169" s="1337"/>
      <c r="P169" s="1315"/>
      <c r="Q169" s="1337"/>
      <c r="R169" s="1315"/>
      <c r="S169" s="1315"/>
      <c r="T169" s="1315"/>
      <c r="U169" s="1337"/>
      <c r="V169" s="1316"/>
      <c r="W169" s="1337"/>
      <c r="X169" s="1337"/>
      <c r="Y169" s="1337"/>
    </row>
    <row r="170" spans="1:25" s="1340" customFormat="1" hidden="1" collapsed="1">
      <c r="A170" s="1286" t="s">
        <v>2021</v>
      </c>
      <c r="B170" s="1286" t="s">
        <v>195</v>
      </c>
      <c r="C170" s="1286"/>
      <c r="D170" s="1337"/>
      <c r="E170" s="1337"/>
      <c r="F170" s="1338" t="s">
        <v>2022</v>
      </c>
      <c r="G170" s="1337"/>
      <c r="H170" s="1337"/>
      <c r="I170" s="1337"/>
      <c r="J170" s="1313">
        <f>SUM(J168:J169)</f>
        <v>0</v>
      </c>
      <c r="K170" s="1337"/>
      <c r="L170" s="1313">
        <f>SUM(L168:L169)</f>
        <v>0</v>
      </c>
      <c r="M170" s="1337"/>
      <c r="N170" s="1314">
        <f>SUM(N168:N169)</f>
        <v>0</v>
      </c>
      <c r="O170" s="1337"/>
      <c r="P170" s="1313">
        <f>J170+L170+N170</f>
        <v>0</v>
      </c>
      <c r="Q170" s="1337"/>
      <c r="R170" s="1313">
        <f>SUM(R168:R169)</f>
        <v>0</v>
      </c>
      <c r="S170" s="1313">
        <f>SUM(S168:S169)</f>
        <v>0</v>
      </c>
      <c r="T170" s="1313">
        <f>SUM(T168:T169)</f>
        <v>0</v>
      </c>
      <c r="U170" s="1337"/>
      <c r="V170" s="1314">
        <f>SUM(V168:V169)</f>
        <v>0</v>
      </c>
      <c r="W170" s="1337"/>
      <c r="X170" s="1337"/>
      <c r="Y170" s="1337"/>
    </row>
    <row r="171" spans="1:25" s="1340" customFormat="1" hidden="1" outlineLevel="1">
      <c r="A171" s="1337"/>
      <c r="B171" s="1285" t="s">
        <v>2023</v>
      </c>
      <c r="C171" s="1286"/>
      <c r="D171" s="1338"/>
      <c r="E171" s="1338"/>
      <c r="F171" s="1339"/>
      <c r="G171" s="1339"/>
      <c r="H171" s="1337"/>
      <c r="I171" s="1337"/>
      <c r="J171" s="1289"/>
      <c r="K171" s="1337"/>
      <c r="L171" s="1289"/>
      <c r="M171" s="1337"/>
      <c r="N171" s="1290"/>
      <c r="O171" s="1337"/>
      <c r="P171" s="1289">
        <f>J171+L171+N171</f>
        <v>0</v>
      </c>
      <c r="Q171" s="1337"/>
      <c r="R171" s="1289"/>
      <c r="S171" s="1289"/>
      <c r="T171" s="1289">
        <f>P171</f>
        <v>0</v>
      </c>
      <c r="U171" s="1337"/>
      <c r="V171" s="1290">
        <f>T171-S171</f>
        <v>0</v>
      </c>
      <c r="W171" s="1337"/>
      <c r="X171" s="1337"/>
    </row>
    <row r="172" spans="1:25" s="1340" customFormat="1" ht="5.0999999999999996" hidden="1" customHeight="1" outlineLevel="1">
      <c r="A172" s="1286" t="s">
        <v>195</v>
      </c>
      <c r="B172" s="1286" t="s">
        <v>195</v>
      </c>
      <c r="C172" s="1286"/>
      <c r="D172" s="1339"/>
      <c r="E172" s="1339"/>
      <c r="F172" s="1339"/>
      <c r="G172" s="1339"/>
      <c r="H172" s="1337"/>
      <c r="I172" s="1337"/>
      <c r="J172" s="1315"/>
      <c r="K172" s="1337"/>
      <c r="L172" s="1315"/>
      <c r="M172" s="1337"/>
      <c r="N172" s="1316"/>
      <c r="O172" s="1337"/>
      <c r="P172" s="1315"/>
      <c r="Q172" s="1337"/>
      <c r="R172" s="1315"/>
      <c r="S172" s="1315"/>
      <c r="T172" s="1315"/>
      <c r="U172" s="1337"/>
      <c r="V172" s="1316"/>
      <c r="W172" s="1337"/>
      <c r="X172" s="1337"/>
      <c r="Y172" s="1337"/>
    </row>
    <row r="173" spans="1:25" s="1340" customFormat="1" hidden="1" collapsed="1">
      <c r="A173" s="1286" t="s">
        <v>2023</v>
      </c>
      <c r="B173" s="1286" t="s">
        <v>195</v>
      </c>
      <c r="C173" s="1286"/>
      <c r="D173" s="1337"/>
      <c r="E173" s="1337"/>
      <c r="F173" s="1338" t="s">
        <v>2024</v>
      </c>
      <c r="G173" s="1337"/>
      <c r="H173" s="1337"/>
      <c r="I173" s="1337"/>
      <c r="J173" s="1313">
        <f>SUM(J171:J172)</f>
        <v>0</v>
      </c>
      <c r="K173" s="1337"/>
      <c r="L173" s="1313">
        <f>SUM(L171:L172)</f>
        <v>0</v>
      </c>
      <c r="M173" s="1337"/>
      <c r="N173" s="1314">
        <f>SUM(N171:N172)</f>
        <v>0</v>
      </c>
      <c r="O173" s="1337"/>
      <c r="P173" s="1313">
        <f>J173+L173+N173</f>
        <v>0</v>
      </c>
      <c r="Q173" s="1337"/>
      <c r="R173" s="1313">
        <f>SUM(R171:R172)</f>
        <v>0</v>
      </c>
      <c r="S173" s="1313">
        <f>SUM(S171:S172)</f>
        <v>0</v>
      </c>
      <c r="T173" s="1313">
        <f>SUM(T171:T172)</f>
        <v>0</v>
      </c>
      <c r="U173" s="1337"/>
      <c r="V173" s="1314">
        <f>SUM(V171:V172)</f>
        <v>0</v>
      </c>
      <c r="W173" s="1337"/>
      <c r="X173" s="1337"/>
      <c r="Y173" s="1337"/>
    </row>
    <row r="174" spans="1:25" s="1340" customFormat="1" hidden="1" outlineLevel="1">
      <c r="A174" s="1337"/>
      <c r="B174" s="1285" t="s">
        <v>2025</v>
      </c>
      <c r="C174" s="1286"/>
      <c r="D174" s="1338"/>
      <c r="E174" s="1338"/>
      <c r="F174" s="1339"/>
      <c r="G174" s="1339"/>
      <c r="H174" s="1337"/>
      <c r="I174" s="1337"/>
      <c r="J174" s="1289"/>
      <c r="K174" s="1337"/>
      <c r="L174" s="1289"/>
      <c r="M174" s="1337"/>
      <c r="N174" s="1290"/>
      <c r="O174" s="1337"/>
      <c r="P174" s="1289">
        <f>J174+L174+N174</f>
        <v>0</v>
      </c>
      <c r="Q174" s="1337"/>
      <c r="R174" s="1289"/>
      <c r="S174" s="1289"/>
      <c r="T174" s="1289">
        <f>P174</f>
        <v>0</v>
      </c>
      <c r="U174" s="1337"/>
      <c r="V174" s="1290">
        <f>T174-S174</f>
        <v>0</v>
      </c>
      <c r="W174" s="1337"/>
      <c r="X174" s="1337"/>
    </row>
    <row r="175" spans="1:25" s="1340" customFormat="1" ht="5.0999999999999996" hidden="1" customHeight="1" outlineLevel="1">
      <c r="A175" s="1311" t="s">
        <v>195</v>
      </c>
      <c r="B175" s="1311" t="s">
        <v>195</v>
      </c>
      <c r="C175" s="1311"/>
      <c r="D175" s="1339"/>
      <c r="E175" s="1339"/>
      <c r="F175" s="1339"/>
      <c r="G175" s="1339"/>
      <c r="H175" s="1337"/>
      <c r="I175" s="1337"/>
      <c r="J175" s="1315"/>
      <c r="K175" s="1337"/>
      <c r="L175" s="1315"/>
      <c r="M175" s="1337"/>
      <c r="N175" s="1316"/>
      <c r="O175" s="1337"/>
      <c r="P175" s="1315"/>
      <c r="Q175" s="1337"/>
      <c r="R175" s="1315"/>
      <c r="S175" s="1315"/>
      <c r="T175" s="1315"/>
      <c r="U175" s="1337"/>
      <c r="V175" s="1316"/>
      <c r="W175" s="1337"/>
      <c r="X175" s="1337"/>
      <c r="Y175" s="1337"/>
    </row>
    <row r="176" spans="1:25" s="1340" customFormat="1" hidden="1" collapsed="1">
      <c r="A176" s="1286" t="s">
        <v>2025</v>
      </c>
      <c r="B176" s="1286" t="s">
        <v>195</v>
      </c>
      <c r="C176" s="1286"/>
      <c r="D176" s="1337"/>
      <c r="E176" s="1337"/>
      <c r="F176" s="1338" t="s">
        <v>2026</v>
      </c>
      <c r="G176" s="1337"/>
      <c r="H176" s="1337"/>
      <c r="I176" s="1337"/>
      <c r="J176" s="1313">
        <f>SUM(J174:J175)</f>
        <v>0</v>
      </c>
      <c r="K176" s="1337"/>
      <c r="L176" s="1313">
        <f>SUM(L174:L175)</f>
        <v>0</v>
      </c>
      <c r="M176" s="1337"/>
      <c r="N176" s="1314">
        <f>SUM(N174:N175)</f>
        <v>0</v>
      </c>
      <c r="O176" s="1337"/>
      <c r="P176" s="1313">
        <f>J176+L176+N176</f>
        <v>0</v>
      </c>
      <c r="Q176" s="1337"/>
      <c r="R176" s="1313">
        <f>SUM(R174:R175)</f>
        <v>0</v>
      </c>
      <c r="S176" s="1313">
        <f>SUM(S174:S175)</f>
        <v>0</v>
      </c>
      <c r="T176" s="1313">
        <f>SUM(T174:T175)</f>
        <v>0</v>
      </c>
      <c r="U176" s="1337"/>
      <c r="V176" s="1314">
        <f>SUM(V174:V175)</f>
        <v>0</v>
      </c>
      <c r="W176" s="1337"/>
      <c r="X176" s="1337"/>
      <c r="Y176" s="1337"/>
    </row>
    <row r="177" spans="1:25" s="1340" customFormat="1" ht="7.5" hidden="1" customHeight="1">
      <c r="A177" s="1286" t="s">
        <v>195</v>
      </c>
      <c r="B177" s="1286" t="s">
        <v>195</v>
      </c>
      <c r="C177" s="1286"/>
      <c r="D177" s="1337"/>
      <c r="E177" s="1337"/>
      <c r="F177" s="1337"/>
      <c r="G177" s="1337"/>
      <c r="H177" s="1337"/>
      <c r="I177" s="1337"/>
      <c r="J177" s="1318"/>
      <c r="K177" s="1337"/>
      <c r="L177" s="1318"/>
      <c r="M177" s="1337"/>
      <c r="N177" s="1290"/>
      <c r="O177" s="1337"/>
      <c r="P177" s="1318"/>
      <c r="Q177" s="1337"/>
      <c r="R177" s="1318"/>
      <c r="S177" s="1318"/>
      <c r="T177" s="1318"/>
      <c r="U177" s="1337"/>
      <c r="V177" s="1290"/>
      <c r="W177" s="1337"/>
      <c r="X177" s="1337"/>
      <c r="Y177" s="1337"/>
    </row>
    <row r="178" spans="1:25" s="1340" customFormat="1">
      <c r="A178" s="1286" t="s">
        <v>195</v>
      </c>
      <c r="B178" s="1286" t="s">
        <v>195</v>
      </c>
      <c r="C178" s="1286"/>
      <c r="D178" s="1337"/>
      <c r="E178" s="1364" t="s">
        <v>2027</v>
      </c>
      <c r="F178" s="1337"/>
      <c r="G178" s="1337"/>
      <c r="H178" s="1337"/>
      <c r="I178" s="1337"/>
      <c r="J178" s="1320">
        <f>SUM(J158,J164,J173,J153,J161,J170,J167)</f>
        <v>120613.18</v>
      </c>
      <c r="K178" s="1337"/>
      <c r="L178" s="1320">
        <f>SUM(L158,L164,L173,L153,L161,L170,L167)</f>
        <v>0</v>
      </c>
      <c r="M178" s="1337"/>
      <c r="N178" s="1321">
        <f>SUM(N158,N164,N173,N153,N161,N170,N167)</f>
        <v>0</v>
      </c>
      <c r="O178" s="1337"/>
      <c r="P178" s="1320">
        <f>SUM(P158,P164,P173,P153,P161,P170,P167)</f>
        <v>120613.18</v>
      </c>
      <c r="Q178" s="1337"/>
      <c r="R178" s="1320">
        <f>SUM(R158,R164,R173,R153,R161,R170,R167)</f>
        <v>153937.81</v>
      </c>
      <c r="S178" s="1320">
        <f>SUM(S158,S164,S173,S153,S161,S170,S167)</f>
        <v>257182.84999999998</v>
      </c>
      <c r="T178" s="1320">
        <f>SUM(T158,T164,T173,T153,T161,T170,T167)</f>
        <v>120613.18</v>
      </c>
      <c r="U178" s="1337"/>
      <c r="V178" s="1321">
        <f>SUM(V158,V164,V173,V153,V161,V170,V167)</f>
        <v>-136569.66999999998</v>
      </c>
      <c r="W178" s="1337"/>
      <c r="X178" s="1337"/>
      <c r="Y178" s="1337"/>
    </row>
    <row r="179" spans="1:25" s="1340" customFormat="1" ht="7.5" customHeight="1">
      <c r="A179" s="1286" t="s">
        <v>195</v>
      </c>
      <c r="B179" s="1286" t="s">
        <v>195</v>
      </c>
      <c r="C179" s="1286"/>
      <c r="D179" s="1337"/>
      <c r="E179" s="1337"/>
      <c r="F179" s="1337"/>
      <c r="G179" s="1337"/>
      <c r="H179" s="1337"/>
      <c r="I179" s="1337"/>
      <c r="J179" s="1318"/>
      <c r="K179" s="1337"/>
      <c r="L179" s="1318"/>
      <c r="M179" s="1337"/>
      <c r="N179" s="1290"/>
      <c r="O179" s="1337"/>
      <c r="P179" s="1318"/>
      <c r="Q179" s="1337"/>
      <c r="R179" s="1318"/>
      <c r="S179" s="1318"/>
      <c r="T179" s="1318"/>
      <c r="U179" s="1337"/>
      <c r="V179" s="1290"/>
      <c r="W179" s="1337"/>
      <c r="X179" s="1337"/>
      <c r="Y179" s="1337"/>
    </row>
    <row r="180" spans="1:25" s="1340" customFormat="1" hidden="1" outlineLevel="1">
      <c r="A180" s="1337"/>
      <c r="B180" s="1285" t="s">
        <v>2028</v>
      </c>
      <c r="C180" s="1286"/>
      <c r="D180" s="1338"/>
      <c r="E180" s="1338"/>
      <c r="F180" s="1339"/>
      <c r="G180" s="1339"/>
      <c r="H180" s="1337"/>
      <c r="I180" s="1337"/>
      <c r="J180" s="1289"/>
      <c r="K180" s="1337"/>
      <c r="L180" s="1289"/>
      <c r="M180" s="1337"/>
      <c r="N180" s="1290"/>
      <c r="O180" s="1337"/>
      <c r="P180" s="1289">
        <f>J180+L180+N180</f>
        <v>0</v>
      </c>
      <c r="Q180" s="1337"/>
      <c r="R180" s="1289"/>
      <c r="S180" s="1289"/>
      <c r="T180" s="1289">
        <f>P180</f>
        <v>0</v>
      </c>
      <c r="U180" s="1337"/>
      <c r="V180" s="1290">
        <f>T180-S180</f>
        <v>0</v>
      </c>
      <c r="W180" s="1337"/>
      <c r="X180" s="1337"/>
    </row>
    <row r="181" spans="1:25" s="1340" customFormat="1" ht="5.0999999999999996" hidden="1" customHeight="1" outlineLevel="1">
      <c r="A181" s="1286" t="s">
        <v>195</v>
      </c>
      <c r="B181" s="1286" t="s">
        <v>195</v>
      </c>
      <c r="C181" s="1286"/>
      <c r="D181" s="1339"/>
      <c r="E181" s="1339"/>
      <c r="F181" s="1339"/>
      <c r="G181" s="1339"/>
      <c r="H181" s="1337"/>
      <c r="I181" s="1337"/>
      <c r="J181" s="1315"/>
      <c r="K181" s="1337"/>
      <c r="L181" s="1315"/>
      <c r="M181" s="1337"/>
      <c r="N181" s="1316"/>
      <c r="O181" s="1337"/>
      <c r="P181" s="1315"/>
      <c r="Q181" s="1337"/>
      <c r="R181" s="1315"/>
      <c r="S181" s="1315"/>
      <c r="T181" s="1315"/>
      <c r="U181" s="1337"/>
      <c r="V181" s="1316"/>
      <c r="W181" s="1337"/>
      <c r="X181" s="1337"/>
      <c r="Y181" s="1337"/>
    </row>
    <row r="182" spans="1:25" s="1340" customFormat="1" hidden="1" collapsed="1">
      <c r="A182" s="1286" t="s">
        <v>2028</v>
      </c>
      <c r="B182" s="1286" t="s">
        <v>195</v>
      </c>
      <c r="C182" s="1286"/>
      <c r="D182" s="1337"/>
      <c r="E182" s="1337"/>
      <c r="F182" s="1338" t="s">
        <v>2029</v>
      </c>
      <c r="G182" s="1337"/>
      <c r="H182" s="1337"/>
      <c r="I182" s="1337"/>
      <c r="J182" s="1313">
        <f>SUM(J180:J181)</f>
        <v>0</v>
      </c>
      <c r="K182" s="1337"/>
      <c r="L182" s="1313">
        <f>SUM(L180:L181)</f>
        <v>0</v>
      </c>
      <c r="M182" s="1337"/>
      <c r="N182" s="1314">
        <f>SUM(N180:N181)</f>
        <v>0</v>
      </c>
      <c r="O182" s="1337"/>
      <c r="P182" s="1313">
        <f>J182+L182+N182</f>
        <v>0</v>
      </c>
      <c r="Q182" s="1337"/>
      <c r="R182" s="1313">
        <f>SUM(R180:R181)</f>
        <v>0</v>
      </c>
      <c r="S182" s="1313">
        <f>SUM(S180:S181)</f>
        <v>0</v>
      </c>
      <c r="T182" s="1313">
        <f>SUM(T180:T181)</f>
        <v>0</v>
      </c>
      <c r="U182" s="1337"/>
      <c r="V182" s="1314">
        <f>SUM(V180:V181)</f>
        <v>0</v>
      </c>
      <c r="W182" s="1337"/>
      <c r="X182" s="1337"/>
      <c r="Y182" s="1337"/>
    </row>
    <row r="183" spans="1:25" s="1340" customFormat="1" hidden="1" outlineLevel="1">
      <c r="A183" s="1337"/>
      <c r="B183" s="1285" t="s">
        <v>2030</v>
      </c>
      <c r="C183" s="1286"/>
      <c r="D183" s="1338"/>
      <c r="E183" s="1338"/>
      <c r="F183" s="1339"/>
      <c r="G183" s="1339"/>
      <c r="H183" s="1337"/>
      <c r="I183" s="1337"/>
      <c r="J183" s="1289"/>
      <c r="K183" s="1337"/>
      <c r="L183" s="1289"/>
      <c r="M183" s="1337"/>
      <c r="N183" s="1290"/>
      <c r="O183" s="1337"/>
      <c r="P183" s="1289">
        <f>J183+L183+N183</f>
        <v>0</v>
      </c>
      <c r="Q183" s="1337"/>
      <c r="R183" s="1289"/>
      <c r="S183" s="1289"/>
      <c r="T183" s="1289">
        <f>P183</f>
        <v>0</v>
      </c>
      <c r="U183" s="1337"/>
      <c r="V183" s="1290">
        <f>T183-S183</f>
        <v>0</v>
      </c>
      <c r="W183" s="1337"/>
      <c r="X183" s="1337"/>
    </row>
    <row r="184" spans="1:25" s="1340" customFormat="1" ht="5.0999999999999996" hidden="1" customHeight="1" outlineLevel="1">
      <c r="A184" s="1286" t="s">
        <v>195</v>
      </c>
      <c r="B184" s="1286" t="s">
        <v>195</v>
      </c>
      <c r="C184" s="1286"/>
      <c r="D184" s="1339"/>
      <c r="E184" s="1339"/>
      <c r="F184" s="1339"/>
      <c r="G184" s="1339"/>
      <c r="H184" s="1337"/>
      <c r="I184" s="1337"/>
      <c r="J184" s="1315"/>
      <c r="K184" s="1337"/>
      <c r="L184" s="1315"/>
      <c r="M184" s="1337"/>
      <c r="N184" s="1316"/>
      <c r="O184" s="1337"/>
      <c r="P184" s="1315"/>
      <c r="Q184" s="1337"/>
      <c r="R184" s="1315"/>
      <c r="S184" s="1315"/>
      <c r="T184" s="1315"/>
      <c r="U184" s="1337"/>
      <c r="V184" s="1316"/>
      <c r="W184" s="1337"/>
      <c r="X184" s="1337"/>
      <c r="Y184" s="1337"/>
    </row>
    <row r="185" spans="1:25" s="1340" customFormat="1" hidden="1" collapsed="1">
      <c r="A185" s="1327" t="s">
        <v>2030</v>
      </c>
      <c r="B185" s="1286" t="s">
        <v>195</v>
      </c>
      <c r="C185" s="1286"/>
      <c r="D185" s="1337"/>
      <c r="E185" s="1337"/>
      <c r="F185" s="1338" t="s">
        <v>2031</v>
      </c>
      <c r="G185" s="1337"/>
      <c r="H185" s="1337"/>
      <c r="I185" s="1337"/>
      <c r="J185" s="1313">
        <f>SUM(J183:J184)</f>
        <v>0</v>
      </c>
      <c r="K185" s="1337"/>
      <c r="L185" s="1313">
        <f>SUM(L183:L184)</f>
        <v>0</v>
      </c>
      <c r="M185" s="1337"/>
      <c r="N185" s="1314">
        <f>SUM(N183:N184)</f>
        <v>0</v>
      </c>
      <c r="O185" s="1337"/>
      <c r="P185" s="1313">
        <f>J185+L185+N185</f>
        <v>0</v>
      </c>
      <c r="Q185" s="1337"/>
      <c r="R185" s="1313">
        <f>SUM(R183:R184)</f>
        <v>0</v>
      </c>
      <c r="S185" s="1313">
        <f>SUM(S183:S184)</f>
        <v>0</v>
      </c>
      <c r="T185" s="1313">
        <f>SUM(T183:T184)</f>
        <v>0</v>
      </c>
      <c r="U185" s="1337"/>
      <c r="V185" s="1314">
        <f>SUM(V183:V184)</f>
        <v>0</v>
      </c>
      <c r="W185" s="1337"/>
      <c r="X185" s="1337"/>
      <c r="Y185" s="1337"/>
    </row>
    <row r="186" spans="1:25" s="1340" customFormat="1" hidden="1" outlineLevel="1">
      <c r="A186" s="1337"/>
      <c r="B186" s="1285" t="s">
        <v>2032</v>
      </c>
      <c r="C186" s="1286"/>
      <c r="D186" s="1338"/>
      <c r="E186" s="1338"/>
      <c r="F186" s="1339"/>
      <c r="G186" s="1339"/>
      <c r="H186" s="1337"/>
      <c r="I186" s="1337"/>
      <c r="J186" s="1289"/>
      <c r="K186" s="1337"/>
      <c r="L186" s="1289"/>
      <c r="M186" s="1337"/>
      <c r="N186" s="1290"/>
      <c r="O186" s="1337"/>
      <c r="P186" s="1289">
        <f>J186+L186+N186</f>
        <v>0</v>
      </c>
      <c r="Q186" s="1337"/>
      <c r="R186" s="1289"/>
      <c r="S186" s="1289"/>
      <c r="T186" s="1289">
        <f>P186</f>
        <v>0</v>
      </c>
      <c r="U186" s="1337"/>
      <c r="V186" s="1290">
        <f>T186-S186</f>
        <v>0</v>
      </c>
      <c r="W186" s="1337"/>
      <c r="X186" s="1337"/>
    </row>
    <row r="187" spans="1:25" s="1340" customFormat="1" ht="5.0999999999999996" hidden="1" customHeight="1" outlineLevel="1">
      <c r="A187" s="1286" t="s">
        <v>195</v>
      </c>
      <c r="B187" s="1286" t="s">
        <v>195</v>
      </c>
      <c r="C187" s="1286"/>
      <c r="D187" s="1339"/>
      <c r="E187" s="1339"/>
      <c r="F187" s="1339"/>
      <c r="G187" s="1339"/>
      <c r="H187" s="1337"/>
      <c r="I187" s="1337"/>
      <c r="J187" s="1315"/>
      <c r="K187" s="1337"/>
      <c r="L187" s="1315"/>
      <c r="M187" s="1337"/>
      <c r="N187" s="1316"/>
      <c r="O187" s="1337"/>
      <c r="P187" s="1315"/>
      <c r="Q187" s="1337"/>
      <c r="R187" s="1315"/>
      <c r="S187" s="1315"/>
      <c r="T187" s="1315"/>
      <c r="U187" s="1337"/>
      <c r="V187" s="1316"/>
      <c r="W187" s="1337"/>
      <c r="X187" s="1337"/>
      <c r="Y187" s="1337"/>
    </row>
    <row r="188" spans="1:25" s="1340" customFormat="1" hidden="1" collapsed="1">
      <c r="A188" s="1327" t="s">
        <v>2032</v>
      </c>
      <c r="B188" s="1286" t="s">
        <v>195</v>
      </c>
      <c r="C188" s="1286"/>
      <c r="D188" s="1337"/>
      <c r="E188" s="1337"/>
      <c r="F188" s="1338" t="s">
        <v>2033</v>
      </c>
      <c r="G188" s="1337"/>
      <c r="H188" s="1337"/>
      <c r="I188" s="1337"/>
      <c r="J188" s="1313">
        <f>SUM(J186:J187)</f>
        <v>0</v>
      </c>
      <c r="K188" s="1337"/>
      <c r="L188" s="1313">
        <f>SUM(L186:L187)</f>
        <v>0</v>
      </c>
      <c r="M188" s="1337"/>
      <c r="N188" s="1314">
        <f>SUM(N186:N187)</f>
        <v>0</v>
      </c>
      <c r="O188" s="1337"/>
      <c r="P188" s="1313">
        <f>J188+L188+N188</f>
        <v>0</v>
      </c>
      <c r="Q188" s="1337"/>
      <c r="R188" s="1313">
        <f>SUM(R186:R187)</f>
        <v>0</v>
      </c>
      <c r="S188" s="1313">
        <f>SUM(S186:S187)</f>
        <v>0</v>
      </c>
      <c r="T188" s="1313">
        <f>SUM(T186:T187)</f>
        <v>0</v>
      </c>
      <c r="U188" s="1337"/>
      <c r="V188" s="1314">
        <f>SUM(V186:V187)</f>
        <v>0</v>
      </c>
      <c r="W188" s="1337"/>
      <c r="X188" s="1337"/>
      <c r="Y188" s="1337"/>
    </row>
    <row r="189" spans="1:25" s="1340" customFormat="1" hidden="1" outlineLevel="1">
      <c r="A189" s="1337"/>
      <c r="B189" s="1285" t="s">
        <v>2034</v>
      </c>
      <c r="C189" s="1286"/>
      <c r="D189" s="1338"/>
      <c r="E189" s="1338"/>
      <c r="F189" s="1339"/>
      <c r="G189" s="1339"/>
      <c r="H189" s="1337"/>
      <c r="I189" s="1337"/>
      <c r="J189" s="1289"/>
      <c r="K189" s="1337"/>
      <c r="L189" s="1289"/>
      <c r="M189" s="1337"/>
      <c r="N189" s="1290"/>
      <c r="O189" s="1337"/>
      <c r="P189" s="1289">
        <f>J189+L189+N189</f>
        <v>0</v>
      </c>
      <c r="Q189" s="1337"/>
      <c r="R189" s="1289"/>
      <c r="S189" s="1289"/>
      <c r="T189" s="1289">
        <f>P189</f>
        <v>0</v>
      </c>
      <c r="U189" s="1337"/>
      <c r="V189" s="1290">
        <f>T189-S189</f>
        <v>0</v>
      </c>
      <c r="W189" s="1337"/>
      <c r="X189" s="1337"/>
    </row>
    <row r="190" spans="1:25" s="1340" customFormat="1" ht="5.0999999999999996" hidden="1" customHeight="1" outlineLevel="1">
      <c r="A190" s="1286" t="s">
        <v>195</v>
      </c>
      <c r="B190" s="1286" t="s">
        <v>195</v>
      </c>
      <c r="C190" s="1286"/>
      <c r="D190" s="1339"/>
      <c r="E190" s="1339"/>
      <c r="F190" s="1339"/>
      <c r="G190" s="1339"/>
      <c r="H190" s="1337"/>
      <c r="I190" s="1337"/>
      <c r="J190" s="1315"/>
      <c r="K190" s="1337"/>
      <c r="L190" s="1315"/>
      <c r="M190" s="1337"/>
      <c r="N190" s="1316"/>
      <c r="O190" s="1337"/>
      <c r="P190" s="1315"/>
      <c r="Q190" s="1337"/>
      <c r="R190" s="1315"/>
      <c r="S190" s="1315"/>
      <c r="T190" s="1315"/>
      <c r="U190" s="1337"/>
      <c r="V190" s="1316"/>
      <c r="W190" s="1337"/>
      <c r="X190" s="1337"/>
      <c r="Y190" s="1337"/>
    </row>
    <row r="191" spans="1:25" s="1340" customFormat="1" hidden="1" collapsed="1">
      <c r="A191" s="1286" t="s">
        <v>2034</v>
      </c>
      <c r="B191" s="1286" t="s">
        <v>195</v>
      </c>
      <c r="C191" s="1286"/>
      <c r="D191" s="1337"/>
      <c r="E191" s="1337"/>
      <c r="F191" s="1338" t="s">
        <v>2035</v>
      </c>
      <c r="G191" s="1337"/>
      <c r="H191" s="1337"/>
      <c r="I191" s="1337"/>
      <c r="J191" s="1313">
        <f>SUM(J189:J190)</f>
        <v>0</v>
      </c>
      <c r="K191" s="1337"/>
      <c r="L191" s="1313">
        <f>SUM(L189:L190)</f>
        <v>0</v>
      </c>
      <c r="M191" s="1337"/>
      <c r="N191" s="1314">
        <f>SUM(N189:N190)</f>
        <v>0</v>
      </c>
      <c r="O191" s="1337"/>
      <c r="P191" s="1313">
        <f>J191+L191+N191</f>
        <v>0</v>
      </c>
      <c r="Q191" s="1337"/>
      <c r="R191" s="1313">
        <f>SUM(R189:R190)</f>
        <v>0</v>
      </c>
      <c r="S191" s="1313">
        <f>SUM(S189:S190)</f>
        <v>0</v>
      </c>
      <c r="T191" s="1313">
        <f>SUM(T189:T190)</f>
        <v>0</v>
      </c>
      <c r="U191" s="1337"/>
      <c r="V191" s="1314">
        <f>SUM(V189:V190)</f>
        <v>0</v>
      </c>
      <c r="W191" s="1337"/>
      <c r="X191" s="1337"/>
      <c r="Y191" s="1337"/>
    </row>
    <row r="192" spans="1:25" s="1340" customFormat="1" hidden="1" outlineLevel="1">
      <c r="A192" s="1337"/>
      <c r="B192" s="1285" t="s">
        <v>2036</v>
      </c>
      <c r="C192" s="1286"/>
      <c r="D192" s="1338"/>
      <c r="E192" s="1338"/>
      <c r="F192" s="1339"/>
      <c r="G192" s="1339"/>
      <c r="H192" s="1337"/>
      <c r="I192" s="1337"/>
      <c r="J192" s="1289"/>
      <c r="K192" s="1337"/>
      <c r="L192" s="1289"/>
      <c r="M192" s="1337"/>
      <c r="N192" s="1290"/>
      <c r="O192" s="1337"/>
      <c r="P192" s="1289">
        <f>J192+L192+N192</f>
        <v>0</v>
      </c>
      <c r="Q192" s="1337"/>
      <c r="R192" s="1289"/>
      <c r="S192" s="1289"/>
      <c r="T192" s="1289">
        <f>P192</f>
        <v>0</v>
      </c>
      <c r="U192" s="1337"/>
      <c r="V192" s="1290">
        <f>T192-S192</f>
        <v>0</v>
      </c>
      <c r="W192" s="1337"/>
      <c r="X192" s="1337"/>
    </row>
    <row r="193" spans="1:25" s="1340" customFormat="1" ht="5.0999999999999996" hidden="1" customHeight="1" outlineLevel="1">
      <c r="A193" s="1286" t="s">
        <v>195</v>
      </c>
      <c r="B193" s="1286" t="s">
        <v>195</v>
      </c>
      <c r="C193" s="1286"/>
      <c r="D193" s="1339"/>
      <c r="E193" s="1339"/>
      <c r="F193" s="1339"/>
      <c r="G193" s="1339"/>
      <c r="H193" s="1337"/>
      <c r="I193" s="1337"/>
      <c r="J193" s="1315"/>
      <c r="K193" s="1337"/>
      <c r="L193" s="1315"/>
      <c r="M193" s="1337"/>
      <c r="N193" s="1316"/>
      <c r="O193" s="1337"/>
      <c r="P193" s="1315"/>
      <c r="Q193" s="1337"/>
      <c r="R193" s="1315"/>
      <c r="S193" s="1315"/>
      <c r="T193" s="1315"/>
      <c r="U193" s="1337"/>
      <c r="V193" s="1316"/>
      <c r="W193" s="1337"/>
      <c r="X193" s="1337"/>
      <c r="Y193" s="1337"/>
    </row>
    <row r="194" spans="1:25" s="1340" customFormat="1" hidden="1" collapsed="1">
      <c r="A194" s="1286" t="s">
        <v>2036</v>
      </c>
      <c r="B194" s="1286" t="s">
        <v>195</v>
      </c>
      <c r="C194" s="1286"/>
      <c r="D194" s="1337"/>
      <c r="E194" s="1337"/>
      <c r="F194" s="1338" t="s">
        <v>2037</v>
      </c>
      <c r="G194" s="1337"/>
      <c r="H194" s="1337"/>
      <c r="I194" s="1337"/>
      <c r="J194" s="1313">
        <f>SUM(J192:J193)</f>
        <v>0</v>
      </c>
      <c r="K194" s="1337"/>
      <c r="L194" s="1313">
        <f>SUM(L192:L193)</f>
        <v>0</v>
      </c>
      <c r="M194" s="1337"/>
      <c r="N194" s="1314">
        <f>SUM(N192:N193)</f>
        <v>0</v>
      </c>
      <c r="O194" s="1337"/>
      <c r="P194" s="1313">
        <f>J194+L194+N194</f>
        <v>0</v>
      </c>
      <c r="Q194" s="1337"/>
      <c r="R194" s="1313">
        <f>SUM(R192:R193)</f>
        <v>0</v>
      </c>
      <c r="S194" s="1313">
        <f>SUM(S192:S193)</f>
        <v>0</v>
      </c>
      <c r="T194" s="1313">
        <f>SUM(T192:T193)</f>
        <v>0</v>
      </c>
      <c r="U194" s="1337"/>
      <c r="V194" s="1314">
        <f>SUM(V192:V193)</f>
        <v>0</v>
      </c>
      <c r="W194" s="1337"/>
      <c r="X194" s="1337"/>
      <c r="Y194" s="1337"/>
    </row>
    <row r="195" spans="1:25" s="1340" customFormat="1" hidden="1" outlineLevel="1">
      <c r="A195" s="1337"/>
      <c r="B195" s="1285" t="s">
        <v>2038</v>
      </c>
      <c r="C195" s="1286"/>
      <c r="D195" s="1338"/>
      <c r="E195" s="1338"/>
      <c r="F195" s="1339"/>
      <c r="G195" s="1339"/>
      <c r="H195" s="1337"/>
      <c r="I195" s="1337"/>
      <c r="J195" s="1289"/>
      <c r="K195" s="1337"/>
      <c r="L195" s="1289"/>
      <c r="M195" s="1337"/>
      <c r="N195" s="1290"/>
      <c r="O195" s="1337"/>
      <c r="P195" s="1289">
        <f>J195+L195+N195</f>
        <v>0</v>
      </c>
      <c r="Q195" s="1337"/>
      <c r="R195" s="1289"/>
      <c r="S195" s="1289"/>
      <c r="T195" s="1289">
        <f>P195</f>
        <v>0</v>
      </c>
      <c r="U195" s="1337"/>
      <c r="V195" s="1290">
        <f>T195-S195</f>
        <v>0</v>
      </c>
      <c r="W195" s="1337"/>
      <c r="X195" s="1337"/>
    </row>
    <row r="196" spans="1:25" s="1340" customFormat="1" ht="5.0999999999999996" hidden="1" customHeight="1" outlineLevel="1">
      <c r="A196" s="1286" t="s">
        <v>195</v>
      </c>
      <c r="B196" s="1286" t="s">
        <v>195</v>
      </c>
      <c r="C196" s="1286"/>
      <c r="D196" s="1339"/>
      <c r="E196" s="1339"/>
      <c r="F196" s="1339"/>
      <c r="G196" s="1339"/>
      <c r="H196" s="1337"/>
      <c r="I196" s="1337"/>
      <c r="J196" s="1315"/>
      <c r="K196" s="1337"/>
      <c r="L196" s="1315"/>
      <c r="M196" s="1337"/>
      <c r="N196" s="1316"/>
      <c r="O196" s="1337"/>
      <c r="P196" s="1315"/>
      <c r="Q196" s="1337"/>
      <c r="R196" s="1315"/>
      <c r="S196" s="1315"/>
      <c r="T196" s="1315"/>
      <c r="U196" s="1337"/>
      <c r="V196" s="1316"/>
      <c r="W196" s="1337"/>
      <c r="X196" s="1337"/>
      <c r="Y196" s="1337"/>
    </row>
    <row r="197" spans="1:25" s="1340" customFormat="1" hidden="1" collapsed="1">
      <c r="A197" s="1286" t="s">
        <v>2038</v>
      </c>
      <c r="B197" s="1286" t="s">
        <v>195</v>
      </c>
      <c r="C197" s="1286"/>
      <c r="D197" s="1337"/>
      <c r="E197" s="1337"/>
      <c r="F197" s="1338" t="s">
        <v>2039</v>
      </c>
      <c r="G197" s="1337"/>
      <c r="H197" s="1337"/>
      <c r="I197" s="1337"/>
      <c r="J197" s="1313">
        <f>SUM(J195:J196)</f>
        <v>0</v>
      </c>
      <c r="K197" s="1337"/>
      <c r="L197" s="1313">
        <f>SUM(L195:L196)</f>
        <v>0</v>
      </c>
      <c r="M197" s="1337"/>
      <c r="N197" s="1314">
        <f>SUM(N195:N196)</f>
        <v>0</v>
      </c>
      <c r="O197" s="1337"/>
      <c r="P197" s="1313">
        <f>J197+L197+N197</f>
        <v>0</v>
      </c>
      <c r="Q197" s="1337"/>
      <c r="R197" s="1313">
        <f>SUM(R195:R196)</f>
        <v>0</v>
      </c>
      <c r="S197" s="1313">
        <f>SUM(S195:S196)</f>
        <v>0</v>
      </c>
      <c r="T197" s="1313">
        <f>SUM(T195:T196)</f>
        <v>0</v>
      </c>
      <c r="U197" s="1337"/>
      <c r="V197" s="1314">
        <f>SUM(V195:V196)</f>
        <v>0</v>
      </c>
      <c r="W197" s="1337"/>
      <c r="X197" s="1337"/>
      <c r="Y197" s="1337"/>
    </row>
    <row r="198" spans="1:25" s="1340" customFormat="1" hidden="1" outlineLevel="1">
      <c r="A198" s="1337"/>
      <c r="B198" s="1285" t="s">
        <v>2040</v>
      </c>
      <c r="C198" s="1286"/>
      <c r="D198" s="1338"/>
      <c r="E198" s="1338"/>
      <c r="F198" s="1339"/>
      <c r="G198" s="1339"/>
      <c r="H198" s="1337"/>
      <c r="I198" s="1337"/>
      <c r="J198" s="1289"/>
      <c r="K198" s="1337"/>
      <c r="L198" s="1289"/>
      <c r="M198" s="1337"/>
      <c r="N198" s="1290"/>
      <c r="O198" s="1337"/>
      <c r="P198" s="1289">
        <f>J198+L198+N198</f>
        <v>0</v>
      </c>
      <c r="Q198" s="1337"/>
      <c r="R198" s="1289"/>
      <c r="S198" s="1289"/>
      <c r="T198" s="1289">
        <f>P198</f>
        <v>0</v>
      </c>
      <c r="U198" s="1337"/>
      <c r="V198" s="1290">
        <f>T198-S198</f>
        <v>0</v>
      </c>
      <c r="W198" s="1337"/>
      <c r="X198" s="1337"/>
    </row>
    <row r="199" spans="1:25" s="1340" customFormat="1" ht="5.0999999999999996" hidden="1" customHeight="1" outlineLevel="1">
      <c r="A199" s="1286" t="s">
        <v>195</v>
      </c>
      <c r="B199" s="1311"/>
      <c r="C199" s="1311"/>
      <c r="D199" s="1339"/>
      <c r="E199" s="1339"/>
      <c r="F199" s="1339"/>
      <c r="G199" s="1339"/>
      <c r="H199" s="1337"/>
      <c r="I199" s="1337"/>
      <c r="J199" s="1315"/>
      <c r="K199" s="1337"/>
      <c r="L199" s="1315"/>
      <c r="M199" s="1337"/>
      <c r="N199" s="1316"/>
      <c r="O199" s="1337"/>
      <c r="P199" s="1315"/>
      <c r="Q199" s="1337"/>
      <c r="R199" s="1315"/>
      <c r="S199" s="1315"/>
      <c r="T199" s="1315"/>
      <c r="U199" s="1337"/>
      <c r="V199" s="1316"/>
      <c r="W199" s="1337"/>
      <c r="X199" s="1337"/>
      <c r="Y199" s="1337"/>
    </row>
    <row r="200" spans="1:25" s="1340" customFormat="1" hidden="1" collapsed="1">
      <c r="A200" s="1286" t="s">
        <v>2040</v>
      </c>
      <c r="B200" s="1311"/>
      <c r="C200" s="1311"/>
      <c r="D200" s="1337"/>
      <c r="E200" s="1337"/>
      <c r="F200" s="1338" t="s">
        <v>2041</v>
      </c>
      <c r="G200" s="1337"/>
      <c r="H200" s="1337"/>
      <c r="I200" s="1337"/>
      <c r="J200" s="1313">
        <f>SUM(J198:J199)</f>
        <v>0</v>
      </c>
      <c r="K200" s="1337"/>
      <c r="L200" s="1313">
        <f>SUM(L198:L199)</f>
        <v>0</v>
      </c>
      <c r="M200" s="1337"/>
      <c r="N200" s="1314">
        <f>SUM(N198:N199)</f>
        <v>0</v>
      </c>
      <c r="O200" s="1337"/>
      <c r="P200" s="1313">
        <f>J200+L200+N200</f>
        <v>0</v>
      </c>
      <c r="Q200" s="1337"/>
      <c r="R200" s="1313">
        <f>SUM(R198:R199)</f>
        <v>0</v>
      </c>
      <c r="S200" s="1313">
        <f>SUM(S198:S199)</f>
        <v>0</v>
      </c>
      <c r="T200" s="1313">
        <f>SUM(T198:T199)</f>
        <v>0</v>
      </c>
      <c r="U200" s="1337"/>
      <c r="V200" s="1314">
        <f>SUM(V198:V199)</f>
        <v>0</v>
      </c>
      <c r="W200" s="1337"/>
      <c r="X200" s="1337"/>
      <c r="Y200" s="1337"/>
    </row>
    <row r="201" spans="1:25" s="1340" customFormat="1" ht="7.5" hidden="1" customHeight="1">
      <c r="A201" s="1311"/>
      <c r="B201" s="1286"/>
      <c r="C201" s="1286"/>
      <c r="D201" s="1337"/>
      <c r="E201" s="1337"/>
      <c r="F201" s="1337"/>
      <c r="G201" s="1337"/>
      <c r="H201" s="1337"/>
      <c r="I201" s="1337"/>
      <c r="J201" s="1318"/>
      <c r="K201" s="1337"/>
      <c r="L201" s="1318"/>
      <c r="M201" s="1337"/>
      <c r="N201" s="1290"/>
      <c r="O201" s="1337"/>
      <c r="P201" s="1318"/>
      <c r="Q201" s="1337"/>
      <c r="R201" s="1318"/>
      <c r="S201" s="1318"/>
      <c r="T201" s="1318"/>
      <c r="U201" s="1337"/>
      <c r="V201" s="1290"/>
      <c r="W201" s="1337"/>
      <c r="X201" s="1337"/>
      <c r="Y201" s="1337"/>
    </row>
    <row r="202" spans="1:25" s="1340" customFormat="1" outlineLevel="1">
      <c r="A202" s="1337"/>
      <c r="B202" s="1285" t="s">
        <v>2042</v>
      </c>
      <c r="C202" s="1286"/>
      <c r="D202" s="1338">
        <v>29100</v>
      </c>
      <c r="E202" s="1338" t="s">
        <v>2043</v>
      </c>
      <c r="F202" s="1339"/>
      <c r="G202" s="1339"/>
      <c r="H202" s="1337"/>
      <c r="I202" s="1337"/>
      <c r="J202" s="1289">
        <v>677822.26</v>
      </c>
      <c r="K202" s="1337"/>
      <c r="L202" s="1289">
        <v>0</v>
      </c>
      <c r="M202" s="1337"/>
      <c r="N202" s="1290">
        <v>0</v>
      </c>
      <c r="O202" s="1337"/>
      <c r="P202" s="1289">
        <f>J202+L202+N202</f>
        <v>677822.26</v>
      </c>
      <c r="Q202" s="1337"/>
      <c r="R202" s="1289">
        <v>653614.37</v>
      </c>
      <c r="S202" s="1289">
        <v>662760.26</v>
      </c>
      <c r="T202" s="1289">
        <f>P202</f>
        <v>677822.26</v>
      </c>
      <c r="U202" s="1337"/>
      <c r="V202" s="1290">
        <f>T202-S202</f>
        <v>15062</v>
      </c>
      <c r="W202" s="1337"/>
      <c r="X202" s="1337"/>
    </row>
    <row r="203" spans="1:25" s="1340" customFormat="1" ht="5.0999999999999996" customHeight="1" outlineLevel="1">
      <c r="A203" s="1286" t="s">
        <v>195</v>
      </c>
      <c r="B203" s="1311"/>
      <c r="C203" s="1311"/>
      <c r="D203" s="1339"/>
      <c r="E203" s="1339"/>
      <c r="F203" s="1339"/>
      <c r="G203" s="1339"/>
      <c r="H203" s="1337"/>
      <c r="I203" s="1337"/>
      <c r="J203" s="1315"/>
      <c r="K203" s="1337"/>
      <c r="L203" s="1315"/>
      <c r="M203" s="1337"/>
      <c r="N203" s="1316"/>
      <c r="O203" s="1337"/>
      <c r="P203" s="1315"/>
      <c r="Q203" s="1337"/>
      <c r="R203" s="1315"/>
      <c r="S203" s="1315"/>
      <c r="T203" s="1315"/>
      <c r="U203" s="1337"/>
      <c r="V203" s="1316"/>
      <c r="W203" s="1337"/>
      <c r="X203" s="1337"/>
      <c r="Y203" s="1337"/>
    </row>
    <row r="204" spans="1:25" s="1340" customFormat="1">
      <c r="A204" s="1286" t="s">
        <v>2042</v>
      </c>
      <c r="B204" s="1311"/>
      <c r="C204" s="1311"/>
      <c r="D204" s="1337"/>
      <c r="E204" s="1337"/>
      <c r="F204" s="1338" t="s">
        <v>2043</v>
      </c>
      <c r="G204" s="1337"/>
      <c r="H204" s="1337"/>
      <c r="I204" s="1337"/>
      <c r="J204" s="1313">
        <f>SUM(J202:J203)</f>
        <v>677822.26</v>
      </c>
      <c r="K204" s="1337"/>
      <c r="L204" s="1313">
        <f>SUM(L202:L203)</f>
        <v>0</v>
      </c>
      <c r="M204" s="1337"/>
      <c r="N204" s="1314">
        <f>SUM(N202:N203)</f>
        <v>0</v>
      </c>
      <c r="O204" s="1337"/>
      <c r="P204" s="1313">
        <f>J204+L204+N204</f>
        <v>677822.26</v>
      </c>
      <c r="Q204" s="1337"/>
      <c r="R204" s="1313">
        <f>SUM(R202:R203)</f>
        <v>653614.37</v>
      </c>
      <c r="S204" s="1313">
        <f>SUM(S202:S203)</f>
        <v>662760.26</v>
      </c>
      <c r="T204" s="1313">
        <f>SUM(T202:T203)</f>
        <v>677822.26</v>
      </c>
      <c r="U204" s="1337"/>
      <c r="V204" s="1314">
        <f>SUM(V202:V203)</f>
        <v>15062</v>
      </c>
      <c r="W204" s="1337"/>
      <c r="X204" s="1337"/>
      <c r="Y204" s="1337"/>
    </row>
    <row r="205" spans="1:25" s="1340" customFormat="1" ht="7.5" customHeight="1">
      <c r="A205" s="1311"/>
      <c r="B205" s="1286"/>
      <c r="C205" s="1286"/>
      <c r="D205" s="1337"/>
      <c r="E205" s="1337"/>
      <c r="F205" s="1337"/>
      <c r="G205" s="1337"/>
      <c r="H205" s="1337"/>
      <c r="I205" s="1337"/>
      <c r="J205" s="1318"/>
      <c r="K205" s="1337"/>
      <c r="L205" s="1318"/>
      <c r="M205" s="1337"/>
      <c r="N205" s="1290"/>
      <c r="O205" s="1337"/>
      <c r="P205" s="1318"/>
      <c r="Q205" s="1337"/>
      <c r="R205" s="1318"/>
      <c r="S205" s="1318"/>
      <c r="T205" s="1318"/>
      <c r="U205" s="1337"/>
      <c r="V205" s="1290"/>
      <c r="W205" s="1337"/>
      <c r="X205" s="1337"/>
      <c r="Y205" s="1337"/>
    </row>
    <row r="206" spans="1:25" s="1340" customFormat="1">
      <c r="A206" s="1311"/>
      <c r="B206" s="1286"/>
      <c r="C206" s="1286"/>
      <c r="D206" s="1337"/>
      <c r="E206" s="1364" t="s">
        <v>2043</v>
      </c>
      <c r="F206" s="1337"/>
      <c r="G206" s="1337"/>
      <c r="H206" s="1337"/>
      <c r="I206" s="1337"/>
      <c r="J206" s="1320">
        <f>SUM(J182,J188,J194,J200,J191,J185,J197,J204)</f>
        <v>677822.26</v>
      </c>
      <c r="K206" s="1337"/>
      <c r="L206" s="1320">
        <f>SUM(L182,L188,L194,L200,L191,L185,L197,L204)</f>
        <v>0</v>
      </c>
      <c r="M206" s="1337"/>
      <c r="N206" s="1321">
        <f>SUM(N182,N188,N194,N200,N191,N185,N197,N204)</f>
        <v>0</v>
      </c>
      <c r="O206" s="1337"/>
      <c r="P206" s="1320">
        <f>SUM(P182,P188,P194,P200,P191,P185,P197,P204)</f>
        <v>677822.26</v>
      </c>
      <c r="Q206" s="1337"/>
      <c r="R206" s="1320">
        <f>SUM(R182,R188,R194,R200,R191,R185,R197,R204)</f>
        <v>653614.37</v>
      </c>
      <c r="S206" s="1320">
        <f>SUM(S182,S188,S194,S200,S191,S185,S197,S204)</f>
        <v>662760.26</v>
      </c>
      <c r="T206" s="1320">
        <f>SUM(T182,T188,T194,T200,T191,T185,T197,T204)</f>
        <v>677822.26</v>
      </c>
      <c r="U206" s="1337"/>
      <c r="V206" s="1321">
        <f>SUM(V182,V188,V194,V200,V191,V185,V197,V204)</f>
        <v>15062</v>
      </c>
      <c r="W206" s="1337"/>
      <c r="X206" s="1337"/>
      <c r="Y206" s="1337"/>
    </row>
    <row r="207" spans="1:25" s="1340" customFormat="1" ht="7.5" customHeight="1">
      <c r="A207" s="1286"/>
      <c r="B207" s="1286"/>
      <c r="C207" s="1286"/>
      <c r="D207" s="1337"/>
      <c r="E207" s="1337"/>
      <c r="F207" s="1337"/>
      <c r="G207" s="1337"/>
      <c r="H207" s="1337"/>
      <c r="I207" s="1337"/>
      <c r="J207" s="1318"/>
      <c r="K207" s="1337"/>
      <c r="L207" s="1318"/>
      <c r="M207" s="1337"/>
      <c r="N207" s="1290"/>
      <c r="O207" s="1337"/>
      <c r="P207" s="1318"/>
      <c r="Q207" s="1337"/>
      <c r="R207" s="1318"/>
      <c r="S207" s="1318"/>
      <c r="T207" s="1318"/>
      <c r="U207" s="1337"/>
      <c r="V207" s="1290"/>
      <c r="W207" s="1337"/>
      <c r="X207" s="1337"/>
      <c r="Y207" s="1337"/>
    </row>
    <row r="208" spans="1:25" s="1340" customFormat="1" ht="13.5" thickBot="1">
      <c r="A208" s="1286"/>
      <c r="B208" s="1286"/>
      <c r="C208" s="1286"/>
      <c r="D208" s="1337"/>
      <c r="E208" s="1364" t="s">
        <v>2044</v>
      </c>
      <c r="F208" s="1337"/>
      <c r="G208" s="1337"/>
      <c r="H208" s="1337"/>
      <c r="I208" s="1337"/>
      <c r="J208" s="1325">
        <f>+J178+J206</f>
        <v>798435.44</v>
      </c>
      <c r="K208" s="1337"/>
      <c r="L208" s="1325">
        <f>+L178+L206</f>
        <v>0</v>
      </c>
      <c r="M208" s="1337"/>
      <c r="N208" s="1326">
        <f>+N178+N206</f>
        <v>0</v>
      </c>
      <c r="O208" s="1337"/>
      <c r="P208" s="1325">
        <f>+P178+P206</f>
        <v>798435.44</v>
      </c>
      <c r="Q208" s="1337"/>
      <c r="R208" s="1325">
        <f>+R178+R206</f>
        <v>807552.17999999993</v>
      </c>
      <c r="S208" s="1325">
        <f>+S178+S206</f>
        <v>919943.11</v>
      </c>
      <c r="T208" s="1325">
        <f>+T178+T206</f>
        <v>798435.44</v>
      </c>
      <c r="U208" s="1337"/>
      <c r="V208" s="1326">
        <f>+V178+V206</f>
        <v>-121507.66999999998</v>
      </c>
      <c r="W208" s="1337"/>
      <c r="X208" s="1337"/>
      <c r="Y208" s="1337"/>
    </row>
    <row r="209" spans="1:25" s="1340" customFormat="1" ht="7.5" customHeight="1" thickTop="1">
      <c r="A209" s="1286"/>
      <c r="B209" s="1286"/>
      <c r="C209" s="1286"/>
      <c r="D209" s="1337"/>
      <c r="E209" s="1337"/>
      <c r="F209" s="1337"/>
      <c r="G209" s="1337"/>
      <c r="H209" s="1337"/>
      <c r="I209" s="1337"/>
      <c r="J209" s="1318"/>
      <c r="K209" s="1337"/>
      <c r="L209" s="1318"/>
      <c r="M209" s="1337"/>
      <c r="N209" s="1290"/>
      <c r="O209" s="1337"/>
      <c r="P209" s="1318"/>
      <c r="Q209" s="1337"/>
      <c r="R209" s="1318"/>
      <c r="S209" s="1318"/>
      <c r="T209" s="1318"/>
      <c r="U209" s="1337"/>
      <c r="V209" s="1290"/>
      <c r="W209" s="1337"/>
      <c r="X209" s="1337"/>
      <c r="Y209" s="1337"/>
    </row>
    <row r="210" spans="1:25" s="1368" customFormat="1" ht="12">
      <c r="A210" s="1286"/>
      <c r="B210" s="1286"/>
      <c r="C210" s="1286"/>
      <c r="D210" s="1337"/>
      <c r="E210" s="1337"/>
      <c r="F210" s="1337" t="s">
        <v>2045</v>
      </c>
      <c r="G210" s="1337"/>
      <c r="H210" s="1337"/>
      <c r="I210" s="1337"/>
      <c r="J210" s="1318">
        <f>J123-J208</f>
        <v>0</v>
      </c>
      <c r="K210" s="1337"/>
      <c r="L210" s="1318">
        <f>L123-L208</f>
        <v>0</v>
      </c>
      <c r="M210" s="1337"/>
      <c r="N210" s="1318">
        <f>N123-N208</f>
        <v>0</v>
      </c>
      <c r="O210" s="1337"/>
      <c r="P210" s="1318">
        <f>P123-P208</f>
        <v>0</v>
      </c>
      <c r="Q210" s="1337"/>
      <c r="R210" s="1318">
        <f>R123-R208</f>
        <v>0</v>
      </c>
      <c r="S210" s="1318">
        <f>S123-S208</f>
        <v>0</v>
      </c>
      <c r="T210" s="1318">
        <f>T123-T208</f>
        <v>0</v>
      </c>
      <c r="U210" s="1337"/>
      <c r="V210" s="1318">
        <f>V123-V208</f>
        <v>0</v>
      </c>
      <c r="W210" s="1337"/>
      <c r="X210" s="1337"/>
      <c r="Y210" s="1337"/>
    </row>
    <row r="211" spans="1:25" s="1330" customFormat="1" ht="9.75" customHeight="1">
      <c r="A211" s="1286"/>
      <c r="B211" s="1311"/>
      <c r="C211" s="1311"/>
      <c r="D211" s="1337"/>
      <c r="E211" s="1337"/>
      <c r="F211" s="1338"/>
      <c r="G211" s="1337"/>
      <c r="H211" s="1286"/>
      <c r="I211" s="1286"/>
      <c r="J211" s="1329"/>
      <c r="K211" s="1286"/>
      <c r="L211" s="1286"/>
      <c r="M211" s="1286"/>
      <c r="N211" s="1286"/>
      <c r="O211" s="1286"/>
      <c r="P211" s="1286"/>
      <c r="Q211" s="1286"/>
      <c r="R211" s="1286"/>
      <c r="S211" s="1286"/>
      <c r="T211" s="1286"/>
      <c r="U211" s="1286"/>
      <c r="V211" s="1286"/>
      <c r="W211" s="1286"/>
      <c r="X211" s="1286"/>
      <c r="Y211" s="1286"/>
    </row>
    <row r="212" spans="1:25" s="1340" customFormat="1" hidden="1" outlineLevel="1">
      <c r="A212" s="1286"/>
      <c r="B212" s="1285" t="s">
        <v>319</v>
      </c>
      <c r="C212" s="1286"/>
      <c r="D212" s="1338"/>
      <c r="E212" s="1338"/>
      <c r="F212" s="1339"/>
      <c r="G212" s="1339"/>
      <c r="H212" s="1337"/>
      <c r="I212" s="1337"/>
      <c r="J212" s="1289"/>
      <c r="K212" s="1337"/>
      <c r="L212" s="1289"/>
      <c r="M212" s="1337"/>
      <c r="N212" s="1290"/>
      <c r="O212" s="1337"/>
      <c r="P212" s="1289"/>
      <c r="Q212" s="1337"/>
      <c r="R212" s="1289"/>
      <c r="S212" s="1289"/>
      <c r="T212" s="1289"/>
      <c r="U212" s="1337"/>
      <c r="V212" s="1290"/>
      <c r="W212" s="1337"/>
      <c r="X212" s="1337"/>
      <c r="Y212" s="1337"/>
    </row>
    <row r="213" spans="1:25" ht="6" hidden="1" customHeight="1" outlineLevel="1">
      <c r="A213" s="1311"/>
      <c r="B213" s="1286"/>
      <c r="C213" s="1286"/>
      <c r="D213" s="1286"/>
      <c r="E213" s="1286"/>
      <c r="F213" s="1286"/>
      <c r="G213" s="1286"/>
      <c r="H213" s="1286"/>
      <c r="I213" s="1286"/>
      <c r="J213" s="1315"/>
      <c r="K213" s="1318"/>
      <c r="L213" s="1315"/>
      <c r="M213" s="1286"/>
      <c r="N213" s="1315"/>
      <c r="O213" s="1286"/>
      <c r="P213" s="1315"/>
      <c r="Q213" s="1286"/>
      <c r="R213" s="1315"/>
      <c r="S213" s="1315"/>
      <c r="T213" s="1315"/>
      <c r="U213" s="1286"/>
      <c r="V213" s="1315"/>
      <c r="W213" s="1286"/>
      <c r="X213" s="1286"/>
      <c r="Y213" s="1286"/>
    </row>
    <row r="214" spans="1:25" s="1262" customFormat="1" collapsed="1">
      <c r="A214" s="1286" t="s">
        <v>319</v>
      </c>
      <c r="B214" s="1331"/>
      <c r="C214" s="1331"/>
      <c r="D214" s="1331"/>
      <c r="E214" s="1331" t="s">
        <v>320</v>
      </c>
      <c r="F214" s="1331"/>
      <c r="G214" s="1331"/>
      <c r="H214" s="1331"/>
      <c r="I214" s="1331"/>
      <c r="J214" s="1332">
        <f>SUM(J212:J213)</f>
        <v>0</v>
      </c>
      <c r="K214" s="1369"/>
      <c r="L214" s="1332">
        <f>SUM(L212:L213)</f>
        <v>0</v>
      </c>
      <c r="M214" s="1369"/>
      <c r="N214" s="1332">
        <f>SUM(N212:N213)</f>
        <v>0</v>
      </c>
      <c r="O214" s="1369"/>
      <c r="P214" s="1332">
        <f>SUM(P212:P213)</f>
        <v>0</v>
      </c>
      <c r="Q214" s="1369"/>
      <c r="R214" s="1332">
        <f>SUM(R212:R213)</f>
        <v>0</v>
      </c>
      <c r="S214" s="1332">
        <f>SUM(S212:S213)</f>
        <v>0</v>
      </c>
      <c r="T214" s="1332">
        <f>SUM(T212:T213)</f>
        <v>0</v>
      </c>
      <c r="U214" s="1369"/>
      <c r="V214" s="1332">
        <f>SUM(V212:V213)</f>
        <v>0</v>
      </c>
      <c r="W214" s="1286"/>
      <c r="X214" s="1286"/>
      <c r="Y214" s="1286"/>
    </row>
    <row r="215" spans="1:25">
      <c r="A215" s="1334"/>
      <c r="B215" s="1286"/>
      <c r="C215" s="1286"/>
      <c r="D215" s="1286"/>
      <c r="E215" s="1286"/>
      <c r="F215" s="1286"/>
      <c r="G215" s="1286"/>
      <c r="H215" s="1286"/>
      <c r="I215" s="1286"/>
      <c r="J215" s="1335"/>
      <c r="K215" s="1335"/>
      <c r="L215" s="1336"/>
      <c r="M215" s="1336"/>
      <c r="N215" s="1336"/>
      <c r="O215" s="1336"/>
      <c r="P215" s="1336"/>
      <c r="Q215" s="1336"/>
      <c r="R215" s="1336"/>
      <c r="S215" s="1336"/>
      <c r="T215" s="1336"/>
      <c r="U215" s="1336"/>
      <c r="V215" s="1336"/>
      <c r="W215" s="1286"/>
      <c r="X215" s="1286"/>
      <c r="Y215" s="1286"/>
    </row>
    <row r="216" spans="1:25">
      <c r="B216" s="1286"/>
      <c r="C216" s="1286"/>
      <c r="D216" s="1286"/>
      <c r="E216" s="1286"/>
      <c r="F216" s="1286"/>
      <c r="G216" s="1286"/>
      <c r="H216" s="1286"/>
      <c r="I216" s="1286"/>
      <c r="J216" s="1286"/>
      <c r="K216" s="1286"/>
      <c r="L216" s="1286"/>
      <c r="M216" s="1286"/>
      <c r="N216" s="1286"/>
      <c r="O216" s="1286"/>
      <c r="P216" s="1286"/>
      <c r="Q216" s="1286"/>
      <c r="R216" s="1286"/>
      <c r="S216" s="1286"/>
      <c r="T216" s="1286"/>
      <c r="U216" s="1286"/>
      <c r="V216" s="1286"/>
      <c r="W216" s="1286"/>
      <c r="X216" s="1286"/>
      <c r="Y216" s="1286"/>
    </row>
    <row r="217" spans="1:25">
      <c r="B217" s="1286"/>
      <c r="C217" s="1286"/>
      <c r="D217" s="1286"/>
      <c r="E217" s="1286"/>
      <c r="F217" s="1286"/>
      <c r="G217" s="1286"/>
      <c r="H217" s="1286"/>
      <c r="I217" s="1286"/>
      <c r="J217" s="1286"/>
      <c r="K217" s="1286"/>
      <c r="L217" s="1286"/>
      <c r="M217" s="1286"/>
      <c r="N217" s="1286"/>
      <c r="O217" s="1286"/>
      <c r="P217" s="1286"/>
      <c r="Q217" s="1286"/>
      <c r="R217" s="1286"/>
      <c r="S217" s="1286"/>
      <c r="T217" s="1286"/>
      <c r="U217" s="1286"/>
      <c r="V217" s="1286"/>
      <c r="W217" s="1286"/>
      <c r="X217" s="1286"/>
      <c r="Y217" s="1286"/>
    </row>
  </sheetData>
  <dataValidations count="1">
    <dataValidation type="list" allowBlank="1" showInputMessage="1" showErrorMessage="1" sqref="V7">
      <formula1>"TRUE,FALSE"</formula1>
    </dataValidation>
  </dataValidations>
  <pageMargins left="0.5" right="0.5" top="0.39" bottom="0.4" header="0.25" footer="0.25"/>
  <pageSetup scale="47" fitToHeight="0" orientation="portrait" errors="blank" r:id="rId1"/>
  <headerFooter alignWithMargins="0">
    <oddHeader>&amp;R&amp;D - &amp;T</oddHeader>
    <oddFooter>&amp;L&amp;F - &amp;A&amp;RPage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18"/>
  <sheetViews>
    <sheetView showGridLines="0" view="pageBreakPreview" topLeftCell="D7" zoomScale="60" zoomScaleNormal="75" workbookViewId="0">
      <pane xSplit="5" ySplit="7" topLeftCell="I105" activePane="bottomRight" state="frozen"/>
      <selection activeCell="Q27" sqref="Q27"/>
      <selection pane="topRight" activeCell="Q27" sqref="Q27"/>
      <selection pane="bottomLeft" activeCell="Q27" sqref="Q27"/>
      <selection pane="bottomRight" activeCell="Q27" sqref="Q27"/>
    </sheetView>
  </sheetViews>
  <sheetFormatPr defaultColWidth="13.85546875" defaultRowHeight="12.75" outlineLevelRow="1"/>
  <cols>
    <col min="1" max="1" width="116.7109375" style="1259" customWidth="1"/>
    <col min="2" max="2" width="16.5703125" style="1259" customWidth="1"/>
    <col min="3" max="3" width="12.42578125" style="1259" customWidth="1"/>
    <col min="4" max="4" width="6.85546875" style="1259" customWidth="1"/>
    <col min="5" max="6" width="2.28515625" style="1259" customWidth="1"/>
    <col min="7" max="7" width="25.5703125" style="1259" customWidth="1"/>
    <col min="8" max="8" width="3.85546875" style="1259" customWidth="1"/>
    <col min="9" max="9" width="2" style="1259" customWidth="1"/>
    <col min="10" max="10" width="15.5703125" style="1259" customWidth="1"/>
    <col min="11" max="11" width="1.85546875" style="1259" customWidth="1"/>
    <col min="12" max="12" width="15.5703125" style="1259" customWidth="1"/>
    <col min="13" max="13" width="1.85546875" style="1259" customWidth="1"/>
    <col min="14" max="14" width="15.5703125" style="1259" customWidth="1"/>
    <col min="15" max="15" width="1.85546875" style="1259" customWidth="1"/>
    <col min="16" max="16" width="15.5703125" style="1259" customWidth="1"/>
    <col min="17" max="17" width="3.140625" style="1259" customWidth="1"/>
    <col min="18" max="20" width="16.28515625" style="1259" bestFit="1" customWidth="1"/>
    <col min="21" max="21" width="1.85546875" style="1259" customWidth="1"/>
    <col min="22" max="22" width="15.5703125" style="1259" customWidth="1"/>
    <col min="23" max="23" width="2.85546875" style="1259" customWidth="1"/>
    <col min="24" max="16384" width="13.85546875" style="1259"/>
  </cols>
  <sheetData>
    <row r="1" spans="1:25">
      <c r="D1" s="1259" t="s">
        <v>177</v>
      </c>
      <c r="E1" s="1259" t="s">
        <v>178</v>
      </c>
      <c r="F1" s="1260"/>
      <c r="G1" s="1261"/>
      <c r="J1" s="1259" t="s">
        <v>190</v>
      </c>
      <c r="L1" s="1259" t="s">
        <v>1912</v>
      </c>
      <c r="N1" s="1259" t="s">
        <v>1913</v>
      </c>
      <c r="R1" s="1283" t="s">
        <v>188</v>
      </c>
      <c r="S1" s="1283" t="s">
        <v>189</v>
      </c>
    </row>
    <row r="2" spans="1:25" s="1266" customFormat="1" outlineLevel="1">
      <c r="A2" s="1284"/>
      <c r="B2" s="1285"/>
      <c r="C2" s="1286"/>
      <c r="D2" s="1287"/>
      <c r="E2" s="1287"/>
      <c r="F2" s="1288"/>
      <c r="G2" s="1288"/>
      <c r="H2" s="1284"/>
      <c r="I2" s="1284"/>
      <c r="J2" s="1289">
        <v>0</v>
      </c>
      <c r="K2" s="1284"/>
      <c r="L2" s="1289">
        <v>0</v>
      </c>
      <c r="M2" s="1284"/>
      <c r="N2" s="1290">
        <v>0</v>
      </c>
      <c r="O2" s="1284"/>
      <c r="P2" s="1289">
        <f>J2+L2+N2</f>
        <v>0</v>
      </c>
      <c r="Q2" s="1284"/>
      <c r="R2" s="1289">
        <v>0</v>
      </c>
      <c r="S2" s="1289">
        <v>0</v>
      </c>
      <c r="T2" s="1289">
        <f>P2</f>
        <v>0</v>
      </c>
      <c r="U2" s="1284"/>
      <c r="V2" s="1290">
        <f>T2-S2</f>
        <v>0</v>
      </c>
      <c r="W2" s="1284"/>
      <c r="X2" s="1284"/>
    </row>
    <row r="3" spans="1:25">
      <c r="G3" s="1261"/>
      <c r="J3" s="1259" t="str">
        <f>D9</f>
        <v>2017-12</v>
      </c>
      <c r="L3" s="1259" t="str">
        <f>D9</f>
        <v>2017-12</v>
      </c>
      <c r="N3" s="1259" t="str">
        <f>YearMonth</f>
        <v>2017-12</v>
      </c>
      <c r="P3" s="1259" t="str">
        <f>D9</f>
        <v>2017-12</v>
      </c>
      <c r="R3" s="1259" t="str">
        <f>IFERROR(TEXT(EDATE($B$7,MID(LEFT(R1,FIND(")",R1)-1),FIND("(",R1)+1,LEN(R1))),"yyyy-mm"),"")</f>
        <v>2017-10</v>
      </c>
      <c r="S3" s="1259" t="str">
        <f>IFERROR(TEXT(EDATE($B$7,MID(LEFT(S1,FIND(")",S1)-1),FIND("(",S1)+1,LEN(S1))),"yyyy-mm"),"")</f>
        <v>2017-11</v>
      </c>
      <c r="T3" s="1259" t="str">
        <f>D9</f>
        <v>2017-12</v>
      </c>
    </row>
    <row r="4" spans="1:25">
      <c r="A4" s="1259" t="str">
        <f>_xll.jBinder("MarkerCell")</f>
        <v>jBinderOption{MarkerCell}: This cell will be used to note the tab was created from the binder.</v>
      </c>
      <c r="B4" s="1259" t="str">
        <f ca="1">_xll.ReportVariable("FinCube",B11:B218,A1:Y1,A2:Y2,_xll.Param("BS"&amp;IF(ExcludeIC=TRUE,",!Eliminated",""),District,System,,,,"*",,RIGHT(YearMonth,2),LEFT(YearMonth,4),,,1,,FALSE))</f>
        <v>OK!: ReportVariable Formula OK [jAction{}]</v>
      </c>
      <c r="G4" s="1261"/>
      <c r="J4" s="1259" t="s">
        <v>1914</v>
      </c>
      <c r="L4" s="1259" t="s">
        <v>1915</v>
      </c>
      <c r="N4" s="1259" t="s">
        <v>1913</v>
      </c>
      <c r="P4" s="1259" t="s">
        <v>1179</v>
      </c>
      <c r="R4" s="1259" t="s">
        <v>1179</v>
      </c>
      <c r="S4" s="1259" t="s">
        <v>1179</v>
      </c>
      <c r="T4" s="1259" t="s">
        <v>1179</v>
      </c>
    </row>
    <row r="5" spans="1:25">
      <c r="A5" s="1259" t="str">
        <f>_xll.jBinder("ChooseSegmentListtoIterateThru","Dist")</f>
        <v>jBinderOption{ChooseSegmentListtoIterateThru|Dist}: Option "ChooseSegmentListtoIterateThru" has value "Dist"</v>
      </c>
      <c r="B5" s="1259" t="str">
        <f ca="1">_xll.ReportDrill(,"JEQuery_WithStaged",_xll.PairGroup(_xll.PairExt("C:d","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6" spans="1:25">
      <c r="A6" s="1259" t="str">
        <f>_xll.jBinder("CreateSummaryTab","False")</f>
        <v>jBinderOption{CreateSummaryTab|False}: Option "CreateSummaryTab" has value "False"</v>
      </c>
      <c r="B6" s="1259" t="str">
        <f ca="1">_xll.ReportDrill(,"JEQuery_WithStaged",_xll.PairGroup(_xll.PairExt("C:a","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7" spans="1:25" s="1272" customFormat="1" ht="15.75">
      <c r="A7" s="1259" t="str">
        <f ca="1">_xll.jBinder("Dist",District)</f>
        <v>jBinderOption{Dist||N7}: "Dist" can iterate on cell "N7"</v>
      </c>
      <c r="B7" s="1291">
        <f>DATEVALUE(RIGHT(YearMonth,2)&amp;"/1/"&amp;LEFT(YearMonth,4))</f>
        <v>43070</v>
      </c>
      <c r="C7" s="1259"/>
      <c r="D7" s="1271" t="s">
        <v>191</v>
      </c>
      <c r="L7" s="1273" t="s">
        <v>192</v>
      </c>
      <c r="N7" s="1274">
        <v>2120</v>
      </c>
      <c r="T7" s="1273" t="s">
        <v>194</v>
      </c>
      <c r="U7" s="1292"/>
      <c r="V7" s="1274"/>
      <c r="X7" s="1293"/>
    </row>
    <row r="8" spans="1:25" s="1272" customFormat="1" ht="15.75">
      <c r="A8" s="1272" t="str">
        <f>_xll.jBinder("TabSuffix","_BS")</f>
        <v>jBinderOption{TabSuffix|_BS}: Option "TabSuffix" has value "_BS"</v>
      </c>
      <c r="B8" s="1294"/>
      <c r="C8" s="1294"/>
      <c r="D8" s="1271" t="s">
        <v>1916</v>
      </c>
      <c r="J8" s="1279" t="str">
        <f>IF(ISERROR($B$7),"The date cell in D9  must be in YYYY-MM format","")</f>
        <v/>
      </c>
      <c r="N8" s="1274"/>
      <c r="T8" s="1273" t="s">
        <v>196</v>
      </c>
      <c r="V8" s="1275" t="s">
        <v>195</v>
      </c>
    </row>
    <row r="9" spans="1:25" s="1272" customFormat="1" ht="15.75">
      <c r="B9" s="1294"/>
      <c r="C9" s="1294"/>
      <c r="D9" s="1276" t="s">
        <v>197</v>
      </c>
      <c r="J9" s="1295" t="s">
        <v>1917</v>
      </c>
      <c r="K9" s="1296"/>
      <c r="L9" s="1295" t="s">
        <v>1917</v>
      </c>
      <c r="M9" s="1296"/>
      <c r="N9" s="1295" t="s">
        <v>1917</v>
      </c>
      <c r="O9" s="1296"/>
      <c r="P9" s="1295" t="s">
        <v>1917</v>
      </c>
      <c r="Q9" s="1296"/>
      <c r="R9" s="1295" t="s">
        <v>1917</v>
      </c>
      <c r="S9" s="1295" t="s">
        <v>1917</v>
      </c>
      <c r="T9" s="1295" t="s">
        <v>1917</v>
      </c>
    </row>
    <row r="10" spans="1:25" s="1272" customFormat="1" ht="15">
      <c r="B10" s="1286"/>
      <c r="C10" s="1286"/>
      <c r="D10" s="1297"/>
      <c r="E10" s="1298"/>
      <c r="F10" s="1298"/>
      <c r="G10" s="1298"/>
      <c r="H10" s="1298"/>
      <c r="I10" s="1298"/>
      <c r="J10" s="1299" t="s">
        <v>1918</v>
      </c>
      <c r="K10" s="1299"/>
      <c r="L10" s="1299"/>
      <c r="M10" s="1299"/>
      <c r="N10" s="1299"/>
      <c r="O10" s="1299"/>
      <c r="P10" s="1299"/>
      <c r="Q10" s="1298"/>
      <c r="R10" s="1299" t="s">
        <v>1919</v>
      </c>
      <c r="S10" s="1299"/>
      <c r="T10" s="1299"/>
      <c r="U10" s="1298"/>
      <c r="V10" s="1298"/>
      <c r="W10" s="1298"/>
      <c r="X10" s="1298"/>
      <c r="Y10" s="1298"/>
    </row>
    <row r="11" spans="1:25" s="1277" customFormat="1">
      <c r="B11" s="1286"/>
      <c r="C11" s="1286"/>
      <c r="D11" s="1298"/>
      <c r="E11" s="1298"/>
      <c r="F11" s="1298"/>
      <c r="G11" s="1298"/>
      <c r="H11" s="1298"/>
      <c r="I11" s="1298"/>
      <c r="J11" s="1298"/>
      <c r="K11" s="1298"/>
      <c r="L11" s="1298"/>
      <c r="M11" s="1298"/>
      <c r="N11" s="1298"/>
      <c r="O11" s="1298"/>
      <c r="P11" s="1298"/>
      <c r="Q11" s="1298"/>
      <c r="R11" s="1298"/>
      <c r="S11" s="1298"/>
      <c r="T11" s="1300"/>
      <c r="U11" s="1298"/>
      <c r="V11" s="1298"/>
      <c r="W11" s="1298"/>
      <c r="X11" s="1298"/>
      <c r="Y11" s="1298"/>
    </row>
    <row r="12" spans="1:25" s="1277" customFormat="1">
      <c r="B12" s="1286"/>
      <c r="C12" s="1286"/>
      <c r="D12" s="1298"/>
      <c r="E12" s="1298"/>
      <c r="F12" s="1298"/>
      <c r="G12" s="1298"/>
      <c r="H12" s="1298"/>
      <c r="I12" s="1298"/>
      <c r="J12" s="1298"/>
      <c r="K12" s="1298"/>
      <c r="L12" s="1301" t="s">
        <v>1920</v>
      </c>
      <c r="M12" s="1302"/>
      <c r="N12" s="1301"/>
      <c r="O12" s="1298"/>
      <c r="P12" s="1303"/>
      <c r="Q12" s="1298"/>
      <c r="R12" s="1304"/>
      <c r="S12" s="1304"/>
      <c r="T12" s="1305" t="s">
        <v>26</v>
      </c>
      <c r="U12" s="1298"/>
      <c r="V12" s="1306" t="s">
        <v>1921</v>
      </c>
      <c r="W12" s="1298"/>
      <c r="X12" s="1298"/>
      <c r="Y12" s="1298"/>
    </row>
    <row r="13" spans="1:25" s="1277" customFormat="1" ht="13.5" thickBot="1">
      <c r="B13" s="1286"/>
      <c r="C13" s="1286"/>
      <c r="D13" s="1298"/>
      <c r="E13" s="1298"/>
      <c r="F13" s="1298"/>
      <c r="G13" s="1298"/>
      <c r="H13" s="1298"/>
      <c r="I13" s="1298"/>
      <c r="J13" s="1307" t="s">
        <v>1914</v>
      </c>
      <c r="K13" s="1298"/>
      <c r="L13" s="1307" t="s">
        <v>1915</v>
      </c>
      <c r="M13" s="1298"/>
      <c r="N13" s="1308" t="s">
        <v>1913</v>
      </c>
      <c r="O13" s="1298"/>
      <c r="P13" s="1307" t="s">
        <v>26</v>
      </c>
      <c r="Q13" s="1298"/>
      <c r="R13" s="1309">
        <f>IFERROR(EDATE(S13,-1),"")</f>
        <v>43009</v>
      </c>
      <c r="S13" s="1309">
        <f>IFERROR(EDATE(T13,-1),"")</f>
        <v>43040</v>
      </c>
      <c r="T13" s="1309">
        <f>$B$7</f>
        <v>43070</v>
      </c>
      <c r="U13" s="1298"/>
      <c r="V13" s="1308" t="s">
        <v>1922</v>
      </c>
      <c r="W13" s="1298"/>
      <c r="X13" s="1298"/>
      <c r="Y13" s="1298"/>
    </row>
    <row r="14" spans="1:25" s="1277" customFormat="1" ht="5.25" customHeight="1">
      <c r="B14" s="1286"/>
      <c r="C14" s="1286"/>
      <c r="D14" s="1298"/>
      <c r="E14" s="1298"/>
      <c r="F14" s="1310"/>
      <c r="G14" s="1298"/>
      <c r="H14" s="1298"/>
      <c r="I14" s="1298"/>
      <c r="J14" s="1295"/>
      <c r="K14" s="1298"/>
      <c r="L14" s="1295"/>
      <c r="M14" s="1298"/>
      <c r="N14" s="1295"/>
      <c r="O14" s="1298"/>
      <c r="P14" s="1295"/>
      <c r="Q14" s="1298"/>
      <c r="R14" s="1295"/>
      <c r="S14" s="1295"/>
      <c r="T14" s="1295"/>
      <c r="U14" s="1298"/>
      <c r="V14" s="1295"/>
      <c r="W14" s="1298"/>
      <c r="X14" s="1298"/>
      <c r="Y14" s="1298"/>
    </row>
    <row r="15" spans="1:25" s="1266" customFormat="1" ht="4.5" customHeight="1">
      <c r="B15" s="1286"/>
      <c r="C15" s="1286"/>
      <c r="D15" s="1284"/>
      <c r="E15" s="1284"/>
      <c r="F15" s="1284"/>
      <c r="G15" s="1284"/>
      <c r="H15" s="1284"/>
      <c r="I15" s="1284"/>
      <c r="J15" s="1284"/>
      <c r="K15" s="1284"/>
      <c r="L15" s="1284"/>
      <c r="M15" s="1284"/>
      <c r="N15" s="1284"/>
      <c r="O15" s="1284"/>
      <c r="P15" s="1284"/>
      <c r="Q15" s="1298"/>
      <c r="R15" s="1284"/>
      <c r="S15" s="1284"/>
      <c r="T15" s="1284"/>
      <c r="U15" s="1284"/>
      <c r="V15" s="1284"/>
      <c r="W15" s="1284"/>
      <c r="X15" s="1284"/>
      <c r="Y15" s="1284"/>
    </row>
    <row r="16" spans="1:25" s="1266" customFormat="1" outlineLevel="1">
      <c r="A16" s="1284"/>
      <c r="B16" s="1285" t="s">
        <v>1923</v>
      </c>
      <c r="C16" s="1286"/>
      <c r="D16" s="1287">
        <v>10050</v>
      </c>
      <c r="E16" s="1287" t="s">
        <v>1924</v>
      </c>
      <c r="F16" s="1288"/>
      <c r="G16" s="1288"/>
      <c r="H16" s="1284"/>
      <c r="I16" s="1284"/>
      <c r="J16" s="1289">
        <v>40.42</v>
      </c>
      <c r="K16" s="1284"/>
      <c r="L16" s="1289">
        <v>0</v>
      </c>
      <c r="M16" s="1284"/>
      <c r="N16" s="1290">
        <v>0</v>
      </c>
      <c r="O16" s="1284"/>
      <c r="P16" s="1289">
        <f t="shared" ref="P16:P25" si="0">J16+L16+N16</f>
        <v>40.42</v>
      </c>
      <c r="Q16" s="1284"/>
      <c r="R16" s="1289">
        <v>-78.11</v>
      </c>
      <c r="S16" s="1289">
        <v>255.75</v>
      </c>
      <c r="T16" s="1289">
        <f t="shared" ref="T16:T25" si="1">P16</f>
        <v>40.42</v>
      </c>
      <c r="U16" s="1284"/>
      <c r="V16" s="1290">
        <f t="shared" ref="V16:V25" si="2">T16-S16</f>
        <v>-215.32999999999998</v>
      </c>
      <c r="W16" s="1284"/>
      <c r="X16" s="1284"/>
    </row>
    <row r="17" spans="1:25" s="1266" customFormat="1" outlineLevel="1">
      <c r="A17" s="1284"/>
      <c r="B17" s="1285" t="s">
        <v>203</v>
      </c>
      <c r="C17" s="1286"/>
      <c r="D17" s="1287">
        <v>10051</v>
      </c>
      <c r="E17" s="1287" t="s">
        <v>2078</v>
      </c>
      <c r="F17" s="1288"/>
      <c r="G17" s="1288"/>
      <c r="H17" s="1284"/>
      <c r="I17" s="1284"/>
      <c r="J17" s="1289">
        <v>650</v>
      </c>
      <c r="K17" s="1284"/>
      <c r="L17" s="1289">
        <v>0</v>
      </c>
      <c r="M17" s="1284"/>
      <c r="N17" s="1290">
        <v>0</v>
      </c>
      <c r="O17" s="1284"/>
      <c r="P17" s="1289">
        <f t="shared" si="0"/>
        <v>650</v>
      </c>
      <c r="Q17" s="1284"/>
      <c r="R17" s="1289">
        <v>650</v>
      </c>
      <c r="S17" s="1289">
        <v>650</v>
      </c>
      <c r="T17" s="1289">
        <f t="shared" si="1"/>
        <v>650</v>
      </c>
      <c r="U17" s="1284"/>
      <c r="V17" s="1290">
        <f t="shared" si="2"/>
        <v>0</v>
      </c>
      <c r="W17" s="1284"/>
      <c r="X17" s="1284"/>
    </row>
    <row r="18" spans="1:25" s="1266" customFormat="1" outlineLevel="1">
      <c r="A18" s="1284"/>
      <c r="B18" s="1285" t="s">
        <v>203</v>
      </c>
      <c r="C18" s="1286"/>
      <c r="D18" s="1287">
        <v>10070</v>
      </c>
      <c r="E18" s="1287" t="s">
        <v>1925</v>
      </c>
      <c r="F18" s="1288"/>
      <c r="G18" s="1288"/>
      <c r="H18" s="1284"/>
      <c r="I18" s="1284"/>
      <c r="J18" s="1289">
        <v>-17435</v>
      </c>
      <c r="K18" s="1284"/>
      <c r="L18" s="1289">
        <v>0</v>
      </c>
      <c r="M18" s="1284"/>
      <c r="N18" s="1290">
        <v>0</v>
      </c>
      <c r="O18" s="1284"/>
      <c r="P18" s="1289">
        <f t="shared" si="0"/>
        <v>-17435</v>
      </c>
      <c r="Q18" s="1284"/>
      <c r="R18" s="1289">
        <v>-16935</v>
      </c>
      <c r="S18" s="1289">
        <v>-17435</v>
      </c>
      <c r="T18" s="1289">
        <f t="shared" si="1"/>
        <v>-17435</v>
      </c>
      <c r="U18" s="1284"/>
      <c r="V18" s="1290">
        <f t="shared" si="2"/>
        <v>0</v>
      </c>
      <c r="W18" s="1284"/>
      <c r="X18" s="1284"/>
    </row>
    <row r="19" spans="1:25" s="1266" customFormat="1" outlineLevel="1">
      <c r="A19" s="1284"/>
      <c r="B19" s="1285" t="s">
        <v>203</v>
      </c>
      <c r="C19" s="1286"/>
      <c r="D19" s="1287">
        <v>10071</v>
      </c>
      <c r="E19" s="1287" t="s">
        <v>1926</v>
      </c>
      <c r="F19" s="1288"/>
      <c r="G19" s="1288"/>
      <c r="H19" s="1284"/>
      <c r="I19" s="1284"/>
      <c r="J19" s="1289">
        <v>17435</v>
      </c>
      <c r="K19" s="1284"/>
      <c r="L19" s="1289">
        <v>0</v>
      </c>
      <c r="M19" s="1284"/>
      <c r="N19" s="1290">
        <v>0</v>
      </c>
      <c r="O19" s="1284"/>
      <c r="P19" s="1289">
        <f t="shared" si="0"/>
        <v>17435</v>
      </c>
      <c r="Q19" s="1284"/>
      <c r="R19" s="1289">
        <v>16935</v>
      </c>
      <c r="S19" s="1289">
        <v>17435</v>
      </c>
      <c r="T19" s="1289">
        <f t="shared" si="1"/>
        <v>17435</v>
      </c>
      <c r="U19" s="1284"/>
      <c r="V19" s="1290">
        <f t="shared" si="2"/>
        <v>0</v>
      </c>
      <c r="W19" s="1284"/>
      <c r="X19" s="1284"/>
    </row>
    <row r="20" spans="1:25" s="1266" customFormat="1" hidden="1" outlineLevel="1">
      <c r="A20" s="1284"/>
      <c r="B20" s="1285" t="s">
        <v>203</v>
      </c>
      <c r="C20" s="1286"/>
      <c r="D20" s="1287">
        <v>10092</v>
      </c>
      <c r="E20" s="1287" t="s">
        <v>1481</v>
      </c>
      <c r="F20" s="1288"/>
      <c r="G20" s="1288"/>
      <c r="H20" s="1284"/>
      <c r="I20" s="1284"/>
      <c r="J20" s="1289">
        <v>0</v>
      </c>
      <c r="K20" s="1284"/>
      <c r="L20" s="1289">
        <v>0</v>
      </c>
      <c r="M20" s="1284"/>
      <c r="N20" s="1290">
        <v>0</v>
      </c>
      <c r="O20" s="1284"/>
      <c r="P20" s="1289">
        <f t="shared" si="0"/>
        <v>0</v>
      </c>
      <c r="Q20" s="1284"/>
      <c r="R20" s="1289">
        <v>0</v>
      </c>
      <c r="S20" s="1289">
        <v>0</v>
      </c>
      <c r="T20" s="1289">
        <f t="shared" si="1"/>
        <v>0</v>
      </c>
      <c r="U20" s="1284"/>
      <c r="V20" s="1290">
        <f t="shared" si="2"/>
        <v>0</v>
      </c>
      <c r="W20" s="1284"/>
      <c r="X20" s="1284"/>
    </row>
    <row r="21" spans="1:25" s="1266" customFormat="1" hidden="1" outlineLevel="1">
      <c r="A21" s="1284"/>
      <c r="B21" s="1285" t="s">
        <v>203</v>
      </c>
      <c r="C21" s="1286"/>
      <c r="D21" s="1287">
        <v>10093</v>
      </c>
      <c r="E21" s="1287" t="s">
        <v>1927</v>
      </c>
      <c r="F21" s="1288"/>
      <c r="G21" s="1288"/>
      <c r="H21" s="1284"/>
      <c r="I21" s="1284"/>
      <c r="J21" s="1289">
        <v>0</v>
      </c>
      <c r="K21" s="1284"/>
      <c r="L21" s="1289">
        <v>0</v>
      </c>
      <c r="M21" s="1284"/>
      <c r="N21" s="1290">
        <v>0</v>
      </c>
      <c r="O21" s="1284"/>
      <c r="P21" s="1289">
        <f t="shared" si="0"/>
        <v>0</v>
      </c>
      <c r="Q21" s="1284"/>
      <c r="R21" s="1289">
        <v>0</v>
      </c>
      <c r="S21" s="1289">
        <v>0</v>
      </c>
      <c r="T21" s="1289">
        <f t="shared" si="1"/>
        <v>0</v>
      </c>
      <c r="U21" s="1284"/>
      <c r="V21" s="1290">
        <f t="shared" si="2"/>
        <v>0</v>
      </c>
      <c r="W21" s="1284"/>
      <c r="X21" s="1284"/>
    </row>
    <row r="22" spans="1:25" s="1266" customFormat="1" hidden="1" outlineLevel="1">
      <c r="A22" s="1284"/>
      <c r="B22" s="1285" t="s">
        <v>203</v>
      </c>
      <c r="C22" s="1286"/>
      <c r="D22" s="1287">
        <v>10096</v>
      </c>
      <c r="E22" s="1287" t="s">
        <v>1929</v>
      </c>
      <c r="F22" s="1288"/>
      <c r="G22" s="1288"/>
      <c r="H22" s="1284"/>
      <c r="I22" s="1284"/>
      <c r="J22" s="1289">
        <v>0</v>
      </c>
      <c r="K22" s="1284"/>
      <c r="L22" s="1289">
        <v>0</v>
      </c>
      <c r="M22" s="1284"/>
      <c r="N22" s="1290">
        <v>0</v>
      </c>
      <c r="O22" s="1284"/>
      <c r="P22" s="1289">
        <f t="shared" si="0"/>
        <v>0</v>
      </c>
      <c r="Q22" s="1284"/>
      <c r="R22" s="1289">
        <v>0</v>
      </c>
      <c r="S22" s="1289">
        <v>0</v>
      </c>
      <c r="T22" s="1289">
        <f t="shared" si="1"/>
        <v>0</v>
      </c>
      <c r="U22" s="1284"/>
      <c r="V22" s="1290">
        <f t="shared" si="2"/>
        <v>0</v>
      </c>
      <c r="W22" s="1284"/>
      <c r="X22" s="1284"/>
    </row>
    <row r="23" spans="1:25" s="1266" customFormat="1" hidden="1" outlineLevel="1">
      <c r="A23" s="1284"/>
      <c r="B23" s="1285" t="s">
        <v>203</v>
      </c>
      <c r="C23" s="1286"/>
      <c r="D23" s="1287">
        <v>10097</v>
      </c>
      <c r="E23" s="1287" t="s">
        <v>1930</v>
      </c>
      <c r="F23" s="1288"/>
      <c r="G23" s="1288"/>
      <c r="H23" s="1284"/>
      <c r="I23" s="1284"/>
      <c r="J23" s="1289">
        <v>0</v>
      </c>
      <c r="K23" s="1284"/>
      <c r="L23" s="1289">
        <v>0</v>
      </c>
      <c r="M23" s="1284"/>
      <c r="N23" s="1290">
        <v>0</v>
      </c>
      <c r="O23" s="1284"/>
      <c r="P23" s="1289">
        <f t="shared" si="0"/>
        <v>0</v>
      </c>
      <c r="Q23" s="1284"/>
      <c r="R23" s="1289">
        <v>0</v>
      </c>
      <c r="S23" s="1289">
        <v>0</v>
      </c>
      <c r="T23" s="1289">
        <f t="shared" si="1"/>
        <v>0</v>
      </c>
      <c r="U23" s="1284"/>
      <c r="V23" s="1290">
        <f t="shared" si="2"/>
        <v>0</v>
      </c>
      <c r="W23" s="1284"/>
      <c r="X23" s="1284"/>
    </row>
    <row r="24" spans="1:25" s="1266" customFormat="1" outlineLevel="1">
      <c r="A24" s="1284"/>
      <c r="B24" s="1285" t="s">
        <v>203</v>
      </c>
      <c r="C24" s="1286"/>
      <c r="D24" s="1287">
        <v>10098</v>
      </c>
      <c r="E24" s="1287" t="s">
        <v>1931</v>
      </c>
      <c r="F24" s="1288"/>
      <c r="G24" s="1288"/>
      <c r="H24" s="1284"/>
      <c r="I24" s="1284"/>
      <c r="J24" s="1289">
        <v>45.12</v>
      </c>
      <c r="K24" s="1284"/>
      <c r="L24" s="1289">
        <v>0</v>
      </c>
      <c r="M24" s="1284"/>
      <c r="N24" s="1290">
        <v>0</v>
      </c>
      <c r="O24" s="1284"/>
      <c r="P24" s="1289">
        <f t="shared" si="0"/>
        <v>45.12</v>
      </c>
      <c r="Q24" s="1284"/>
      <c r="R24" s="1289">
        <v>45.12</v>
      </c>
      <c r="S24" s="1289">
        <v>45.12</v>
      </c>
      <c r="T24" s="1289">
        <f t="shared" si="1"/>
        <v>45.12</v>
      </c>
      <c r="U24" s="1284"/>
      <c r="V24" s="1290">
        <f t="shared" si="2"/>
        <v>0</v>
      </c>
      <c r="W24" s="1284"/>
      <c r="X24" s="1284"/>
    </row>
    <row r="25" spans="1:25" s="1266" customFormat="1" outlineLevel="1">
      <c r="A25" s="1284"/>
      <c r="B25" s="1285" t="s">
        <v>203</v>
      </c>
      <c r="C25" s="1286"/>
      <c r="D25" s="1287">
        <v>10099</v>
      </c>
      <c r="E25" s="1287" t="s">
        <v>1932</v>
      </c>
      <c r="F25" s="1288"/>
      <c r="G25" s="1288"/>
      <c r="H25" s="1284"/>
      <c r="I25" s="1284"/>
      <c r="J25" s="1289">
        <v>31.37</v>
      </c>
      <c r="K25" s="1284"/>
      <c r="L25" s="1289">
        <v>0</v>
      </c>
      <c r="M25" s="1284"/>
      <c r="N25" s="1290">
        <v>0</v>
      </c>
      <c r="O25" s="1284"/>
      <c r="P25" s="1289">
        <f t="shared" si="0"/>
        <v>31.37</v>
      </c>
      <c r="Q25" s="1284"/>
      <c r="R25" s="1289">
        <v>81.37</v>
      </c>
      <c r="S25" s="1289">
        <v>-252.49</v>
      </c>
      <c r="T25" s="1289">
        <f t="shared" si="1"/>
        <v>31.37</v>
      </c>
      <c r="U25" s="1284"/>
      <c r="V25" s="1290">
        <f t="shared" si="2"/>
        <v>283.86</v>
      </c>
      <c r="W25" s="1284"/>
      <c r="X25" s="1284"/>
    </row>
    <row r="26" spans="1:25" s="1266" customFormat="1" ht="4.5" customHeight="1" outlineLevel="1">
      <c r="A26" s="1278"/>
      <c r="B26" s="1311" t="s">
        <v>195</v>
      </c>
      <c r="C26" s="1311"/>
      <c r="D26" s="1284"/>
      <c r="E26" s="1284"/>
      <c r="F26" s="1284"/>
      <c r="G26" s="1284"/>
      <c r="H26" s="1284"/>
      <c r="I26" s="1284"/>
      <c r="J26" s="1312"/>
      <c r="K26" s="1284"/>
      <c r="L26" s="1312"/>
      <c r="M26" s="1284"/>
      <c r="N26" s="1312"/>
      <c r="O26" s="1284"/>
      <c r="P26" s="1312"/>
      <c r="Q26" s="1284"/>
      <c r="R26" s="1312"/>
      <c r="S26" s="1312"/>
      <c r="T26" s="1312"/>
      <c r="U26" s="1284"/>
      <c r="V26" s="1312"/>
      <c r="W26" s="1284"/>
      <c r="X26" s="1284"/>
      <c r="Y26" s="1284"/>
    </row>
    <row r="27" spans="1:25" s="1266" customFormat="1">
      <c r="A27" s="1286" t="s">
        <v>1923</v>
      </c>
      <c r="B27" s="1286" t="s">
        <v>195</v>
      </c>
      <c r="C27" s="1286"/>
      <c r="D27" s="1284"/>
      <c r="E27" s="1284"/>
      <c r="F27" s="1284" t="s">
        <v>1933</v>
      </c>
      <c r="G27" s="1284"/>
      <c r="H27" s="1284"/>
      <c r="I27" s="1284"/>
      <c r="J27" s="1313">
        <f>SUM(J16:J26)</f>
        <v>766.90999999999826</v>
      </c>
      <c r="K27" s="1284"/>
      <c r="L27" s="1313">
        <f>SUM(L16:L26)</f>
        <v>0</v>
      </c>
      <c r="M27" s="1284"/>
      <c r="N27" s="1314">
        <f>SUM(N16:N26)</f>
        <v>0</v>
      </c>
      <c r="O27" s="1284"/>
      <c r="P27" s="1313">
        <f t="shared" ref="P27" si="3">J27+L27+N27</f>
        <v>766.90999999999826</v>
      </c>
      <c r="Q27" s="1284"/>
      <c r="R27" s="1313">
        <f>SUM(R16:R26)</f>
        <v>698.37999999999943</v>
      </c>
      <c r="S27" s="1313">
        <f>SUM(S16:S26)</f>
        <v>698.38</v>
      </c>
      <c r="T27" s="1313">
        <f>SUM(T16:T26)</f>
        <v>766.90999999999826</v>
      </c>
      <c r="U27" s="1284"/>
      <c r="V27" s="1314">
        <f>SUM(V16:V26)</f>
        <v>68.53000000000003</v>
      </c>
      <c r="W27" s="1284"/>
      <c r="X27" s="1284"/>
      <c r="Y27" s="1284"/>
    </row>
    <row r="28" spans="1:25" s="1266" customFormat="1" outlineLevel="1">
      <c r="A28" s="1284"/>
      <c r="B28" s="1285" t="s">
        <v>1934</v>
      </c>
      <c r="C28" s="1286"/>
      <c r="D28" s="1287">
        <v>11501</v>
      </c>
      <c r="E28" s="1287" t="s">
        <v>1935</v>
      </c>
      <c r="F28" s="1288"/>
      <c r="G28" s="1288"/>
      <c r="H28" s="1284"/>
      <c r="I28" s="1284"/>
      <c r="J28" s="1289">
        <v>287808.24</v>
      </c>
      <c r="K28" s="1284"/>
      <c r="L28" s="1289">
        <v>0</v>
      </c>
      <c r="M28" s="1284"/>
      <c r="N28" s="1290">
        <v>0</v>
      </c>
      <c r="O28" s="1284"/>
      <c r="P28" s="1289">
        <f t="shared" ref="P28:P35" si="4">J28+L28+N28</f>
        <v>287808.24</v>
      </c>
      <c r="Q28" s="1284"/>
      <c r="R28" s="1289">
        <v>292619</v>
      </c>
      <c r="S28" s="1289">
        <v>368688.35</v>
      </c>
      <c r="T28" s="1289">
        <f t="shared" ref="T28:T35" si="5">P28</f>
        <v>287808.24</v>
      </c>
      <c r="U28" s="1284"/>
      <c r="V28" s="1290">
        <f t="shared" ref="V28:V35" si="6">T28-S28</f>
        <v>-80880.109999999986</v>
      </c>
      <c r="W28" s="1284"/>
      <c r="X28" s="1284"/>
    </row>
    <row r="29" spans="1:25" s="1266" customFormat="1" outlineLevel="1">
      <c r="A29" s="1284"/>
      <c r="B29" s="1285" t="s">
        <v>203</v>
      </c>
      <c r="C29" s="1286"/>
      <c r="D29" s="1287">
        <v>11502</v>
      </c>
      <c r="E29" s="1287" t="s">
        <v>1936</v>
      </c>
      <c r="F29" s="1288"/>
      <c r="G29" s="1288"/>
      <c r="H29" s="1284"/>
      <c r="I29" s="1284"/>
      <c r="J29" s="1289">
        <v>-7704.7</v>
      </c>
      <c r="K29" s="1284"/>
      <c r="L29" s="1289">
        <v>0</v>
      </c>
      <c r="M29" s="1284"/>
      <c r="N29" s="1290">
        <v>0</v>
      </c>
      <c r="O29" s="1284"/>
      <c r="P29" s="1289">
        <f t="shared" si="4"/>
        <v>-7704.7</v>
      </c>
      <c r="Q29" s="1284"/>
      <c r="R29" s="1289">
        <v>-3872.34</v>
      </c>
      <c r="S29" s="1289">
        <v>-5057.1000000000004</v>
      </c>
      <c r="T29" s="1289">
        <f t="shared" si="5"/>
        <v>-7704.7</v>
      </c>
      <c r="U29" s="1284"/>
      <c r="V29" s="1290">
        <f t="shared" si="6"/>
        <v>-2647.5999999999995</v>
      </c>
      <c r="W29" s="1284"/>
      <c r="X29" s="1284"/>
    </row>
    <row r="30" spans="1:25" s="1266" customFormat="1" hidden="1" outlineLevel="1">
      <c r="A30" s="1284"/>
      <c r="B30" s="1285" t="s">
        <v>203</v>
      </c>
      <c r="C30" s="1286"/>
      <c r="D30" s="1287">
        <v>11511</v>
      </c>
      <c r="E30" s="1287" t="s">
        <v>2076</v>
      </c>
      <c r="F30" s="1288"/>
      <c r="G30" s="1288"/>
      <c r="H30" s="1284"/>
      <c r="I30" s="1284"/>
      <c r="J30" s="1289">
        <v>0</v>
      </c>
      <c r="K30" s="1284"/>
      <c r="L30" s="1289">
        <v>0</v>
      </c>
      <c r="M30" s="1284"/>
      <c r="N30" s="1290">
        <v>0</v>
      </c>
      <c r="O30" s="1284"/>
      <c r="P30" s="1289">
        <f t="shared" si="4"/>
        <v>0</v>
      </c>
      <c r="Q30" s="1284"/>
      <c r="R30" s="1289">
        <v>0</v>
      </c>
      <c r="S30" s="1289">
        <v>0</v>
      </c>
      <c r="T30" s="1289">
        <f t="shared" si="5"/>
        <v>0</v>
      </c>
      <c r="U30" s="1284"/>
      <c r="V30" s="1290">
        <f t="shared" si="6"/>
        <v>0</v>
      </c>
      <c r="W30" s="1284"/>
      <c r="X30" s="1284"/>
    </row>
    <row r="31" spans="1:25" s="1266" customFormat="1" hidden="1" outlineLevel="1">
      <c r="A31" s="1284"/>
      <c r="B31" s="1285" t="s">
        <v>203</v>
      </c>
      <c r="C31" s="1286"/>
      <c r="D31" s="1287">
        <v>11800</v>
      </c>
      <c r="E31" s="1287" t="s">
        <v>1937</v>
      </c>
      <c r="F31" s="1288"/>
      <c r="G31" s="1288"/>
      <c r="H31" s="1284"/>
      <c r="I31" s="1284"/>
      <c r="J31" s="1289">
        <v>0</v>
      </c>
      <c r="K31" s="1284"/>
      <c r="L31" s="1289">
        <v>0</v>
      </c>
      <c r="M31" s="1284"/>
      <c r="N31" s="1290">
        <v>0</v>
      </c>
      <c r="O31" s="1284"/>
      <c r="P31" s="1289">
        <f t="shared" si="4"/>
        <v>0</v>
      </c>
      <c r="Q31" s="1284"/>
      <c r="R31" s="1289">
        <v>0</v>
      </c>
      <c r="S31" s="1289">
        <v>0</v>
      </c>
      <c r="T31" s="1289">
        <f t="shared" si="5"/>
        <v>0</v>
      </c>
      <c r="U31" s="1284"/>
      <c r="V31" s="1290">
        <f t="shared" si="6"/>
        <v>0</v>
      </c>
      <c r="W31" s="1284"/>
      <c r="X31" s="1284"/>
    </row>
    <row r="32" spans="1:25" s="1266" customFormat="1" outlineLevel="1">
      <c r="A32" s="1284"/>
      <c r="B32" s="1285" t="s">
        <v>203</v>
      </c>
      <c r="C32" s="1286"/>
      <c r="D32" s="1287">
        <v>11900</v>
      </c>
      <c r="E32" s="1287" t="s">
        <v>2077</v>
      </c>
      <c r="F32" s="1288"/>
      <c r="G32" s="1288"/>
      <c r="H32" s="1284"/>
      <c r="I32" s="1284"/>
      <c r="J32" s="1289">
        <v>-21433.73</v>
      </c>
      <c r="K32" s="1284"/>
      <c r="L32" s="1289">
        <v>0</v>
      </c>
      <c r="M32" s="1284"/>
      <c r="N32" s="1290">
        <v>0</v>
      </c>
      <c r="O32" s="1284"/>
      <c r="P32" s="1289">
        <f t="shared" si="4"/>
        <v>-21433.73</v>
      </c>
      <c r="Q32" s="1284"/>
      <c r="R32" s="1289">
        <v>-21433.73</v>
      </c>
      <c r="S32" s="1289">
        <v>-21433.73</v>
      </c>
      <c r="T32" s="1289">
        <f t="shared" si="5"/>
        <v>-21433.73</v>
      </c>
      <c r="U32" s="1284"/>
      <c r="V32" s="1290">
        <f t="shared" si="6"/>
        <v>0</v>
      </c>
      <c r="W32" s="1284"/>
      <c r="X32" s="1284"/>
    </row>
    <row r="33" spans="1:25" s="1266" customFormat="1" outlineLevel="1">
      <c r="A33" s="1284"/>
      <c r="B33" s="1285" t="s">
        <v>203</v>
      </c>
      <c r="C33" s="1286"/>
      <c r="D33" s="1287">
        <v>11901</v>
      </c>
      <c r="E33" s="1287" t="s">
        <v>1938</v>
      </c>
      <c r="F33" s="1288"/>
      <c r="G33" s="1288"/>
      <c r="H33" s="1284"/>
      <c r="I33" s="1284"/>
      <c r="J33" s="1289">
        <v>-131823.57999999999</v>
      </c>
      <c r="K33" s="1284"/>
      <c r="L33" s="1289">
        <v>0</v>
      </c>
      <c r="M33" s="1284"/>
      <c r="N33" s="1290">
        <v>0</v>
      </c>
      <c r="O33" s="1284"/>
      <c r="P33" s="1289">
        <f t="shared" si="4"/>
        <v>-131823.57999999999</v>
      </c>
      <c r="Q33" s="1284"/>
      <c r="R33" s="1289">
        <v>-126604.49</v>
      </c>
      <c r="S33" s="1289">
        <v>-130656.03</v>
      </c>
      <c r="T33" s="1289">
        <f t="shared" si="5"/>
        <v>-131823.57999999999</v>
      </c>
      <c r="U33" s="1284"/>
      <c r="V33" s="1290">
        <f t="shared" si="6"/>
        <v>-1167.5499999999884</v>
      </c>
      <c r="W33" s="1284"/>
      <c r="X33" s="1284"/>
    </row>
    <row r="34" spans="1:25" s="1266" customFormat="1" outlineLevel="1">
      <c r="A34" s="1284"/>
      <c r="B34" s="1285" t="s">
        <v>203</v>
      </c>
      <c r="C34" s="1286"/>
      <c r="D34" s="1287">
        <v>11902</v>
      </c>
      <c r="E34" s="1287" t="s">
        <v>1939</v>
      </c>
      <c r="F34" s="1288"/>
      <c r="G34" s="1288"/>
      <c r="H34" s="1284"/>
      <c r="I34" s="1284"/>
      <c r="J34" s="1289">
        <v>212715.08</v>
      </c>
      <c r="K34" s="1284"/>
      <c r="L34" s="1289">
        <v>0</v>
      </c>
      <c r="M34" s="1284"/>
      <c r="N34" s="1290">
        <v>0</v>
      </c>
      <c r="O34" s="1284"/>
      <c r="P34" s="1289">
        <f t="shared" si="4"/>
        <v>212715.08</v>
      </c>
      <c r="Q34" s="1284"/>
      <c r="R34" s="1289">
        <v>205791.33</v>
      </c>
      <c r="S34" s="1289">
        <v>210006.66</v>
      </c>
      <c r="T34" s="1289">
        <f t="shared" si="5"/>
        <v>212715.08</v>
      </c>
      <c r="U34" s="1284"/>
      <c r="V34" s="1290">
        <f t="shared" si="6"/>
        <v>2708.4199999999837</v>
      </c>
      <c r="W34" s="1284"/>
      <c r="X34" s="1284"/>
    </row>
    <row r="35" spans="1:25" s="1266" customFormat="1" outlineLevel="1">
      <c r="A35" s="1284"/>
      <c r="B35" s="1285" t="s">
        <v>203</v>
      </c>
      <c r="C35" s="1286"/>
      <c r="D35" s="1287">
        <v>11903</v>
      </c>
      <c r="E35" s="1287" t="s">
        <v>1940</v>
      </c>
      <c r="F35" s="1288"/>
      <c r="G35" s="1288"/>
      <c r="H35" s="1284"/>
      <c r="I35" s="1284"/>
      <c r="J35" s="1289">
        <v>-61356.01</v>
      </c>
      <c r="K35" s="1284"/>
      <c r="L35" s="1289">
        <v>0</v>
      </c>
      <c r="M35" s="1284"/>
      <c r="N35" s="1290">
        <v>0</v>
      </c>
      <c r="O35" s="1284"/>
      <c r="P35" s="1289">
        <f t="shared" si="4"/>
        <v>-61356.01</v>
      </c>
      <c r="Q35" s="1284"/>
      <c r="R35" s="1289">
        <v>-59569.56</v>
      </c>
      <c r="S35" s="1289">
        <v>-60512.28</v>
      </c>
      <c r="T35" s="1289">
        <f t="shared" si="5"/>
        <v>-61356.01</v>
      </c>
      <c r="U35" s="1284"/>
      <c r="V35" s="1290">
        <f t="shared" si="6"/>
        <v>-843.7300000000032</v>
      </c>
      <c r="W35" s="1284"/>
      <c r="X35" s="1284"/>
    </row>
    <row r="36" spans="1:25" s="1266" customFormat="1" ht="5.0999999999999996" customHeight="1" outlineLevel="1">
      <c r="A36" s="1286" t="s">
        <v>195</v>
      </c>
      <c r="B36" s="1311" t="s">
        <v>195</v>
      </c>
      <c r="C36" s="1311"/>
      <c r="D36" s="1288"/>
      <c r="E36" s="1288"/>
      <c r="F36" s="1288"/>
      <c r="G36" s="1288"/>
      <c r="H36" s="1284"/>
      <c r="I36" s="1284"/>
      <c r="J36" s="1315"/>
      <c r="K36" s="1284"/>
      <c r="L36" s="1315"/>
      <c r="M36" s="1284"/>
      <c r="N36" s="1316"/>
      <c r="O36" s="1284"/>
      <c r="P36" s="1315"/>
      <c r="Q36" s="1284"/>
      <c r="R36" s="1315"/>
      <c r="S36" s="1315"/>
      <c r="T36" s="1315"/>
      <c r="U36" s="1284"/>
      <c r="V36" s="1316"/>
      <c r="W36" s="1284"/>
      <c r="X36" s="1284"/>
      <c r="Y36" s="1284"/>
    </row>
    <row r="37" spans="1:25" s="1266" customFormat="1">
      <c r="A37" s="1286" t="s">
        <v>1934</v>
      </c>
      <c r="B37" s="1286" t="s">
        <v>195</v>
      </c>
      <c r="C37" s="1286"/>
      <c r="D37" s="1284"/>
      <c r="E37" s="1284"/>
      <c r="F37" s="1287" t="s">
        <v>1941</v>
      </c>
      <c r="G37" s="1284"/>
      <c r="H37" s="1284"/>
      <c r="I37" s="1284"/>
      <c r="J37" s="1313">
        <f>SUM(J28:J36)</f>
        <v>278205.29999999993</v>
      </c>
      <c r="K37" s="1284"/>
      <c r="L37" s="1313">
        <f>SUM(L28:L36)</f>
        <v>0</v>
      </c>
      <c r="M37" s="1284"/>
      <c r="N37" s="1314">
        <f>SUM(N28:N36)</f>
        <v>0</v>
      </c>
      <c r="O37" s="1284"/>
      <c r="P37" s="1313">
        <f>J37+L37+N37</f>
        <v>278205.29999999993</v>
      </c>
      <c r="Q37" s="1284"/>
      <c r="R37" s="1313">
        <f>SUM(R28:R36)</f>
        <v>286930.21000000002</v>
      </c>
      <c r="S37" s="1313">
        <f>SUM(S28:S36)</f>
        <v>361035.87</v>
      </c>
      <c r="T37" s="1313">
        <f>SUM(T28:T36)</f>
        <v>278205.29999999993</v>
      </c>
      <c r="U37" s="1284"/>
      <c r="V37" s="1314">
        <f>SUM(V28:V36)</f>
        <v>-82830.570000000007</v>
      </c>
      <c r="W37" s="1284"/>
      <c r="X37" s="1284"/>
      <c r="Y37" s="1284"/>
    </row>
    <row r="38" spans="1:25" s="1266" customFormat="1" outlineLevel="1">
      <c r="A38" s="1284"/>
      <c r="B38" s="1285" t="s">
        <v>1942</v>
      </c>
      <c r="C38" s="1286"/>
      <c r="D38" s="1287">
        <v>12001</v>
      </c>
      <c r="E38" s="1287" t="s">
        <v>2073</v>
      </c>
      <c r="F38" s="1288"/>
      <c r="G38" s="1288"/>
      <c r="H38" s="1284"/>
      <c r="I38" s="1284"/>
      <c r="J38" s="1289">
        <v>8730.4</v>
      </c>
      <c r="K38" s="1284"/>
      <c r="L38" s="1289">
        <v>0</v>
      </c>
      <c r="M38" s="1284"/>
      <c r="N38" s="1290">
        <v>0</v>
      </c>
      <c r="O38" s="1284"/>
      <c r="P38" s="1289">
        <f>J38+L38+N38</f>
        <v>8730.4</v>
      </c>
      <c r="Q38" s="1284"/>
      <c r="R38" s="1289">
        <v>8730.4</v>
      </c>
      <c r="S38" s="1289">
        <v>8730.4</v>
      </c>
      <c r="T38" s="1289">
        <f t="shared" ref="T38:T40" si="7">P38</f>
        <v>8730.4</v>
      </c>
      <c r="U38" s="1284"/>
      <c r="V38" s="1290">
        <f t="shared" ref="V38:V40" si="8">T38-S38</f>
        <v>0</v>
      </c>
      <c r="W38" s="1284"/>
      <c r="X38" s="1284"/>
    </row>
    <row r="39" spans="1:25" s="1266" customFormat="1" outlineLevel="1">
      <c r="A39" s="1284"/>
      <c r="B39" s="1285" t="s">
        <v>203</v>
      </c>
      <c r="C39" s="1286"/>
      <c r="D39" s="1287">
        <v>12003</v>
      </c>
      <c r="E39" s="1287" t="s">
        <v>2074</v>
      </c>
      <c r="F39" s="1288"/>
      <c r="G39" s="1288"/>
      <c r="H39" s="1284"/>
      <c r="I39" s="1284"/>
      <c r="J39" s="1289">
        <v>1115.8499999999999</v>
      </c>
      <c r="K39" s="1284"/>
      <c r="L39" s="1289">
        <v>0</v>
      </c>
      <c r="M39" s="1284"/>
      <c r="N39" s="1290">
        <v>0</v>
      </c>
      <c r="O39" s="1284"/>
      <c r="P39" s="1289">
        <f>J39+L39+N39</f>
        <v>1115.8499999999999</v>
      </c>
      <c r="Q39" s="1284"/>
      <c r="R39" s="1289">
        <v>1115.8499999999999</v>
      </c>
      <c r="S39" s="1289">
        <v>1115.8499999999999</v>
      </c>
      <c r="T39" s="1289">
        <f t="shared" si="7"/>
        <v>1115.8499999999999</v>
      </c>
      <c r="U39" s="1284"/>
      <c r="V39" s="1290">
        <f t="shared" si="8"/>
        <v>0</v>
      </c>
      <c r="W39" s="1284"/>
      <c r="X39" s="1284"/>
    </row>
    <row r="40" spans="1:25" s="1266" customFormat="1" outlineLevel="1">
      <c r="A40" s="1284"/>
      <c r="B40" s="1285" t="s">
        <v>203</v>
      </c>
      <c r="C40" s="1286"/>
      <c r="D40" s="1287">
        <v>12004</v>
      </c>
      <c r="E40" s="1287" t="s">
        <v>2075</v>
      </c>
      <c r="F40" s="1288"/>
      <c r="G40" s="1288"/>
      <c r="H40" s="1284"/>
      <c r="I40" s="1284"/>
      <c r="J40" s="1289">
        <v>2717.32</v>
      </c>
      <c r="K40" s="1284"/>
      <c r="L40" s="1289">
        <v>0</v>
      </c>
      <c r="M40" s="1284"/>
      <c r="N40" s="1290">
        <v>0</v>
      </c>
      <c r="O40" s="1284"/>
      <c r="P40" s="1289">
        <f>J40+L40+N40</f>
        <v>2717.32</v>
      </c>
      <c r="Q40" s="1284"/>
      <c r="R40" s="1289">
        <v>2717.32</v>
      </c>
      <c r="S40" s="1289">
        <v>2717.32</v>
      </c>
      <c r="T40" s="1289">
        <f t="shared" si="7"/>
        <v>2717.32</v>
      </c>
      <c r="U40" s="1284"/>
      <c r="V40" s="1290">
        <f t="shared" si="8"/>
        <v>0</v>
      </c>
      <c r="W40" s="1284"/>
      <c r="X40" s="1284"/>
    </row>
    <row r="41" spans="1:25" s="1266" customFormat="1" ht="5.0999999999999996" customHeight="1" outlineLevel="1">
      <c r="A41" s="1286" t="s">
        <v>195</v>
      </c>
      <c r="B41" s="1311" t="s">
        <v>195</v>
      </c>
      <c r="C41" s="1311"/>
      <c r="D41" s="1288"/>
      <c r="E41" s="1288"/>
      <c r="F41" s="1288"/>
      <c r="G41" s="1288"/>
      <c r="H41" s="1284"/>
      <c r="I41" s="1284"/>
      <c r="J41" s="1315"/>
      <c r="K41" s="1284"/>
      <c r="L41" s="1315"/>
      <c r="M41" s="1284"/>
      <c r="N41" s="1316"/>
      <c r="O41" s="1284"/>
      <c r="P41" s="1315"/>
      <c r="Q41" s="1284"/>
      <c r="R41" s="1315"/>
      <c r="S41" s="1315"/>
      <c r="T41" s="1315"/>
      <c r="U41" s="1284"/>
      <c r="V41" s="1316"/>
      <c r="W41" s="1284"/>
      <c r="X41" s="1284"/>
      <c r="Y41" s="1284"/>
    </row>
    <row r="42" spans="1:25" s="1266" customFormat="1">
      <c r="A42" s="1286" t="s">
        <v>1942</v>
      </c>
      <c r="B42" s="1286" t="s">
        <v>195</v>
      </c>
      <c r="C42" s="1286"/>
      <c r="D42" s="1284"/>
      <c r="E42" s="1284"/>
      <c r="F42" s="1287" t="s">
        <v>1943</v>
      </c>
      <c r="G42" s="1284"/>
      <c r="H42" s="1284"/>
      <c r="I42" s="1284"/>
      <c r="J42" s="1313">
        <f>SUM(J38:J41)</f>
        <v>12563.57</v>
      </c>
      <c r="K42" s="1284"/>
      <c r="L42" s="1313">
        <f>SUM(L38:L41)</f>
        <v>0</v>
      </c>
      <c r="M42" s="1284"/>
      <c r="N42" s="1314">
        <f>SUM(N38:N41)</f>
        <v>0</v>
      </c>
      <c r="O42" s="1284"/>
      <c r="P42" s="1313">
        <f>J42+L42+N42</f>
        <v>12563.57</v>
      </c>
      <c r="Q42" s="1284"/>
      <c r="R42" s="1313">
        <f>SUM(R38:R41)</f>
        <v>12563.57</v>
      </c>
      <c r="S42" s="1313">
        <f>SUM(S38:S41)</f>
        <v>12563.57</v>
      </c>
      <c r="T42" s="1313">
        <f>SUM(T38:T41)</f>
        <v>12563.57</v>
      </c>
      <c r="U42" s="1284"/>
      <c r="V42" s="1314">
        <f>SUM(V38:V41)</f>
        <v>0</v>
      </c>
      <c r="W42" s="1284"/>
      <c r="X42" s="1284"/>
      <c r="Y42" s="1284"/>
    </row>
    <row r="43" spans="1:25" s="1266" customFormat="1" outlineLevel="1">
      <c r="A43" s="1284"/>
      <c r="B43" s="1285" t="s">
        <v>1944</v>
      </c>
      <c r="C43" s="1286"/>
      <c r="D43" s="1287">
        <v>13001</v>
      </c>
      <c r="E43" s="1287" t="s">
        <v>1945</v>
      </c>
      <c r="F43" s="1288"/>
      <c r="G43" s="1288"/>
      <c r="H43" s="1284"/>
      <c r="I43" s="1284"/>
      <c r="J43" s="1289">
        <v>10744.31</v>
      </c>
      <c r="K43" s="1284"/>
      <c r="L43" s="1289">
        <v>0</v>
      </c>
      <c r="M43" s="1284"/>
      <c r="N43" s="1290">
        <v>0</v>
      </c>
      <c r="O43" s="1284"/>
      <c r="P43" s="1289">
        <f>J43+L43+N43</f>
        <v>10744.31</v>
      </c>
      <c r="Q43" s="1284"/>
      <c r="R43" s="1289">
        <v>2656.56</v>
      </c>
      <c r="S43" s="1289">
        <v>11379.85</v>
      </c>
      <c r="T43" s="1289">
        <f t="shared" ref="T43:T45" si="9">P43</f>
        <v>10744.31</v>
      </c>
      <c r="U43" s="1284"/>
      <c r="V43" s="1290">
        <f t="shared" ref="V43:V45" si="10">T43-S43</f>
        <v>-635.54000000000087</v>
      </c>
      <c r="W43" s="1284"/>
      <c r="X43" s="1284"/>
    </row>
    <row r="44" spans="1:25" s="1266" customFormat="1" outlineLevel="1">
      <c r="A44" s="1284"/>
      <c r="B44" s="1285" t="s">
        <v>203</v>
      </c>
      <c r="C44" s="1286"/>
      <c r="D44" s="1287">
        <v>13004</v>
      </c>
      <c r="E44" s="1287" t="s">
        <v>1947</v>
      </c>
      <c r="F44" s="1288"/>
      <c r="G44" s="1288"/>
      <c r="H44" s="1284"/>
      <c r="I44" s="1284"/>
      <c r="J44" s="1289">
        <v>0</v>
      </c>
      <c r="K44" s="1284"/>
      <c r="L44" s="1289">
        <v>0</v>
      </c>
      <c r="M44" s="1284"/>
      <c r="N44" s="1290">
        <v>0</v>
      </c>
      <c r="O44" s="1284"/>
      <c r="P44" s="1289">
        <f>J44+L44+N44</f>
        <v>0</v>
      </c>
      <c r="Q44" s="1284"/>
      <c r="R44" s="1289">
        <v>702.86</v>
      </c>
      <c r="S44" s="1289">
        <v>351.41</v>
      </c>
      <c r="T44" s="1289">
        <f t="shared" si="9"/>
        <v>0</v>
      </c>
      <c r="U44" s="1284"/>
      <c r="V44" s="1290">
        <f t="shared" si="10"/>
        <v>-351.41</v>
      </c>
      <c r="W44" s="1284"/>
      <c r="X44" s="1284"/>
    </row>
    <row r="45" spans="1:25" s="1266" customFormat="1" outlineLevel="1">
      <c r="A45" s="1284"/>
      <c r="B45" s="1285" t="s">
        <v>203</v>
      </c>
      <c r="C45" s="1286"/>
      <c r="D45" s="1287">
        <v>13008</v>
      </c>
      <c r="E45" s="1287" t="s">
        <v>1948</v>
      </c>
      <c r="F45" s="1288"/>
      <c r="G45" s="1288"/>
      <c r="H45" s="1284"/>
      <c r="I45" s="1284"/>
      <c r="J45" s="1289">
        <v>1029.67</v>
      </c>
      <c r="K45" s="1284"/>
      <c r="L45" s="1289">
        <v>0</v>
      </c>
      <c r="M45" s="1284"/>
      <c r="N45" s="1290">
        <v>0</v>
      </c>
      <c r="O45" s="1284"/>
      <c r="P45" s="1289">
        <f>J45+L45+N45</f>
        <v>1029.67</v>
      </c>
      <c r="Q45" s="1284"/>
      <c r="R45" s="1289">
        <v>825.21</v>
      </c>
      <c r="S45" s="1289">
        <v>641.84</v>
      </c>
      <c r="T45" s="1289">
        <f t="shared" si="9"/>
        <v>1029.67</v>
      </c>
      <c r="U45" s="1284"/>
      <c r="V45" s="1290">
        <f t="shared" si="10"/>
        <v>387.83000000000004</v>
      </c>
      <c r="W45" s="1284"/>
      <c r="X45" s="1284"/>
    </row>
    <row r="46" spans="1:25" s="1266" customFormat="1" ht="3.75" customHeight="1" outlineLevel="1">
      <c r="A46" s="1286" t="s">
        <v>195</v>
      </c>
      <c r="B46" s="1311" t="s">
        <v>195</v>
      </c>
      <c r="C46" s="1311"/>
      <c r="D46" s="1288"/>
      <c r="E46" s="1288"/>
      <c r="F46" s="1288"/>
      <c r="G46" s="1288"/>
      <c r="H46" s="1284"/>
      <c r="I46" s="1284"/>
      <c r="J46" s="1315"/>
      <c r="K46" s="1284"/>
      <c r="L46" s="1315"/>
      <c r="M46" s="1284"/>
      <c r="N46" s="1316"/>
      <c r="O46" s="1284"/>
      <c r="P46" s="1315"/>
      <c r="Q46" s="1284"/>
      <c r="R46" s="1315"/>
      <c r="S46" s="1315"/>
      <c r="T46" s="1315"/>
      <c r="U46" s="1284"/>
      <c r="V46" s="1316"/>
      <c r="W46" s="1284"/>
      <c r="X46" s="1284"/>
      <c r="Y46" s="1284"/>
    </row>
    <row r="47" spans="1:25" s="1266" customFormat="1">
      <c r="A47" s="1286" t="s">
        <v>1944</v>
      </c>
      <c r="B47" s="1286" t="s">
        <v>195</v>
      </c>
      <c r="C47" s="1286"/>
      <c r="D47" s="1284"/>
      <c r="E47" s="1284"/>
      <c r="F47" s="1287" t="s">
        <v>1949</v>
      </c>
      <c r="G47" s="1284"/>
      <c r="H47" s="1284"/>
      <c r="I47" s="1284"/>
      <c r="J47" s="1313">
        <f>SUM(J43:J46)</f>
        <v>11773.98</v>
      </c>
      <c r="K47" s="1284"/>
      <c r="L47" s="1313">
        <f>SUM(L43:L46)</f>
        <v>0</v>
      </c>
      <c r="M47" s="1284"/>
      <c r="N47" s="1314">
        <f>SUM(N43:N46)</f>
        <v>0</v>
      </c>
      <c r="O47" s="1284"/>
      <c r="P47" s="1313">
        <f>J47+L47+N47</f>
        <v>11773.98</v>
      </c>
      <c r="Q47" s="1284"/>
      <c r="R47" s="1313">
        <f>SUM(R43:R46)</f>
        <v>4184.63</v>
      </c>
      <c r="S47" s="1313">
        <f>SUM(S43:S46)</f>
        <v>12373.1</v>
      </c>
      <c r="T47" s="1313">
        <f>SUM(T43:T46)</f>
        <v>11773.98</v>
      </c>
      <c r="U47" s="1317"/>
      <c r="V47" s="1314">
        <f>SUM(V43:V46)</f>
        <v>-599.12000000000091</v>
      </c>
      <c r="W47" s="1284"/>
      <c r="X47" s="1284"/>
      <c r="Y47" s="1284"/>
    </row>
    <row r="48" spans="1:25" s="1266" customFormat="1" hidden="1" outlineLevel="1">
      <c r="A48" s="1284"/>
      <c r="B48" s="1285" t="s">
        <v>1950</v>
      </c>
      <c r="C48" s="1286"/>
      <c r="D48" s="1287"/>
      <c r="E48" s="1287"/>
      <c r="F48" s="1288"/>
      <c r="G48" s="1288"/>
      <c r="H48" s="1284"/>
      <c r="I48" s="1284"/>
      <c r="J48" s="1289"/>
      <c r="K48" s="1284"/>
      <c r="L48" s="1289"/>
      <c r="M48" s="1284"/>
      <c r="N48" s="1290"/>
      <c r="O48" s="1284"/>
      <c r="P48" s="1289">
        <f>J48+L48+N48</f>
        <v>0</v>
      </c>
      <c r="Q48" s="1284"/>
      <c r="R48" s="1289"/>
      <c r="S48" s="1289"/>
      <c r="T48" s="1289">
        <f>P48</f>
        <v>0</v>
      </c>
      <c r="U48" s="1284"/>
      <c r="V48" s="1290">
        <f>T48-S48</f>
        <v>0</v>
      </c>
      <c r="W48" s="1284"/>
      <c r="X48" s="1284"/>
    </row>
    <row r="49" spans="1:25" s="1266" customFormat="1" ht="3.75" hidden="1" customHeight="1" outlineLevel="1">
      <c r="A49" s="1286" t="s">
        <v>195</v>
      </c>
      <c r="B49" s="1311" t="s">
        <v>195</v>
      </c>
      <c r="C49" s="1311"/>
      <c r="D49" s="1288"/>
      <c r="E49" s="1288"/>
      <c r="F49" s="1288"/>
      <c r="G49" s="1288"/>
      <c r="H49" s="1284"/>
      <c r="I49" s="1284"/>
      <c r="J49" s="1315"/>
      <c r="K49" s="1284"/>
      <c r="L49" s="1315"/>
      <c r="M49" s="1284"/>
      <c r="N49" s="1316"/>
      <c r="O49" s="1284"/>
      <c r="P49" s="1315"/>
      <c r="Q49" s="1284"/>
      <c r="R49" s="1315"/>
      <c r="S49" s="1315"/>
      <c r="T49" s="1315"/>
      <c r="U49" s="1284"/>
      <c r="V49" s="1316"/>
      <c r="W49" s="1284"/>
      <c r="X49" s="1284"/>
      <c r="Y49" s="1284"/>
    </row>
    <row r="50" spans="1:25" s="1266" customFormat="1" hidden="1" collapsed="1">
      <c r="A50" s="1286" t="s">
        <v>1950</v>
      </c>
      <c r="B50" s="1286" t="s">
        <v>195</v>
      </c>
      <c r="C50" s="1286"/>
      <c r="D50" s="1284"/>
      <c r="E50" s="1284"/>
      <c r="F50" s="1287" t="s">
        <v>1951</v>
      </c>
      <c r="G50" s="1284"/>
      <c r="H50" s="1284"/>
      <c r="I50" s="1284"/>
      <c r="J50" s="1313">
        <f>SUM(J48:J49)</f>
        <v>0</v>
      </c>
      <c r="K50" s="1284"/>
      <c r="L50" s="1313">
        <f>SUM(L48:L49)</f>
        <v>0</v>
      </c>
      <c r="M50" s="1284"/>
      <c r="N50" s="1314">
        <f>SUM(N48:N49)</f>
        <v>0</v>
      </c>
      <c r="O50" s="1284"/>
      <c r="P50" s="1313">
        <f>J50+L50+N50</f>
        <v>0</v>
      </c>
      <c r="Q50" s="1284"/>
      <c r="R50" s="1313">
        <f>SUM(R48:R49)</f>
        <v>0</v>
      </c>
      <c r="S50" s="1313">
        <f>SUM(S48:S49)</f>
        <v>0</v>
      </c>
      <c r="T50" s="1313">
        <f>SUM(T48:T49)</f>
        <v>0</v>
      </c>
      <c r="U50" s="1317"/>
      <c r="V50" s="1314">
        <f>SUM(V48:V49)</f>
        <v>0</v>
      </c>
      <c r="W50" s="1284"/>
      <c r="X50" s="1284"/>
      <c r="Y50" s="1284"/>
    </row>
    <row r="51" spans="1:25" s="1266" customFormat="1" ht="7.5" customHeight="1">
      <c r="A51" s="1311" t="s">
        <v>195</v>
      </c>
      <c r="B51" s="1311" t="s">
        <v>195</v>
      </c>
      <c r="C51" s="1311"/>
      <c r="D51" s="1284"/>
      <c r="E51" s="1284"/>
      <c r="F51" s="1284"/>
      <c r="G51" s="1284"/>
      <c r="H51" s="1284"/>
      <c r="I51" s="1284"/>
      <c r="J51" s="1318"/>
      <c r="K51" s="1284"/>
      <c r="L51" s="1318"/>
      <c r="M51" s="1284"/>
      <c r="N51" s="1318"/>
      <c r="O51" s="1284"/>
      <c r="P51" s="1318"/>
      <c r="Q51" s="1284"/>
      <c r="R51" s="1318"/>
      <c r="S51" s="1318"/>
      <c r="T51" s="1318"/>
      <c r="U51" s="1284"/>
      <c r="V51" s="1318"/>
      <c r="W51" s="1284"/>
      <c r="X51" s="1284"/>
      <c r="Y51" s="1284"/>
    </row>
    <row r="52" spans="1:25" s="1266" customFormat="1">
      <c r="A52" s="1286" t="s">
        <v>195</v>
      </c>
      <c r="B52" s="1311" t="s">
        <v>195</v>
      </c>
      <c r="C52" s="1311"/>
      <c r="D52" s="1284"/>
      <c r="E52" s="1319" t="s">
        <v>1952</v>
      </c>
      <c r="F52" s="1284"/>
      <c r="G52" s="1284"/>
      <c r="H52" s="1284"/>
      <c r="I52" s="1284"/>
      <c r="J52" s="1320">
        <f>SUM(J27,J37,J42,J47,J50)</f>
        <v>303309.75999999989</v>
      </c>
      <c r="K52" s="1284"/>
      <c r="L52" s="1320">
        <f>SUM(L27,L37,L42,L47,L50)</f>
        <v>0</v>
      </c>
      <c r="M52" s="1284"/>
      <c r="N52" s="1321">
        <f>SUM(N27,N37,N42,N47,N50)</f>
        <v>0</v>
      </c>
      <c r="O52" s="1284"/>
      <c r="P52" s="1320">
        <f>SUM(P27,P37,P42,P47,P50)</f>
        <v>303309.75999999989</v>
      </c>
      <c r="Q52" s="1284"/>
      <c r="R52" s="1320">
        <f>SUM(R27,R37,R42,R47,R50)</f>
        <v>304376.79000000004</v>
      </c>
      <c r="S52" s="1320">
        <f>SUM(S27,S37,S42,S47,S50)</f>
        <v>386670.92</v>
      </c>
      <c r="T52" s="1320">
        <f>SUM(T27,T37,T42,T47,T50)</f>
        <v>303309.75999999989</v>
      </c>
      <c r="U52" s="1284"/>
      <c r="V52" s="1321">
        <f>SUM(V27,V37,V42,V47,V50)</f>
        <v>-83361.16</v>
      </c>
      <c r="W52" s="1284"/>
      <c r="X52" s="1284"/>
      <c r="Y52" s="1284"/>
    </row>
    <row r="53" spans="1:25" s="1266" customFormat="1" ht="7.5" customHeight="1">
      <c r="A53" s="1311" t="s">
        <v>195</v>
      </c>
      <c r="B53" s="1311" t="s">
        <v>195</v>
      </c>
      <c r="C53" s="1311"/>
      <c r="D53" s="1284"/>
      <c r="E53" s="1284"/>
      <c r="F53" s="1284"/>
      <c r="G53" s="1284"/>
      <c r="H53" s="1284"/>
      <c r="I53" s="1284"/>
      <c r="J53" s="1318"/>
      <c r="K53" s="1284"/>
      <c r="L53" s="1318"/>
      <c r="M53" s="1284"/>
      <c r="N53" s="1290"/>
      <c r="O53" s="1284"/>
      <c r="P53" s="1318"/>
      <c r="Q53" s="1284"/>
      <c r="R53" s="1318"/>
      <c r="S53" s="1318"/>
      <c r="T53" s="1318"/>
      <c r="U53" s="1284"/>
      <c r="V53" s="1290"/>
      <c r="W53" s="1284"/>
      <c r="X53" s="1284"/>
      <c r="Y53" s="1284"/>
    </row>
    <row r="54" spans="1:25" s="1266" customFormat="1" outlineLevel="1">
      <c r="A54" s="1311" t="s">
        <v>195</v>
      </c>
      <c r="B54" s="1311" t="s">
        <v>195</v>
      </c>
      <c r="C54" s="1311"/>
      <c r="D54" s="1284"/>
      <c r="E54" s="1284"/>
      <c r="F54" s="1284"/>
      <c r="G54" s="1284"/>
      <c r="H54" s="1284"/>
      <c r="I54" s="1284"/>
      <c r="J54" s="1318"/>
      <c r="K54" s="1284"/>
      <c r="L54" s="1318"/>
      <c r="M54" s="1284"/>
      <c r="N54" s="1290"/>
      <c r="O54" s="1284"/>
      <c r="P54" s="1318"/>
      <c r="Q54" s="1284"/>
      <c r="R54" s="1318"/>
      <c r="S54" s="1318"/>
      <c r="T54" s="1318"/>
      <c r="U54" s="1284"/>
      <c r="V54" s="1290"/>
      <c r="W54" s="1284"/>
      <c r="X54" s="1284"/>
      <c r="Y54" s="1284"/>
    </row>
    <row r="55" spans="1:25" s="1266" customFormat="1" outlineLevel="1">
      <c r="A55" s="1284"/>
      <c r="B55" s="1285" t="s">
        <v>1953</v>
      </c>
      <c r="C55" s="1286"/>
      <c r="D55" s="1287">
        <v>14002</v>
      </c>
      <c r="E55" s="1287" t="s">
        <v>2056</v>
      </c>
      <c r="F55" s="1288"/>
      <c r="G55" s="1288"/>
      <c r="H55" s="1284"/>
      <c r="I55" s="1284"/>
      <c r="J55" s="1289">
        <v>94000</v>
      </c>
      <c r="K55" s="1284"/>
      <c r="L55" s="1289">
        <v>0</v>
      </c>
      <c r="M55" s="1284"/>
      <c r="N55" s="1290">
        <v>0</v>
      </c>
      <c r="O55" s="1284"/>
      <c r="P55" s="1289">
        <f t="shared" ref="P55:P88" si="11">J55+L55+N55</f>
        <v>94000</v>
      </c>
      <c r="Q55" s="1284"/>
      <c r="R55" s="1289">
        <v>94000</v>
      </c>
      <c r="S55" s="1289">
        <v>94000</v>
      </c>
      <c r="T55" s="1289">
        <f t="shared" ref="T55:T88" si="12">P55</f>
        <v>94000</v>
      </c>
      <c r="U55" s="1284"/>
      <c r="V55" s="1290">
        <f t="shared" ref="V55:V88" si="13">T55-S55</f>
        <v>0</v>
      </c>
      <c r="W55" s="1284"/>
      <c r="X55" s="1284"/>
    </row>
    <row r="56" spans="1:25" s="1266" customFormat="1" outlineLevel="1">
      <c r="A56" s="1284"/>
      <c r="B56" s="1285" t="s">
        <v>203</v>
      </c>
      <c r="C56" s="1286"/>
      <c r="D56" s="1287">
        <v>14011</v>
      </c>
      <c r="E56" s="1287" t="s">
        <v>2057</v>
      </c>
      <c r="F56" s="1288"/>
      <c r="G56" s="1288"/>
      <c r="H56" s="1284"/>
      <c r="I56" s="1284"/>
      <c r="J56" s="1289">
        <v>58390.41</v>
      </c>
      <c r="K56" s="1284"/>
      <c r="L56" s="1289">
        <v>0</v>
      </c>
      <c r="M56" s="1284"/>
      <c r="N56" s="1290">
        <v>0</v>
      </c>
      <c r="O56" s="1284"/>
      <c r="P56" s="1289">
        <f t="shared" si="11"/>
        <v>58390.41</v>
      </c>
      <c r="Q56" s="1284"/>
      <c r="R56" s="1289">
        <v>58390.41</v>
      </c>
      <c r="S56" s="1289">
        <v>58390.41</v>
      </c>
      <c r="T56" s="1289">
        <f t="shared" si="12"/>
        <v>58390.41</v>
      </c>
      <c r="U56" s="1284"/>
      <c r="V56" s="1290">
        <f t="shared" si="13"/>
        <v>0</v>
      </c>
      <c r="W56" s="1284"/>
      <c r="X56" s="1284"/>
    </row>
    <row r="57" spans="1:25" s="1266" customFormat="1" outlineLevel="1">
      <c r="A57" s="1284"/>
      <c r="B57" s="1285" t="s">
        <v>203</v>
      </c>
      <c r="C57" s="1286"/>
      <c r="D57" s="1287">
        <v>14016</v>
      </c>
      <c r="E57" s="1287" t="s">
        <v>2058</v>
      </c>
      <c r="F57" s="1288"/>
      <c r="G57" s="1288"/>
      <c r="H57" s="1284"/>
      <c r="I57" s="1284"/>
      <c r="J57" s="1289">
        <v>-20309.509999999998</v>
      </c>
      <c r="K57" s="1284"/>
      <c r="L57" s="1289">
        <v>0</v>
      </c>
      <c r="M57" s="1284"/>
      <c r="N57" s="1290">
        <v>0</v>
      </c>
      <c r="O57" s="1284"/>
      <c r="P57" s="1289">
        <f t="shared" si="11"/>
        <v>-20309.509999999998</v>
      </c>
      <c r="Q57" s="1284"/>
      <c r="R57" s="1289">
        <v>-19336.34</v>
      </c>
      <c r="S57" s="1289">
        <v>-19822.919999999998</v>
      </c>
      <c r="T57" s="1289">
        <f t="shared" si="12"/>
        <v>-20309.509999999998</v>
      </c>
      <c r="U57" s="1284"/>
      <c r="V57" s="1290">
        <f t="shared" si="13"/>
        <v>-486.59000000000015</v>
      </c>
      <c r="W57" s="1284"/>
      <c r="X57" s="1284"/>
    </row>
    <row r="58" spans="1:25" s="1266" customFormat="1" outlineLevel="1">
      <c r="A58" s="1284"/>
      <c r="B58" s="1285" t="s">
        <v>203</v>
      </c>
      <c r="C58" s="1286"/>
      <c r="D58" s="1287">
        <v>14041</v>
      </c>
      <c r="E58" s="1287" t="s">
        <v>1954</v>
      </c>
      <c r="F58" s="1288"/>
      <c r="G58" s="1288"/>
      <c r="H58" s="1284"/>
      <c r="I58" s="1284"/>
      <c r="J58" s="1289">
        <v>2157758.02</v>
      </c>
      <c r="K58" s="1284"/>
      <c r="L58" s="1289">
        <v>0</v>
      </c>
      <c r="M58" s="1284"/>
      <c r="N58" s="1290">
        <v>0</v>
      </c>
      <c r="O58" s="1284"/>
      <c r="P58" s="1289">
        <f t="shared" si="11"/>
        <v>2157758.02</v>
      </c>
      <c r="Q58" s="1284"/>
      <c r="R58" s="1289">
        <v>1951251.94</v>
      </c>
      <c r="S58" s="1289">
        <v>2118241.65</v>
      </c>
      <c r="T58" s="1289">
        <f t="shared" si="12"/>
        <v>2157758.02</v>
      </c>
      <c r="U58" s="1284"/>
      <c r="V58" s="1290">
        <f t="shared" si="13"/>
        <v>39516.370000000112</v>
      </c>
      <c r="W58" s="1284"/>
      <c r="X58" s="1284"/>
    </row>
    <row r="59" spans="1:25" s="1266" customFormat="1" outlineLevel="1">
      <c r="A59" s="1284"/>
      <c r="B59" s="1285" t="s">
        <v>203</v>
      </c>
      <c r="C59" s="1286"/>
      <c r="D59" s="1287">
        <v>14042</v>
      </c>
      <c r="E59" s="1287" t="s">
        <v>1955</v>
      </c>
      <c r="F59" s="1288"/>
      <c r="G59" s="1288"/>
      <c r="H59" s="1284"/>
      <c r="I59" s="1284"/>
      <c r="J59" s="1289">
        <v>574940</v>
      </c>
      <c r="K59" s="1284"/>
      <c r="L59" s="1289">
        <v>0</v>
      </c>
      <c r="M59" s="1284"/>
      <c r="N59" s="1290">
        <v>0</v>
      </c>
      <c r="O59" s="1284"/>
      <c r="P59" s="1289">
        <f t="shared" si="11"/>
        <v>574940</v>
      </c>
      <c r="Q59" s="1284"/>
      <c r="R59" s="1289">
        <v>574940</v>
      </c>
      <c r="S59" s="1289">
        <v>574940</v>
      </c>
      <c r="T59" s="1289">
        <f t="shared" si="12"/>
        <v>574940</v>
      </c>
      <c r="U59" s="1284"/>
      <c r="V59" s="1290">
        <f t="shared" si="13"/>
        <v>0</v>
      </c>
      <c r="W59" s="1284"/>
      <c r="X59" s="1284"/>
    </row>
    <row r="60" spans="1:25" s="1266" customFormat="1" outlineLevel="1">
      <c r="A60" s="1284"/>
      <c r="B60" s="1285" t="s">
        <v>203</v>
      </c>
      <c r="C60" s="1286"/>
      <c r="D60" s="1287">
        <v>14043</v>
      </c>
      <c r="E60" s="1287" t="s">
        <v>1956</v>
      </c>
      <c r="F60" s="1288"/>
      <c r="G60" s="1288"/>
      <c r="H60" s="1284"/>
      <c r="I60" s="1284"/>
      <c r="J60" s="1289">
        <v>-553982.44999999995</v>
      </c>
      <c r="K60" s="1284"/>
      <c r="L60" s="1289">
        <v>0</v>
      </c>
      <c r="M60" s="1284"/>
      <c r="N60" s="1290">
        <v>0</v>
      </c>
      <c r="O60" s="1284"/>
      <c r="P60" s="1289">
        <f t="shared" si="11"/>
        <v>-553982.44999999995</v>
      </c>
      <c r="Q60" s="1284"/>
      <c r="R60" s="1289">
        <v>-553982.44999999995</v>
      </c>
      <c r="S60" s="1289">
        <v>-553982.44999999995</v>
      </c>
      <c r="T60" s="1289">
        <f t="shared" si="12"/>
        <v>-553982.44999999995</v>
      </c>
      <c r="U60" s="1284"/>
      <c r="V60" s="1290">
        <f t="shared" si="13"/>
        <v>0</v>
      </c>
      <c r="W60" s="1284"/>
      <c r="X60" s="1284"/>
    </row>
    <row r="61" spans="1:25" s="1266" customFormat="1" outlineLevel="1">
      <c r="A61" s="1284"/>
      <c r="B61" s="1285" t="s">
        <v>203</v>
      </c>
      <c r="C61" s="1286"/>
      <c r="D61" s="1287">
        <v>14044</v>
      </c>
      <c r="E61" s="1287" t="s">
        <v>1957</v>
      </c>
      <c r="F61" s="1288"/>
      <c r="G61" s="1288"/>
      <c r="H61" s="1284"/>
      <c r="I61" s="1284"/>
      <c r="J61" s="1289">
        <v>-102256.29</v>
      </c>
      <c r="K61" s="1284"/>
      <c r="L61" s="1289">
        <v>0</v>
      </c>
      <c r="M61" s="1284"/>
      <c r="N61" s="1290">
        <v>0</v>
      </c>
      <c r="O61" s="1284"/>
      <c r="P61" s="1289">
        <f t="shared" si="11"/>
        <v>-102256.29</v>
      </c>
      <c r="Q61" s="1284"/>
      <c r="R61" s="1289">
        <v>-74756.289999999994</v>
      </c>
      <c r="S61" s="1289">
        <v>-102256.29</v>
      </c>
      <c r="T61" s="1289">
        <f t="shared" si="12"/>
        <v>-102256.29</v>
      </c>
      <c r="U61" s="1284"/>
      <c r="V61" s="1290">
        <f t="shared" si="13"/>
        <v>0</v>
      </c>
      <c r="W61" s="1284"/>
      <c r="X61" s="1284"/>
    </row>
    <row r="62" spans="1:25" s="1266" customFormat="1" outlineLevel="1">
      <c r="A62" s="1284"/>
      <c r="B62" s="1285" t="s">
        <v>203</v>
      </c>
      <c r="C62" s="1286"/>
      <c r="D62" s="1287">
        <v>14046</v>
      </c>
      <c r="E62" s="1287" t="s">
        <v>1958</v>
      </c>
      <c r="F62" s="1288"/>
      <c r="G62" s="1288"/>
      <c r="H62" s="1284"/>
      <c r="I62" s="1284"/>
      <c r="J62" s="1289">
        <v>-1243199.58</v>
      </c>
      <c r="K62" s="1284"/>
      <c r="L62" s="1289">
        <v>0</v>
      </c>
      <c r="M62" s="1284"/>
      <c r="N62" s="1290">
        <v>0</v>
      </c>
      <c r="O62" s="1284"/>
      <c r="P62" s="1289">
        <f t="shared" si="11"/>
        <v>-1243199.58</v>
      </c>
      <c r="Q62" s="1284"/>
      <c r="R62" s="1289">
        <v>-1216719.74</v>
      </c>
      <c r="S62" s="1289">
        <v>-1229881.25</v>
      </c>
      <c r="T62" s="1289">
        <f t="shared" si="12"/>
        <v>-1243199.58</v>
      </c>
      <c r="U62" s="1284"/>
      <c r="V62" s="1290">
        <f t="shared" si="13"/>
        <v>-13318.330000000075</v>
      </c>
      <c r="W62" s="1284"/>
      <c r="X62" s="1284"/>
    </row>
    <row r="63" spans="1:25" s="1266" customFormat="1" outlineLevel="1">
      <c r="A63" s="1284"/>
      <c r="B63" s="1285" t="s">
        <v>203</v>
      </c>
      <c r="C63" s="1286"/>
      <c r="D63" s="1287">
        <v>14047</v>
      </c>
      <c r="E63" s="1287" t="s">
        <v>1956</v>
      </c>
      <c r="F63" s="1288"/>
      <c r="G63" s="1288"/>
      <c r="H63" s="1284"/>
      <c r="I63" s="1284"/>
      <c r="J63" s="1289">
        <v>-22874.29</v>
      </c>
      <c r="K63" s="1284"/>
      <c r="L63" s="1289">
        <v>0</v>
      </c>
      <c r="M63" s="1284"/>
      <c r="N63" s="1290">
        <v>0</v>
      </c>
      <c r="O63" s="1284"/>
      <c r="P63" s="1289">
        <f t="shared" si="11"/>
        <v>-22874.29</v>
      </c>
      <c r="Q63" s="1284"/>
      <c r="R63" s="1289">
        <v>-22874.29</v>
      </c>
      <c r="S63" s="1289">
        <v>-22874.29</v>
      </c>
      <c r="T63" s="1289">
        <f t="shared" si="12"/>
        <v>-22874.29</v>
      </c>
      <c r="U63" s="1284"/>
      <c r="V63" s="1290">
        <f t="shared" si="13"/>
        <v>0</v>
      </c>
      <c r="W63" s="1284"/>
      <c r="X63" s="1284"/>
    </row>
    <row r="64" spans="1:25" s="1266" customFormat="1" outlineLevel="1">
      <c r="A64" s="1284"/>
      <c r="B64" s="1285" t="s">
        <v>203</v>
      </c>
      <c r="C64" s="1286"/>
      <c r="D64" s="1287">
        <v>14048</v>
      </c>
      <c r="E64" s="1287" t="s">
        <v>1957</v>
      </c>
      <c r="F64" s="1288"/>
      <c r="G64" s="1288"/>
      <c r="H64" s="1284"/>
      <c r="I64" s="1284"/>
      <c r="J64" s="1289">
        <v>102256.29</v>
      </c>
      <c r="K64" s="1284"/>
      <c r="L64" s="1289">
        <v>0</v>
      </c>
      <c r="M64" s="1284"/>
      <c r="N64" s="1290">
        <v>0</v>
      </c>
      <c r="O64" s="1284"/>
      <c r="P64" s="1289">
        <f t="shared" si="11"/>
        <v>102256.29</v>
      </c>
      <c r="Q64" s="1284"/>
      <c r="R64" s="1289">
        <v>74756.289999999994</v>
      </c>
      <c r="S64" s="1289">
        <v>102256.29</v>
      </c>
      <c r="T64" s="1289">
        <f t="shared" si="12"/>
        <v>102256.29</v>
      </c>
      <c r="U64" s="1284"/>
      <c r="V64" s="1290">
        <f t="shared" si="13"/>
        <v>0</v>
      </c>
      <c r="W64" s="1284"/>
      <c r="X64" s="1284"/>
    </row>
    <row r="65" spans="1:24" s="1266" customFormat="1" outlineLevel="1">
      <c r="A65" s="1284"/>
      <c r="B65" s="1285" t="s">
        <v>203</v>
      </c>
      <c r="C65" s="1286"/>
      <c r="D65" s="1287">
        <v>14051</v>
      </c>
      <c r="E65" s="1287" t="s">
        <v>1959</v>
      </c>
      <c r="F65" s="1288"/>
      <c r="G65" s="1288"/>
      <c r="H65" s="1284"/>
      <c r="I65" s="1284"/>
      <c r="J65" s="1289">
        <v>550736.68999999994</v>
      </c>
      <c r="K65" s="1284"/>
      <c r="L65" s="1289">
        <v>0</v>
      </c>
      <c r="M65" s="1284"/>
      <c r="N65" s="1290">
        <v>0</v>
      </c>
      <c r="O65" s="1284"/>
      <c r="P65" s="1289">
        <f t="shared" si="11"/>
        <v>550736.68999999994</v>
      </c>
      <c r="Q65" s="1284"/>
      <c r="R65" s="1289">
        <v>533170.67000000004</v>
      </c>
      <c r="S65" s="1289">
        <v>533170.67000000004</v>
      </c>
      <c r="T65" s="1289">
        <f t="shared" si="12"/>
        <v>550736.68999999994</v>
      </c>
      <c r="U65" s="1284"/>
      <c r="V65" s="1290">
        <f t="shared" si="13"/>
        <v>17566.019999999902</v>
      </c>
      <c r="W65" s="1284"/>
      <c r="X65" s="1284"/>
    </row>
    <row r="66" spans="1:24" s="1266" customFormat="1" outlineLevel="1">
      <c r="A66" s="1284"/>
      <c r="B66" s="1285" t="s">
        <v>203</v>
      </c>
      <c r="C66" s="1286"/>
      <c r="D66" s="1287">
        <v>14052</v>
      </c>
      <c r="E66" s="1287" t="s">
        <v>1960</v>
      </c>
      <c r="F66" s="1288"/>
      <c r="G66" s="1288"/>
      <c r="H66" s="1284"/>
      <c r="I66" s="1284"/>
      <c r="J66" s="1289">
        <v>72790</v>
      </c>
      <c r="K66" s="1284"/>
      <c r="L66" s="1289">
        <v>0</v>
      </c>
      <c r="M66" s="1284"/>
      <c r="N66" s="1290">
        <v>0</v>
      </c>
      <c r="O66" s="1284"/>
      <c r="P66" s="1289">
        <f t="shared" si="11"/>
        <v>72790</v>
      </c>
      <c r="Q66" s="1284"/>
      <c r="R66" s="1289">
        <v>72790</v>
      </c>
      <c r="S66" s="1289">
        <v>72790</v>
      </c>
      <c r="T66" s="1289">
        <f t="shared" si="12"/>
        <v>72790</v>
      </c>
      <c r="U66" s="1284"/>
      <c r="V66" s="1290">
        <f t="shared" si="13"/>
        <v>0</v>
      </c>
      <c r="W66" s="1284"/>
      <c r="X66" s="1284"/>
    </row>
    <row r="67" spans="1:24" s="1266" customFormat="1" outlineLevel="1">
      <c r="A67" s="1284"/>
      <c r="B67" s="1285" t="s">
        <v>203</v>
      </c>
      <c r="C67" s="1286"/>
      <c r="D67" s="1287">
        <v>14053</v>
      </c>
      <c r="E67" s="1287" t="s">
        <v>2059</v>
      </c>
      <c r="F67" s="1288"/>
      <c r="G67" s="1288"/>
      <c r="H67" s="1284"/>
      <c r="I67" s="1284"/>
      <c r="J67" s="1289">
        <v>11193.65</v>
      </c>
      <c r="K67" s="1284"/>
      <c r="L67" s="1289">
        <v>0</v>
      </c>
      <c r="M67" s="1284"/>
      <c r="N67" s="1290">
        <v>0</v>
      </c>
      <c r="O67" s="1284"/>
      <c r="P67" s="1289">
        <f t="shared" si="11"/>
        <v>11193.65</v>
      </c>
      <c r="Q67" s="1284"/>
      <c r="R67" s="1289">
        <v>11193.65</v>
      </c>
      <c r="S67" s="1289">
        <v>11193.65</v>
      </c>
      <c r="T67" s="1289">
        <f t="shared" si="12"/>
        <v>11193.65</v>
      </c>
      <c r="U67" s="1284"/>
      <c r="V67" s="1290">
        <f t="shared" si="13"/>
        <v>0</v>
      </c>
      <c r="W67" s="1284"/>
      <c r="X67" s="1284"/>
    </row>
    <row r="68" spans="1:24" s="1266" customFormat="1" outlineLevel="1">
      <c r="A68" s="1284"/>
      <c r="B68" s="1285" t="s">
        <v>203</v>
      </c>
      <c r="C68" s="1286"/>
      <c r="D68" s="1287">
        <v>14054</v>
      </c>
      <c r="E68" s="1287" t="s">
        <v>2060</v>
      </c>
      <c r="F68" s="1288"/>
      <c r="G68" s="1288"/>
      <c r="H68" s="1284"/>
      <c r="I68" s="1284"/>
      <c r="J68" s="1289">
        <v>-3682</v>
      </c>
      <c r="K68" s="1284"/>
      <c r="L68" s="1289">
        <v>0</v>
      </c>
      <c r="M68" s="1284"/>
      <c r="N68" s="1290">
        <v>0</v>
      </c>
      <c r="O68" s="1284"/>
      <c r="P68" s="1289">
        <f t="shared" si="11"/>
        <v>-3682</v>
      </c>
      <c r="Q68" s="1284"/>
      <c r="R68" s="1289">
        <v>-3682</v>
      </c>
      <c r="S68" s="1289">
        <v>-3682</v>
      </c>
      <c r="T68" s="1289">
        <f t="shared" si="12"/>
        <v>-3682</v>
      </c>
      <c r="U68" s="1284"/>
      <c r="V68" s="1290">
        <f t="shared" si="13"/>
        <v>0</v>
      </c>
      <c r="W68" s="1284"/>
      <c r="X68" s="1284"/>
    </row>
    <row r="69" spans="1:24" s="1266" customFormat="1" outlineLevel="1">
      <c r="A69" s="1284"/>
      <c r="B69" s="1285" t="s">
        <v>203</v>
      </c>
      <c r="C69" s="1286"/>
      <c r="D69" s="1287">
        <v>14056</v>
      </c>
      <c r="E69" s="1287" t="s">
        <v>1961</v>
      </c>
      <c r="F69" s="1288"/>
      <c r="G69" s="1288"/>
      <c r="H69" s="1284"/>
      <c r="I69" s="1284"/>
      <c r="J69" s="1289">
        <v>-409638.02</v>
      </c>
      <c r="K69" s="1284"/>
      <c r="L69" s="1289">
        <v>0</v>
      </c>
      <c r="M69" s="1284"/>
      <c r="N69" s="1290">
        <v>0</v>
      </c>
      <c r="O69" s="1284"/>
      <c r="P69" s="1289">
        <f t="shared" si="11"/>
        <v>-409638.02</v>
      </c>
      <c r="Q69" s="1284"/>
      <c r="R69" s="1289">
        <v>-403163.66</v>
      </c>
      <c r="S69" s="1289">
        <v>-406339.85</v>
      </c>
      <c r="T69" s="1289">
        <f t="shared" si="12"/>
        <v>-409638.02</v>
      </c>
      <c r="U69" s="1284"/>
      <c r="V69" s="1290">
        <f t="shared" si="13"/>
        <v>-3298.1700000000419</v>
      </c>
      <c r="W69" s="1284"/>
      <c r="X69" s="1284"/>
    </row>
    <row r="70" spans="1:24" s="1266" customFormat="1" outlineLevel="1">
      <c r="A70" s="1284"/>
      <c r="B70" s="1285" t="s">
        <v>203</v>
      </c>
      <c r="C70" s="1286"/>
      <c r="D70" s="1287">
        <v>14057</v>
      </c>
      <c r="E70" s="1287" t="s">
        <v>2061</v>
      </c>
      <c r="F70" s="1288"/>
      <c r="G70" s="1288"/>
      <c r="H70" s="1284"/>
      <c r="I70" s="1284"/>
      <c r="J70" s="1289">
        <v>-4409.91</v>
      </c>
      <c r="K70" s="1284"/>
      <c r="L70" s="1289">
        <v>0</v>
      </c>
      <c r="M70" s="1284"/>
      <c r="N70" s="1290">
        <v>0</v>
      </c>
      <c r="O70" s="1284"/>
      <c r="P70" s="1289">
        <f t="shared" si="11"/>
        <v>-4409.91</v>
      </c>
      <c r="Q70" s="1284"/>
      <c r="R70" s="1289">
        <v>-4409.91</v>
      </c>
      <c r="S70" s="1289">
        <v>-4409.91</v>
      </c>
      <c r="T70" s="1289">
        <f t="shared" si="12"/>
        <v>-4409.91</v>
      </c>
      <c r="U70" s="1284"/>
      <c r="V70" s="1290">
        <f t="shared" si="13"/>
        <v>0</v>
      </c>
      <c r="W70" s="1284"/>
      <c r="X70" s="1284"/>
    </row>
    <row r="71" spans="1:24" s="1266" customFormat="1" outlineLevel="1">
      <c r="A71" s="1284"/>
      <c r="B71" s="1285" t="s">
        <v>203</v>
      </c>
      <c r="C71" s="1286"/>
      <c r="D71" s="1287">
        <v>14058</v>
      </c>
      <c r="E71" s="1287" t="s">
        <v>2062</v>
      </c>
      <c r="F71" s="1288"/>
      <c r="G71" s="1288"/>
      <c r="H71" s="1284"/>
      <c r="I71" s="1284"/>
      <c r="J71" s="1289">
        <v>428.11</v>
      </c>
      <c r="K71" s="1284"/>
      <c r="L71" s="1289">
        <v>0</v>
      </c>
      <c r="M71" s="1284"/>
      <c r="N71" s="1290">
        <v>0</v>
      </c>
      <c r="O71" s="1284"/>
      <c r="P71" s="1289">
        <f t="shared" si="11"/>
        <v>428.11</v>
      </c>
      <c r="Q71" s="1284"/>
      <c r="R71" s="1289">
        <v>428.11</v>
      </c>
      <c r="S71" s="1289">
        <v>428.11</v>
      </c>
      <c r="T71" s="1289">
        <f t="shared" si="12"/>
        <v>428.11</v>
      </c>
      <c r="U71" s="1284"/>
      <c r="V71" s="1290">
        <f t="shared" si="13"/>
        <v>0</v>
      </c>
      <c r="W71" s="1284"/>
      <c r="X71" s="1284"/>
    </row>
    <row r="72" spans="1:24" s="1266" customFormat="1" outlineLevel="1">
      <c r="A72" s="1284"/>
      <c r="B72" s="1285" t="s">
        <v>203</v>
      </c>
      <c r="C72" s="1286"/>
      <c r="D72" s="1287">
        <v>14071</v>
      </c>
      <c r="E72" s="1287" t="s">
        <v>2063</v>
      </c>
      <c r="F72" s="1288"/>
      <c r="G72" s="1288"/>
      <c r="H72" s="1284"/>
      <c r="I72" s="1284"/>
      <c r="J72" s="1289">
        <v>35123.47</v>
      </c>
      <c r="K72" s="1284"/>
      <c r="L72" s="1289">
        <v>0</v>
      </c>
      <c r="M72" s="1284"/>
      <c r="N72" s="1290">
        <v>0</v>
      </c>
      <c r="O72" s="1284"/>
      <c r="P72" s="1289">
        <f t="shared" si="11"/>
        <v>35123.47</v>
      </c>
      <c r="Q72" s="1284"/>
      <c r="R72" s="1289">
        <v>35123.47</v>
      </c>
      <c r="S72" s="1289">
        <v>35123.47</v>
      </c>
      <c r="T72" s="1289">
        <f t="shared" si="12"/>
        <v>35123.47</v>
      </c>
      <c r="U72" s="1284"/>
      <c r="V72" s="1290">
        <f t="shared" si="13"/>
        <v>0</v>
      </c>
      <c r="W72" s="1284"/>
      <c r="X72" s="1284"/>
    </row>
    <row r="73" spans="1:24" s="1266" customFormat="1" outlineLevel="1">
      <c r="A73" s="1284"/>
      <c r="B73" s="1285" t="s">
        <v>203</v>
      </c>
      <c r="C73" s="1286"/>
      <c r="D73" s="1287">
        <v>14073</v>
      </c>
      <c r="E73" s="1287" t="s">
        <v>2064</v>
      </c>
      <c r="F73" s="1288"/>
      <c r="G73" s="1288"/>
      <c r="H73" s="1284"/>
      <c r="I73" s="1284"/>
      <c r="J73" s="1289">
        <v>4572.38</v>
      </c>
      <c r="K73" s="1284"/>
      <c r="L73" s="1289">
        <v>0</v>
      </c>
      <c r="M73" s="1284"/>
      <c r="N73" s="1290">
        <v>0</v>
      </c>
      <c r="O73" s="1284"/>
      <c r="P73" s="1289">
        <f t="shared" si="11"/>
        <v>4572.38</v>
      </c>
      <c r="Q73" s="1284"/>
      <c r="R73" s="1289">
        <v>4572.38</v>
      </c>
      <c r="S73" s="1289">
        <v>4572.38</v>
      </c>
      <c r="T73" s="1289">
        <f t="shared" si="12"/>
        <v>4572.38</v>
      </c>
      <c r="U73" s="1284"/>
      <c r="V73" s="1290">
        <f t="shared" si="13"/>
        <v>0</v>
      </c>
      <c r="W73" s="1284"/>
      <c r="X73" s="1284"/>
    </row>
    <row r="74" spans="1:24" s="1266" customFormat="1" outlineLevel="1">
      <c r="A74" s="1284"/>
      <c r="B74" s="1285" t="s">
        <v>203</v>
      </c>
      <c r="C74" s="1286"/>
      <c r="D74" s="1287">
        <v>14076</v>
      </c>
      <c r="E74" s="1287" t="s">
        <v>1962</v>
      </c>
      <c r="F74" s="1288"/>
      <c r="G74" s="1288"/>
      <c r="H74" s="1284"/>
      <c r="I74" s="1284"/>
      <c r="J74" s="1289">
        <v>-30286.28</v>
      </c>
      <c r="K74" s="1284"/>
      <c r="L74" s="1289">
        <v>0</v>
      </c>
      <c r="M74" s="1284"/>
      <c r="N74" s="1290">
        <v>0</v>
      </c>
      <c r="O74" s="1284"/>
      <c r="P74" s="1289">
        <f t="shared" si="11"/>
        <v>-30286.28</v>
      </c>
      <c r="Q74" s="1284"/>
      <c r="R74" s="1289">
        <v>-30022.41</v>
      </c>
      <c r="S74" s="1289">
        <v>-30154.34</v>
      </c>
      <c r="T74" s="1289">
        <f t="shared" si="12"/>
        <v>-30286.28</v>
      </c>
      <c r="U74" s="1284"/>
      <c r="V74" s="1290">
        <f t="shared" si="13"/>
        <v>-131.93999999999869</v>
      </c>
      <c r="W74" s="1284"/>
      <c r="X74" s="1284"/>
    </row>
    <row r="75" spans="1:24" s="1266" customFormat="1" outlineLevel="1">
      <c r="A75" s="1284"/>
      <c r="B75" s="1285" t="s">
        <v>203</v>
      </c>
      <c r="C75" s="1286"/>
      <c r="D75" s="1287">
        <v>14077</v>
      </c>
      <c r="E75" s="1287" t="s">
        <v>2065</v>
      </c>
      <c r="F75" s="1288"/>
      <c r="G75" s="1288"/>
      <c r="H75" s="1284"/>
      <c r="I75" s="1284"/>
      <c r="J75" s="1289">
        <v>-3429.3</v>
      </c>
      <c r="K75" s="1284"/>
      <c r="L75" s="1289">
        <v>0</v>
      </c>
      <c r="M75" s="1284"/>
      <c r="N75" s="1290">
        <v>0</v>
      </c>
      <c r="O75" s="1284"/>
      <c r="P75" s="1289">
        <f t="shared" si="11"/>
        <v>-3429.3</v>
      </c>
      <c r="Q75" s="1284"/>
      <c r="R75" s="1289">
        <v>-3429.3</v>
      </c>
      <c r="S75" s="1289">
        <v>-3429.3</v>
      </c>
      <c r="T75" s="1289">
        <f t="shared" si="12"/>
        <v>-3429.3</v>
      </c>
      <c r="U75" s="1284"/>
      <c r="V75" s="1290">
        <f t="shared" si="13"/>
        <v>0</v>
      </c>
      <c r="W75" s="1284"/>
      <c r="X75" s="1284"/>
    </row>
    <row r="76" spans="1:24" s="1266" customFormat="1" outlineLevel="1">
      <c r="A76" s="1284"/>
      <c r="B76" s="1285" t="s">
        <v>203</v>
      </c>
      <c r="C76" s="1286"/>
      <c r="D76" s="1287">
        <v>14081</v>
      </c>
      <c r="E76" s="1287" t="s">
        <v>2066</v>
      </c>
      <c r="F76" s="1288"/>
      <c r="G76" s="1288"/>
      <c r="H76" s="1284"/>
      <c r="I76" s="1284"/>
      <c r="J76" s="1289">
        <v>101069.3</v>
      </c>
      <c r="K76" s="1284"/>
      <c r="L76" s="1289">
        <v>0</v>
      </c>
      <c r="M76" s="1284"/>
      <c r="N76" s="1290">
        <v>0</v>
      </c>
      <c r="O76" s="1284"/>
      <c r="P76" s="1289">
        <f t="shared" si="11"/>
        <v>101069.3</v>
      </c>
      <c r="Q76" s="1284"/>
      <c r="R76" s="1289">
        <v>101069.3</v>
      </c>
      <c r="S76" s="1289">
        <v>101069.3</v>
      </c>
      <c r="T76" s="1289">
        <f t="shared" si="12"/>
        <v>101069.3</v>
      </c>
      <c r="U76" s="1284"/>
      <c r="V76" s="1290">
        <f t="shared" si="13"/>
        <v>0</v>
      </c>
      <c r="W76" s="1284"/>
      <c r="X76" s="1284"/>
    </row>
    <row r="77" spans="1:24" s="1266" customFormat="1" outlineLevel="1">
      <c r="A77" s="1284"/>
      <c r="B77" s="1285" t="s">
        <v>203</v>
      </c>
      <c r="C77" s="1286"/>
      <c r="D77" s="1287">
        <v>14082</v>
      </c>
      <c r="E77" s="1287" t="s">
        <v>2067</v>
      </c>
      <c r="F77" s="1288"/>
      <c r="G77" s="1288"/>
      <c r="H77" s="1284"/>
      <c r="I77" s="1284"/>
      <c r="J77" s="1289">
        <v>200000</v>
      </c>
      <c r="K77" s="1284"/>
      <c r="L77" s="1289">
        <v>0</v>
      </c>
      <c r="M77" s="1284"/>
      <c r="N77" s="1290">
        <v>0</v>
      </c>
      <c r="O77" s="1284"/>
      <c r="P77" s="1289">
        <f t="shared" si="11"/>
        <v>200000</v>
      </c>
      <c r="Q77" s="1284"/>
      <c r="R77" s="1289">
        <v>200000</v>
      </c>
      <c r="S77" s="1289">
        <v>200000</v>
      </c>
      <c r="T77" s="1289">
        <f t="shared" si="12"/>
        <v>200000</v>
      </c>
      <c r="U77" s="1284"/>
      <c r="V77" s="1290">
        <f t="shared" si="13"/>
        <v>0</v>
      </c>
      <c r="W77" s="1284"/>
      <c r="X77" s="1284"/>
    </row>
    <row r="78" spans="1:24" s="1266" customFormat="1" outlineLevel="1">
      <c r="A78" s="1284"/>
      <c r="B78" s="1285" t="s">
        <v>203</v>
      </c>
      <c r="C78" s="1286"/>
      <c r="D78" s="1287">
        <v>14086</v>
      </c>
      <c r="E78" s="1287" t="s">
        <v>2068</v>
      </c>
      <c r="F78" s="1288"/>
      <c r="G78" s="1288"/>
      <c r="H78" s="1284"/>
      <c r="I78" s="1284"/>
      <c r="J78" s="1289">
        <v>-202541.72</v>
      </c>
      <c r="K78" s="1284"/>
      <c r="L78" s="1289">
        <v>0</v>
      </c>
      <c r="M78" s="1284"/>
      <c r="N78" s="1290">
        <v>0</v>
      </c>
      <c r="O78" s="1284"/>
      <c r="P78" s="1289">
        <f t="shared" si="11"/>
        <v>-202541.72</v>
      </c>
      <c r="Q78" s="1284"/>
      <c r="R78" s="1289">
        <v>-199321.14</v>
      </c>
      <c r="S78" s="1289">
        <v>-200931.44</v>
      </c>
      <c r="T78" s="1289">
        <f t="shared" si="12"/>
        <v>-202541.72</v>
      </c>
      <c r="U78" s="1284"/>
      <c r="V78" s="1290">
        <f t="shared" si="13"/>
        <v>-1610.2799999999988</v>
      </c>
      <c r="W78" s="1284"/>
      <c r="X78" s="1284"/>
    </row>
    <row r="79" spans="1:24" s="1266" customFormat="1" outlineLevel="1">
      <c r="A79" s="1284"/>
      <c r="B79" s="1285" t="s">
        <v>203</v>
      </c>
      <c r="C79" s="1286"/>
      <c r="D79" s="1287">
        <v>14101</v>
      </c>
      <c r="E79" s="1287" t="s">
        <v>1963</v>
      </c>
      <c r="F79" s="1288"/>
      <c r="G79" s="1288"/>
      <c r="H79" s="1284"/>
      <c r="I79" s="1284"/>
      <c r="J79" s="1289">
        <v>937.45</v>
      </c>
      <c r="K79" s="1284"/>
      <c r="L79" s="1289">
        <v>0</v>
      </c>
      <c r="M79" s="1284"/>
      <c r="N79" s="1290">
        <v>0</v>
      </c>
      <c r="O79" s="1284"/>
      <c r="P79" s="1289">
        <f t="shared" si="11"/>
        <v>937.45</v>
      </c>
      <c r="Q79" s="1284"/>
      <c r="R79" s="1289">
        <v>937.45</v>
      </c>
      <c r="S79" s="1289">
        <v>937.45</v>
      </c>
      <c r="T79" s="1289">
        <f t="shared" si="12"/>
        <v>937.45</v>
      </c>
      <c r="U79" s="1284"/>
      <c r="V79" s="1290">
        <f t="shared" si="13"/>
        <v>0</v>
      </c>
      <c r="W79" s="1284"/>
      <c r="X79" s="1284"/>
    </row>
    <row r="80" spans="1:24" s="1266" customFormat="1" outlineLevel="1">
      <c r="A80" s="1284"/>
      <c r="B80" s="1285" t="s">
        <v>203</v>
      </c>
      <c r="C80" s="1286"/>
      <c r="D80" s="1287">
        <v>14103</v>
      </c>
      <c r="E80" s="1287" t="s">
        <v>2069</v>
      </c>
      <c r="F80" s="1288"/>
      <c r="G80" s="1288"/>
      <c r="H80" s="1284"/>
      <c r="I80" s="1284"/>
      <c r="J80" s="1289">
        <v>2658.37</v>
      </c>
      <c r="K80" s="1284"/>
      <c r="L80" s="1289">
        <v>0</v>
      </c>
      <c r="M80" s="1284"/>
      <c r="N80" s="1290">
        <v>0</v>
      </c>
      <c r="O80" s="1284"/>
      <c r="P80" s="1289">
        <f t="shared" si="11"/>
        <v>2658.37</v>
      </c>
      <c r="Q80" s="1284"/>
      <c r="R80" s="1289">
        <v>2658.37</v>
      </c>
      <c r="S80" s="1289">
        <v>2658.37</v>
      </c>
      <c r="T80" s="1289">
        <f t="shared" si="12"/>
        <v>2658.37</v>
      </c>
      <c r="U80" s="1284"/>
      <c r="V80" s="1290">
        <f t="shared" si="13"/>
        <v>0</v>
      </c>
      <c r="W80" s="1284"/>
      <c r="X80" s="1284"/>
    </row>
    <row r="81" spans="1:25" s="1266" customFormat="1" outlineLevel="1">
      <c r="A81" s="1284"/>
      <c r="B81" s="1285" t="s">
        <v>203</v>
      </c>
      <c r="C81" s="1286"/>
      <c r="D81" s="1287">
        <v>14106</v>
      </c>
      <c r="E81" s="1287" t="s">
        <v>1964</v>
      </c>
      <c r="F81" s="1288"/>
      <c r="G81" s="1288"/>
      <c r="H81" s="1284"/>
      <c r="I81" s="1284"/>
      <c r="J81" s="1289">
        <v>-998.05</v>
      </c>
      <c r="K81" s="1284"/>
      <c r="L81" s="1289">
        <v>0</v>
      </c>
      <c r="M81" s="1284"/>
      <c r="N81" s="1290">
        <v>0</v>
      </c>
      <c r="O81" s="1284"/>
      <c r="P81" s="1289">
        <f t="shared" si="11"/>
        <v>-998.05</v>
      </c>
      <c r="Q81" s="1284"/>
      <c r="R81" s="1289">
        <v>-878.19</v>
      </c>
      <c r="S81" s="1289">
        <v>-938.13</v>
      </c>
      <c r="T81" s="1289">
        <f t="shared" si="12"/>
        <v>-998.05</v>
      </c>
      <c r="U81" s="1284"/>
      <c r="V81" s="1290">
        <f t="shared" si="13"/>
        <v>-59.919999999999959</v>
      </c>
      <c r="W81" s="1284"/>
      <c r="X81" s="1284"/>
    </row>
    <row r="82" spans="1:25" s="1266" customFormat="1" outlineLevel="1">
      <c r="A82" s="1284"/>
      <c r="B82" s="1285" t="s">
        <v>203</v>
      </c>
      <c r="C82" s="1286"/>
      <c r="D82" s="1287">
        <v>14107</v>
      </c>
      <c r="E82" s="1287" t="s">
        <v>2070</v>
      </c>
      <c r="F82" s="1288"/>
      <c r="G82" s="1288"/>
      <c r="H82" s="1284"/>
      <c r="I82" s="1284"/>
      <c r="J82" s="1289">
        <v>-88.61</v>
      </c>
      <c r="K82" s="1284"/>
      <c r="L82" s="1289">
        <v>0</v>
      </c>
      <c r="M82" s="1284"/>
      <c r="N82" s="1290">
        <v>0</v>
      </c>
      <c r="O82" s="1284"/>
      <c r="P82" s="1289">
        <f t="shared" si="11"/>
        <v>-88.61</v>
      </c>
      <c r="Q82" s="1284"/>
      <c r="R82" s="1289">
        <v>-88.61</v>
      </c>
      <c r="S82" s="1289">
        <v>-88.61</v>
      </c>
      <c r="T82" s="1289">
        <f t="shared" si="12"/>
        <v>-88.61</v>
      </c>
      <c r="U82" s="1284"/>
      <c r="V82" s="1290">
        <f t="shared" si="13"/>
        <v>0</v>
      </c>
      <c r="W82" s="1284"/>
      <c r="X82" s="1284"/>
    </row>
    <row r="83" spans="1:25" s="1266" customFormat="1" outlineLevel="1">
      <c r="A83" s="1284"/>
      <c r="B83" s="1285" t="s">
        <v>203</v>
      </c>
      <c r="C83" s="1286"/>
      <c r="D83" s="1287">
        <v>14111</v>
      </c>
      <c r="E83" s="1287" t="s">
        <v>1965</v>
      </c>
      <c r="F83" s="1288"/>
      <c r="G83" s="1288"/>
      <c r="H83" s="1284"/>
      <c r="I83" s="1284"/>
      <c r="J83" s="1289">
        <v>46784.05</v>
      </c>
      <c r="K83" s="1284"/>
      <c r="L83" s="1289">
        <v>0</v>
      </c>
      <c r="M83" s="1284"/>
      <c r="N83" s="1290">
        <v>0</v>
      </c>
      <c r="O83" s="1284"/>
      <c r="P83" s="1289">
        <f t="shared" si="11"/>
        <v>46784.05</v>
      </c>
      <c r="Q83" s="1284"/>
      <c r="R83" s="1289">
        <v>46784.05</v>
      </c>
      <c r="S83" s="1289">
        <v>46784.05</v>
      </c>
      <c r="T83" s="1289">
        <f t="shared" si="12"/>
        <v>46784.05</v>
      </c>
      <c r="U83" s="1284"/>
      <c r="V83" s="1290">
        <f t="shared" si="13"/>
        <v>0</v>
      </c>
      <c r="W83" s="1284"/>
      <c r="X83" s="1284"/>
    </row>
    <row r="84" spans="1:25" s="1266" customFormat="1" outlineLevel="1">
      <c r="A84" s="1284"/>
      <c r="B84" s="1285" t="s">
        <v>203</v>
      </c>
      <c r="C84" s="1286"/>
      <c r="D84" s="1287">
        <v>14113</v>
      </c>
      <c r="E84" s="1287" t="s">
        <v>2071</v>
      </c>
      <c r="F84" s="1288"/>
      <c r="G84" s="1288"/>
      <c r="H84" s="1284"/>
      <c r="I84" s="1284"/>
      <c r="J84" s="1289">
        <v>-4291.8599999999997</v>
      </c>
      <c r="K84" s="1284"/>
      <c r="L84" s="1289">
        <v>0</v>
      </c>
      <c r="M84" s="1284"/>
      <c r="N84" s="1290">
        <v>0</v>
      </c>
      <c r="O84" s="1284"/>
      <c r="P84" s="1289">
        <f t="shared" si="11"/>
        <v>-4291.8599999999997</v>
      </c>
      <c r="Q84" s="1284"/>
      <c r="R84" s="1289">
        <v>-4291.8599999999997</v>
      </c>
      <c r="S84" s="1289">
        <v>-4291.8599999999997</v>
      </c>
      <c r="T84" s="1289">
        <f t="shared" si="12"/>
        <v>-4291.8599999999997</v>
      </c>
      <c r="U84" s="1284"/>
      <c r="V84" s="1290">
        <f t="shared" si="13"/>
        <v>0</v>
      </c>
      <c r="W84" s="1284"/>
      <c r="X84" s="1284"/>
    </row>
    <row r="85" spans="1:25" s="1266" customFormat="1" outlineLevel="1">
      <c r="A85" s="1284"/>
      <c r="B85" s="1285" t="s">
        <v>203</v>
      </c>
      <c r="C85" s="1286"/>
      <c r="D85" s="1287">
        <v>14116</v>
      </c>
      <c r="E85" s="1287" t="s">
        <v>1966</v>
      </c>
      <c r="F85" s="1288"/>
      <c r="G85" s="1288"/>
      <c r="H85" s="1284"/>
      <c r="I85" s="1284"/>
      <c r="J85" s="1289">
        <v>-44227.6</v>
      </c>
      <c r="K85" s="1284"/>
      <c r="L85" s="1289">
        <v>0</v>
      </c>
      <c r="M85" s="1284"/>
      <c r="N85" s="1290">
        <v>0</v>
      </c>
      <c r="O85" s="1284"/>
      <c r="P85" s="1289">
        <f t="shared" si="11"/>
        <v>-44227.6</v>
      </c>
      <c r="Q85" s="1284"/>
      <c r="R85" s="1289">
        <v>-44036.09</v>
      </c>
      <c r="S85" s="1289">
        <v>-44146.79</v>
      </c>
      <c r="T85" s="1289">
        <f t="shared" si="12"/>
        <v>-44227.6</v>
      </c>
      <c r="U85" s="1284"/>
      <c r="V85" s="1290">
        <f t="shared" si="13"/>
        <v>-80.809999999997672</v>
      </c>
      <c r="W85" s="1284"/>
      <c r="X85" s="1284"/>
    </row>
    <row r="86" spans="1:25" s="1266" customFormat="1" outlineLevel="1">
      <c r="A86" s="1284"/>
      <c r="B86" s="1285" t="s">
        <v>203</v>
      </c>
      <c r="C86" s="1286"/>
      <c r="D86" s="1287">
        <v>14117</v>
      </c>
      <c r="E86" s="1287" t="s">
        <v>2072</v>
      </c>
      <c r="F86" s="1288"/>
      <c r="G86" s="1288"/>
      <c r="H86" s="1284"/>
      <c r="I86" s="1284"/>
      <c r="J86" s="1289">
        <v>2998.84</v>
      </c>
      <c r="K86" s="1284"/>
      <c r="L86" s="1289">
        <v>0</v>
      </c>
      <c r="M86" s="1284"/>
      <c r="N86" s="1290">
        <v>0</v>
      </c>
      <c r="O86" s="1284"/>
      <c r="P86" s="1289">
        <f t="shared" si="11"/>
        <v>2998.84</v>
      </c>
      <c r="Q86" s="1284"/>
      <c r="R86" s="1289">
        <v>2998.84</v>
      </c>
      <c r="S86" s="1289">
        <v>2998.84</v>
      </c>
      <c r="T86" s="1289">
        <f t="shared" si="12"/>
        <v>2998.84</v>
      </c>
      <c r="U86" s="1284"/>
      <c r="V86" s="1290">
        <f t="shared" si="13"/>
        <v>0</v>
      </c>
      <c r="W86" s="1284"/>
      <c r="X86" s="1284"/>
    </row>
    <row r="87" spans="1:25" s="1266" customFormat="1" outlineLevel="1">
      <c r="A87" s="1284"/>
      <c r="B87" s="1285" t="s">
        <v>203</v>
      </c>
      <c r="C87" s="1286"/>
      <c r="D87" s="1287">
        <v>14121</v>
      </c>
      <c r="E87" s="1287" t="s">
        <v>1967</v>
      </c>
      <c r="F87" s="1288"/>
      <c r="G87" s="1288"/>
      <c r="H87" s="1284"/>
      <c r="I87" s="1284"/>
      <c r="J87" s="1289">
        <v>5880.92</v>
      </c>
      <c r="K87" s="1284"/>
      <c r="L87" s="1289">
        <v>0</v>
      </c>
      <c r="M87" s="1284"/>
      <c r="N87" s="1290">
        <v>0</v>
      </c>
      <c r="O87" s="1284"/>
      <c r="P87" s="1289">
        <f t="shared" si="11"/>
        <v>5880.92</v>
      </c>
      <c r="Q87" s="1284"/>
      <c r="R87" s="1289">
        <v>0</v>
      </c>
      <c r="S87" s="1289">
        <v>0</v>
      </c>
      <c r="T87" s="1289">
        <f t="shared" si="12"/>
        <v>5880.92</v>
      </c>
      <c r="U87" s="1284"/>
      <c r="V87" s="1290">
        <f t="shared" si="13"/>
        <v>5880.92</v>
      </c>
      <c r="W87" s="1284"/>
      <c r="X87" s="1284"/>
    </row>
    <row r="88" spans="1:25" s="1266" customFormat="1" outlineLevel="1">
      <c r="A88" s="1284"/>
      <c r="B88" s="1285" t="s">
        <v>203</v>
      </c>
      <c r="C88" s="1286"/>
      <c r="D88" s="1287">
        <v>14201</v>
      </c>
      <c r="E88" s="1287" t="s">
        <v>2047</v>
      </c>
      <c r="F88" s="1288"/>
      <c r="G88" s="1288"/>
      <c r="H88" s="1284"/>
      <c r="I88" s="1284"/>
      <c r="J88" s="1289">
        <v>0</v>
      </c>
      <c r="K88" s="1284"/>
      <c r="L88" s="1289">
        <v>0</v>
      </c>
      <c r="M88" s="1284"/>
      <c r="N88" s="1290">
        <v>0</v>
      </c>
      <c r="O88" s="1284"/>
      <c r="P88" s="1289">
        <f t="shared" si="11"/>
        <v>0</v>
      </c>
      <c r="Q88" s="1284"/>
      <c r="R88" s="1289">
        <v>97860.84</v>
      </c>
      <c r="S88" s="1289">
        <v>326.39999999999998</v>
      </c>
      <c r="T88" s="1289">
        <f t="shared" si="12"/>
        <v>0</v>
      </c>
      <c r="U88" s="1284"/>
      <c r="V88" s="1290">
        <f t="shared" si="13"/>
        <v>-326.39999999999998</v>
      </c>
      <c r="W88" s="1284"/>
      <c r="X88" s="1284"/>
    </row>
    <row r="89" spans="1:25" s="1266" customFormat="1" ht="4.5" customHeight="1" outlineLevel="1">
      <c r="A89" s="1311" t="s">
        <v>195</v>
      </c>
      <c r="B89" s="1311" t="s">
        <v>195</v>
      </c>
      <c r="C89" s="1311"/>
      <c r="D89" s="1322"/>
      <c r="E89" s="1284"/>
      <c r="F89" s="1284"/>
      <c r="G89" s="1284"/>
      <c r="H89" s="1284"/>
      <c r="I89" s="1284"/>
      <c r="J89" s="1315"/>
      <c r="K89" s="1284"/>
      <c r="L89" s="1315"/>
      <c r="M89" s="1284"/>
      <c r="N89" s="1316"/>
      <c r="O89" s="1284"/>
      <c r="P89" s="1315"/>
      <c r="Q89" s="1284"/>
      <c r="R89" s="1315"/>
      <c r="S89" s="1315"/>
      <c r="T89" s="1315"/>
      <c r="U89" s="1284"/>
      <c r="V89" s="1316"/>
      <c r="W89" s="1284"/>
      <c r="X89" s="1284"/>
      <c r="Y89" s="1284"/>
    </row>
    <row r="90" spans="1:25" s="1266" customFormat="1">
      <c r="A90" s="1286" t="s">
        <v>1953</v>
      </c>
      <c r="B90" s="1311" t="s">
        <v>195</v>
      </c>
      <c r="C90" s="1311"/>
      <c r="D90" s="1284"/>
      <c r="E90" s="1284"/>
      <c r="F90" s="1284" t="s">
        <v>1968</v>
      </c>
      <c r="G90" s="1284"/>
      <c r="H90" s="1284"/>
      <c r="I90" s="1284"/>
      <c r="J90" s="1313">
        <f>SUM(J55:J89)</f>
        <v>1376302.4799999993</v>
      </c>
      <c r="K90" s="1284"/>
      <c r="L90" s="1313">
        <f>SUM(L55:L89)</f>
        <v>0</v>
      </c>
      <c r="M90" s="1284"/>
      <c r="N90" s="1314">
        <f>SUM(N55:N89)</f>
        <v>0</v>
      </c>
      <c r="O90" s="1284"/>
      <c r="P90" s="1313">
        <f>J90+L90+N90</f>
        <v>1376302.4799999993</v>
      </c>
      <c r="Q90" s="1284"/>
      <c r="R90" s="1313">
        <f>SUM(R55:R89)</f>
        <v>1281933.49</v>
      </c>
      <c r="S90" s="1313">
        <f>SUM(S55:S89)</f>
        <v>1332651.6099999992</v>
      </c>
      <c r="T90" s="1313">
        <f>SUM(T55:T89)</f>
        <v>1376302.4799999993</v>
      </c>
      <c r="U90" s="1284"/>
      <c r="V90" s="1314">
        <f>SUM(V55:V89)</f>
        <v>43650.869999999901</v>
      </c>
      <c r="W90" s="1284"/>
      <c r="X90" s="1284"/>
      <c r="Y90" s="1284"/>
    </row>
    <row r="91" spans="1:25" s="1266" customFormat="1" ht="6.75" customHeight="1" outlineLevel="1">
      <c r="A91" s="1284"/>
      <c r="B91" s="1285" t="s">
        <v>1969</v>
      </c>
      <c r="C91" s="1286"/>
      <c r="D91" s="1287"/>
      <c r="E91" s="1287"/>
      <c r="F91" s="1288"/>
      <c r="G91" s="1288"/>
      <c r="H91" s="1284"/>
      <c r="I91" s="1284"/>
      <c r="J91" s="1289"/>
      <c r="K91" s="1284"/>
      <c r="L91" s="1289"/>
      <c r="M91" s="1284"/>
      <c r="N91" s="1290"/>
      <c r="O91" s="1284"/>
      <c r="P91" s="1289">
        <f>J91+L91+N91</f>
        <v>0</v>
      </c>
      <c r="Q91" s="1284"/>
      <c r="R91" s="1289"/>
      <c r="S91" s="1289"/>
      <c r="T91" s="1289">
        <f>P91</f>
        <v>0</v>
      </c>
      <c r="U91" s="1284"/>
      <c r="V91" s="1290">
        <f>T91-S91</f>
        <v>0</v>
      </c>
      <c r="W91" s="1284"/>
      <c r="X91" s="1284"/>
    </row>
    <row r="92" spans="1:25" s="1266" customFormat="1" ht="5.0999999999999996" customHeight="1" outlineLevel="1">
      <c r="A92" s="1311" t="s">
        <v>195</v>
      </c>
      <c r="B92" s="1311" t="s">
        <v>195</v>
      </c>
      <c r="C92" s="1311"/>
      <c r="D92" s="1288"/>
      <c r="E92" s="1288"/>
      <c r="F92" s="1288"/>
      <c r="G92" s="1288"/>
      <c r="H92" s="1284"/>
      <c r="I92" s="1284"/>
      <c r="J92" s="1315"/>
      <c r="K92" s="1284"/>
      <c r="L92" s="1315"/>
      <c r="M92" s="1284"/>
      <c r="N92" s="1316"/>
      <c r="O92" s="1284"/>
      <c r="P92" s="1315"/>
      <c r="Q92" s="1284"/>
      <c r="R92" s="1315"/>
      <c r="S92" s="1315"/>
      <c r="T92" s="1315"/>
      <c r="U92" s="1284"/>
      <c r="V92" s="1316"/>
      <c r="W92" s="1284"/>
      <c r="X92" s="1284"/>
      <c r="Y92" s="1284"/>
    </row>
    <row r="93" spans="1:25" s="1266" customFormat="1">
      <c r="A93" s="1286" t="s">
        <v>1969</v>
      </c>
      <c r="B93" s="1311" t="s">
        <v>195</v>
      </c>
      <c r="C93" s="1311"/>
      <c r="D93" s="1284"/>
      <c r="E93" s="1284"/>
      <c r="F93" s="1287" t="s">
        <v>1970</v>
      </c>
      <c r="G93" s="1284"/>
      <c r="H93" s="1284"/>
      <c r="I93" s="1284"/>
      <c r="J93" s="1313">
        <f>SUM(J91:J92)</f>
        <v>0</v>
      </c>
      <c r="K93" s="1284"/>
      <c r="L93" s="1313">
        <f>SUM(L91:L92)</f>
        <v>0</v>
      </c>
      <c r="M93" s="1284"/>
      <c r="N93" s="1314">
        <f>SUM(N91:N92)</f>
        <v>0</v>
      </c>
      <c r="O93" s="1284"/>
      <c r="P93" s="1313">
        <f>J93+L93+N93</f>
        <v>0</v>
      </c>
      <c r="Q93" s="1284"/>
      <c r="R93" s="1313">
        <f>SUM(R91:R92)</f>
        <v>0</v>
      </c>
      <c r="S93" s="1313">
        <f>SUM(S91:S92)</f>
        <v>0</v>
      </c>
      <c r="T93" s="1313">
        <f>SUM(T91:T92)</f>
        <v>0</v>
      </c>
      <c r="U93" s="1284"/>
      <c r="V93" s="1314">
        <f>SUM(V91:V92)</f>
        <v>0</v>
      </c>
      <c r="W93" s="1284"/>
      <c r="X93" s="1284"/>
      <c r="Y93" s="1284"/>
    </row>
    <row r="94" spans="1:25" s="1266" customFormat="1" outlineLevel="1">
      <c r="A94" s="1284"/>
      <c r="B94" s="1285" t="s">
        <v>1971</v>
      </c>
      <c r="C94" s="1286"/>
      <c r="D94" s="1287">
        <v>15111</v>
      </c>
      <c r="E94" s="1287" t="s">
        <v>1972</v>
      </c>
      <c r="F94" s="1288"/>
      <c r="G94" s="1288"/>
      <c r="H94" s="1284"/>
      <c r="I94" s="1284"/>
      <c r="J94" s="1289">
        <v>2548700.21</v>
      </c>
      <c r="K94" s="1284"/>
      <c r="L94" s="1289">
        <v>0</v>
      </c>
      <c r="M94" s="1284"/>
      <c r="N94" s="1290">
        <v>0</v>
      </c>
      <c r="O94" s="1284"/>
      <c r="P94" s="1289">
        <f>J94+L94+N94</f>
        <v>2548700.21</v>
      </c>
      <c r="Q94" s="1284"/>
      <c r="R94" s="1289">
        <v>2548700.21</v>
      </c>
      <c r="S94" s="1289">
        <v>2548700.21</v>
      </c>
      <c r="T94" s="1289">
        <f t="shared" ref="T94:T95" si="14">P94</f>
        <v>2548700.21</v>
      </c>
      <c r="U94" s="1284"/>
      <c r="V94" s="1290">
        <f t="shared" ref="V94:V95" si="15">T94-S94</f>
        <v>0</v>
      </c>
      <c r="W94" s="1284"/>
      <c r="X94" s="1284"/>
    </row>
    <row r="95" spans="1:25" s="1266" customFormat="1" outlineLevel="1">
      <c r="A95" s="1284"/>
      <c r="B95" s="1285" t="s">
        <v>203</v>
      </c>
      <c r="C95" s="1286"/>
      <c r="D95" s="1287">
        <v>15112</v>
      </c>
      <c r="E95" s="1287" t="s">
        <v>2055</v>
      </c>
      <c r="F95" s="1288"/>
      <c r="G95" s="1288"/>
      <c r="H95" s="1284"/>
      <c r="I95" s="1284"/>
      <c r="J95" s="1289">
        <v>-94415.71</v>
      </c>
      <c r="K95" s="1284"/>
      <c r="L95" s="1289">
        <v>0</v>
      </c>
      <c r="M95" s="1284"/>
      <c r="N95" s="1290">
        <v>0</v>
      </c>
      <c r="O95" s="1284"/>
      <c r="P95" s="1289">
        <f>J95+L95+N95</f>
        <v>-94415.71</v>
      </c>
      <c r="Q95" s="1284"/>
      <c r="R95" s="1289">
        <v>-94415.71</v>
      </c>
      <c r="S95" s="1289">
        <v>-94415.71</v>
      </c>
      <c r="T95" s="1289">
        <f t="shared" si="14"/>
        <v>-94415.71</v>
      </c>
      <c r="U95" s="1284"/>
      <c r="V95" s="1290">
        <f t="shared" si="15"/>
        <v>0</v>
      </c>
      <c r="W95" s="1284"/>
      <c r="X95" s="1284"/>
    </row>
    <row r="96" spans="1:25" s="1266" customFormat="1" ht="4.5" customHeight="1" outlineLevel="1">
      <c r="A96" s="1311" t="s">
        <v>195</v>
      </c>
      <c r="B96" s="1284" t="s">
        <v>195</v>
      </c>
      <c r="C96" s="1323"/>
      <c r="D96" s="1322"/>
      <c r="E96" s="1284"/>
      <c r="F96" s="1284"/>
      <c r="G96" s="1284"/>
      <c r="H96" s="1284"/>
      <c r="I96" s="1284"/>
      <c r="J96" s="1315"/>
      <c r="K96" s="1284"/>
      <c r="L96" s="1315"/>
      <c r="M96" s="1284"/>
      <c r="N96" s="1316"/>
      <c r="O96" s="1284"/>
      <c r="P96" s="1315"/>
      <c r="Q96" s="1284"/>
      <c r="R96" s="1315"/>
      <c r="S96" s="1315"/>
      <c r="T96" s="1315"/>
      <c r="U96" s="1284"/>
      <c r="V96" s="1316"/>
      <c r="W96" s="1284"/>
      <c r="X96" s="1284"/>
      <c r="Y96" s="1284"/>
    </row>
    <row r="97" spans="1:25" s="1266" customFormat="1">
      <c r="A97" s="1286" t="s">
        <v>1971</v>
      </c>
      <c r="B97" s="1311" t="s">
        <v>195</v>
      </c>
      <c r="C97" s="1311"/>
      <c r="D97" s="1284"/>
      <c r="E97" s="1284"/>
      <c r="F97" s="1284" t="s">
        <v>1858</v>
      </c>
      <c r="G97" s="1284"/>
      <c r="H97" s="1284"/>
      <c r="I97" s="1284"/>
      <c r="J97" s="1313">
        <f>SUM(J94:J96)</f>
        <v>2454284.5</v>
      </c>
      <c r="K97" s="1284"/>
      <c r="L97" s="1313">
        <f>SUM(L94:L96)</f>
        <v>0</v>
      </c>
      <c r="M97" s="1284"/>
      <c r="N97" s="1314">
        <f>SUM(N94:N96)</f>
        <v>0</v>
      </c>
      <c r="O97" s="1284"/>
      <c r="P97" s="1313">
        <f t="shared" ref="P97:P104" si="16">J97+L97+N97</f>
        <v>2454284.5</v>
      </c>
      <c r="Q97" s="1284"/>
      <c r="R97" s="1313">
        <f>SUM(R94:R96)</f>
        <v>2454284.5</v>
      </c>
      <c r="S97" s="1313">
        <f>SUM(S94:S96)</f>
        <v>2454284.5</v>
      </c>
      <c r="T97" s="1313">
        <f>SUM(T94:T96)</f>
        <v>2454284.5</v>
      </c>
      <c r="U97" s="1284"/>
      <c r="V97" s="1314">
        <f>SUM(V94:V96)</f>
        <v>0</v>
      </c>
      <c r="W97" s="1284"/>
      <c r="X97" s="1284"/>
      <c r="Y97" s="1284"/>
    </row>
    <row r="98" spans="1:25" s="1266" customFormat="1" outlineLevel="1">
      <c r="A98" s="1284"/>
      <c r="B98" s="1285" t="s">
        <v>1973</v>
      </c>
      <c r="C98" s="1286"/>
      <c r="D98" s="1287">
        <v>15211</v>
      </c>
      <c r="E98" s="1287" t="s">
        <v>2049</v>
      </c>
      <c r="F98" s="1288"/>
      <c r="G98" s="1288"/>
      <c r="H98" s="1284"/>
      <c r="I98" s="1284"/>
      <c r="J98" s="1289">
        <v>31000</v>
      </c>
      <c r="K98" s="1284"/>
      <c r="L98" s="1289">
        <v>0</v>
      </c>
      <c r="M98" s="1284"/>
      <c r="N98" s="1290">
        <v>0</v>
      </c>
      <c r="O98" s="1284"/>
      <c r="P98" s="1289">
        <f t="shared" si="16"/>
        <v>31000</v>
      </c>
      <c r="Q98" s="1284"/>
      <c r="R98" s="1289">
        <v>31000</v>
      </c>
      <c r="S98" s="1289">
        <v>31000</v>
      </c>
      <c r="T98" s="1289">
        <f t="shared" ref="T98:T104" si="17">P98</f>
        <v>31000</v>
      </c>
      <c r="U98" s="1284"/>
      <c r="V98" s="1290">
        <f t="shared" ref="V98:V104" si="18">T98-S98</f>
        <v>0</v>
      </c>
      <c r="W98" s="1284"/>
      <c r="X98" s="1284"/>
    </row>
    <row r="99" spans="1:25" s="1266" customFormat="1" outlineLevel="1">
      <c r="A99" s="1284"/>
      <c r="B99" s="1285" t="s">
        <v>203</v>
      </c>
      <c r="C99" s="1286"/>
      <c r="D99" s="1287">
        <v>15216</v>
      </c>
      <c r="E99" s="1287" t="s">
        <v>2050</v>
      </c>
      <c r="F99" s="1288"/>
      <c r="G99" s="1288"/>
      <c r="H99" s="1284"/>
      <c r="I99" s="1284"/>
      <c r="J99" s="1289">
        <v>-31000</v>
      </c>
      <c r="K99" s="1284"/>
      <c r="L99" s="1289">
        <v>0</v>
      </c>
      <c r="M99" s="1284"/>
      <c r="N99" s="1290">
        <v>0</v>
      </c>
      <c r="O99" s="1284"/>
      <c r="P99" s="1289">
        <f t="shared" si="16"/>
        <v>-31000</v>
      </c>
      <c r="Q99" s="1284"/>
      <c r="R99" s="1289">
        <v>-31000</v>
      </c>
      <c r="S99" s="1289">
        <v>-31000</v>
      </c>
      <c r="T99" s="1289">
        <f t="shared" si="17"/>
        <v>-31000</v>
      </c>
      <c r="U99" s="1284"/>
      <c r="V99" s="1290">
        <f t="shared" si="18"/>
        <v>0</v>
      </c>
      <c r="W99" s="1284"/>
      <c r="X99" s="1284"/>
    </row>
    <row r="100" spans="1:25" s="1266" customFormat="1" outlineLevel="1">
      <c r="A100" s="1284"/>
      <c r="B100" s="1285" t="s">
        <v>203</v>
      </c>
      <c r="C100" s="1286"/>
      <c r="D100" s="1287">
        <v>15251</v>
      </c>
      <c r="E100" s="1287" t="s">
        <v>2051</v>
      </c>
      <c r="F100" s="1288"/>
      <c r="G100" s="1288"/>
      <c r="H100" s="1284"/>
      <c r="I100" s="1284"/>
      <c r="J100" s="1289">
        <v>113859.33</v>
      </c>
      <c r="K100" s="1284"/>
      <c r="L100" s="1289">
        <v>0</v>
      </c>
      <c r="M100" s="1284"/>
      <c r="N100" s="1290">
        <v>0</v>
      </c>
      <c r="O100" s="1284"/>
      <c r="P100" s="1289">
        <f t="shared" si="16"/>
        <v>113859.33</v>
      </c>
      <c r="Q100" s="1284"/>
      <c r="R100" s="1289">
        <v>113859.33</v>
      </c>
      <c r="S100" s="1289">
        <v>113859.33</v>
      </c>
      <c r="T100" s="1289">
        <f t="shared" si="17"/>
        <v>113859.33</v>
      </c>
      <c r="U100" s="1284"/>
      <c r="V100" s="1290">
        <f t="shared" si="18"/>
        <v>0</v>
      </c>
      <c r="W100" s="1284"/>
      <c r="X100" s="1284"/>
    </row>
    <row r="101" spans="1:25" s="1266" customFormat="1" outlineLevel="1">
      <c r="A101" s="1284"/>
      <c r="B101" s="1285" t="s">
        <v>203</v>
      </c>
      <c r="C101" s="1286"/>
      <c r="D101" s="1287">
        <v>15253</v>
      </c>
      <c r="E101" s="1287" t="s">
        <v>2052</v>
      </c>
      <c r="F101" s="1288"/>
      <c r="G101" s="1288"/>
      <c r="H101" s="1284"/>
      <c r="I101" s="1284"/>
      <c r="J101" s="1289">
        <v>-2309.89</v>
      </c>
      <c r="K101" s="1284"/>
      <c r="L101" s="1289">
        <v>0</v>
      </c>
      <c r="M101" s="1284"/>
      <c r="N101" s="1290">
        <v>0</v>
      </c>
      <c r="O101" s="1284"/>
      <c r="P101" s="1289">
        <f t="shared" si="16"/>
        <v>-2309.89</v>
      </c>
      <c r="Q101" s="1284"/>
      <c r="R101" s="1289">
        <v>-2309.89</v>
      </c>
      <c r="S101" s="1289">
        <v>-2309.89</v>
      </c>
      <c r="T101" s="1289">
        <f t="shared" si="17"/>
        <v>-2309.89</v>
      </c>
      <c r="U101" s="1284"/>
      <c r="V101" s="1290">
        <f t="shared" si="18"/>
        <v>0</v>
      </c>
      <c r="W101" s="1284"/>
      <c r="X101" s="1284"/>
    </row>
    <row r="102" spans="1:25" s="1266" customFormat="1" outlineLevel="1">
      <c r="A102" s="1284"/>
      <c r="B102" s="1285" t="s">
        <v>203</v>
      </c>
      <c r="C102" s="1286"/>
      <c r="D102" s="1287">
        <v>15256</v>
      </c>
      <c r="E102" s="1287" t="s">
        <v>2053</v>
      </c>
      <c r="F102" s="1288"/>
      <c r="G102" s="1288"/>
      <c r="H102" s="1284"/>
      <c r="I102" s="1284"/>
      <c r="J102" s="1289">
        <v>-74645.11</v>
      </c>
      <c r="K102" s="1284"/>
      <c r="L102" s="1289">
        <v>0</v>
      </c>
      <c r="M102" s="1284"/>
      <c r="N102" s="1290">
        <v>0</v>
      </c>
      <c r="O102" s="1284"/>
      <c r="P102" s="1289">
        <f t="shared" si="16"/>
        <v>-74645.11</v>
      </c>
      <c r="Q102" s="1284"/>
      <c r="R102" s="1289">
        <v>-73367.360000000001</v>
      </c>
      <c r="S102" s="1289">
        <v>-74006.240000000005</v>
      </c>
      <c r="T102" s="1289">
        <f t="shared" si="17"/>
        <v>-74645.11</v>
      </c>
      <c r="U102" s="1284"/>
      <c r="V102" s="1290">
        <f t="shared" si="18"/>
        <v>-638.86999999999534</v>
      </c>
      <c r="W102" s="1284"/>
      <c r="X102" s="1284"/>
    </row>
    <row r="103" spans="1:25" s="1266" customFormat="1" outlineLevel="1">
      <c r="A103" s="1284"/>
      <c r="B103" s="1285" t="s">
        <v>203</v>
      </c>
      <c r="C103" s="1286"/>
      <c r="D103" s="1287">
        <v>15258</v>
      </c>
      <c r="E103" s="1287" t="s">
        <v>2054</v>
      </c>
      <c r="F103" s="1288"/>
      <c r="G103" s="1288"/>
      <c r="H103" s="1284"/>
      <c r="I103" s="1284"/>
      <c r="J103" s="1289">
        <v>2053.25</v>
      </c>
      <c r="K103" s="1284"/>
      <c r="L103" s="1289">
        <v>0</v>
      </c>
      <c r="M103" s="1284"/>
      <c r="N103" s="1290">
        <v>0</v>
      </c>
      <c r="O103" s="1284"/>
      <c r="P103" s="1289">
        <f t="shared" si="16"/>
        <v>2053.25</v>
      </c>
      <c r="Q103" s="1284"/>
      <c r="R103" s="1289">
        <v>2053.25</v>
      </c>
      <c r="S103" s="1289">
        <v>2053.25</v>
      </c>
      <c r="T103" s="1289">
        <f t="shared" si="17"/>
        <v>2053.25</v>
      </c>
      <c r="U103" s="1284"/>
      <c r="V103" s="1290">
        <f t="shared" si="18"/>
        <v>0</v>
      </c>
      <c r="W103" s="1284"/>
      <c r="X103" s="1284"/>
    </row>
    <row r="104" spans="1:25" s="1266" customFormat="1" outlineLevel="1">
      <c r="A104" s="1284"/>
      <c r="B104" s="1285" t="s">
        <v>203</v>
      </c>
      <c r="C104" s="1286"/>
      <c r="D104" s="1287">
        <v>15261</v>
      </c>
      <c r="E104" s="1287" t="s">
        <v>1974</v>
      </c>
      <c r="F104" s="1288"/>
      <c r="G104" s="1288"/>
      <c r="H104" s="1284"/>
      <c r="I104" s="1284"/>
      <c r="J104" s="1289">
        <v>167101.01999999999</v>
      </c>
      <c r="K104" s="1284"/>
      <c r="L104" s="1289">
        <v>0</v>
      </c>
      <c r="M104" s="1284"/>
      <c r="N104" s="1290">
        <v>0</v>
      </c>
      <c r="O104" s="1284"/>
      <c r="P104" s="1289">
        <f t="shared" si="16"/>
        <v>167101.01999999999</v>
      </c>
      <c r="Q104" s="1284"/>
      <c r="R104" s="1289">
        <v>167101.01999999999</v>
      </c>
      <c r="S104" s="1289">
        <v>167101.01999999999</v>
      </c>
      <c r="T104" s="1289">
        <f t="shared" si="17"/>
        <v>167101.01999999999</v>
      </c>
      <c r="U104" s="1284"/>
      <c r="V104" s="1290">
        <f t="shared" si="18"/>
        <v>0</v>
      </c>
      <c r="W104" s="1284"/>
      <c r="X104" s="1284"/>
    </row>
    <row r="105" spans="1:25" s="1266" customFormat="1" ht="5.0999999999999996" customHeight="1" outlineLevel="1">
      <c r="A105" s="1311" t="s">
        <v>195</v>
      </c>
      <c r="B105" s="1286" t="s">
        <v>195</v>
      </c>
      <c r="C105" s="1286"/>
      <c r="D105" s="1288"/>
      <c r="E105" s="1288"/>
      <c r="F105" s="1288"/>
      <c r="G105" s="1288"/>
      <c r="H105" s="1284"/>
      <c r="I105" s="1284"/>
      <c r="J105" s="1315"/>
      <c r="K105" s="1284"/>
      <c r="L105" s="1315"/>
      <c r="M105" s="1284"/>
      <c r="N105" s="1316"/>
      <c r="O105" s="1284"/>
      <c r="P105" s="1315"/>
      <c r="Q105" s="1284"/>
      <c r="R105" s="1315"/>
      <c r="S105" s="1315"/>
      <c r="T105" s="1315"/>
      <c r="U105" s="1284"/>
      <c r="V105" s="1316"/>
      <c r="W105" s="1284"/>
      <c r="X105" s="1284"/>
      <c r="Y105" s="1284"/>
    </row>
    <row r="106" spans="1:25" s="1266" customFormat="1">
      <c r="A106" s="1286" t="s">
        <v>1973</v>
      </c>
      <c r="B106" s="1311" t="s">
        <v>195</v>
      </c>
      <c r="C106" s="1311"/>
      <c r="D106" s="1284"/>
      <c r="E106" s="1284"/>
      <c r="F106" s="1287" t="s">
        <v>1975</v>
      </c>
      <c r="G106" s="1324"/>
      <c r="H106" s="1324"/>
      <c r="I106" s="1324"/>
      <c r="J106" s="1313">
        <f>SUM(J98:J105)</f>
        <v>206058.59999999998</v>
      </c>
      <c r="K106" s="1284"/>
      <c r="L106" s="1313">
        <f>SUM(L98:L105)</f>
        <v>0</v>
      </c>
      <c r="M106" s="1284"/>
      <c r="N106" s="1314">
        <f>SUM(N98:N105)</f>
        <v>0</v>
      </c>
      <c r="O106" s="1284"/>
      <c r="P106" s="1313">
        <f>J106+L106+N106</f>
        <v>206058.59999999998</v>
      </c>
      <c r="Q106" s="1284"/>
      <c r="R106" s="1313">
        <f>SUM(R98:R105)</f>
        <v>207336.34999999998</v>
      </c>
      <c r="S106" s="1313">
        <f>SUM(S98:S105)</f>
        <v>206697.46999999997</v>
      </c>
      <c r="T106" s="1313">
        <f>SUM(T98:T105)</f>
        <v>206058.59999999998</v>
      </c>
      <c r="U106" s="1284"/>
      <c r="V106" s="1314">
        <f>SUM(V98:V105)</f>
        <v>-638.86999999999534</v>
      </c>
      <c r="W106" s="1284"/>
      <c r="X106" s="1284"/>
      <c r="Y106" s="1284"/>
    </row>
    <row r="107" spans="1:25" s="1266" customFormat="1" hidden="1" outlineLevel="1">
      <c r="A107" s="1284"/>
      <c r="B107" s="1285" t="s">
        <v>1976</v>
      </c>
      <c r="C107" s="1286"/>
      <c r="D107" s="1287"/>
      <c r="E107" s="1287"/>
      <c r="F107" s="1288"/>
      <c r="G107" s="1288"/>
      <c r="H107" s="1284"/>
      <c r="I107" s="1284"/>
      <c r="J107" s="1289"/>
      <c r="K107" s="1284"/>
      <c r="L107" s="1289"/>
      <c r="M107" s="1284"/>
      <c r="N107" s="1290"/>
      <c r="O107" s="1284"/>
      <c r="P107" s="1289">
        <f>J107+L107+N107</f>
        <v>0</v>
      </c>
      <c r="Q107" s="1284"/>
      <c r="R107" s="1289"/>
      <c r="S107" s="1289"/>
      <c r="T107" s="1289">
        <f>P107</f>
        <v>0</v>
      </c>
      <c r="U107" s="1284"/>
      <c r="V107" s="1290">
        <f>T107-S107</f>
        <v>0</v>
      </c>
      <c r="W107" s="1284"/>
      <c r="X107" s="1284"/>
    </row>
    <row r="108" spans="1:25" s="1266" customFormat="1" ht="5.0999999999999996" hidden="1" customHeight="1" outlineLevel="1">
      <c r="A108" s="1311" t="s">
        <v>195</v>
      </c>
      <c r="B108" s="1286" t="s">
        <v>195</v>
      </c>
      <c r="C108" s="1286"/>
      <c r="D108" s="1288"/>
      <c r="E108" s="1288"/>
      <c r="F108" s="1288"/>
      <c r="G108" s="1288"/>
      <c r="H108" s="1284"/>
      <c r="I108" s="1284"/>
      <c r="J108" s="1315"/>
      <c r="K108" s="1284"/>
      <c r="L108" s="1315"/>
      <c r="M108" s="1284"/>
      <c r="N108" s="1316"/>
      <c r="O108" s="1284"/>
      <c r="P108" s="1315"/>
      <c r="Q108" s="1284"/>
      <c r="R108" s="1315"/>
      <c r="S108" s="1315"/>
      <c r="T108" s="1315"/>
      <c r="U108" s="1284"/>
      <c r="V108" s="1316"/>
      <c r="W108" s="1284"/>
      <c r="X108" s="1284"/>
      <c r="Y108" s="1284"/>
    </row>
    <row r="109" spans="1:25" s="1266" customFormat="1" hidden="1">
      <c r="A109" s="1286" t="s">
        <v>1976</v>
      </c>
      <c r="B109" s="1286" t="s">
        <v>195</v>
      </c>
      <c r="C109" s="1286"/>
      <c r="D109" s="1284"/>
      <c r="E109" s="1284"/>
      <c r="F109" s="1287" t="s">
        <v>1977</v>
      </c>
      <c r="G109" s="1324"/>
      <c r="H109" s="1324"/>
      <c r="I109" s="1324"/>
      <c r="J109" s="1313">
        <f>SUM(J107:J108)</f>
        <v>0</v>
      </c>
      <c r="K109" s="1284"/>
      <c r="L109" s="1313">
        <f>SUM(L107:L108)</f>
        <v>0</v>
      </c>
      <c r="M109" s="1284"/>
      <c r="N109" s="1314">
        <f>SUM(N107:N108)</f>
        <v>0</v>
      </c>
      <c r="O109" s="1284"/>
      <c r="P109" s="1313">
        <f>J109+L109+N109</f>
        <v>0</v>
      </c>
      <c r="Q109" s="1284"/>
      <c r="R109" s="1313">
        <f>SUM(R107:R108)</f>
        <v>0</v>
      </c>
      <c r="S109" s="1313">
        <f>SUM(S107:S108)</f>
        <v>0</v>
      </c>
      <c r="T109" s="1313">
        <f>SUM(T107:T108)</f>
        <v>0</v>
      </c>
      <c r="U109" s="1284"/>
      <c r="V109" s="1314">
        <f>SUM(V107:V108)</f>
        <v>0</v>
      </c>
      <c r="W109" s="1284"/>
      <c r="X109" s="1284"/>
      <c r="Y109" s="1284"/>
    </row>
    <row r="110" spans="1:25" s="1266" customFormat="1" hidden="1" outlineLevel="1">
      <c r="A110" s="1284"/>
      <c r="B110" s="1285" t="s">
        <v>1978</v>
      </c>
      <c r="C110" s="1286"/>
      <c r="D110" s="1287"/>
      <c r="E110" s="1287"/>
      <c r="F110" s="1288"/>
      <c r="G110" s="1288"/>
      <c r="H110" s="1284"/>
      <c r="I110" s="1284"/>
      <c r="J110" s="1289"/>
      <c r="K110" s="1284"/>
      <c r="L110" s="1289"/>
      <c r="M110" s="1284"/>
      <c r="N110" s="1290"/>
      <c r="O110" s="1284"/>
      <c r="P110" s="1289">
        <f>J110+L110+N110</f>
        <v>0</v>
      </c>
      <c r="Q110" s="1284"/>
      <c r="R110" s="1289"/>
      <c r="S110" s="1289"/>
      <c r="T110" s="1289">
        <f>P110</f>
        <v>0</v>
      </c>
      <c r="U110" s="1284"/>
      <c r="V110" s="1290">
        <f>T110-S110</f>
        <v>0</v>
      </c>
      <c r="W110" s="1284"/>
      <c r="X110" s="1284"/>
    </row>
    <row r="111" spans="1:25" s="1266" customFormat="1" ht="4.5" hidden="1" customHeight="1" outlineLevel="1">
      <c r="A111" s="1286" t="s">
        <v>195</v>
      </c>
      <c r="B111" s="1284" t="s">
        <v>195</v>
      </c>
      <c r="C111" s="1323"/>
      <c r="D111" s="1322"/>
      <c r="E111" s="1284"/>
      <c r="F111" s="1284"/>
      <c r="G111" s="1284"/>
      <c r="H111" s="1284"/>
      <c r="I111" s="1284"/>
      <c r="J111" s="1315"/>
      <c r="K111" s="1284"/>
      <c r="L111" s="1315"/>
      <c r="M111" s="1284"/>
      <c r="N111" s="1316"/>
      <c r="O111" s="1284"/>
      <c r="P111" s="1315"/>
      <c r="Q111" s="1284"/>
      <c r="R111" s="1315"/>
      <c r="S111" s="1315"/>
      <c r="T111" s="1315"/>
      <c r="U111" s="1284"/>
      <c r="V111" s="1316"/>
      <c r="W111" s="1284"/>
      <c r="X111" s="1284"/>
      <c r="Y111" s="1284"/>
    </row>
    <row r="112" spans="1:25" s="1266" customFormat="1" hidden="1">
      <c r="A112" s="1286" t="s">
        <v>1978</v>
      </c>
      <c r="B112" s="1311" t="s">
        <v>195</v>
      </c>
      <c r="C112" s="1311"/>
      <c r="D112" s="1284"/>
      <c r="E112" s="1284"/>
      <c r="F112" s="1284" t="s">
        <v>1979</v>
      </c>
      <c r="G112" s="1284"/>
      <c r="H112" s="1284"/>
      <c r="I112" s="1284"/>
      <c r="J112" s="1313">
        <f>SUM(J110:J111)</f>
        <v>0</v>
      </c>
      <c r="K112" s="1284"/>
      <c r="L112" s="1313">
        <f>SUM(L110:L111)</f>
        <v>0</v>
      </c>
      <c r="M112" s="1284"/>
      <c r="N112" s="1314">
        <f>SUM(N110:N111)</f>
        <v>0</v>
      </c>
      <c r="O112" s="1284"/>
      <c r="P112" s="1313">
        <f>J112+L112+N112</f>
        <v>0</v>
      </c>
      <c r="Q112" s="1284"/>
      <c r="R112" s="1313">
        <f>SUM(R110:R111)</f>
        <v>0</v>
      </c>
      <c r="S112" s="1313">
        <f>SUM(S110:S111)</f>
        <v>0</v>
      </c>
      <c r="T112" s="1313">
        <f>SUM(T110:T111)</f>
        <v>0</v>
      </c>
      <c r="U112" s="1284"/>
      <c r="V112" s="1314">
        <f>SUM(V110:V111)</f>
        <v>0</v>
      </c>
      <c r="W112" s="1284"/>
      <c r="X112" s="1284"/>
      <c r="Y112" s="1284"/>
    </row>
    <row r="113" spans="1:25" s="1266" customFormat="1" hidden="1" outlineLevel="1">
      <c r="A113" s="1284"/>
      <c r="B113" s="1285" t="s">
        <v>1980</v>
      </c>
      <c r="C113" s="1286"/>
      <c r="D113" s="1287"/>
      <c r="E113" s="1287"/>
      <c r="F113" s="1288"/>
      <c r="G113" s="1288"/>
      <c r="H113" s="1284"/>
      <c r="I113" s="1284"/>
      <c r="J113" s="1289"/>
      <c r="K113" s="1284"/>
      <c r="L113" s="1289"/>
      <c r="M113" s="1284"/>
      <c r="N113" s="1290"/>
      <c r="O113" s="1284"/>
      <c r="P113" s="1289">
        <f>J113+L113+N113</f>
        <v>0</v>
      </c>
      <c r="Q113" s="1284"/>
      <c r="R113" s="1289"/>
      <c r="S113" s="1289"/>
      <c r="T113" s="1289">
        <f>P113</f>
        <v>0</v>
      </c>
      <c r="U113" s="1284"/>
      <c r="V113" s="1290">
        <f>T113-S113</f>
        <v>0</v>
      </c>
      <c r="W113" s="1284"/>
      <c r="X113" s="1284"/>
    </row>
    <row r="114" spans="1:25" s="1266" customFormat="1" ht="5.0999999999999996" hidden="1" customHeight="1" outlineLevel="1">
      <c r="A114" s="1311" t="s">
        <v>195</v>
      </c>
      <c r="B114" s="1311" t="s">
        <v>195</v>
      </c>
      <c r="C114" s="1311"/>
      <c r="D114" s="1288"/>
      <c r="E114" s="1288"/>
      <c r="F114" s="1288"/>
      <c r="G114" s="1288"/>
      <c r="H114" s="1284"/>
      <c r="I114" s="1284"/>
      <c r="J114" s="1315"/>
      <c r="K114" s="1284"/>
      <c r="L114" s="1315"/>
      <c r="M114" s="1284"/>
      <c r="N114" s="1316"/>
      <c r="O114" s="1284"/>
      <c r="P114" s="1315"/>
      <c r="Q114" s="1284"/>
      <c r="R114" s="1315"/>
      <c r="S114" s="1315"/>
      <c r="T114" s="1315"/>
      <c r="U114" s="1284"/>
      <c r="V114" s="1316"/>
      <c r="W114" s="1284"/>
      <c r="X114" s="1284"/>
      <c r="Y114" s="1284"/>
    </row>
    <row r="115" spans="1:25" s="1266" customFormat="1" hidden="1">
      <c r="A115" s="1286" t="s">
        <v>1980</v>
      </c>
      <c r="B115" s="1311" t="s">
        <v>195</v>
      </c>
      <c r="C115" s="1311"/>
      <c r="D115" s="1284"/>
      <c r="E115" s="1284"/>
      <c r="F115" s="1287" t="s">
        <v>1981</v>
      </c>
      <c r="G115" s="1284"/>
      <c r="H115" s="1284"/>
      <c r="I115" s="1284"/>
      <c r="J115" s="1313">
        <f>SUM(J113:J114)</f>
        <v>0</v>
      </c>
      <c r="K115" s="1284"/>
      <c r="L115" s="1313">
        <f>SUM(L113:L114)</f>
        <v>0</v>
      </c>
      <c r="M115" s="1284"/>
      <c r="N115" s="1314">
        <f>SUM(N113:N114)</f>
        <v>0</v>
      </c>
      <c r="O115" s="1284"/>
      <c r="P115" s="1313">
        <f>J115+L115+N115</f>
        <v>0</v>
      </c>
      <c r="Q115" s="1284"/>
      <c r="R115" s="1313">
        <f>SUM(R113:R114)</f>
        <v>0</v>
      </c>
      <c r="S115" s="1313">
        <f>SUM(S113:S114)</f>
        <v>0</v>
      </c>
      <c r="T115" s="1313">
        <f>SUM(T113:T114)</f>
        <v>0</v>
      </c>
      <c r="U115" s="1284"/>
      <c r="V115" s="1314">
        <f>SUM(V113:V114)</f>
        <v>0</v>
      </c>
      <c r="W115" s="1284"/>
      <c r="X115" s="1284"/>
      <c r="Y115" s="1284"/>
    </row>
    <row r="116" spans="1:25" s="1266" customFormat="1" hidden="1" outlineLevel="1">
      <c r="A116" s="1284"/>
      <c r="B116" s="1285" t="s">
        <v>1982</v>
      </c>
      <c r="C116" s="1286"/>
      <c r="D116" s="1287"/>
      <c r="E116" s="1287"/>
      <c r="F116" s="1288"/>
      <c r="G116" s="1288"/>
      <c r="H116" s="1284"/>
      <c r="I116" s="1284"/>
      <c r="J116" s="1289"/>
      <c r="K116" s="1284"/>
      <c r="L116" s="1289"/>
      <c r="M116" s="1284"/>
      <c r="N116" s="1290"/>
      <c r="O116" s="1284"/>
      <c r="P116" s="1289">
        <f>J116+L116+N116</f>
        <v>0</v>
      </c>
      <c r="Q116" s="1284"/>
      <c r="R116" s="1289"/>
      <c r="S116" s="1289"/>
      <c r="T116" s="1289">
        <f>P116</f>
        <v>0</v>
      </c>
      <c r="U116" s="1284"/>
      <c r="V116" s="1290">
        <f>T116-S116</f>
        <v>0</v>
      </c>
      <c r="W116" s="1284"/>
      <c r="X116" s="1284"/>
    </row>
    <row r="117" spans="1:25" s="1266" customFormat="1" ht="5.0999999999999996" customHeight="1" outlineLevel="1">
      <c r="A117" s="1311" t="s">
        <v>195</v>
      </c>
      <c r="B117" s="1311" t="s">
        <v>195</v>
      </c>
      <c r="C117" s="1311"/>
      <c r="D117" s="1288"/>
      <c r="E117" s="1288"/>
      <c r="F117" s="1288"/>
      <c r="G117" s="1288"/>
      <c r="H117" s="1284"/>
      <c r="I117" s="1284"/>
      <c r="J117" s="1315"/>
      <c r="K117" s="1284"/>
      <c r="L117" s="1315"/>
      <c r="M117" s="1284"/>
      <c r="N117" s="1316"/>
      <c r="O117" s="1284"/>
      <c r="P117" s="1315"/>
      <c r="Q117" s="1284"/>
      <c r="R117" s="1315"/>
      <c r="S117" s="1315"/>
      <c r="T117" s="1315"/>
      <c r="U117" s="1284"/>
      <c r="V117" s="1316"/>
      <c r="W117" s="1284"/>
      <c r="X117" s="1284"/>
      <c r="Y117" s="1284"/>
    </row>
    <row r="118" spans="1:25" s="1266" customFormat="1">
      <c r="A118" s="1286" t="s">
        <v>1982</v>
      </c>
      <c r="B118" s="1286" t="s">
        <v>195</v>
      </c>
      <c r="C118" s="1286"/>
      <c r="D118" s="1284"/>
      <c r="E118" s="1284"/>
      <c r="F118" s="1287" t="s">
        <v>1983</v>
      </c>
      <c r="G118" s="1284"/>
      <c r="H118" s="1284"/>
      <c r="I118" s="1284"/>
      <c r="J118" s="1313">
        <f>SUM(J116:J117)</f>
        <v>0</v>
      </c>
      <c r="K118" s="1284"/>
      <c r="L118" s="1313">
        <f>SUM(L116:L117)</f>
        <v>0</v>
      </c>
      <c r="M118" s="1284"/>
      <c r="N118" s="1314">
        <f>SUM(N116:N117)</f>
        <v>0</v>
      </c>
      <c r="O118" s="1284"/>
      <c r="P118" s="1313">
        <f>J118+L118+N118</f>
        <v>0</v>
      </c>
      <c r="Q118" s="1284"/>
      <c r="R118" s="1313">
        <f>SUM(R116:R117)</f>
        <v>0</v>
      </c>
      <c r="S118" s="1313">
        <f>SUM(S116:S117)</f>
        <v>0</v>
      </c>
      <c r="T118" s="1313">
        <f>SUM(T116:T117)</f>
        <v>0</v>
      </c>
      <c r="U118" s="1284"/>
      <c r="V118" s="1314">
        <f>SUM(V116:V117)</f>
        <v>0</v>
      </c>
      <c r="W118" s="1284"/>
      <c r="X118" s="1284"/>
      <c r="Y118" s="1284"/>
    </row>
    <row r="119" spans="1:25" s="1266" customFormat="1" outlineLevel="1">
      <c r="A119" s="1284"/>
      <c r="B119" s="1285" t="s">
        <v>1984</v>
      </c>
      <c r="C119" s="1286"/>
      <c r="D119" s="1287">
        <v>17100</v>
      </c>
      <c r="E119" s="1287" t="s">
        <v>1985</v>
      </c>
      <c r="F119" s="1288"/>
      <c r="G119" s="1288"/>
      <c r="H119" s="1284"/>
      <c r="I119" s="1284"/>
      <c r="J119" s="1289">
        <v>201903.38</v>
      </c>
      <c r="K119" s="1284"/>
      <c r="L119" s="1289">
        <v>0</v>
      </c>
      <c r="M119" s="1284"/>
      <c r="N119" s="1290">
        <v>0</v>
      </c>
      <c r="O119" s="1284"/>
      <c r="P119" s="1289">
        <f>J119+L119+N119</f>
        <v>201903.38</v>
      </c>
      <c r="Q119" s="1284"/>
      <c r="R119" s="1289">
        <v>279936.40999999997</v>
      </c>
      <c r="S119" s="1289">
        <v>196478.24</v>
      </c>
      <c r="T119" s="1289">
        <f t="shared" ref="T119:T120" si="19">P119</f>
        <v>201903.38</v>
      </c>
      <c r="U119" s="1284"/>
      <c r="V119" s="1290">
        <f t="shared" ref="V119:V120" si="20">T119-S119</f>
        <v>5425.140000000014</v>
      </c>
      <c r="W119" s="1284"/>
      <c r="X119" s="1284"/>
    </row>
    <row r="120" spans="1:25" s="1266" customFormat="1" outlineLevel="1">
      <c r="A120" s="1284"/>
      <c r="B120" s="1285" t="s">
        <v>203</v>
      </c>
      <c r="C120" s="1286"/>
      <c r="D120" s="1287">
        <v>18100</v>
      </c>
      <c r="E120" s="1287" t="s">
        <v>1986</v>
      </c>
      <c r="F120" s="1288"/>
      <c r="G120" s="1288"/>
      <c r="H120" s="1284"/>
      <c r="I120" s="1284"/>
      <c r="J120" s="1289">
        <v>-3508344</v>
      </c>
      <c r="K120" s="1284"/>
      <c r="L120" s="1289">
        <v>0</v>
      </c>
      <c r="M120" s="1284"/>
      <c r="N120" s="1290">
        <v>0</v>
      </c>
      <c r="O120" s="1284"/>
      <c r="P120" s="1289">
        <f>J120+L120+N120</f>
        <v>-3508344</v>
      </c>
      <c r="Q120" s="1284"/>
      <c r="R120" s="1289">
        <v>-3508344</v>
      </c>
      <c r="S120" s="1289">
        <v>-3508344</v>
      </c>
      <c r="T120" s="1289">
        <f t="shared" si="19"/>
        <v>-3508344</v>
      </c>
      <c r="U120" s="1284"/>
      <c r="V120" s="1290">
        <f t="shared" si="20"/>
        <v>0</v>
      </c>
      <c r="W120" s="1284"/>
      <c r="X120" s="1284"/>
    </row>
    <row r="121" spans="1:25" s="1266" customFormat="1" ht="5.0999999999999996" customHeight="1" outlineLevel="1">
      <c r="A121" s="1286" t="s">
        <v>195</v>
      </c>
      <c r="B121" s="1286" t="s">
        <v>195</v>
      </c>
      <c r="C121" s="1286"/>
      <c r="D121" s="1288"/>
      <c r="E121" s="1288"/>
      <c r="F121" s="1288"/>
      <c r="G121" s="1288"/>
      <c r="H121" s="1284"/>
      <c r="I121" s="1284"/>
      <c r="J121" s="1315"/>
      <c r="K121" s="1284"/>
      <c r="L121" s="1315"/>
      <c r="M121" s="1284"/>
      <c r="N121" s="1316"/>
      <c r="O121" s="1284"/>
      <c r="P121" s="1315"/>
      <c r="Q121" s="1284"/>
      <c r="R121" s="1315"/>
      <c r="S121" s="1315"/>
      <c r="T121" s="1315"/>
      <c r="U121" s="1284"/>
      <c r="V121" s="1316"/>
      <c r="W121" s="1284"/>
      <c r="X121" s="1284"/>
      <c r="Y121" s="1284"/>
    </row>
    <row r="122" spans="1:25" s="1266" customFormat="1">
      <c r="A122" s="1286" t="s">
        <v>1984</v>
      </c>
      <c r="B122" s="1286" t="s">
        <v>195</v>
      </c>
      <c r="C122" s="1286"/>
      <c r="D122" s="1284"/>
      <c r="E122" s="1284"/>
      <c r="F122" s="1287" t="s">
        <v>1987</v>
      </c>
      <c r="G122" s="1284"/>
      <c r="H122" s="1284"/>
      <c r="I122" s="1284"/>
      <c r="J122" s="1313">
        <f>SUM(J119:J121)</f>
        <v>-3306440.62</v>
      </c>
      <c r="K122" s="1284"/>
      <c r="L122" s="1313">
        <f>SUM(L119:L121)</f>
        <v>0</v>
      </c>
      <c r="M122" s="1284"/>
      <c r="N122" s="1314">
        <f>SUM(N119:N121)</f>
        <v>0</v>
      </c>
      <c r="O122" s="1284"/>
      <c r="P122" s="1313">
        <f>J122+L122+N122</f>
        <v>-3306440.62</v>
      </c>
      <c r="Q122" s="1284"/>
      <c r="R122" s="1313">
        <f>SUM(R119:R121)</f>
        <v>-3228407.59</v>
      </c>
      <c r="S122" s="1313">
        <f>SUM(S119:S121)</f>
        <v>-3311865.76</v>
      </c>
      <c r="T122" s="1313">
        <f>SUM(T119:T121)</f>
        <v>-3306440.62</v>
      </c>
      <c r="U122" s="1284"/>
      <c r="V122" s="1314">
        <f>SUM(V119:V121)</f>
        <v>5425.140000000014</v>
      </c>
      <c r="W122" s="1284"/>
      <c r="X122" s="1284"/>
      <c r="Y122" s="1284"/>
    </row>
    <row r="123" spans="1:25" s="1266" customFormat="1" ht="7.5" customHeight="1">
      <c r="A123" s="1286" t="s">
        <v>195</v>
      </c>
      <c r="B123" s="1311" t="s">
        <v>195</v>
      </c>
      <c r="C123" s="1311"/>
      <c r="D123" s="1284"/>
      <c r="E123" s="1284"/>
      <c r="F123" s="1284"/>
      <c r="G123" s="1284"/>
      <c r="H123" s="1284"/>
      <c r="I123" s="1284"/>
      <c r="J123" s="1318"/>
      <c r="K123" s="1284"/>
      <c r="L123" s="1318"/>
      <c r="M123" s="1284"/>
      <c r="N123" s="1290"/>
      <c r="O123" s="1284"/>
      <c r="P123" s="1318"/>
      <c r="Q123" s="1284"/>
      <c r="R123" s="1318"/>
      <c r="S123" s="1318"/>
      <c r="T123" s="1318"/>
      <c r="U123" s="1284"/>
      <c r="V123" s="1290"/>
      <c r="W123" s="1284"/>
      <c r="X123" s="1284"/>
      <c r="Y123" s="1284"/>
    </row>
    <row r="124" spans="1:25" s="1266" customFormat="1" ht="13.5" thickBot="1">
      <c r="A124" s="1286" t="s">
        <v>195</v>
      </c>
      <c r="B124" s="1311" t="s">
        <v>195</v>
      </c>
      <c r="C124" s="1311"/>
      <c r="D124" s="1284"/>
      <c r="E124" s="1319" t="s">
        <v>1988</v>
      </c>
      <c r="F124" s="1284"/>
      <c r="G124" s="1284"/>
      <c r="H124" s="1284"/>
      <c r="I124" s="1284"/>
      <c r="J124" s="1325">
        <f>SUM(J90,J93,J97,J106,J109,J112,J115,J118,J122,J52)</f>
        <v>1033514.7199999994</v>
      </c>
      <c r="K124" s="1284"/>
      <c r="L124" s="1325">
        <f>SUM(L90,L93,L97,L106,L109,L112,L115,L118,L122,L52)</f>
        <v>0</v>
      </c>
      <c r="M124" s="1284"/>
      <c r="N124" s="1326">
        <f>SUM(N90,N93,N97,N106,N109,N112,N115,N118,N122,N52)</f>
        <v>0</v>
      </c>
      <c r="O124" s="1284"/>
      <c r="P124" s="1325">
        <f>SUM(P90,P93,P97,P106,P109,P112,P115,P118,P122,P52)</f>
        <v>1033514.7199999994</v>
      </c>
      <c r="Q124" s="1284"/>
      <c r="R124" s="1325">
        <f>SUM(R90,R93,R97,R106,R109,R112,R115,R118,R122,R52)</f>
        <v>1019523.5400000005</v>
      </c>
      <c r="S124" s="1325">
        <f>SUM(S90,S93,S97,S106,S109,S112,S115,S118,S122,S52)</f>
        <v>1068438.7399999993</v>
      </c>
      <c r="T124" s="1325">
        <f>SUM(T90,T93,T97,T106,T109,T112,T115,T118,T122,T52)</f>
        <v>1033514.7199999994</v>
      </c>
      <c r="U124" s="1284"/>
      <c r="V124" s="1326">
        <f>SUM(V90,V93,V97,V106,V109,V112,V115,V118,V122,V52)</f>
        <v>-34924.020000000084</v>
      </c>
      <c r="W124" s="1284"/>
      <c r="X124" s="1284"/>
      <c r="Y124" s="1284"/>
    </row>
    <row r="125" spans="1:25" s="1266" customFormat="1" ht="7.5" customHeight="1" thickTop="1">
      <c r="A125" s="1311" t="s">
        <v>195</v>
      </c>
      <c r="B125" s="1311"/>
      <c r="C125" s="1311"/>
      <c r="D125" s="1284"/>
      <c r="E125" s="1319"/>
      <c r="F125" s="1284"/>
      <c r="G125" s="1284"/>
      <c r="H125" s="1284"/>
      <c r="I125" s="1284"/>
      <c r="J125" s="1314"/>
      <c r="K125" s="1323"/>
      <c r="L125" s="1314"/>
      <c r="M125" s="1323"/>
      <c r="N125" s="1314"/>
      <c r="O125" s="1323"/>
      <c r="P125" s="1314"/>
      <c r="Q125" s="1323"/>
      <c r="R125" s="1314"/>
      <c r="S125" s="1314"/>
      <c r="T125" s="1314"/>
      <c r="U125" s="1323"/>
      <c r="V125" s="1314"/>
      <c r="W125" s="1284"/>
      <c r="X125" s="1284"/>
      <c r="Y125" s="1284"/>
    </row>
    <row r="126" spans="1:25" s="1266" customFormat="1" hidden="1" outlineLevel="1">
      <c r="A126" s="1284"/>
      <c r="B126" s="1285" t="s">
        <v>1989</v>
      </c>
      <c r="C126" s="1286"/>
      <c r="D126" s="1287"/>
      <c r="E126" s="1287"/>
      <c r="F126" s="1288"/>
      <c r="G126" s="1288"/>
      <c r="H126" s="1284"/>
      <c r="I126" s="1284"/>
      <c r="J126" s="1289"/>
      <c r="K126" s="1284"/>
      <c r="L126" s="1289"/>
      <c r="M126" s="1284"/>
      <c r="N126" s="1290"/>
      <c r="O126" s="1284"/>
      <c r="P126" s="1289">
        <f>J126+L126+N126</f>
        <v>0</v>
      </c>
      <c r="Q126" s="1284"/>
      <c r="R126" s="1289"/>
      <c r="S126" s="1289"/>
      <c r="T126" s="1289">
        <f>P126</f>
        <v>0</v>
      </c>
      <c r="U126" s="1284"/>
      <c r="V126" s="1290">
        <f>T126-S126</f>
        <v>0</v>
      </c>
      <c r="W126" s="1284"/>
      <c r="X126" s="1284"/>
    </row>
    <row r="127" spans="1:25" s="1266" customFormat="1" ht="5.0999999999999996" hidden="1" customHeight="1" outlineLevel="1">
      <c r="A127" s="1311"/>
      <c r="B127" s="1311"/>
      <c r="C127" s="1311"/>
      <c r="D127" s="1287"/>
      <c r="E127" s="1287"/>
      <c r="F127" s="1284"/>
      <c r="G127" s="1284"/>
      <c r="H127" s="1284"/>
      <c r="I127" s="1284"/>
      <c r="J127" s="1315"/>
      <c r="K127" s="1284"/>
      <c r="L127" s="1315"/>
      <c r="M127" s="1284"/>
      <c r="N127" s="1316"/>
      <c r="O127" s="1284"/>
      <c r="P127" s="1315"/>
      <c r="Q127" s="1284"/>
      <c r="R127" s="1315"/>
      <c r="S127" s="1315"/>
      <c r="T127" s="1315"/>
      <c r="U127" s="1284"/>
      <c r="V127" s="1316"/>
      <c r="W127" s="1284"/>
      <c r="X127" s="1284"/>
      <c r="Y127" s="1284"/>
    </row>
    <row r="128" spans="1:25" s="1266" customFormat="1" ht="12.75" hidden="1" customHeight="1">
      <c r="A128" s="1286" t="s">
        <v>1989</v>
      </c>
      <c r="B128" s="1311" t="s">
        <v>195</v>
      </c>
      <c r="C128" s="1311"/>
      <c r="D128" s="1284"/>
      <c r="E128" s="1284"/>
      <c r="F128" s="1284" t="s">
        <v>1990</v>
      </c>
      <c r="G128" s="1284"/>
      <c r="H128" s="1284"/>
      <c r="I128" s="1284"/>
      <c r="J128" s="1313">
        <f>SUM(J126:J127)</f>
        <v>0</v>
      </c>
      <c r="K128" s="1284"/>
      <c r="L128" s="1313">
        <f>SUM(L126:L127)</f>
        <v>0</v>
      </c>
      <c r="M128" s="1284"/>
      <c r="N128" s="1314">
        <f>SUM(N126:N127)</f>
        <v>0</v>
      </c>
      <c r="O128" s="1284"/>
      <c r="P128" s="1313">
        <f>J128+L128+N128</f>
        <v>0</v>
      </c>
      <c r="Q128" s="1284"/>
      <c r="R128" s="1313">
        <f>SUM(R126:R127)</f>
        <v>0</v>
      </c>
      <c r="S128" s="1313">
        <f>SUM(S126:S127)</f>
        <v>0</v>
      </c>
      <c r="T128" s="1313">
        <f>SUM(T126:T127)</f>
        <v>0</v>
      </c>
      <c r="U128" s="1284"/>
      <c r="V128" s="1314">
        <f>SUM(V126:V127)</f>
        <v>0</v>
      </c>
      <c r="W128" s="1284"/>
      <c r="X128" s="1284"/>
      <c r="Y128" s="1284"/>
    </row>
    <row r="129" spans="1:25" s="1266" customFormat="1" hidden="1" outlineLevel="1">
      <c r="A129" s="1311"/>
      <c r="B129" s="1286" t="s">
        <v>195</v>
      </c>
      <c r="C129" s="1286"/>
      <c r="D129" s="1284"/>
      <c r="E129" s="1284"/>
      <c r="F129" s="1284"/>
      <c r="G129" s="1284"/>
      <c r="H129" s="1284"/>
      <c r="I129" s="1284"/>
      <c r="J129" s="1318"/>
      <c r="K129" s="1284"/>
      <c r="L129" s="1318"/>
      <c r="M129" s="1284"/>
      <c r="N129" s="1290"/>
      <c r="O129" s="1284"/>
      <c r="P129" s="1318"/>
      <c r="Q129" s="1284"/>
      <c r="R129" s="1318"/>
      <c r="S129" s="1318"/>
      <c r="T129" s="1318"/>
      <c r="U129" s="1284"/>
      <c r="V129" s="1290"/>
      <c r="W129" s="1284"/>
      <c r="X129" s="1284"/>
      <c r="Y129" s="1284"/>
    </row>
    <row r="130" spans="1:25" s="1266" customFormat="1" hidden="1" outlineLevel="1">
      <c r="A130" s="1284"/>
      <c r="B130" s="1285" t="s">
        <v>1991</v>
      </c>
      <c r="C130" s="1286"/>
      <c r="D130" s="1287"/>
      <c r="E130" s="1287"/>
      <c r="F130" s="1288"/>
      <c r="G130" s="1288"/>
      <c r="H130" s="1284"/>
      <c r="I130" s="1284"/>
      <c r="J130" s="1289"/>
      <c r="K130" s="1284"/>
      <c r="L130" s="1289"/>
      <c r="M130" s="1284"/>
      <c r="N130" s="1290"/>
      <c r="O130" s="1284"/>
      <c r="P130" s="1289">
        <f>J130+L130+N130</f>
        <v>0</v>
      </c>
      <c r="Q130" s="1284"/>
      <c r="R130" s="1289"/>
      <c r="S130" s="1289"/>
      <c r="T130" s="1289">
        <f>P130</f>
        <v>0</v>
      </c>
      <c r="U130" s="1284"/>
      <c r="V130" s="1290">
        <f>T130-S130</f>
        <v>0</v>
      </c>
      <c r="W130" s="1284"/>
      <c r="X130" s="1284"/>
    </row>
    <row r="131" spans="1:25" s="1266" customFormat="1" ht="5.0999999999999996" customHeight="1" outlineLevel="1">
      <c r="A131" s="1286" t="s">
        <v>195</v>
      </c>
      <c r="B131" s="1286" t="s">
        <v>195</v>
      </c>
      <c r="C131" s="1286"/>
      <c r="D131" s="1288"/>
      <c r="E131" s="1288"/>
      <c r="F131" s="1288"/>
      <c r="G131" s="1288"/>
      <c r="H131" s="1284"/>
      <c r="I131" s="1284"/>
      <c r="J131" s="1315"/>
      <c r="K131" s="1284"/>
      <c r="L131" s="1315"/>
      <c r="M131" s="1284"/>
      <c r="N131" s="1316"/>
      <c r="O131" s="1284"/>
      <c r="P131" s="1315"/>
      <c r="Q131" s="1284"/>
      <c r="R131" s="1315"/>
      <c r="S131" s="1315"/>
      <c r="T131" s="1315"/>
      <c r="U131" s="1284"/>
      <c r="V131" s="1316"/>
      <c r="W131" s="1284"/>
      <c r="X131" s="1284"/>
      <c r="Y131" s="1284"/>
    </row>
    <row r="132" spans="1:25" s="1266" customFormat="1" ht="12.75" customHeight="1">
      <c r="A132" s="1286" t="s">
        <v>1991</v>
      </c>
      <c r="B132" s="1286" t="s">
        <v>195</v>
      </c>
      <c r="C132" s="1286"/>
      <c r="D132" s="1284"/>
      <c r="E132" s="1284"/>
      <c r="F132" s="1287" t="s">
        <v>1992</v>
      </c>
      <c r="G132" s="1284"/>
      <c r="H132" s="1284"/>
      <c r="I132" s="1284"/>
      <c r="J132" s="1313">
        <f>SUM(J130:J131)</f>
        <v>0</v>
      </c>
      <c r="K132" s="1284"/>
      <c r="L132" s="1313">
        <f>SUM(L130:L131)</f>
        <v>0</v>
      </c>
      <c r="M132" s="1284"/>
      <c r="N132" s="1314">
        <f>SUM(N130:N131)</f>
        <v>0</v>
      </c>
      <c r="O132" s="1284"/>
      <c r="P132" s="1313">
        <f t="shared" ref="P132" si="21">J132+L132+N132</f>
        <v>0</v>
      </c>
      <c r="Q132" s="1284"/>
      <c r="R132" s="1313">
        <f>SUM(R130:R131)</f>
        <v>0</v>
      </c>
      <c r="S132" s="1313">
        <f>SUM(S130:S131)</f>
        <v>0</v>
      </c>
      <c r="T132" s="1313">
        <f>SUM(T130:T131)</f>
        <v>0</v>
      </c>
      <c r="U132" s="1284"/>
      <c r="V132" s="1314">
        <f>SUM(V130:V131)</f>
        <v>0</v>
      </c>
      <c r="W132" s="1284"/>
      <c r="X132" s="1284"/>
      <c r="Y132" s="1284"/>
    </row>
    <row r="133" spans="1:25" s="1266" customFormat="1" outlineLevel="1">
      <c r="A133" s="1284"/>
      <c r="B133" s="1285" t="s">
        <v>1993</v>
      </c>
      <c r="C133" s="1286"/>
      <c r="D133" s="1287">
        <v>20120</v>
      </c>
      <c r="E133" s="1287" t="s">
        <v>1994</v>
      </c>
      <c r="F133" s="1288"/>
      <c r="G133" s="1288"/>
      <c r="H133" s="1284"/>
      <c r="I133" s="1284"/>
      <c r="J133" s="1289">
        <v>97141.07</v>
      </c>
      <c r="K133" s="1284"/>
      <c r="L133" s="1289">
        <v>0</v>
      </c>
      <c r="M133" s="1284"/>
      <c r="N133" s="1290">
        <v>0</v>
      </c>
      <c r="O133" s="1284"/>
      <c r="P133" s="1289">
        <f t="shared" ref="P133:P140" si="22">J133+L133+N133</f>
        <v>97141.07</v>
      </c>
      <c r="Q133" s="1284"/>
      <c r="R133" s="1289">
        <v>115555.48</v>
      </c>
      <c r="S133" s="1289">
        <v>107584.61</v>
      </c>
      <c r="T133" s="1289">
        <f t="shared" ref="T133:T140" si="23">P133</f>
        <v>97141.07</v>
      </c>
      <c r="U133" s="1284"/>
      <c r="V133" s="1290">
        <f t="shared" ref="V133:V140" si="24">T133-S133</f>
        <v>-10443.539999999994</v>
      </c>
      <c r="W133" s="1284"/>
      <c r="X133" s="1284"/>
    </row>
    <row r="134" spans="1:25" s="1266" customFormat="1" outlineLevel="1">
      <c r="A134" s="1284"/>
      <c r="B134" s="1285" t="s">
        <v>203</v>
      </c>
      <c r="C134" s="1286"/>
      <c r="D134" s="1287">
        <v>20121</v>
      </c>
      <c r="E134" s="1287" t="s">
        <v>1995</v>
      </c>
      <c r="F134" s="1288"/>
      <c r="G134" s="1288"/>
      <c r="H134" s="1284"/>
      <c r="I134" s="1284"/>
      <c r="J134" s="1289">
        <v>5880.92</v>
      </c>
      <c r="K134" s="1284"/>
      <c r="L134" s="1289">
        <v>0</v>
      </c>
      <c r="M134" s="1284"/>
      <c r="N134" s="1290">
        <v>0</v>
      </c>
      <c r="O134" s="1284"/>
      <c r="P134" s="1289">
        <f t="shared" si="22"/>
        <v>5880.92</v>
      </c>
      <c r="Q134" s="1284"/>
      <c r="R134" s="1289">
        <v>0</v>
      </c>
      <c r="S134" s="1289">
        <v>0</v>
      </c>
      <c r="T134" s="1289">
        <f t="shared" si="23"/>
        <v>5880.92</v>
      </c>
      <c r="U134" s="1284"/>
      <c r="V134" s="1290">
        <f t="shared" si="24"/>
        <v>5880.92</v>
      </c>
      <c r="W134" s="1284"/>
      <c r="X134" s="1284"/>
    </row>
    <row r="135" spans="1:25" s="1266" customFormat="1" outlineLevel="1">
      <c r="A135" s="1284"/>
      <c r="B135" s="1285" t="s">
        <v>203</v>
      </c>
      <c r="C135" s="1286"/>
      <c r="D135" s="1287">
        <v>20123</v>
      </c>
      <c r="E135" s="1287" t="s">
        <v>1996</v>
      </c>
      <c r="F135" s="1288"/>
      <c r="G135" s="1288"/>
      <c r="H135" s="1284"/>
      <c r="I135" s="1284"/>
      <c r="J135" s="1289">
        <v>1678.44</v>
      </c>
      <c r="K135" s="1284"/>
      <c r="L135" s="1289">
        <v>0</v>
      </c>
      <c r="M135" s="1284"/>
      <c r="N135" s="1290">
        <v>0</v>
      </c>
      <c r="O135" s="1284"/>
      <c r="P135" s="1289">
        <f t="shared" si="22"/>
        <v>1678.44</v>
      </c>
      <c r="Q135" s="1284"/>
      <c r="R135" s="1289">
        <v>1146.17</v>
      </c>
      <c r="S135" s="1289">
        <v>2487.56</v>
      </c>
      <c r="T135" s="1289">
        <f t="shared" si="23"/>
        <v>1678.44</v>
      </c>
      <c r="U135" s="1284"/>
      <c r="V135" s="1290">
        <f t="shared" si="24"/>
        <v>-809.11999999999989</v>
      </c>
      <c r="W135" s="1284"/>
      <c r="X135" s="1284"/>
    </row>
    <row r="136" spans="1:25" s="1266" customFormat="1" outlineLevel="1">
      <c r="A136" s="1284"/>
      <c r="B136" s="1285" t="s">
        <v>203</v>
      </c>
      <c r="C136" s="1286"/>
      <c r="D136" s="1287">
        <v>20140</v>
      </c>
      <c r="E136" s="1287" t="s">
        <v>1997</v>
      </c>
      <c r="F136" s="1288"/>
      <c r="G136" s="1288"/>
      <c r="H136" s="1284"/>
      <c r="I136" s="1284"/>
      <c r="J136" s="1289">
        <v>53.7</v>
      </c>
      <c r="K136" s="1284"/>
      <c r="L136" s="1289">
        <v>0</v>
      </c>
      <c r="M136" s="1284"/>
      <c r="N136" s="1290">
        <v>0</v>
      </c>
      <c r="O136" s="1284"/>
      <c r="P136" s="1289">
        <f t="shared" si="22"/>
        <v>53.7</v>
      </c>
      <c r="Q136" s="1284"/>
      <c r="R136" s="1289">
        <v>22.06</v>
      </c>
      <c r="S136" s="1289">
        <v>48.8</v>
      </c>
      <c r="T136" s="1289">
        <f t="shared" si="23"/>
        <v>53.7</v>
      </c>
      <c r="U136" s="1284"/>
      <c r="V136" s="1290">
        <f t="shared" si="24"/>
        <v>4.9000000000000057</v>
      </c>
      <c r="W136" s="1284"/>
      <c r="X136" s="1284"/>
    </row>
    <row r="137" spans="1:25" s="1266" customFormat="1" outlineLevel="1">
      <c r="A137" s="1284"/>
      <c r="B137" s="1285" t="s">
        <v>203</v>
      </c>
      <c r="C137" s="1286"/>
      <c r="D137" s="1287">
        <v>20170</v>
      </c>
      <c r="E137" s="1287" t="s">
        <v>2048</v>
      </c>
      <c r="F137" s="1288"/>
      <c r="G137" s="1288"/>
      <c r="H137" s="1284"/>
      <c r="I137" s="1284"/>
      <c r="J137" s="1289">
        <v>4113.8500000000004</v>
      </c>
      <c r="K137" s="1284"/>
      <c r="L137" s="1289">
        <v>0</v>
      </c>
      <c r="M137" s="1284"/>
      <c r="N137" s="1290">
        <v>0</v>
      </c>
      <c r="O137" s="1284"/>
      <c r="P137" s="1289">
        <f t="shared" si="22"/>
        <v>4113.8500000000004</v>
      </c>
      <c r="Q137" s="1284"/>
      <c r="R137" s="1289">
        <v>4474.3</v>
      </c>
      <c r="S137" s="1289">
        <v>4178.0600000000004</v>
      </c>
      <c r="T137" s="1289">
        <f t="shared" si="23"/>
        <v>4113.8500000000004</v>
      </c>
      <c r="U137" s="1284"/>
      <c r="V137" s="1290">
        <f t="shared" si="24"/>
        <v>-64.210000000000036</v>
      </c>
      <c r="W137" s="1284"/>
      <c r="X137" s="1284"/>
    </row>
    <row r="138" spans="1:25" s="1266" customFormat="1" outlineLevel="1">
      <c r="A138" s="1284"/>
      <c r="B138" s="1285" t="s">
        <v>203</v>
      </c>
      <c r="C138" s="1286"/>
      <c r="D138" s="1287">
        <v>20175</v>
      </c>
      <c r="E138" s="1287" t="s">
        <v>1998</v>
      </c>
      <c r="F138" s="1288"/>
      <c r="G138" s="1288"/>
      <c r="H138" s="1284"/>
      <c r="I138" s="1284"/>
      <c r="J138" s="1289">
        <v>7946.58</v>
      </c>
      <c r="K138" s="1284"/>
      <c r="L138" s="1289">
        <v>0</v>
      </c>
      <c r="M138" s="1284"/>
      <c r="N138" s="1290">
        <v>0</v>
      </c>
      <c r="O138" s="1284"/>
      <c r="P138" s="1289">
        <f t="shared" si="22"/>
        <v>7946.58</v>
      </c>
      <c r="Q138" s="1284"/>
      <c r="R138" s="1289">
        <v>5210.75</v>
      </c>
      <c r="S138" s="1289">
        <v>6605.19</v>
      </c>
      <c r="T138" s="1289">
        <f t="shared" si="23"/>
        <v>7946.58</v>
      </c>
      <c r="U138" s="1284"/>
      <c r="V138" s="1290">
        <f t="shared" si="24"/>
        <v>1341.3900000000003</v>
      </c>
      <c r="W138" s="1284"/>
      <c r="X138" s="1284"/>
    </row>
    <row r="139" spans="1:25" s="1266" customFormat="1" outlineLevel="1">
      <c r="A139" s="1284"/>
      <c r="B139" s="1285" t="s">
        <v>203</v>
      </c>
      <c r="C139" s="1286"/>
      <c r="D139" s="1287">
        <v>20178</v>
      </c>
      <c r="E139" s="1287" t="s">
        <v>1999</v>
      </c>
      <c r="F139" s="1288"/>
      <c r="G139" s="1288"/>
      <c r="H139" s="1284"/>
      <c r="I139" s="1284"/>
      <c r="J139" s="1289">
        <v>14829.49</v>
      </c>
      <c r="K139" s="1284"/>
      <c r="L139" s="1289">
        <v>0</v>
      </c>
      <c r="M139" s="1284"/>
      <c r="N139" s="1290">
        <v>0</v>
      </c>
      <c r="O139" s="1284"/>
      <c r="P139" s="1289">
        <f t="shared" si="22"/>
        <v>14829.49</v>
      </c>
      <c r="Q139" s="1284"/>
      <c r="R139" s="1289">
        <v>12546.49</v>
      </c>
      <c r="S139" s="1289">
        <v>14039.49</v>
      </c>
      <c r="T139" s="1289">
        <f t="shared" si="23"/>
        <v>14829.49</v>
      </c>
      <c r="U139" s="1284"/>
      <c r="V139" s="1290">
        <f t="shared" si="24"/>
        <v>790</v>
      </c>
      <c r="W139" s="1284"/>
      <c r="X139" s="1284"/>
    </row>
    <row r="140" spans="1:25" s="1266" customFormat="1" outlineLevel="1">
      <c r="A140" s="1284"/>
      <c r="B140" s="1285" t="s">
        <v>203</v>
      </c>
      <c r="C140" s="1286"/>
      <c r="D140" s="1287">
        <v>20180</v>
      </c>
      <c r="E140" s="1287" t="s">
        <v>2000</v>
      </c>
      <c r="F140" s="1288"/>
      <c r="G140" s="1288"/>
      <c r="H140" s="1284"/>
      <c r="I140" s="1284"/>
      <c r="J140" s="1289">
        <v>11934.69</v>
      </c>
      <c r="K140" s="1284"/>
      <c r="L140" s="1289">
        <v>0</v>
      </c>
      <c r="M140" s="1284"/>
      <c r="N140" s="1290">
        <v>0</v>
      </c>
      <c r="O140" s="1284"/>
      <c r="P140" s="1289">
        <f t="shared" si="22"/>
        <v>11934.69</v>
      </c>
      <c r="Q140" s="1284"/>
      <c r="R140" s="1289">
        <v>12391.9</v>
      </c>
      <c r="S140" s="1289">
        <v>14401.16</v>
      </c>
      <c r="T140" s="1289">
        <f t="shared" si="23"/>
        <v>11934.69</v>
      </c>
      <c r="U140" s="1284"/>
      <c r="V140" s="1290">
        <f t="shared" si="24"/>
        <v>-2466.4699999999993</v>
      </c>
      <c r="W140" s="1284"/>
      <c r="X140" s="1284"/>
    </row>
    <row r="141" spans="1:25" s="1266" customFormat="1" ht="5.0999999999999996" customHeight="1" outlineLevel="1">
      <c r="A141" s="1286" t="s">
        <v>195</v>
      </c>
      <c r="B141" s="1286" t="s">
        <v>195</v>
      </c>
      <c r="C141" s="1286"/>
      <c r="D141" s="1288"/>
      <c r="E141" s="1288"/>
      <c r="F141" s="1288"/>
      <c r="G141" s="1288"/>
      <c r="H141" s="1284"/>
      <c r="I141" s="1284"/>
      <c r="J141" s="1315"/>
      <c r="K141" s="1284"/>
      <c r="L141" s="1315"/>
      <c r="M141" s="1284"/>
      <c r="N141" s="1316"/>
      <c r="O141" s="1284"/>
      <c r="P141" s="1315"/>
      <c r="Q141" s="1284"/>
      <c r="R141" s="1315"/>
      <c r="S141" s="1315"/>
      <c r="T141" s="1315"/>
      <c r="U141" s="1284"/>
      <c r="V141" s="1316"/>
      <c r="W141" s="1284"/>
      <c r="X141" s="1284"/>
      <c r="Y141" s="1284"/>
    </row>
    <row r="142" spans="1:25" s="1266" customFormat="1">
      <c r="A142" s="1286" t="s">
        <v>1993</v>
      </c>
      <c r="B142" s="1286" t="s">
        <v>195</v>
      </c>
      <c r="C142" s="1286"/>
      <c r="D142" s="1284"/>
      <c r="E142" s="1284"/>
      <c r="F142" s="1287" t="s">
        <v>2001</v>
      </c>
      <c r="G142" s="1284"/>
      <c r="H142" s="1284"/>
      <c r="I142" s="1284"/>
      <c r="J142" s="1313">
        <f>SUM(J133:J141)</f>
        <v>143578.74000000002</v>
      </c>
      <c r="K142" s="1284"/>
      <c r="L142" s="1313">
        <f>SUM(L133:L141)</f>
        <v>0</v>
      </c>
      <c r="M142" s="1284"/>
      <c r="N142" s="1314">
        <f>SUM(N133:N141)</f>
        <v>0</v>
      </c>
      <c r="O142" s="1284"/>
      <c r="P142" s="1313">
        <f>J142+L142+N142</f>
        <v>143578.74000000002</v>
      </c>
      <c r="Q142" s="1284"/>
      <c r="R142" s="1313">
        <f>SUM(R133:R141)</f>
        <v>151347.15</v>
      </c>
      <c r="S142" s="1313">
        <f>SUM(S133:S141)</f>
        <v>149344.87</v>
      </c>
      <c r="T142" s="1313">
        <f>SUM(T133:T141)</f>
        <v>143578.74000000002</v>
      </c>
      <c r="U142" s="1284"/>
      <c r="V142" s="1314">
        <f>SUM(V133:V141)</f>
        <v>-5766.1299999999928</v>
      </c>
      <c r="W142" s="1284"/>
      <c r="X142" s="1284"/>
      <c r="Y142" s="1284"/>
    </row>
    <row r="143" spans="1:25" s="1266" customFormat="1" outlineLevel="1">
      <c r="A143" s="1284"/>
      <c r="B143" s="1285" t="s">
        <v>2002</v>
      </c>
      <c r="C143" s="1286"/>
      <c r="D143" s="1287">
        <v>20300</v>
      </c>
      <c r="E143" s="1287" t="s">
        <v>2003</v>
      </c>
      <c r="F143" s="1288"/>
      <c r="G143" s="1288"/>
      <c r="H143" s="1284"/>
      <c r="I143" s="1284"/>
      <c r="J143" s="1289">
        <v>38396.57</v>
      </c>
      <c r="K143" s="1284"/>
      <c r="L143" s="1289">
        <v>0</v>
      </c>
      <c r="M143" s="1284"/>
      <c r="N143" s="1290">
        <v>0</v>
      </c>
      <c r="O143" s="1284"/>
      <c r="P143" s="1289">
        <f>J143+L143+N143</f>
        <v>38396.57</v>
      </c>
      <c r="Q143" s="1284"/>
      <c r="R143" s="1289">
        <v>38230.92</v>
      </c>
      <c r="S143" s="1289">
        <v>84730.68</v>
      </c>
      <c r="T143" s="1289">
        <f>P143</f>
        <v>38396.57</v>
      </c>
      <c r="U143" s="1284"/>
      <c r="V143" s="1290">
        <f>T143-S143</f>
        <v>-46334.109999999993</v>
      </c>
      <c r="W143" s="1284"/>
      <c r="X143" s="1284"/>
    </row>
    <row r="144" spans="1:25" s="1266" customFormat="1" ht="5.0999999999999996" customHeight="1" outlineLevel="1">
      <c r="A144" s="1286" t="s">
        <v>195</v>
      </c>
      <c r="B144" s="1311" t="s">
        <v>195</v>
      </c>
      <c r="C144" s="1311"/>
      <c r="D144" s="1288"/>
      <c r="E144" s="1288"/>
      <c r="F144" s="1288"/>
      <c r="G144" s="1288"/>
      <c r="H144" s="1284"/>
      <c r="I144" s="1284"/>
      <c r="J144" s="1315"/>
      <c r="K144" s="1284"/>
      <c r="L144" s="1315"/>
      <c r="M144" s="1284"/>
      <c r="N144" s="1316"/>
      <c r="O144" s="1284"/>
      <c r="P144" s="1315"/>
      <c r="Q144" s="1284"/>
      <c r="R144" s="1315"/>
      <c r="S144" s="1315"/>
      <c r="T144" s="1315"/>
      <c r="U144" s="1284"/>
      <c r="V144" s="1316"/>
      <c r="W144" s="1284"/>
      <c r="X144" s="1284"/>
      <c r="Y144" s="1284"/>
    </row>
    <row r="145" spans="1:25" s="1266" customFormat="1">
      <c r="A145" s="1286" t="s">
        <v>2002</v>
      </c>
      <c r="B145" s="1311" t="s">
        <v>195</v>
      </c>
      <c r="C145" s="1311"/>
      <c r="D145" s="1284"/>
      <c r="E145" s="1284"/>
      <c r="F145" s="1287" t="s">
        <v>2004</v>
      </c>
      <c r="G145" s="1284"/>
      <c r="H145" s="1284"/>
      <c r="I145" s="1284"/>
      <c r="J145" s="1313">
        <f>SUM(J143:J144)</f>
        <v>38396.57</v>
      </c>
      <c r="K145" s="1284"/>
      <c r="L145" s="1313">
        <f>SUM(L143:L144)</f>
        <v>0</v>
      </c>
      <c r="M145" s="1284"/>
      <c r="N145" s="1314">
        <f>SUM(N143:N144)</f>
        <v>0</v>
      </c>
      <c r="O145" s="1284"/>
      <c r="P145" s="1313">
        <f t="shared" ref="P145" si="25">J145+L145+N145</f>
        <v>38396.57</v>
      </c>
      <c r="Q145" s="1284"/>
      <c r="R145" s="1313">
        <f>SUM(R143:R144)</f>
        <v>38230.92</v>
      </c>
      <c r="S145" s="1313">
        <f>SUM(S143:S144)</f>
        <v>84730.68</v>
      </c>
      <c r="T145" s="1313">
        <f>SUM(T143:T144)</f>
        <v>38396.57</v>
      </c>
      <c r="U145" s="1284"/>
      <c r="V145" s="1314">
        <f>SUM(V143:V144)</f>
        <v>-46334.109999999993</v>
      </c>
      <c r="W145" s="1284"/>
      <c r="X145" s="1284"/>
      <c r="Y145" s="1284"/>
    </row>
    <row r="146" spans="1:25" s="1266" customFormat="1" outlineLevel="1">
      <c r="A146" s="1284"/>
      <c r="B146" s="1285" t="s">
        <v>2005</v>
      </c>
      <c r="C146" s="1286"/>
      <c r="D146" s="1287">
        <v>20320</v>
      </c>
      <c r="E146" s="1287" t="s">
        <v>2006</v>
      </c>
      <c r="F146" s="1288"/>
      <c r="G146" s="1288"/>
      <c r="H146" s="1284"/>
      <c r="I146" s="1284"/>
      <c r="J146" s="1289">
        <v>17339.330000000002</v>
      </c>
      <c r="K146" s="1284"/>
      <c r="L146" s="1289">
        <v>0</v>
      </c>
      <c r="M146" s="1284"/>
      <c r="N146" s="1290">
        <v>0</v>
      </c>
      <c r="O146" s="1284"/>
      <c r="P146" s="1289">
        <f>J146+L146+N146</f>
        <v>17339.330000000002</v>
      </c>
      <c r="Q146" s="1284"/>
      <c r="R146" s="1289">
        <v>6081.48</v>
      </c>
      <c r="S146" s="1289">
        <v>12088.82</v>
      </c>
      <c r="T146" s="1289">
        <f t="shared" ref="T146:T150" si="26">P146</f>
        <v>17339.330000000002</v>
      </c>
      <c r="U146" s="1284"/>
      <c r="V146" s="1290">
        <f t="shared" ref="V146:V150" si="27">T146-S146</f>
        <v>5250.510000000002</v>
      </c>
      <c r="W146" s="1284"/>
      <c r="X146" s="1284"/>
    </row>
    <row r="147" spans="1:25" s="1266" customFormat="1" outlineLevel="1">
      <c r="A147" s="1284"/>
      <c r="B147" s="1285" t="s">
        <v>203</v>
      </c>
      <c r="C147" s="1286"/>
      <c r="D147" s="1287">
        <v>20321</v>
      </c>
      <c r="E147" s="1287" t="s">
        <v>2007</v>
      </c>
      <c r="F147" s="1288"/>
      <c r="G147" s="1288"/>
      <c r="H147" s="1284"/>
      <c r="I147" s="1284"/>
      <c r="J147" s="1289">
        <v>12981.09</v>
      </c>
      <c r="K147" s="1284"/>
      <c r="L147" s="1289">
        <v>0</v>
      </c>
      <c r="M147" s="1284"/>
      <c r="N147" s="1290">
        <v>0</v>
      </c>
      <c r="O147" s="1284"/>
      <c r="P147" s="1289">
        <f>J147+L147+N147</f>
        <v>12981.09</v>
      </c>
      <c r="Q147" s="1284"/>
      <c r="R147" s="1289">
        <v>15725.85</v>
      </c>
      <c r="S147" s="1289">
        <v>14082.73</v>
      </c>
      <c r="T147" s="1289">
        <f t="shared" si="26"/>
        <v>12981.09</v>
      </c>
      <c r="U147" s="1284"/>
      <c r="V147" s="1290">
        <f t="shared" si="27"/>
        <v>-1101.6399999999994</v>
      </c>
      <c r="W147" s="1284"/>
      <c r="X147" s="1284"/>
    </row>
    <row r="148" spans="1:25" s="1266" customFormat="1" outlineLevel="1">
      <c r="A148" s="1284"/>
      <c r="B148" s="1285" t="s">
        <v>203</v>
      </c>
      <c r="C148" s="1286"/>
      <c r="D148" s="1287">
        <v>20340</v>
      </c>
      <c r="E148" s="1287" t="s">
        <v>2008</v>
      </c>
      <c r="F148" s="1288"/>
      <c r="G148" s="1288"/>
      <c r="H148" s="1284"/>
      <c r="I148" s="1284"/>
      <c r="J148" s="1289">
        <v>3811.17</v>
      </c>
      <c r="K148" s="1284"/>
      <c r="L148" s="1289">
        <v>0</v>
      </c>
      <c r="M148" s="1284"/>
      <c r="N148" s="1290">
        <v>0</v>
      </c>
      <c r="O148" s="1284"/>
      <c r="P148" s="1289">
        <f>J148+L148+N148</f>
        <v>3811.17</v>
      </c>
      <c r="Q148" s="1284"/>
      <c r="R148" s="1289">
        <v>14681.17</v>
      </c>
      <c r="S148" s="1289">
        <v>16011.17</v>
      </c>
      <c r="T148" s="1289">
        <f t="shared" si="26"/>
        <v>3811.17</v>
      </c>
      <c r="U148" s="1284"/>
      <c r="V148" s="1290">
        <f t="shared" si="27"/>
        <v>-12200</v>
      </c>
      <c r="W148" s="1284"/>
      <c r="X148" s="1284"/>
    </row>
    <row r="149" spans="1:25" s="1266" customFormat="1" outlineLevel="1">
      <c r="A149" s="1284"/>
      <c r="B149" s="1285" t="s">
        <v>203</v>
      </c>
      <c r="C149" s="1286"/>
      <c r="D149" s="1287">
        <v>20351</v>
      </c>
      <c r="E149" s="1287" t="s">
        <v>2009</v>
      </c>
      <c r="F149" s="1288"/>
      <c r="G149" s="1288"/>
      <c r="H149" s="1284"/>
      <c r="I149" s="1284"/>
      <c r="J149" s="1289">
        <v>1119.8800000000001</v>
      </c>
      <c r="K149" s="1284"/>
      <c r="L149" s="1289">
        <v>0</v>
      </c>
      <c r="M149" s="1284"/>
      <c r="N149" s="1290">
        <v>0</v>
      </c>
      <c r="O149" s="1284"/>
      <c r="P149" s="1289">
        <f>J149+L149+N149</f>
        <v>1119.8800000000001</v>
      </c>
      <c r="Q149" s="1284"/>
      <c r="R149" s="1289">
        <v>1232.74</v>
      </c>
      <c r="S149" s="1289">
        <v>391.32</v>
      </c>
      <c r="T149" s="1289">
        <f t="shared" si="26"/>
        <v>1119.8800000000001</v>
      </c>
      <c r="U149" s="1284"/>
      <c r="V149" s="1290">
        <f t="shared" si="27"/>
        <v>728.56000000000017</v>
      </c>
      <c r="W149" s="1284"/>
      <c r="X149" s="1284"/>
    </row>
    <row r="150" spans="1:25" s="1266" customFormat="1" hidden="1" outlineLevel="1">
      <c r="A150" s="1284"/>
      <c r="B150" s="1285" t="s">
        <v>203</v>
      </c>
      <c r="C150" s="1286"/>
      <c r="D150" s="1287">
        <v>20360</v>
      </c>
      <c r="E150" s="1287" t="s">
        <v>2010</v>
      </c>
      <c r="F150" s="1288"/>
      <c r="G150" s="1288"/>
      <c r="H150" s="1284"/>
      <c r="I150" s="1284"/>
      <c r="J150" s="1289">
        <v>0</v>
      </c>
      <c r="K150" s="1284"/>
      <c r="L150" s="1289">
        <v>0</v>
      </c>
      <c r="M150" s="1284"/>
      <c r="N150" s="1290">
        <v>0</v>
      </c>
      <c r="O150" s="1284"/>
      <c r="P150" s="1289">
        <f>J150+L150+N150</f>
        <v>0</v>
      </c>
      <c r="Q150" s="1284"/>
      <c r="R150" s="1289">
        <v>0</v>
      </c>
      <c r="S150" s="1289">
        <v>0</v>
      </c>
      <c r="T150" s="1289">
        <f t="shared" si="26"/>
        <v>0</v>
      </c>
      <c r="U150" s="1284"/>
      <c r="V150" s="1290">
        <f t="shared" si="27"/>
        <v>0</v>
      </c>
      <c r="W150" s="1284"/>
      <c r="X150" s="1284"/>
    </row>
    <row r="151" spans="1:25" s="1266" customFormat="1" ht="4.5" customHeight="1" outlineLevel="1">
      <c r="A151" s="1311" t="s">
        <v>195</v>
      </c>
      <c r="B151" s="1311" t="s">
        <v>195</v>
      </c>
      <c r="C151" s="1311"/>
      <c r="D151" s="1322"/>
      <c r="E151" s="1284"/>
      <c r="F151" s="1284"/>
      <c r="G151" s="1284"/>
      <c r="H151" s="1284"/>
      <c r="I151" s="1284"/>
      <c r="J151" s="1315"/>
      <c r="K151" s="1284"/>
      <c r="L151" s="1315"/>
      <c r="M151" s="1284"/>
      <c r="N151" s="1316"/>
      <c r="O151" s="1284"/>
      <c r="P151" s="1315"/>
      <c r="Q151" s="1284"/>
      <c r="R151" s="1315"/>
      <c r="S151" s="1315"/>
      <c r="T151" s="1315"/>
      <c r="U151" s="1284"/>
      <c r="V151" s="1316"/>
      <c r="W151" s="1284"/>
      <c r="X151" s="1284"/>
      <c r="Y151" s="1284"/>
    </row>
    <row r="152" spans="1:25" s="1266" customFormat="1">
      <c r="A152" s="1286" t="s">
        <v>2005</v>
      </c>
      <c r="B152" s="1311" t="s">
        <v>195</v>
      </c>
      <c r="C152" s="1311"/>
      <c r="D152" s="1284"/>
      <c r="E152" s="1284"/>
      <c r="F152" s="1284" t="s">
        <v>2011</v>
      </c>
      <c r="G152" s="1284"/>
      <c r="H152" s="1284"/>
      <c r="I152" s="1284"/>
      <c r="J152" s="1313">
        <f>SUM(J146:J151)</f>
        <v>35251.47</v>
      </c>
      <c r="K152" s="1284"/>
      <c r="L152" s="1313">
        <f>SUM(L146:L151)</f>
        <v>0</v>
      </c>
      <c r="M152" s="1284"/>
      <c r="N152" s="1314">
        <f>SUM(N146:N151)</f>
        <v>0</v>
      </c>
      <c r="O152" s="1284"/>
      <c r="P152" s="1313">
        <f>J152+L152+N152</f>
        <v>35251.47</v>
      </c>
      <c r="Q152" s="1284"/>
      <c r="R152" s="1313">
        <f>SUM(R146:R151)</f>
        <v>37721.24</v>
      </c>
      <c r="S152" s="1313">
        <f>SUM(S146:S151)</f>
        <v>42574.04</v>
      </c>
      <c r="T152" s="1313">
        <f>SUM(T146:T151)</f>
        <v>35251.47</v>
      </c>
      <c r="U152" s="1284"/>
      <c r="V152" s="1314">
        <f>SUM(V146:V151)</f>
        <v>-7322.569999999997</v>
      </c>
      <c r="W152" s="1284"/>
      <c r="X152" s="1284"/>
      <c r="Y152" s="1284"/>
    </row>
    <row r="153" spans="1:25" s="1266" customFormat="1" ht="7.5" customHeight="1">
      <c r="A153" s="1311" t="s">
        <v>195</v>
      </c>
      <c r="B153" s="1311" t="s">
        <v>195</v>
      </c>
      <c r="C153" s="1311"/>
      <c r="D153" s="1284"/>
      <c r="E153" s="1284"/>
      <c r="F153" s="1284"/>
      <c r="G153" s="1284"/>
      <c r="H153" s="1284"/>
      <c r="I153" s="1284"/>
      <c r="J153" s="1318"/>
      <c r="K153" s="1284"/>
      <c r="L153" s="1318"/>
      <c r="M153" s="1284"/>
      <c r="N153" s="1290"/>
      <c r="O153" s="1284"/>
      <c r="P153" s="1318"/>
      <c r="Q153" s="1284"/>
      <c r="R153" s="1318"/>
      <c r="S153" s="1318"/>
      <c r="T153" s="1318"/>
      <c r="U153" s="1284"/>
      <c r="V153" s="1290"/>
      <c r="W153" s="1284"/>
      <c r="X153" s="1284"/>
      <c r="Y153" s="1284"/>
    </row>
    <row r="154" spans="1:25" s="1266" customFormat="1">
      <c r="A154" s="1311" t="s">
        <v>195</v>
      </c>
      <c r="B154" s="1311" t="s">
        <v>195</v>
      </c>
      <c r="C154" s="1311"/>
      <c r="D154" s="1284"/>
      <c r="E154" s="1319" t="s">
        <v>2012</v>
      </c>
      <c r="F154" s="1284"/>
      <c r="G154" s="1284"/>
      <c r="H154" s="1284"/>
      <c r="I154" s="1284"/>
      <c r="J154" s="1320">
        <f>SUM(J132,J142,J145,J152,J128)</f>
        <v>217226.78000000003</v>
      </c>
      <c r="K154" s="1284"/>
      <c r="L154" s="1320">
        <f>SUM(L132,L142,L145,L152,L128)</f>
        <v>0</v>
      </c>
      <c r="M154" s="1284"/>
      <c r="N154" s="1321">
        <f>SUM(N132,N142,N145,N152)</f>
        <v>0</v>
      </c>
      <c r="O154" s="1284"/>
      <c r="P154" s="1320">
        <f>SUM(P132,P142,P145,P152,P128)</f>
        <v>217226.78000000003</v>
      </c>
      <c r="Q154" s="1284"/>
      <c r="R154" s="1320">
        <f>SUM(R132,R142,R145,R152,R128)</f>
        <v>227299.31</v>
      </c>
      <c r="S154" s="1320">
        <f>SUM(S132,S142,S145,S152,S128)</f>
        <v>276649.58999999997</v>
      </c>
      <c r="T154" s="1320">
        <f>SUM(T132,T142,T145,T152,T128)</f>
        <v>217226.78000000003</v>
      </c>
      <c r="U154" s="1284"/>
      <c r="V154" s="1321">
        <f>SUM(V132,V142,V145,V152,V128)</f>
        <v>-59422.809999999983</v>
      </c>
      <c r="W154" s="1284"/>
      <c r="X154" s="1284"/>
      <c r="Y154" s="1284"/>
    </row>
    <row r="155" spans="1:25" s="1266" customFormat="1" ht="7.5" customHeight="1">
      <c r="A155" s="1311" t="s">
        <v>195</v>
      </c>
      <c r="B155" s="1311" t="s">
        <v>195</v>
      </c>
      <c r="C155" s="1311"/>
      <c r="D155" s="1284"/>
      <c r="E155" s="1284"/>
      <c r="F155" s="1284"/>
      <c r="G155" s="1284"/>
      <c r="H155" s="1284"/>
      <c r="I155" s="1284"/>
      <c r="J155" s="1318"/>
      <c r="K155" s="1284"/>
      <c r="L155" s="1318"/>
      <c r="M155" s="1284"/>
      <c r="N155" s="1290"/>
      <c r="O155" s="1284"/>
      <c r="P155" s="1318"/>
      <c r="Q155" s="1284"/>
      <c r="R155" s="1318"/>
      <c r="S155" s="1318"/>
      <c r="T155" s="1318"/>
      <c r="U155" s="1284"/>
      <c r="V155" s="1290"/>
      <c r="W155" s="1284"/>
      <c r="X155" s="1284"/>
      <c r="Y155" s="1284"/>
    </row>
    <row r="156" spans="1:25" s="1266" customFormat="1" hidden="1" outlineLevel="1">
      <c r="A156" s="1311" t="s">
        <v>195</v>
      </c>
      <c r="B156" s="1311" t="s">
        <v>195</v>
      </c>
      <c r="C156" s="1311"/>
      <c r="D156" s="1284"/>
      <c r="E156" s="1284"/>
      <c r="F156" s="1284"/>
      <c r="G156" s="1284"/>
      <c r="H156" s="1284"/>
      <c r="I156" s="1284"/>
      <c r="J156" s="1318"/>
      <c r="K156" s="1284"/>
      <c r="L156" s="1318"/>
      <c r="M156" s="1284"/>
      <c r="N156" s="1290"/>
      <c r="O156" s="1284"/>
      <c r="P156" s="1318"/>
      <c r="Q156" s="1284"/>
      <c r="R156" s="1318"/>
      <c r="S156" s="1318"/>
      <c r="T156" s="1318"/>
      <c r="U156" s="1284"/>
      <c r="V156" s="1290"/>
      <c r="W156" s="1284"/>
      <c r="X156" s="1284"/>
      <c r="Y156" s="1284"/>
    </row>
    <row r="157" spans="1:25" s="1266" customFormat="1" hidden="1" outlineLevel="1">
      <c r="A157" s="1284"/>
      <c r="B157" s="1285" t="s">
        <v>2013</v>
      </c>
      <c r="C157" s="1286"/>
      <c r="D157" s="1287"/>
      <c r="E157" s="1287"/>
      <c r="F157" s="1288"/>
      <c r="G157" s="1288"/>
      <c r="H157" s="1284"/>
      <c r="I157" s="1284"/>
      <c r="J157" s="1289"/>
      <c r="K157" s="1284"/>
      <c r="L157" s="1289"/>
      <c r="M157" s="1284"/>
      <c r="N157" s="1290"/>
      <c r="O157" s="1284"/>
      <c r="P157" s="1289">
        <f>J157+L157+N157</f>
        <v>0</v>
      </c>
      <c r="Q157" s="1284"/>
      <c r="R157" s="1289"/>
      <c r="S157" s="1289"/>
      <c r="T157" s="1289">
        <f>P157</f>
        <v>0</v>
      </c>
      <c r="U157" s="1284"/>
      <c r="V157" s="1290">
        <f>T157-S157</f>
        <v>0</v>
      </c>
      <c r="W157" s="1284"/>
      <c r="X157" s="1284"/>
    </row>
    <row r="158" spans="1:25" s="1266" customFormat="1" ht="5.0999999999999996" hidden="1" customHeight="1" outlineLevel="1">
      <c r="A158" s="1311" t="s">
        <v>195</v>
      </c>
      <c r="B158" s="1311" t="s">
        <v>195</v>
      </c>
      <c r="C158" s="1311"/>
      <c r="D158" s="1288"/>
      <c r="E158" s="1288"/>
      <c r="F158" s="1288"/>
      <c r="G158" s="1288"/>
      <c r="H158" s="1284"/>
      <c r="I158" s="1284"/>
      <c r="J158" s="1315"/>
      <c r="K158" s="1284"/>
      <c r="L158" s="1315"/>
      <c r="M158" s="1284"/>
      <c r="N158" s="1316"/>
      <c r="O158" s="1284"/>
      <c r="P158" s="1315"/>
      <c r="Q158" s="1284"/>
      <c r="R158" s="1315"/>
      <c r="S158" s="1315"/>
      <c r="T158" s="1315"/>
      <c r="U158" s="1284"/>
      <c r="V158" s="1316"/>
      <c r="W158" s="1284"/>
      <c r="X158" s="1284"/>
      <c r="Y158" s="1284"/>
    </row>
    <row r="159" spans="1:25" s="1266" customFormat="1" hidden="1">
      <c r="A159" s="1286" t="s">
        <v>2013</v>
      </c>
      <c r="B159" s="1311" t="s">
        <v>195</v>
      </c>
      <c r="C159" s="1311"/>
      <c r="D159" s="1284"/>
      <c r="E159" s="1284"/>
      <c r="F159" s="1287" t="s">
        <v>2014</v>
      </c>
      <c r="G159" s="1284"/>
      <c r="H159" s="1284"/>
      <c r="I159" s="1284"/>
      <c r="J159" s="1313">
        <f>SUM(J157:J158)</f>
        <v>0</v>
      </c>
      <c r="K159" s="1284"/>
      <c r="L159" s="1313">
        <f>SUM(L157:L158)</f>
        <v>0</v>
      </c>
      <c r="M159" s="1284"/>
      <c r="N159" s="1314">
        <f>SUM(N157:N158)</f>
        <v>0</v>
      </c>
      <c r="O159" s="1284"/>
      <c r="P159" s="1313">
        <f>J159+L159+N159</f>
        <v>0</v>
      </c>
      <c r="Q159" s="1284"/>
      <c r="R159" s="1313">
        <f>SUM(R157:R158)</f>
        <v>0</v>
      </c>
      <c r="S159" s="1313">
        <f>SUM(S157:S158)</f>
        <v>0</v>
      </c>
      <c r="T159" s="1313">
        <f>SUM(T157:T158)</f>
        <v>0</v>
      </c>
      <c r="U159" s="1284"/>
      <c r="V159" s="1314">
        <f>SUM(V157:V158)</f>
        <v>0</v>
      </c>
      <c r="W159" s="1284"/>
      <c r="X159" s="1284"/>
      <c r="Y159" s="1284"/>
    </row>
    <row r="160" spans="1:25" s="1266" customFormat="1" hidden="1" outlineLevel="1">
      <c r="A160" s="1284"/>
      <c r="B160" s="1285" t="s">
        <v>2015</v>
      </c>
      <c r="C160" s="1286"/>
      <c r="D160" s="1287"/>
      <c r="E160" s="1287"/>
      <c r="F160" s="1288"/>
      <c r="G160" s="1288"/>
      <c r="H160" s="1284"/>
      <c r="I160" s="1284"/>
      <c r="J160" s="1289"/>
      <c r="K160" s="1284"/>
      <c r="L160" s="1289"/>
      <c r="M160" s="1284"/>
      <c r="N160" s="1290"/>
      <c r="O160" s="1284"/>
      <c r="P160" s="1289">
        <f>J160+L160+N160</f>
        <v>0</v>
      </c>
      <c r="Q160" s="1284"/>
      <c r="R160" s="1289"/>
      <c r="S160" s="1289"/>
      <c r="T160" s="1289">
        <f>P160</f>
        <v>0</v>
      </c>
      <c r="U160" s="1284"/>
      <c r="V160" s="1290">
        <f>T160-S160</f>
        <v>0</v>
      </c>
      <c r="W160" s="1284"/>
      <c r="X160" s="1284"/>
    </row>
    <row r="161" spans="1:25" s="1266" customFormat="1" ht="5.0999999999999996" hidden="1" customHeight="1" outlineLevel="1">
      <c r="A161" s="1311" t="s">
        <v>195</v>
      </c>
      <c r="B161" s="1311" t="s">
        <v>195</v>
      </c>
      <c r="C161" s="1311"/>
      <c r="D161" s="1288"/>
      <c r="E161" s="1288"/>
      <c r="F161" s="1288"/>
      <c r="G161" s="1288"/>
      <c r="H161" s="1284"/>
      <c r="I161" s="1284"/>
      <c r="J161" s="1315"/>
      <c r="K161" s="1284"/>
      <c r="L161" s="1315"/>
      <c r="M161" s="1284"/>
      <c r="N161" s="1316"/>
      <c r="O161" s="1284"/>
      <c r="P161" s="1315"/>
      <c r="Q161" s="1284"/>
      <c r="R161" s="1315"/>
      <c r="S161" s="1315"/>
      <c r="T161" s="1315"/>
      <c r="U161" s="1284"/>
      <c r="V161" s="1316"/>
      <c r="W161" s="1284"/>
      <c r="X161" s="1284"/>
      <c r="Y161" s="1284"/>
    </row>
    <row r="162" spans="1:25" s="1266" customFormat="1" hidden="1">
      <c r="A162" s="1286" t="s">
        <v>2015</v>
      </c>
      <c r="B162" s="1311" t="s">
        <v>195</v>
      </c>
      <c r="C162" s="1311"/>
      <c r="D162" s="1284"/>
      <c r="E162" s="1284"/>
      <c r="F162" s="1287" t="s">
        <v>2016</v>
      </c>
      <c r="G162" s="1284"/>
      <c r="H162" s="1284"/>
      <c r="I162" s="1284"/>
      <c r="J162" s="1313">
        <f>SUM(J160:J161)</f>
        <v>0</v>
      </c>
      <c r="K162" s="1284"/>
      <c r="L162" s="1313">
        <f>SUM(L160:L161)</f>
        <v>0</v>
      </c>
      <c r="M162" s="1284"/>
      <c r="N162" s="1314">
        <f>SUM(N160:N161)</f>
        <v>0</v>
      </c>
      <c r="O162" s="1284"/>
      <c r="P162" s="1313">
        <f>J162+L162+N162</f>
        <v>0</v>
      </c>
      <c r="Q162" s="1284"/>
      <c r="R162" s="1313">
        <f>SUM(R160:R161)</f>
        <v>0</v>
      </c>
      <c r="S162" s="1313">
        <f>SUM(S160:S161)</f>
        <v>0</v>
      </c>
      <c r="T162" s="1313">
        <f>SUM(T160:T161)</f>
        <v>0</v>
      </c>
      <c r="U162" s="1284"/>
      <c r="V162" s="1314">
        <f>SUM(V160:V161)</f>
        <v>0</v>
      </c>
      <c r="W162" s="1284"/>
      <c r="X162" s="1284"/>
      <c r="Y162" s="1284"/>
    </row>
    <row r="163" spans="1:25" s="1266" customFormat="1" hidden="1" outlineLevel="1">
      <c r="A163" s="1284"/>
      <c r="B163" s="1285" t="s">
        <v>2017</v>
      </c>
      <c r="C163" s="1286"/>
      <c r="D163" s="1287"/>
      <c r="E163" s="1287"/>
      <c r="F163" s="1288"/>
      <c r="G163" s="1288"/>
      <c r="H163" s="1284"/>
      <c r="I163" s="1284"/>
      <c r="J163" s="1289"/>
      <c r="K163" s="1284"/>
      <c r="L163" s="1289"/>
      <c r="M163" s="1284"/>
      <c r="N163" s="1290"/>
      <c r="O163" s="1284"/>
      <c r="P163" s="1289">
        <f>J163+L163+N163</f>
        <v>0</v>
      </c>
      <c r="Q163" s="1284"/>
      <c r="R163" s="1289"/>
      <c r="S163" s="1289"/>
      <c r="T163" s="1289">
        <f>P163</f>
        <v>0</v>
      </c>
      <c r="U163" s="1284"/>
      <c r="V163" s="1290">
        <f>T163-S163</f>
        <v>0</v>
      </c>
      <c r="W163" s="1284"/>
      <c r="X163" s="1284"/>
    </row>
    <row r="164" spans="1:25" s="1266" customFormat="1" ht="5.0999999999999996" hidden="1" customHeight="1" outlineLevel="1">
      <c r="A164" s="1311" t="s">
        <v>195</v>
      </c>
      <c r="B164" s="1286" t="s">
        <v>195</v>
      </c>
      <c r="C164" s="1286"/>
      <c r="D164" s="1288"/>
      <c r="E164" s="1288"/>
      <c r="F164" s="1288"/>
      <c r="G164" s="1288"/>
      <c r="H164" s="1284"/>
      <c r="I164" s="1284"/>
      <c r="J164" s="1315"/>
      <c r="K164" s="1284"/>
      <c r="L164" s="1315"/>
      <c r="M164" s="1284"/>
      <c r="N164" s="1316"/>
      <c r="O164" s="1284"/>
      <c r="P164" s="1315"/>
      <c r="Q164" s="1284"/>
      <c r="R164" s="1315"/>
      <c r="S164" s="1315"/>
      <c r="T164" s="1315"/>
      <c r="U164" s="1284"/>
      <c r="V164" s="1316"/>
      <c r="W164" s="1284"/>
      <c r="X164" s="1284"/>
      <c r="Y164" s="1284"/>
    </row>
    <row r="165" spans="1:25" s="1266" customFormat="1" hidden="1">
      <c r="A165" s="1286" t="s">
        <v>2017</v>
      </c>
      <c r="B165" s="1286" t="s">
        <v>195</v>
      </c>
      <c r="C165" s="1286"/>
      <c r="D165" s="1284"/>
      <c r="E165" s="1284"/>
      <c r="F165" s="1287" t="s">
        <v>2018</v>
      </c>
      <c r="G165" s="1284"/>
      <c r="H165" s="1284"/>
      <c r="I165" s="1284"/>
      <c r="J165" s="1313">
        <f>SUM(J163:J164)</f>
        <v>0</v>
      </c>
      <c r="K165" s="1284"/>
      <c r="L165" s="1313">
        <f>SUM(L163:L164)</f>
        <v>0</v>
      </c>
      <c r="M165" s="1284"/>
      <c r="N165" s="1314">
        <f>SUM(N163:N164)</f>
        <v>0</v>
      </c>
      <c r="O165" s="1284"/>
      <c r="P165" s="1313">
        <f>J165+L165+N165</f>
        <v>0</v>
      </c>
      <c r="Q165" s="1284"/>
      <c r="R165" s="1313">
        <f>SUM(R163:R164)</f>
        <v>0</v>
      </c>
      <c r="S165" s="1313">
        <f>SUM(S163:S164)</f>
        <v>0</v>
      </c>
      <c r="T165" s="1313">
        <f>SUM(T163:T164)</f>
        <v>0</v>
      </c>
      <c r="U165" s="1284"/>
      <c r="V165" s="1314">
        <f>SUM(V163:V164)</f>
        <v>0</v>
      </c>
      <c r="W165" s="1284"/>
      <c r="X165" s="1284"/>
      <c r="Y165" s="1284"/>
    </row>
    <row r="166" spans="1:25" s="1266" customFormat="1" hidden="1" outlineLevel="1">
      <c r="A166" s="1284"/>
      <c r="B166" s="1285" t="s">
        <v>2019</v>
      </c>
      <c r="C166" s="1286"/>
      <c r="D166" s="1287"/>
      <c r="E166" s="1287"/>
      <c r="F166" s="1288"/>
      <c r="G166" s="1288"/>
      <c r="H166" s="1284"/>
      <c r="I166" s="1284"/>
      <c r="J166" s="1289"/>
      <c r="K166" s="1284"/>
      <c r="L166" s="1289"/>
      <c r="M166" s="1284"/>
      <c r="N166" s="1290"/>
      <c r="O166" s="1284"/>
      <c r="P166" s="1289">
        <f>J166+L166+N166</f>
        <v>0</v>
      </c>
      <c r="Q166" s="1284"/>
      <c r="R166" s="1289"/>
      <c r="S166" s="1289"/>
      <c r="T166" s="1289">
        <f>P166</f>
        <v>0</v>
      </c>
      <c r="U166" s="1284"/>
      <c r="V166" s="1290">
        <f>T166-S166</f>
        <v>0</v>
      </c>
      <c r="W166" s="1284"/>
      <c r="X166" s="1284"/>
    </row>
    <row r="167" spans="1:25" s="1266" customFormat="1" ht="5.0999999999999996" hidden="1" customHeight="1" outlineLevel="1">
      <c r="A167" s="1286" t="s">
        <v>195</v>
      </c>
      <c r="B167" s="1311"/>
      <c r="C167" s="1311"/>
      <c r="D167" s="1287"/>
      <c r="E167" s="1287"/>
      <c r="F167" s="1284"/>
      <c r="G167" s="1284"/>
      <c r="H167" s="1284"/>
      <c r="I167" s="1284"/>
      <c r="J167" s="1315"/>
      <c r="K167" s="1284"/>
      <c r="L167" s="1315"/>
      <c r="M167" s="1284"/>
      <c r="N167" s="1316"/>
      <c r="O167" s="1284"/>
      <c r="P167" s="1315"/>
      <c r="Q167" s="1284"/>
      <c r="R167" s="1315"/>
      <c r="S167" s="1315"/>
      <c r="T167" s="1315"/>
      <c r="U167" s="1284"/>
      <c r="V167" s="1316"/>
      <c r="W167" s="1284"/>
      <c r="X167" s="1284"/>
      <c r="Y167" s="1284"/>
    </row>
    <row r="168" spans="1:25" s="1266" customFormat="1" ht="12.75" hidden="1" customHeight="1">
      <c r="A168" s="1286" t="s">
        <v>2019</v>
      </c>
      <c r="B168" s="1311" t="s">
        <v>195</v>
      </c>
      <c r="C168" s="1311"/>
      <c r="D168" s="1284"/>
      <c r="E168" s="1284"/>
      <c r="F168" s="1284" t="s">
        <v>2020</v>
      </c>
      <c r="G168" s="1284"/>
      <c r="H168" s="1284"/>
      <c r="I168" s="1284"/>
      <c r="J168" s="1313">
        <f>SUM(J166:J167)</f>
        <v>0</v>
      </c>
      <c r="K168" s="1284"/>
      <c r="L168" s="1313">
        <f>SUM(L166:L167)</f>
        <v>0</v>
      </c>
      <c r="M168" s="1284"/>
      <c r="N168" s="1314">
        <f>SUM(N166:N167)</f>
        <v>0</v>
      </c>
      <c r="O168" s="1284"/>
      <c r="P168" s="1313">
        <f>J168+L168+N168</f>
        <v>0</v>
      </c>
      <c r="Q168" s="1284"/>
      <c r="R168" s="1313">
        <f>SUM(R166:R167)</f>
        <v>0</v>
      </c>
      <c r="S168" s="1313">
        <f>SUM(S166:S167)</f>
        <v>0</v>
      </c>
      <c r="T168" s="1313">
        <f>SUM(T166:T167)</f>
        <v>0</v>
      </c>
      <c r="U168" s="1284"/>
      <c r="V168" s="1314">
        <f>SUM(V166:V167)</f>
        <v>0</v>
      </c>
      <c r="W168" s="1284"/>
      <c r="X168" s="1284"/>
      <c r="Y168" s="1284"/>
    </row>
    <row r="169" spans="1:25" s="1266" customFormat="1" hidden="1" outlineLevel="1">
      <c r="A169" s="1284"/>
      <c r="B169" s="1285" t="s">
        <v>2021</v>
      </c>
      <c r="C169" s="1286"/>
      <c r="D169" s="1287"/>
      <c r="E169" s="1287"/>
      <c r="F169" s="1288"/>
      <c r="G169" s="1288"/>
      <c r="H169" s="1284"/>
      <c r="I169" s="1284"/>
      <c r="J169" s="1289"/>
      <c r="K169" s="1284"/>
      <c r="L169" s="1289"/>
      <c r="M169" s="1284"/>
      <c r="N169" s="1290"/>
      <c r="O169" s="1284"/>
      <c r="P169" s="1289">
        <f>J169+L169+N169</f>
        <v>0</v>
      </c>
      <c r="Q169" s="1284"/>
      <c r="R169" s="1289"/>
      <c r="S169" s="1289"/>
      <c r="T169" s="1289">
        <f>P169</f>
        <v>0</v>
      </c>
      <c r="U169" s="1284"/>
      <c r="V169" s="1290">
        <f>T169-S169</f>
        <v>0</v>
      </c>
      <c r="W169" s="1284"/>
      <c r="X169" s="1284"/>
    </row>
    <row r="170" spans="1:25" s="1266" customFormat="1" ht="5.0999999999999996" hidden="1" customHeight="1" outlineLevel="1">
      <c r="A170" s="1311" t="s">
        <v>195</v>
      </c>
      <c r="B170" s="1286" t="s">
        <v>195</v>
      </c>
      <c r="C170" s="1286"/>
      <c r="D170" s="1288"/>
      <c r="E170" s="1288"/>
      <c r="F170" s="1288"/>
      <c r="G170" s="1288"/>
      <c r="H170" s="1284"/>
      <c r="I170" s="1284"/>
      <c r="J170" s="1315"/>
      <c r="K170" s="1284"/>
      <c r="L170" s="1315"/>
      <c r="M170" s="1284"/>
      <c r="N170" s="1316"/>
      <c r="O170" s="1284"/>
      <c r="P170" s="1315"/>
      <c r="Q170" s="1284"/>
      <c r="R170" s="1315"/>
      <c r="S170" s="1315"/>
      <c r="T170" s="1315"/>
      <c r="U170" s="1284"/>
      <c r="V170" s="1316"/>
      <c r="W170" s="1284"/>
      <c r="X170" s="1284"/>
      <c r="Y170" s="1284"/>
    </row>
    <row r="171" spans="1:25" s="1266" customFormat="1" hidden="1">
      <c r="A171" s="1286" t="s">
        <v>2021</v>
      </c>
      <c r="B171" s="1286" t="s">
        <v>195</v>
      </c>
      <c r="C171" s="1286"/>
      <c r="D171" s="1284"/>
      <c r="E171" s="1284"/>
      <c r="F171" s="1287" t="s">
        <v>2022</v>
      </c>
      <c r="G171" s="1284"/>
      <c r="H171" s="1284"/>
      <c r="I171" s="1284"/>
      <c r="J171" s="1313">
        <f>SUM(J169:J170)</f>
        <v>0</v>
      </c>
      <c r="K171" s="1284"/>
      <c r="L171" s="1313">
        <f>SUM(L169:L170)</f>
        <v>0</v>
      </c>
      <c r="M171" s="1284"/>
      <c r="N171" s="1314">
        <f>SUM(N169:N170)</f>
        <v>0</v>
      </c>
      <c r="O171" s="1284"/>
      <c r="P171" s="1313">
        <f>J171+L171+N171</f>
        <v>0</v>
      </c>
      <c r="Q171" s="1284"/>
      <c r="R171" s="1313">
        <f>SUM(R169:R170)</f>
        <v>0</v>
      </c>
      <c r="S171" s="1313">
        <f>SUM(S169:S170)</f>
        <v>0</v>
      </c>
      <c r="T171" s="1313">
        <f>SUM(T169:T170)</f>
        <v>0</v>
      </c>
      <c r="U171" s="1284"/>
      <c r="V171" s="1314">
        <f>SUM(V169:V170)</f>
        <v>0</v>
      </c>
      <c r="W171" s="1284"/>
      <c r="X171" s="1284"/>
      <c r="Y171" s="1284"/>
    </row>
    <row r="172" spans="1:25" s="1266" customFormat="1" hidden="1" outlineLevel="1">
      <c r="A172" s="1284"/>
      <c r="B172" s="1285" t="s">
        <v>2023</v>
      </c>
      <c r="C172" s="1286"/>
      <c r="D172" s="1287"/>
      <c r="E172" s="1287"/>
      <c r="F172" s="1288"/>
      <c r="G172" s="1288"/>
      <c r="H172" s="1284"/>
      <c r="I172" s="1284"/>
      <c r="J172" s="1289"/>
      <c r="K172" s="1284"/>
      <c r="L172" s="1289"/>
      <c r="M172" s="1284"/>
      <c r="N172" s="1290"/>
      <c r="O172" s="1284"/>
      <c r="P172" s="1289">
        <f>J172+L172+N172</f>
        <v>0</v>
      </c>
      <c r="Q172" s="1284"/>
      <c r="R172" s="1289"/>
      <c r="S172" s="1289"/>
      <c r="T172" s="1289">
        <f>P172</f>
        <v>0</v>
      </c>
      <c r="U172" s="1284"/>
      <c r="V172" s="1290">
        <f>T172-S172</f>
        <v>0</v>
      </c>
      <c r="W172" s="1284"/>
      <c r="X172" s="1284"/>
    </row>
    <row r="173" spans="1:25" s="1266" customFormat="1" ht="5.0999999999999996" hidden="1" customHeight="1" outlineLevel="1">
      <c r="A173" s="1286" t="s">
        <v>195</v>
      </c>
      <c r="B173" s="1286" t="s">
        <v>195</v>
      </c>
      <c r="C173" s="1286"/>
      <c r="D173" s="1288"/>
      <c r="E173" s="1288"/>
      <c r="F173" s="1288"/>
      <c r="G173" s="1288"/>
      <c r="H173" s="1284"/>
      <c r="I173" s="1284"/>
      <c r="J173" s="1315"/>
      <c r="K173" s="1284"/>
      <c r="L173" s="1315"/>
      <c r="M173" s="1284"/>
      <c r="N173" s="1316"/>
      <c r="O173" s="1284"/>
      <c r="P173" s="1315"/>
      <c r="Q173" s="1284"/>
      <c r="R173" s="1315"/>
      <c r="S173" s="1315"/>
      <c r="T173" s="1315"/>
      <c r="U173" s="1284"/>
      <c r="V173" s="1316"/>
      <c r="W173" s="1284"/>
      <c r="X173" s="1284"/>
      <c r="Y173" s="1284"/>
    </row>
    <row r="174" spans="1:25" s="1266" customFormat="1" hidden="1">
      <c r="A174" s="1286" t="s">
        <v>2023</v>
      </c>
      <c r="B174" s="1286" t="s">
        <v>195</v>
      </c>
      <c r="C174" s="1286"/>
      <c r="D174" s="1284"/>
      <c r="E174" s="1284"/>
      <c r="F174" s="1287" t="s">
        <v>2024</v>
      </c>
      <c r="G174" s="1284"/>
      <c r="H174" s="1284"/>
      <c r="I174" s="1284"/>
      <c r="J174" s="1313">
        <f>SUM(J172:J173)</f>
        <v>0</v>
      </c>
      <c r="K174" s="1284"/>
      <c r="L174" s="1313">
        <f>SUM(L172:L173)</f>
        <v>0</v>
      </c>
      <c r="M174" s="1284"/>
      <c r="N174" s="1314">
        <f>SUM(N172:N173)</f>
        <v>0</v>
      </c>
      <c r="O174" s="1284"/>
      <c r="P174" s="1313">
        <f>J174+L174+N174</f>
        <v>0</v>
      </c>
      <c r="Q174" s="1284"/>
      <c r="R174" s="1313">
        <f>SUM(R172:R173)</f>
        <v>0</v>
      </c>
      <c r="S174" s="1313">
        <f>SUM(S172:S173)</f>
        <v>0</v>
      </c>
      <c r="T174" s="1313">
        <f>SUM(T172:T173)</f>
        <v>0</v>
      </c>
      <c r="U174" s="1284"/>
      <c r="V174" s="1314">
        <f>SUM(V172:V173)</f>
        <v>0</v>
      </c>
      <c r="W174" s="1284"/>
      <c r="X174" s="1284"/>
      <c r="Y174" s="1284"/>
    </row>
    <row r="175" spans="1:25" s="1266" customFormat="1" hidden="1" outlineLevel="1">
      <c r="A175" s="1284"/>
      <c r="B175" s="1285" t="s">
        <v>2025</v>
      </c>
      <c r="C175" s="1286"/>
      <c r="D175" s="1287"/>
      <c r="E175" s="1287"/>
      <c r="F175" s="1288"/>
      <c r="G175" s="1288"/>
      <c r="H175" s="1284"/>
      <c r="I175" s="1284"/>
      <c r="J175" s="1289"/>
      <c r="K175" s="1284"/>
      <c r="L175" s="1289"/>
      <c r="M175" s="1284"/>
      <c r="N175" s="1290"/>
      <c r="O175" s="1284"/>
      <c r="P175" s="1289">
        <f>J175+L175+N175</f>
        <v>0</v>
      </c>
      <c r="Q175" s="1284"/>
      <c r="R175" s="1289"/>
      <c r="S175" s="1289"/>
      <c r="T175" s="1289">
        <f>P175</f>
        <v>0</v>
      </c>
      <c r="U175" s="1284"/>
      <c r="V175" s="1290">
        <f>T175-S175</f>
        <v>0</v>
      </c>
      <c r="W175" s="1284"/>
      <c r="X175" s="1284"/>
    </row>
    <row r="176" spans="1:25" s="1266" customFormat="1" ht="5.0999999999999996" hidden="1" customHeight="1" outlineLevel="1">
      <c r="A176" s="1311" t="s">
        <v>195</v>
      </c>
      <c r="B176" s="1311" t="s">
        <v>195</v>
      </c>
      <c r="C176" s="1311"/>
      <c r="D176" s="1288"/>
      <c r="E176" s="1288"/>
      <c r="F176" s="1288"/>
      <c r="G176" s="1288"/>
      <c r="H176" s="1284"/>
      <c r="I176" s="1284"/>
      <c r="J176" s="1315"/>
      <c r="K176" s="1284"/>
      <c r="L176" s="1315"/>
      <c r="M176" s="1284"/>
      <c r="N176" s="1316"/>
      <c r="O176" s="1284"/>
      <c r="P176" s="1315"/>
      <c r="Q176" s="1284"/>
      <c r="R176" s="1315"/>
      <c r="S176" s="1315"/>
      <c r="T176" s="1315"/>
      <c r="U176" s="1284"/>
      <c r="V176" s="1316"/>
      <c r="W176" s="1284"/>
      <c r="X176" s="1284"/>
      <c r="Y176" s="1284"/>
    </row>
    <row r="177" spans="1:25" s="1266" customFormat="1" hidden="1">
      <c r="A177" s="1286" t="s">
        <v>2025</v>
      </c>
      <c r="B177" s="1286" t="s">
        <v>195</v>
      </c>
      <c r="C177" s="1286"/>
      <c r="D177" s="1284"/>
      <c r="E177" s="1284"/>
      <c r="F177" s="1287" t="s">
        <v>2026</v>
      </c>
      <c r="G177" s="1284"/>
      <c r="H177" s="1284"/>
      <c r="I177" s="1284"/>
      <c r="J177" s="1313">
        <f>SUM(J175:J176)</f>
        <v>0</v>
      </c>
      <c r="K177" s="1284"/>
      <c r="L177" s="1313">
        <f>SUM(L175:L176)</f>
        <v>0</v>
      </c>
      <c r="M177" s="1284"/>
      <c r="N177" s="1314">
        <f>SUM(N175:N176)</f>
        <v>0</v>
      </c>
      <c r="O177" s="1284"/>
      <c r="P177" s="1313">
        <f>J177+L177+N177</f>
        <v>0</v>
      </c>
      <c r="Q177" s="1284"/>
      <c r="R177" s="1313">
        <f>SUM(R175:R176)</f>
        <v>0</v>
      </c>
      <c r="S177" s="1313">
        <f>SUM(S175:S176)</f>
        <v>0</v>
      </c>
      <c r="T177" s="1313">
        <f>SUM(T175:T176)</f>
        <v>0</v>
      </c>
      <c r="U177" s="1284"/>
      <c r="V177" s="1314">
        <f>SUM(V175:V176)</f>
        <v>0</v>
      </c>
      <c r="W177" s="1284"/>
      <c r="X177" s="1284"/>
      <c r="Y177" s="1284"/>
    </row>
    <row r="178" spans="1:25" s="1266" customFormat="1" ht="7.5" hidden="1" customHeight="1">
      <c r="A178" s="1286" t="s">
        <v>195</v>
      </c>
      <c r="B178" s="1286" t="s">
        <v>195</v>
      </c>
      <c r="C178" s="1286"/>
      <c r="D178" s="1284"/>
      <c r="E178" s="1284"/>
      <c r="F178" s="1284"/>
      <c r="G178" s="1284"/>
      <c r="H178" s="1284"/>
      <c r="I178" s="1284"/>
      <c r="J178" s="1318"/>
      <c r="K178" s="1284"/>
      <c r="L178" s="1318"/>
      <c r="M178" s="1284"/>
      <c r="N178" s="1290"/>
      <c r="O178" s="1284"/>
      <c r="P178" s="1318"/>
      <c r="Q178" s="1284"/>
      <c r="R178" s="1318"/>
      <c r="S178" s="1318"/>
      <c r="T178" s="1318"/>
      <c r="U178" s="1284"/>
      <c r="V178" s="1290"/>
      <c r="W178" s="1284"/>
      <c r="X178" s="1284"/>
      <c r="Y178" s="1284"/>
    </row>
    <row r="179" spans="1:25" s="1266" customFormat="1">
      <c r="A179" s="1286" t="s">
        <v>195</v>
      </c>
      <c r="B179" s="1286" t="s">
        <v>195</v>
      </c>
      <c r="C179" s="1286"/>
      <c r="D179" s="1284"/>
      <c r="E179" s="1319" t="s">
        <v>2027</v>
      </c>
      <c r="F179" s="1284"/>
      <c r="G179" s="1284"/>
      <c r="H179" s="1284"/>
      <c r="I179" s="1284"/>
      <c r="J179" s="1320">
        <f>SUM(J159,J165,J174,J154,J162,J171,J168)</f>
        <v>217226.78000000003</v>
      </c>
      <c r="K179" s="1284"/>
      <c r="L179" s="1320">
        <f>SUM(L159,L165,L174,L154,L162,L171,L168)</f>
        <v>0</v>
      </c>
      <c r="M179" s="1284"/>
      <c r="N179" s="1321">
        <f>SUM(N159,N165,N174,N154,N162,N171,N168)</f>
        <v>0</v>
      </c>
      <c r="O179" s="1284"/>
      <c r="P179" s="1320">
        <f>SUM(P159,P165,P174,P154,P162,P171,P168)</f>
        <v>217226.78000000003</v>
      </c>
      <c r="Q179" s="1284"/>
      <c r="R179" s="1320">
        <f>SUM(R159,R165,R174,R154,R162,R171,R168)</f>
        <v>227299.31</v>
      </c>
      <c r="S179" s="1320">
        <f>SUM(S159,S165,S174,S154,S162,S171,S168)</f>
        <v>276649.58999999997</v>
      </c>
      <c r="T179" s="1320">
        <f>SUM(T159,T165,T174,T154,T162,T171,T168)</f>
        <v>217226.78000000003</v>
      </c>
      <c r="U179" s="1284"/>
      <c r="V179" s="1321">
        <f>SUM(V159,V165,V174,V154,V162,V171,V168)</f>
        <v>-59422.809999999983</v>
      </c>
      <c r="W179" s="1284"/>
      <c r="X179" s="1284"/>
      <c r="Y179" s="1284"/>
    </row>
    <row r="180" spans="1:25" s="1266" customFormat="1" ht="7.5" customHeight="1">
      <c r="A180" s="1286" t="s">
        <v>195</v>
      </c>
      <c r="B180" s="1286" t="s">
        <v>195</v>
      </c>
      <c r="C180" s="1286"/>
      <c r="D180" s="1284"/>
      <c r="E180" s="1284"/>
      <c r="F180" s="1284"/>
      <c r="G180" s="1284"/>
      <c r="H180" s="1284"/>
      <c r="I180" s="1284"/>
      <c r="J180" s="1318"/>
      <c r="K180" s="1284"/>
      <c r="L180" s="1318"/>
      <c r="M180" s="1284"/>
      <c r="N180" s="1290"/>
      <c r="O180" s="1284"/>
      <c r="P180" s="1318"/>
      <c r="Q180" s="1284"/>
      <c r="R180" s="1318"/>
      <c r="S180" s="1318"/>
      <c r="T180" s="1318"/>
      <c r="U180" s="1284"/>
      <c r="V180" s="1290"/>
      <c r="W180" s="1284"/>
      <c r="X180" s="1284"/>
      <c r="Y180" s="1284"/>
    </row>
    <row r="181" spans="1:25" s="1266" customFormat="1" hidden="1" outlineLevel="1">
      <c r="A181" s="1284"/>
      <c r="B181" s="1285" t="s">
        <v>2028</v>
      </c>
      <c r="C181" s="1286"/>
      <c r="D181" s="1287"/>
      <c r="E181" s="1287"/>
      <c r="F181" s="1288"/>
      <c r="G181" s="1288"/>
      <c r="H181" s="1284"/>
      <c r="I181" s="1284"/>
      <c r="J181" s="1289"/>
      <c r="K181" s="1284"/>
      <c r="L181" s="1289"/>
      <c r="M181" s="1284"/>
      <c r="N181" s="1290"/>
      <c r="O181" s="1284"/>
      <c r="P181" s="1289">
        <f>J181+L181+N181</f>
        <v>0</v>
      </c>
      <c r="Q181" s="1284"/>
      <c r="R181" s="1289"/>
      <c r="S181" s="1289"/>
      <c r="T181" s="1289">
        <f>P181</f>
        <v>0</v>
      </c>
      <c r="U181" s="1284"/>
      <c r="V181" s="1290">
        <f>T181-S181</f>
        <v>0</v>
      </c>
      <c r="W181" s="1284"/>
      <c r="X181" s="1284"/>
    </row>
    <row r="182" spans="1:25" s="1266" customFormat="1" ht="5.0999999999999996" hidden="1" customHeight="1" outlineLevel="1">
      <c r="A182" s="1286" t="s">
        <v>195</v>
      </c>
      <c r="B182" s="1286" t="s">
        <v>195</v>
      </c>
      <c r="C182" s="1286"/>
      <c r="D182" s="1288"/>
      <c r="E182" s="1288"/>
      <c r="F182" s="1288"/>
      <c r="G182" s="1288"/>
      <c r="H182" s="1284"/>
      <c r="I182" s="1284"/>
      <c r="J182" s="1315"/>
      <c r="K182" s="1284"/>
      <c r="L182" s="1315"/>
      <c r="M182" s="1284"/>
      <c r="N182" s="1316"/>
      <c r="O182" s="1284"/>
      <c r="P182" s="1315"/>
      <c r="Q182" s="1284"/>
      <c r="R182" s="1315"/>
      <c r="S182" s="1315"/>
      <c r="T182" s="1315"/>
      <c r="U182" s="1284"/>
      <c r="V182" s="1316"/>
      <c r="W182" s="1284"/>
      <c r="X182" s="1284"/>
      <c r="Y182" s="1284"/>
    </row>
    <row r="183" spans="1:25" s="1266" customFormat="1" hidden="1">
      <c r="A183" s="1286" t="s">
        <v>2028</v>
      </c>
      <c r="B183" s="1286" t="s">
        <v>195</v>
      </c>
      <c r="C183" s="1286"/>
      <c r="D183" s="1284"/>
      <c r="E183" s="1284"/>
      <c r="F183" s="1287" t="s">
        <v>2029</v>
      </c>
      <c r="G183" s="1284"/>
      <c r="H183" s="1284"/>
      <c r="I183" s="1284"/>
      <c r="J183" s="1313">
        <f>SUM(J181:J182)</f>
        <v>0</v>
      </c>
      <c r="K183" s="1284"/>
      <c r="L183" s="1313">
        <f>SUM(L181:L182)</f>
        <v>0</v>
      </c>
      <c r="M183" s="1284"/>
      <c r="N183" s="1314">
        <f>SUM(N181:N182)</f>
        <v>0</v>
      </c>
      <c r="O183" s="1284"/>
      <c r="P183" s="1313">
        <f>J183+L183+N183</f>
        <v>0</v>
      </c>
      <c r="Q183" s="1284"/>
      <c r="R183" s="1313">
        <f>SUM(R181:R182)</f>
        <v>0</v>
      </c>
      <c r="S183" s="1313">
        <f>SUM(S181:S182)</f>
        <v>0</v>
      </c>
      <c r="T183" s="1313">
        <f>SUM(T181:T182)</f>
        <v>0</v>
      </c>
      <c r="U183" s="1284"/>
      <c r="V183" s="1314">
        <f>SUM(V181:V182)</f>
        <v>0</v>
      </c>
      <c r="W183" s="1284"/>
      <c r="X183" s="1284"/>
      <c r="Y183" s="1284"/>
    </row>
    <row r="184" spans="1:25" s="1266" customFormat="1" hidden="1" outlineLevel="1">
      <c r="A184" s="1284"/>
      <c r="B184" s="1285" t="s">
        <v>2030</v>
      </c>
      <c r="C184" s="1286"/>
      <c r="D184" s="1287"/>
      <c r="E184" s="1287"/>
      <c r="F184" s="1288"/>
      <c r="G184" s="1288"/>
      <c r="H184" s="1284"/>
      <c r="I184" s="1284"/>
      <c r="J184" s="1289"/>
      <c r="K184" s="1284"/>
      <c r="L184" s="1289"/>
      <c r="M184" s="1284"/>
      <c r="N184" s="1290"/>
      <c r="O184" s="1284"/>
      <c r="P184" s="1289">
        <f>J184+L184+N184</f>
        <v>0</v>
      </c>
      <c r="Q184" s="1284"/>
      <c r="R184" s="1289"/>
      <c r="S184" s="1289"/>
      <c r="T184" s="1289">
        <f>P184</f>
        <v>0</v>
      </c>
      <c r="U184" s="1284"/>
      <c r="V184" s="1290">
        <f>T184-S184</f>
        <v>0</v>
      </c>
      <c r="W184" s="1284"/>
      <c r="X184" s="1284"/>
    </row>
    <row r="185" spans="1:25" s="1266" customFormat="1" ht="5.0999999999999996" hidden="1" customHeight="1" outlineLevel="1">
      <c r="A185" s="1286" t="s">
        <v>195</v>
      </c>
      <c r="B185" s="1286" t="s">
        <v>195</v>
      </c>
      <c r="C185" s="1286"/>
      <c r="D185" s="1288"/>
      <c r="E185" s="1288"/>
      <c r="F185" s="1288"/>
      <c r="G185" s="1288"/>
      <c r="H185" s="1284"/>
      <c r="I185" s="1284"/>
      <c r="J185" s="1315"/>
      <c r="K185" s="1284"/>
      <c r="L185" s="1315"/>
      <c r="M185" s="1284"/>
      <c r="N185" s="1316"/>
      <c r="O185" s="1284"/>
      <c r="P185" s="1315"/>
      <c r="Q185" s="1284"/>
      <c r="R185" s="1315"/>
      <c r="S185" s="1315"/>
      <c r="T185" s="1315"/>
      <c r="U185" s="1284"/>
      <c r="V185" s="1316"/>
      <c r="W185" s="1284"/>
      <c r="X185" s="1284"/>
      <c r="Y185" s="1284"/>
    </row>
    <row r="186" spans="1:25" s="1266" customFormat="1" hidden="1">
      <c r="A186" s="1327" t="s">
        <v>2030</v>
      </c>
      <c r="B186" s="1286" t="s">
        <v>195</v>
      </c>
      <c r="C186" s="1286"/>
      <c r="D186" s="1284"/>
      <c r="E186" s="1284"/>
      <c r="F186" s="1287" t="s">
        <v>2031</v>
      </c>
      <c r="G186" s="1284"/>
      <c r="H186" s="1284"/>
      <c r="I186" s="1284"/>
      <c r="J186" s="1313">
        <f>SUM(J184:J185)</f>
        <v>0</v>
      </c>
      <c r="K186" s="1284"/>
      <c r="L186" s="1313">
        <f>SUM(L184:L185)</f>
        <v>0</v>
      </c>
      <c r="M186" s="1284"/>
      <c r="N186" s="1314">
        <f>SUM(N184:N185)</f>
        <v>0</v>
      </c>
      <c r="O186" s="1284"/>
      <c r="P186" s="1313">
        <f>J186+L186+N186</f>
        <v>0</v>
      </c>
      <c r="Q186" s="1284"/>
      <c r="R186" s="1313">
        <f>SUM(R184:R185)</f>
        <v>0</v>
      </c>
      <c r="S186" s="1313">
        <f>SUM(S184:S185)</f>
        <v>0</v>
      </c>
      <c r="T186" s="1313">
        <f>SUM(T184:T185)</f>
        <v>0</v>
      </c>
      <c r="U186" s="1284"/>
      <c r="V186" s="1314">
        <f>SUM(V184:V185)</f>
        <v>0</v>
      </c>
      <c r="W186" s="1284"/>
      <c r="X186" s="1284"/>
      <c r="Y186" s="1284"/>
    </row>
    <row r="187" spans="1:25" s="1266" customFormat="1" hidden="1" outlineLevel="1">
      <c r="A187" s="1284"/>
      <c r="B187" s="1285" t="s">
        <v>2032</v>
      </c>
      <c r="C187" s="1286"/>
      <c r="D187" s="1287"/>
      <c r="E187" s="1287"/>
      <c r="F187" s="1288"/>
      <c r="G187" s="1288"/>
      <c r="H187" s="1284"/>
      <c r="I187" s="1284"/>
      <c r="J187" s="1289"/>
      <c r="K187" s="1284"/>
      <c r="L187" s="1289"/>
      <c r="M187" s="1284"/>
      <c r="N187" s="1290"/>
      <c r="O187" s="1284"/>
      <c r="P187" s="1289">
        <f>J187+L187+N187</f>
        <v>0</v>
      </c>
      <c r="Q187" s="1284"/>
      <c r="R187" s="1289"/>
      <c r="S187" s="1289"/>
      <c r="T187" s="1289">
        <f>P187</f>
        <v>0</v>
      </c>
      <c r="U187" s="1284"/>
      <c r="V187" s="1290">
        <f>T187-S187</f>
        <v>0</v>
      </c>
      <c r="W187" s="1284"/>
      <c r="X187" s="1284"/>
    </row>
    <row r="188" spans="1:25" s="1266" customFormat="1" ht="5.0999999999999996" hidden="1" customHeight="1" outlineLevel="1">
      <c r="A188" s="1286" t="s">
        <v>195</v>
      </c>
      <c r="B188" s="1286" t="s">
        <v>195</v>
      </c>
      <c r="C188" s="1286"/>
      <c r="D188" s="1288"/>
      <c r="E188" s="1288"/>
      <c r="F188" s="1288"/>
      <c r="G188" s="1288"/>
      <c r="H188" s="1284"/>
      <c r="I188" s="1284"/>
      <c r="J188" s="1315"/>
      <c r="K188" s="1284"/>
      <c r="L188" s="1315"/>
      <c r="M188" s="1284"/>
      <c r="N188" s="1316"/>
      <c r="O188" s="1284"/>
      <c r="P188" s="1315"/>
      <c r="Q188" s="1284"/>
      <c r="R188" s="1315"/>
      <c r="S188" s="1315"/>
      <c r="T188" s="1315"/>
      <c r="U188" s="1284"/>
      <c r="V188" s="1316"/>
      <c r="W188" s="1284"/>
      <c r="X188" s="1284"/>
      <c r="Y188" s="1284"/>
    </row>
    <row r="189" spans="1:25" s="1266" customFormat="1" hidden="1">
      <c r="A189" s="1327" t="s">
        <v>2032</v>
      </c>
      <c r="B189" s="1286" t="s">
        <v>195</v>
      </c>
      <c r="C189" s="1286"/>
      <c r="D189" s="1284"/>
      <c r="E189" s="1284"/>
      <c r="F189" s="1287" t="s">
        <v>2033</v>
      </c>
      <c r="G189" s="1284"/>
      <c r="H189" s="1284"/>
      <c r="I189" s="1284"/>
      <c r="J189" s="1313">
        <f>SUM(J187:J188)</f>
        <v>0</v>
      </c>
      <c r="K189" s="1284"/>
      <c r="L189" s="1313">
        <f>SUM(L187:L188)</f>
        <v>0</v>
      </c>
      <c r="M189" s="1284"/>
      <c r="N189" s="1314">
        <f>SUM(N187:N188)</f>
        <v>0</v>
      </c>
      <c r="O189" s="1284"/>
      <c r="P189" s="1313">
        <f>J189+L189+N189</f>
        <v>0</v>
      </c>
      <c r="Q189" s="1284"/>
      <c r="R189" s="1313">
        <f>SUM(R187:R188)</f>
        <v>0</v>
      </c>
      <c r="S189" s="1313">
        <f>SUM(S187:S188)</f>
        <v>0</v>
      </c>
      <c r="T189" s="1313">
        <f>SUM(T187:T188)</f>
        <v>0</v>
      </c>
      <c r="U189" s="1284"/>
      <c r="V189" s="1314">
        <f>SUM(V187:V188)</f>
        <v>0</v>
      </c>
      <c r="W189" s="1284"/>
      <c r="X189" s="1284"/>
      <c r="Y189" s="1284"/>
    </row>
    <row r="190" spans="1:25" s="1266" customFormat="1" hidden="1" outlineLevel="1">
      <c r="A190" s="1284"/>
      <c r="B190" s="1285" t="s">
        <v>2034</v>
      </c>
      <c r="C190" s="1286"/>
      <c r="D190" s="1287"/>
      <c r="E190" s="1287"/>
      <c r="F190" s="1288"/>
      <c r="G190" s="1288"/>
      <c r="H190" s="1284"/>
      <c r="I190" s="1284"/>
      <c r="J190" s="1289"/>
      <c r="K190" s="1284"/>
      <c r="L190" s="1289"/>
      <c r="M190" s="1284"/>
      <c r="N190" s="1290"/>
      <c r="O190" s="1284"/>
      <c r="P190" s="1289">
        <f>J190+L190+N190</f>
        <v>0</v>
      </c>
      <c r="Q190" s="1284"/>
      <c r="R190" s="1289"/>
      <c r="S190" s="1289"/>
      <c r="T190" s="1289">
        <f>P190</f>
        <v>0</v>
      </c>
      <c r="U190" s="1284"/>
      <c r="V190" s="1290">
        <f>T190-S190</f>
        <v>0</v>
      </c>
      <c r="W190" s="1284"/>
      <c r="X190" s="1284"/>
    </row>
    <row r="191" spans="1:25" s="1266" customFormat="1" ht="5.0999999999999996" hidden="1" customHeight="1" outlineLevel="1">
      <c r="A191" s="1286" t="s">
        <v>195</v>
      </c>
      <c r="B191" s="1286" t="s">
        <v>195</v>
      </c>
      <c r="C191" s="1286"/>
      <c r="D191" s="1288"/>
      <c r="E191" s="1288"/>
      <c r="F191" s="1288"/>
      <c r="G191" s="1288"/>
      <c r="H191" s="1284"/>
      <c r="I191" s="1284"/>
      <c r="J191" s="1315"/>
      <c r="K191" s="1284"/>
      <c r="L191" s="1315"/>
      <c r="M191" s="1284"/>
      <c r="N191" s="1316"/>
      <c r="O191" s="1284"/>
      <c r="P191" s="1315"/>
      <c r="Q191" s="1284"/>
      <c r="R191" s="1315"/>
      <c r="S191" s="1315"/>
      <c r="T191" s="1315"/>
      <c r="U191" s="1284"/>
      <c r="V191" s="1316"/>
      <c r="W191" s="1284"/>
      <c r="X191" s="1284"/>
      <c r="Y191" s="1284"/>
    </row>
    <row r="192" spans="1:25" s="1266" customFormat="1" hidden="1">
      <c r="A192" s="1286" t="s">
        <v>2034</v>
      </c>
      <c r="B192" s="1286" t="s">
        <v>195</v>
      </c>
      <c r="C192" s="1286"/>
      <c r="D192" s="1284"/>
      <c r="E192" s="1284"/>
      <c r="F192" s="1287" t="s">
        <v>2035</v>
      </c>
      <c r="G192" s="1284"/>
      <c r="H192" s="1284"/>
      <c r="I192" s="1284"/>
      <c r="J192" s="1313">
        <f>SUM(J190:J191)</f>
        <v>0</v>
      </c>
      <c r="K192" s="1284"/>
      <c r="L192" s="1313">
        <f>SUM(L190:L191)</f>
        <v>0</v>
      </c>
      <c r="M192" s="1284"/>
      <c r="N192" s="1314">
        <f>SUM(N190:N191)</f>
        <v>0</v>
      </c>
      <c r="O192" s="1284"/>
      <c r="P192" s="1313">
        <f>J192+L192+N192</f>
        <v>0</v>
      </c>
      <c r="Q192" s="1284"/>
      <c r="R192" s="1313">
        <f>SUM(R190:R191)</f>
        <v>0</v>
      </c>
      <c r="S192" s="1313">
        <f>SUM(S190:S191)</f>
        <v>0</v>
      </c>
      <c r="T192" s="1313">
        <f>SUM(T190:T191)</f>
        <v>0</v>
      </c>
      <c r="U192" s="1284"/>
      <c r="V192" s="1314">
        <f>SUM(V190:V191)</f>
        <v>0</v>
      </c>
      <c r="W192" s="1284"/>
      <c r="X192" s="1284"/>
      <c r="Y192" s="1284"/>
    </row>
    <row r="193" spans="1:25" s="1266" customFormat="1" hidden="1" outlineLevel="1">
      <c r="A193" s="1284"/>
      <c r="B193" s="1285" t="s">
        <v>2036</v>
      </c>
      <c r="C193" s="1286"/>
      <c r="D193" s="1287"/>
      <c r="E193" s="1287"/>
      <c r="F193" s="1288"/>
      <c r="G193" s="1288"/>
      <c r="H193" s="1284"/>
      <c r="I193" s="1284"/>
      <c r="J193" s="1289"/>
      <c r="K193" s="1284"/>
      <c r="L193" s="1289"/>
      <c r="M193" s="1284"/>
      <c r="N193" s="1290"/>
      <c r="O193" s="1284"/>
      <c r="P193" s="1289">
        <f>J193+L193+N193</f>
        <v>0</v>
      </c>
      <c r="Q193" s="1284"/>
      <c r="R193" s="1289"/>
      <c r="S193" s="1289"/>
      <c r="T193" s="1289">
        <f>P193</f>
        <v>0</v>
      </c>
      <c r="U193" s="1284"/>
      <c r="V193" s="1290">
        <f>T193-S193</f>
        <v>0</v>
      </c>
      <c r="W193" s="1284"/>
      <c r="X193" s="1284"/>
    </row>
    <row r="194" spans="1:25" s="1266" customFormat="1" ht="5.0999999999999996" hidden="1" customHeight="1" outlineLevel="1">
      <c r="A194" s="1286" t="s">
        <v>195</v>
      </c>
      <c r="B194" s="1286" t="s">
        <v>195</v>
      </c>
      <c r="C194" s="1286"/>
      <c r="D194" s="1288"/>
      <c r="E194" s="1288"/>
      <c r="F194" s="1288"/>
      <c r="G194" s="1288"/>
      <c r="H194" s="1284"/>
      <c r="I194" s="1284"/>
      <c r="J194" s="1315"/>
      <c r="K194" s="1284"/>
      <c r="L194" s="1315"/>
      <c r="M194" s="1284"/>
      <c r="N194" s="1316"/>
      <c r="O194" s="1284"/>
      <c r="P194" s="1315"/>
      <c r="Q194" s="1284"/>
      <c r="R194" s="1315"/>
      <c r="S194" s="1315"/>
      <c r="T194" s="1315"/>
      <c r="U194" s="1284"/>
      <c r="V194" s="1316"/>
      <c r="W194" s="1284"/>
      <c r="X194" s="1284"/>
      <c r="Y194" s="1284"/>
    </row>
    <row r="195" spans="1:25" s="1266" customFormat="1" hidden="1">
      <c r="A195" s="1286" t="s">
        <v>2036</v>
      </c>
      <c r="B195" s="1286" t="s">
        <v>195</v>
      </c>
      <c r="C195" s="1286"/>
      <c r="D195" s="1284"/>
      <c r="E195" s="1284"/>
      <c r="F195" s="1287" t="s">
        <v>2037</v>
      </c>
      <c r="G195" s="1284"/>
      <c r="H195" s="1284"/>
      <c r="I195" s="1284"/>
      <c r="J195" s="1313">
        <f>SUM(J193:J194)</f>
        <v>0</v>
      </c>
      <c r="K195" s="1284"/>
      <c r="L195" s="1313">
        <f>SUM(L193:L194)</f>
        <v>0</v>
      </c>
      <c r="M195" s="1284"/>
      <c r="N195" s="1314">
        <f>SUM(N193:N194)</f>
        <v>0</v>
      </c>
      <c r="O195" s="1284"/>
      <c r="P195" s="1313">
        <f>J195+L195+N195</f>
        <v>0</v>
      </c>
      <c r="Q195" s="1284"/>
      <c r="R195" s="1313">
        <f>SUM(R193:R194)</f>
        <v>0</v>
      </c>
      <c r="S195" s="1313">
        <f>SUM(S193:S194)</f>
        <v>0</v>
      </c>
      <c r="T195" s="1313">
        <f>SUM(T193:T194)</f>
        <v>0</v>
      </c>
      <c r="U195" s="1284"/>
      <c r="V195" s="1314">
        <f>SUM(V193:V194)</f>
        <v>0</v>
      </c>
      <c r="W195" s="1284"/>
      <c r="X195" s="1284"/>
      <c r="Y195" s="1284"/>
    </row>
    <row r="196" spans="1:25" s="1266" customFormat="1" hidden="1" outlineLevel="1">
      <c r="A196" s="1284"/>
      <c r="B196" s="1285" t="s">
        <v>2038</v>
      </c>
      <c r="C196" s="1286"/>
      <c r="D196" s="1287"/>
      <c r="E196" s="1287"/>
      <c r="F196" s="1288"/>
      <c r="G196" s="1288"/>
      <c r="H196" s="1284"/>
      <c r="I196" s="1284"/>
      <c r="J196" s="1289"/>
      <c r="K196" s="1284"/>
      <c r="L196" s="1289"/>
      <c r="M196" s="1284"/>
      <c r="N196" s="1290"/>
      <c r="O196" s="1284"/>
      <c r="P196" s="1289">
        <f>J196+L196+N196</f>
        <v>0</v>
      </c>
      <c r="Q196" s="1284"/>
      <c r="R196" s="1289"/>
      <c r="S196" s="1289"/>
      <c r="T196" s="1289">
        <f>P196</f>
        <v>0</v>
      </c>
      <c r="U196" s="1284"/>
      <c r="V196" s="1290">
        <f>T196-S196</f>
        <v>0</v>
      </c>
      <c r="W196" s="1284"/>
      <c r="X196" s="1284"/>
    </row>
    <row r="197" spans="1:25" s="1266" customFormat="1" ht="5.0999999999999996" hidden="1" customHeight="1" outlineLevel="1">
      <c r="A197" s="1286" t="s">
        <v>195</v>
      </c>
      <c r="B197" s="1286" t="s">
        <v>195</v>
      </c>
      <c r="C197" s="1286"/>
      <c r="D197" s="1288"/>
      <c r="E197" s="1288"/>
      <c r="F197" s="1288"/>
      <c r="G197" s="1288"/>
      <c r="H197" s="1284"/>
      <c r="I197" s="1284"/>
      <c r="J197" s="1315"/>
      <c r="K197" s="1284"/>
      <c r="L197" s="1315"/>
      <c r="M197" s="1284"/>
      <c r="N197" s="1316"/>
      <c r="O197" s="1284"/>
      <c r="P197" s="1315"/>
      <c r="Q197" s="1284"/>
      <c r="R197" s="1315"/>
      <c r="S197" s="1315"/>
      <c r="T197" s="1315"/>
      <c r="U197" s="1284"/>
      <c r="V197" s="1316"/>
      <c r="W197" s="1284"/>
      <c r="X197" s="1284"/>
      <c r="Y197" s="1284"/>
    </row>
    <row r="198" spans="1:25" s="1266" customFormat="1" hidden="1">
      <c r="A198" s="1286" t="s">
        <v>2038</v>
      </c>
      <c r="B198" s="1286" t="s">
        <v>195</v>
      </c>
      <c r="C198" s="1286"/>
      <c r="D198" s="1284"/>
      <c r="E198" s="1284"/>
      <c r="F198" s="1287" t="s">
        <v>2039</v>
      </c>
      <c r="G198" s="1284"/>
      <c r="H198" s="1284"/>
      <c r="I198" s="1284"/>
      <c r="J198" s="1313">
        <f>SUM(J196:J197)</f>
        <v>0</v>
      </c>
      <c r="K198" s="1284"/>
      <c r="L198" s="1313">
        <f>SUM(L196:L197)</f>
        <v>0</v>
      </c>
      <c r="M198" s="1284"/>
      <c r="N198" s="1314">
        <f>SUM(N196:N197)</f>
        <v>0</v>
      </c>
      <c r="O198" s="1284"/>
      <c r="P198" s="1313">
        <f>J198+L198+N198</f>
        <v>0</v>
      </c>
      <c r="Q198" s="1284"/>
      <c r="R198" s="1313">
        <f>SUM(R196:R197)</f>
        <v>0</v>
      </c>
      <c r="S198" s="1313">
        <f>SUM(S196:S197)</f>
        <v>0</v>
      </c>
      <c r="T198" s="1313">
        <f>SUM(T196:T197)</f>
        <v>0</v>
      </c>
      <c r="U198" s="1284"/>
      <c r="V198" s="1314">
        <f>SUM(V196:V197)</f>
        <v>0</v>
      </c>
      <c r="W198" s="1284"/>
      <c r="X198" s="1284"/>
      <c r="Y198" s="1284"/>
    </row>
    <row r="199" spans="1:25" s="1266" customFormat="1" hidden="1" outlineLevel="1">
      <c r="A199" s="1284"/>
      <c r="B199" s="1285" t="s">
        <v>2040</v>
      </c>
      <c r="C199" s="1286"/>
      <c r="D199" s="1287"/>
      <c r="E199" s="1287"/>
      <c r="F199" s="1288"/>
      <c r="G199" s="1288"/>
      <c r="H199" s="1284"/>
      <c r="I199" s="1284"/>
      <c r="J199" s="1289"/>
      <c r="K199" s="1284"/>
      <c r="L199" s="1289"/>
      <c r="M199" s="1284"/>
      <c r="N199" s="1290"/>
      <c r="O199" s="1284"/>
      <c r="P199" s="1289">
        <f>J199+L199+N199</f>
        <v>0</v>
      </c>
      <c r="Q199" s="1284"/>
      <c r="R199" s="1289"/>
      <c r="S199" s="1289"/>
      <c r="T199" s="1289">
        <f>P199</f>
        <v>0</v>
      </c>
      <c r="U199" s="1284"/>
      <c r="V199" s="1290">
        <f>T199-S199</f>
        <v>0</v>
      </c>
      <c r="W199" s="1284"/>
      <c r="X199" s="1284"/>
    </row>
    <row r="200" spans="1:25" s="1266" customFormat="1" ht="4.5" hidden="1" customHeight="1" outlineLevel="1">
      <c r="A200" s="1286" t="s">
        <v>195</v>
      </c>
      <c r="B200" s="1311"/>
      <c r="C200" s="1311"/>
      <c r="D200" s="1288"/>
      <c r="E200" s="1288"/>
      <c r="F200" s="1288"/>
      <c r="G200" s="1288"/>
      <c r="H200" s="1284"/>
      <c r="I200" s="1284"/>
      <c r="J200" s="1315"/>
      <c r="K200" s="1284"/>
      <c r="L200" s="1315"/>
      <c r="M200" s="1284"/>
      <c r="N200" s="1316"/>
      <c r="O200" s="1284"/>
      <c r="P200" s="1315"/>
      <c r="Q200" s="1284"/>
      <c r="R200" s="1315"/>
      <c r="S200" s="1315"/>
      <c r="T200" s="1315"/>
      <c r="U200" s="1284"/>
      <c r="V200" s="1316"/>
      <c r="W200" s="1284"/>
      <c r="X200" s="1284"/>
      <c r="Y200" s="1284"/>
    </row>
    <row r="201" spans="1:25" s="1266" customFormat="1" collapsed="1">
      <c r="A201" s="1286" t="s">
        <v>2040</v>
      </c>
      <c r="B201" s="1311"/>
      <c r="C201" s="1311"/>
      <c r="D201" s="1284"/>
      <c r="E201" s="1284"/>
      <c r="F201" s="1287" t="s">
        <v>2041</v>
      </c>
      <c r="G201" s="1284"/>
      <c r="H201" s="1284"/>
      <c r="I201" s="1284"/>
      <c r="J201" s="1313">
        <f>SUM(J199:J200)</f>
        <v>0</v>
      </c>
      <c r="K201" s="1284"/>
      <c r="L201" s="1313">
        <f>SUM(L199:L200)</f>
        <v>0</v>
      </c>
      <c r="M201" s="1284"/>
      <c r="N201" s="1314">
        <f>SUM(N199:N200)</f>
        <v>0</v>
      </c>
      <c r="O201" s="1284"/>
      <c r="P201" s="1313">
        <f>J201+L201+N201</f>
        <v>0</v>
      </c>
      <c r="Q201" s="1284"/>
      <c r="R201" s="1313">
        <f>SUM(R199:R200)</f>
        <v>0</v>
      </c>
      <c r="S201" s="1313">
        <f>SUM(S199:S200)</f>
        <v>0</v>
      </c>
      <c r="T201" s="1313">
        <f>SUM(T199:T200)</f>
        <v>0</v>
      </c>
      <c r="U201" s="1284"/>
      <c r="V201" s="1314">
        <f>SUM(V199:V200)</f>
        <v>0</v>
      </c>
      <c r="W201" s="1284"/>
      <c r="X201" s="1284"/>
      <c r="Y201" s="1284"/>
    </row>
    <row r="202" spans="1:25" s="1266" customFormat="1" ht="7.5" hidden="1" customHeight="1">
      <c r="A202" s="1311"/>
      <c r="B202" s="1286"/>
      <c r="C202" s="1286"/>
      <c r="D202" s="1284"/>
      <c r="E202" s="1284"/>
      <c r="F202" s="1284"/>
      <c r="G202" s="1284"/>
      <c r="H202" s="1284"/>
      <c r="I202" s="1284"/>
      <c r="J202" s="1318"/>
      <c r="K202" s="1284"/>
      <c r="L202" s="1318"/>
      <c r="M202" s="1284"/>
      <c r="N202" s="1290"/>
      <c r="O202" s="1284"/>
      <c r="P202" s="1318"/>
      <c r="Q202" s="1284"/>
      <c r="R202" s="1318"/>
      <c r="S202" s="1318"/>
      <c r="T202" s="1318"/>
      <c r="U202" s="1284"/>
      <c r="V202" s="1290"/>
      <c r="W202" s="1284"/>
      <c r="X202" s="1284"/>
      <c r="Y202" s="1284"/>
    </row>
    <row r="203" spans="1:25" s="1266" customFormat="1" outlineLevel="1">
      <c r="A203" s="1284"/>
      <c r="B203" s="1285" t="s">
        <v>2042</v>
      </c>
      <c r="C203" s="1286"/>
      <c r="D203" s="1287">
        <v>29100</v>
      </c>
      <c r="E203" s="1287" t="s">
        <v>2043</v>
      </c>
      <c r="F203" s="1288"/>
      <c r="G203" s="1288"/>
      <c r="H203" s="1284"/>
      <c r="I203" s="1284"/>
      <c r="J203" s="1289">
        <v>816287.94</v>
      </c>
      <c r="K203" s="1284"/>
      <c r="L203" s="1289">
        <v>0</v>
      </c>
      <c r="M203" s="1284"/>
      <c r="N203" s="1290">
        <v>0</v>
      </c>
      <c r="O203" s="1284"/>
      <c r="P203" s="1289">
        <f>J203+L203+N203</f>
        <v>816287.94</v>
      </c>
      <c r="Q203" s="1284"/>
      <c r="R203" s="1289">
        <v>792224.23</v>
      </c>
      <c r="S203" s="1289">
        <v>791789.15</v>
      </c>
      <c r="T203" s="1289">
        <f>P203</f>
        <v>816287.94</v>
      </c>
      <c r="U203" s="1284"/>
      <c r="V203" s="1290">
        <f>T203-S203</f>
        <v>24498.789999999921</v>
      </c>
      <c r="W203" s="1284"/>
      <c r="X203" s="1284"/>
    </row>
    <row r="204" spans="1:25" s="1266" customFormat="1" ht="5.0999999999999996" customHeight="1" outlineLevel="1">
      <c r="A204" s="1286" t="s">
        <v>195</v>
      </c>
      <c r="B204" s="1311"/>
      <c r="C204" s="1311"/>
      <c r="D204" s="1288"/>
      <c r="E204" s="1288"/>
      <c r="F204" s="1288"/>
      <c r="G204" s="1288"/>
      <c r="H204" s="1284"/>
      <c r="I204" s="1284"/>
      <c r="J204" s="1315"/>
      <c r="K204" s="1284"/>
      <c r="L204" s="1315"/>
      <c r="M204" s="1284"/>
      <c r="N204" s="1316"/>
      <c r="O204" s="1284"/>
      <c r="P204" s="1315"/>
      <c r="Q204" s="1284"/>
      <c r="R204" s="1315"/>
      <c r="S204" s="1315"/>
      <c r="T204" s="1315"/>
      <c r="U204" s="1284"/>
      <c r="V204" s="1316"/>
      <c r="W204" s="1284"/>
      <c r="X204" s="1284"/>
      <c r="Y204" s="1284"/>
    </row>
    <row r="205" spans="1:25" s="1266" customFormat="1">
      <c r="A205" s="1286" t="s">
        <v>2042</v>
      </c>
      <c r="B205" s="1311"/>
      <c r="C205" s="1311"/>
      <c r="D205" s="1284"/>
      <c r="E205" s="1284"/>
      <c r="F205" s="1287" t="s">
        <v>2043</v>
      </c>
      <c r="G205" s="1284"/>
      <c r="H205" s="1284"/>
      <c r="I205" s="1284"/>
      <c r="J205" s="1313">
        <f>SUM(J203:J204)</f>
        <v>816287.94</v>
      </c>
      <c r="K205" s="1284"/>
      <c r="L205" s="1313">
        <f>SUM(L203:L204)</f>
        <v>0</v>
      </c>
      <c r="M205" s="1284"/>
      <c r="N205" s="1314">
        <f>SUM(N203:N204)</f>
        <v>0</v>
      </c>
      <c r="O205" s="1284"/>
      <c r="P205" s="1313">
        <f>J205+L205+N205</f>
        <v>816287.94</v>
      </c>
      <c r="Q205" s="1284"/>
      <c r="R205" s="1313">
        <f>SUM(R203:R204)</f>
        <v>792224.23</v>
      </c>
      <c r="S205" s="1313">
        <f>SUM(S203:S204)</f>
        <v>791789.15</v>
      </c>
      <c r="T205" s="1313">
        <f>SUM(T203:T204)</f>
        <v>816287.94</v>
      </c>
      <c r="U205" s="1284"/>
      <c r="V205" s="1314">
        <f>SUM(V203:V204)</f>
        <v>24498.789999999921</v>
      </c>
      <c r="W205" s="1284"/>
      <c r="X205" s="1284"/>
      <c r="Y205" s="1284"/>
    </row>
    <row r="206" spans="1:25" s="1266" customFormat="1" ht="7.5" customHeight="1">
      <c r="A206" s="1311"/>
      <c r="B206" s="1286"/>
      <c r="C206" s="1286"/>
      <c r="D206" s="1284"/>
      <c r="E206" s="1284"/>
      <c r="F206" s="1284"/>
      <c r="G206" s="1284"/>
      <c r="H206" s="1284"/>
      <c r="I206" s="1284"/>
      <c r="J206" s="1318"/>
      <c r="K206" s="1284"/>
      <c r="L206" s="1318"/>
      <c r="M206" s="1284"/>
      <c r="N206" s="1290"/>
      <c r="O206" s="1284"/>
      <c r="P206" s="1318"/>
      <c r="Q206" s="1284"/>
      <c r="R206" s="1318"/>
      <c r="S206" s="1318"/>
      <c r="T206" s="1318"/>
      <c r="U206" s="1284"/>
      <c r="V206" s="1290"/>
      <c r="W206" s="1284"/>
      <c r="X206" s="1284"/>
      <c r="Y206" s="1284"/>
    </row>
    <row r="207" spans="1:25" s="1266" customFormat="1">
      <c r="A207" s="1311"/>
      <c r="B207" s="1286"/>
      <c r="C207" s="1286"/>
      <c r="D207" s="1284"/>
      <c r="E207" s="1319" t="s">
        <v>2043</v>
      </c>
      <c r="F207" s="1284"/>
      <c r="G207" s="1284"/>
      <c r="H207" s="1284"/>
      <c r="I207" s="1284"/>
      <c r="J207" s="1320">
        <f>SUM(J183,J189,J195,J201,J192,J186,J198,J205)</f>
        <v>816287.94</v>
      </c>
      <c r="K207" s="1284"/>
      <c r="L207" s="1320">
        <f>SUM(L183,L189,L195,L201,L192,L186,L198,L205)</f>
        <v>0</v>
      </c>
      <c r="M207" s="1284"/>
      <c r="N207" s="1321">
        <f>SUM(N183,N189,N195,N201,N192,N186,N198,N205)</f>
        <v>0</v>
      </c>
      <c r="O207" s="1284"/>
      <c r="P207" s="1320">
        <f>SUM(P183,P189,P195,P201,P192,P186,P198,P205)</f>
        <v>816287.94</v>
      </c>
      <c r="Q207" s="1284"/>
      <c r="R207" s="1320">
        <f>SUM(R183,R189,R195,R201,R192,R186,R198,R205)</f>
        <v>792224.23</v>
      </c>
      <c r="S207" s="1320">
        <f>SUM(S183,S189,S195,S201,S192,S186,S198,S205)</f>
        <v>791789.15</v>
      </c>
      <c r="T207" s="1320">
        <f>SUM(T183,T189,T195,T201,T192,T186,T198,T205)</f>
        <v>816287.94</v>
      </c>
      <c r="U207" s="1284"/>
      <c r="V207" s="1321">
        <f>SUM(V183,V189,V195,V201,V192,V186,V198,V205)</f>
        <v>24498.789999999921</v>
      </c>
      <c r="W207" s="1284"/>
      <c r="X207" s="1284"/>
      <c r="Y207" s="1284"/>
    </row>
    <row r="208" spans="1:25" s="1266" customFormat="1" ht="7.5" customHeight="1">
      <c r="A208" s="1286"/>
      <c r="B208" s="1286"/>
      <c r="C208" s="1286"/>
      <c r="D208" s="1284"/>
      <c r="E208" s="1284"/>
      <c r="F208" s="1284"/>
      <c r="G208" s="1284"/>
      <c r="H208" s="1284"/>
      <c r="I208" s="1284"/>
      <c r="J208" s="1318"/>
      <c r="K208" s="1284"/>
      <c r="L208" s="1318"/>
      <c r="M208" s="1284"/>
      <c r="N208" s="1290"/>
      <c r="O208" s="1284"/>
      <c r="P208" s="1318"/>
      <c r="Q208" s="1284"/>
      <c r="R208" s="1318"/>
      <c r="S208" s="1318"/>
      <c r="T208" s="1318"/>
      <c r="U208" s="1284"/>
      <c r="V208" s="1290"/>
      <c r="W208" s="1284"/>
      <c r="X208" s="1284"/>
      <c r="Y208" s="1284"/>
    </row>
    <row r="209" spans="1:25" s="1266" customFormat="1" ht="13.5" thickBot="1">
      <c r="A209" s="1286"/>
      <c r="B209" s="1286"/>
      <c r="C209" s="1286"/>
      <c r="D209" s="1284"/>
      <c r="E209" s="1319" t="s">
        <v>2044</v>
      </c>
      <c r="F209" s="1284"/>
      <c r="G209" s="1284"/>
      <c r="H209" s="1284"/>
      <c r="I209" s="1284"/>
      <c r="J209" s="1325">
        <f>+J179+J207</f>
        <v>1033514.72</v>
      </c>
      <c r="K209" s="1284"/>
      <c r="L209" s="1325">
        <f>+L179+L207</f>
        <v>0</v>
      </c>
      <c r="M209" s="1284"/>
      <c r="N209" s="1326">
        <f>+N179+N207</f>
        <v>0</v>
      </c>
      <c r="O209" s="1284"/>
      <c r="P209" s="1325">
        <f>+P179+P207</f>
        <v>1033514.72</v>
      </c>
      <c r="Q209" s="1284"/>
      <c r="R209" s="1325">
        <f>+R179+R207</f>
        <v>1019523.54</v>
      </c>
      <c r="S209" s="1325">
        <f>+S179+S207</f>
        <v>1068438.74</v>
      </c>
      <c r="T209" s="1325">
        <f>+T179+T207</f>
        <v>1033514.72</v>
      </c>
      <c r="U209" s="1284"/>
      <c r="V209" s="1326">
        <f>+V179+V207</f>
        <v>-34924.020000000062</v>
      </c>
      <c r="W209" s="1284"/>
      <c r="X209" s="1284"/>
      <c r="Y209" s="1284"/>
    </row>
    <row r="210" spans="1:25" s="1266" customFormat="1" ht="7.5" customHeight="1" thickTop="1">
      <c r="A210" s="1286"/>
      <c r="B210" s="1286"/>
      <c r="C210" s="1286"/>
      <c r="D210" s="1284"/>
      <c r="E210" s="1284"/>
      <c r="F210" s="1284"/>
      <c r="G210" s="1284"/>
      <c r="H210" s="1284"/>
      <c r="I210" s="1284"/>
      <c r="J210" s="1318"/>
      <c r="K210" s="1284"/>
      <c r="L210" s="1318"/>
      <c r="M210" s="1284"/>
      <c r="N210" s="1290"/>
      <c r="O210" s="1284"/>
      <c r="P210" s="1318"/>
      <c r="Q210" s="1284"/>
      <c r="R210" s="1318"/>
      <c r="S210" s="1318"/>
      <c r="T210" s="1318"/>
      <c r="U210" s="1284"/>
      <c r="V210" s="1290"/>
      <c r="W210" s="1284"/>
      <c r="X210" s="1284"/>
      <c r="Y210" s="1284"/>
    </row>
    <row r="211" spans="1:25" s="1328" customFormat="1" ht="12">
      <c r="A211" s="1286"/>
      <c r="B211" s="1286"/>
      <c r="C211" s="1286"/>
      <c r="D211" s="1284"/>
      <c r="E211" s="1284"/>
      <c r="F211" s="1284" t="s">
        <v>2045</v>
      </c>
      <c r="G211" s="1284"/>
      <c r="H211" s="1284"/>
      <c r="I211" s="1284"/>
      <c r="J211" s="1318">
        <f>J124-J209</f>
        <v>0</v>
      </c>
      <c r="K211" s="1284"/>
      <c r="L211" s="1318">
        <f>L124-L209</f>
        <v>0</v>
      </c>
      <c r="M211" s="1284"/>
      <c r="N211" s="1318">
        <f>N124-N209</f>
        <v>0</v>
      </c>
      <c r="O211" s="1284"/>
      <c r="P211" s="1318">
        <f>P124-P209</f>
        <v>0</v>
      </c>
      <c r="Q211" s="1284"/>
      <c r="R211" s="1318">
        <f>R124-R209</f>
        <v>0</v>
      </c>
      <c r="S211" s="1318">
        <f>S124-S209</f>
        <v>0</v>
      </c>
      <c r="T211" s="1318">
        <f>T124-T209</f>
        <v>0</v>
      </c>
      <c r="U211" s="1284"/>
      <c r="V211" s="1318">
        <f>V124-V209</f>
        <v>0</v>
      </c>
      <c r="W211" s="1284"/>
      <c r="X211" s="1284"/>
      <c r="Y211" s="1284"/>
    </row>
    <row r="212" spans="1:25" s="1330" customFormat="1" ht="9.75" customHeight="1">
      <c r="A212" s="1286"/>
      <c r="B212" s="1311"/>
      <c r="C212" s="1311"/>
      <c r="D212" s="1284"/>
      <c r="E212" s="1284"/>
      <c r="F212" s="1287"/>
      <c r="G212" s="1284"/>
      <c r="H212" s="1286"/>
      <c r="I212" s="1286"/>
      <c r="J212" s="1329"/>
      <c r="K212" s="1286"/>
      <c r="L212" s="1286"/>
      <c r="M212" s="1286"/>
      <c r="N212" s="1286"/>
      <c r="O212" s="1286"/>
      <c r="P212" s="1286"/>
      <c r="Q212" s="1286"/>
      <c r="R212" s="1286"/>
      <c r="S212" s="1286"/>
      <c r="T212" s="1286"/>
      <c r="U212" s="1286"/>
      <c r="V212" s="1286"/>
      <c r="W212" s="1286"/>
      <c r="X212" s="1286"/>
      <c r="Y212" s="1286"/>
    </row>
    <row r="213" spans="1:25" s="1266" customFormat="1" outlineLevel="1">
      <c r="A213" s="1286"/>
      <c r="B213" s="1285" t="s">
        <v>319</v>
      </c>
      <c r="C213" s="1286"/>
      <c r="D213" s="1287"/>
      <c r="E213" s="1287"/>
      <c r="F213" s="1288"/>
      <c r="G213" s="1288"/>
      <c r="H213" s="1284"/>
      <c r="I213" s="1284"/>
      <c r="J213" s="1289"/>
      <c r="K213" s="1284"/>
      <c r="L213" s="1289"/>
      <c r="M213" s="1284"/>
      <c r="N213" s="1290"/>
      <c r="O213" s="1284"/>
      <c r="P213" s="1289"/>
      <c r="Q213" s="1284"/>
      <c r="R213" s="1289"/>
      <c r="S213" s="1289"/>
      <c r="T213" s="1289"/>
      <c r="U213" s="1284"/>
      <c r="V213" s="1290"/>
      <c r="W213" s="1284"/>
      <c r="X213" s="1284"/>
      <c r="Y213" s="1284"/>
    </row>
    <row r="214" spans="1:25" ht="6" customHeight="1" outlineLevel="1">
      <c r="A214" s="1311"/>
      <c r="B214" s="1286"/>
      <c r="C214" s="1286"/>
      <c r="D214" s="1286"/>
      <c r="E214" s="1286"/>
      <c r="F214" s="1286"/>
      <c r="G214" s="1286"/>
      <c r="H214" s="1286"/>
      <c r="I214" s="1286"/>
      <c r="J214" s="1315"/>
      <c r="K214" s="1318"/>
      <c r="L214" s="1315"/>
      <c r="M214" s="1286"/>
      <c r="N214" s="1315"/>
      <c r="O214" s="1286"/>
      <c r="P214" s="1315"/>
      <c r="Q214" s="1286"/>
      <c r="R214" s="1315"/>
      <c r="S214" s="1315"/>
      <c r="T214" s="1315"/>
      <c r="U214" s="1286"/>
      <c r="V214" s="1315"/>
      <c r="W214" s="1286"/>
      <c r="X214" s="1286"/>
      <c r="Y214" s="1286"/>
    </row>
    <row r="215" spans="1:25" s="1262" customFormat="1">
      <c r="A215" s="1286" t="s">
        <v>319</v>
      </c>
      <c r="B215" s="1331"/>
      <c r="C215" s="1331"/>
      <c r="D215" s="1331"/>
      <c r="E215" s="1331" t="s">
        <v>320</v>
      </c>
      <c r="F215" s="1331"/>
      <c r="G215" s="1331"/>
      <c r="H215" s="1331"/>
      <c r="I215" s="1331"/>
      <c r="J215" s="1332">
        <f>SUM(J213:J214)</f>
        <v>0</v>
      </c>
      <c r="K215" s="1333"/>
      <c r="L215" s="1332">
        <f>SUM(L213:L214)</f>
        <v>0</v>
      </c>
      <c r="M215" s="1333"/>
      <c r="N215" s="1332">
        <f>SUM(N213:N214)</f>
        <v>0</v>
      </c>
      <c r="O215" s="1333"/>
      <c r="P215" s="1332">
        <f>SUM(P213:P214)</f>
        <v>0</v>
      </c>
      <c r="Q215" s="1333"/>
      <c r="R215" s="1332">
        <f>SUM(R213:R214)</f>
        <v>0</v>
      </c>
      <c r="S215" s="1332">
        <f>SUM(S213:S214)</f>
        <v>0</v>
      </c>
      <c r="T215" s="1332">
        <f>SUM(T213:T214)</f>
        <v>0</v>
      </c>
      <c r="U215" s="1333"/>
      <c r="V215" s="1332">
        <f>SUM(V213:V214)</f>
        <v>0</v>
      </c>
      <c r="W215" s="1286"/>
      <c r="X215" s="1286"/>
      <c r="Y215" s="1286"/>
    </row>
    <row r="216" spans="1:25">
      <c r="A216" s="1334"/>
      <c r="B216" s="1286"/>
      <c r="C216" s="1286"/>
      <c r="D216" s="1286"/>
      <c r="E216" s="1286"/>
      <c r="F216" s="1286"/>
      <c r="G216" s="1286"/>
      <c r="H216" s="1286"/>
      <c r="I216" s="1286"/>
      <c r="J216" s="1335"/>
      <c r="K216" s="1335"/>
      <c r="L216" s="1336"/>
      <c r="M216" s="1336"/>
      <c r="N216" s="1336"/>
      <c r="O216" s="1336"/>
      <c r="P216" s="1336"/>
      <c r="Q216" s="1336"/>
      <c r="R216" s="1336"/>
      <c r="S216" s="1336"/>
      <c r="T216" s="1336"/>
      <c r="U216" s="1336"/>
      <c r="V216" s="1336"/>
      <c r="W216" s="1286"/>
      <c r="X216" s="1286"/>
      <c r="Y216" s="1286"/>
    </row>
    <row r="217" spans="1:25">
      <c r="B217" s="1286"/>
      <c r="C217" s="1286"/>
      <c r="D217" s="1286"/>
      <c r="E217" s="1286"/>
      <c r="F217" s="1286"/>
      <c r="G217" s="1286"/>
      <c r="H217" s="1286"/>
      <c r="I217" s="1286"/>
      <c r="J217" s="1286"/>
      <c r="K217" s="1286"/>
      <c r="L217" s="1286"/>
      <c r="M217" s="1286"/>
      <c r="N217" s="1286"/>
      <c r="O217" s="1286"/>
      <c r="P217" s="1286"/>
      <c r="Q217" s="1286"/>
      <c r="R217" s="1286"/>
      <c r="S217" s="1286"/>
      <c r="T217" s="1286"/>
      <c r="U217" s="1286"/>
      <c r="V217" s="1286"/>
      <c r="W217" s="1286"/>
      <c r="X217" s="1286"/>
      <c r="Y217" s="1286"/>
    </row>
    <row r="218" spans="1:25">
      <c r="B218" s="1286"/>
      <c r="C218" s="1286"/>
      <c r="D218" s="1286"/>
      <c r="E218" s="1286"/>
      <c r="F218" s="1286"/>
      <c r="G218" s="1286"/>
      <c r="H218" s="1286"/>
      <c r="I218" s="1286"/>
      <c r="J218" s="1286"/>
      <c r="K218" s="1286"/>
      <c r="L218" s="1286"/>
      <c r="M218" s="1286"/>
      <c r="N218" s="1286"/>
      <c r="O218" s="1286"/>
      <c r="P218" s="1286"/>
      <c r="Q218" s="1286"/>
      <c r="R218" s="1286"/>
      <c r="S218" s="1286"/>
      <c r="T218" s="1286"/>
      <c r="U218" s="1286"/>
      <c r="V218" s="1286"/>
      <c r="W218" s="1286"/>
      <c r="X218" s="1286"/>
      <c r="Y218" s="1286"/>
    </row>
  </sheetData>
  <dataValidations count="1">
    <dataValidation type="list" allowBlank="1" showInputMessage="1" showErrorMessage="1" sqref="V7">
      <formula1>"TRUE,FALSE"</formula1>
    </dataValidation>
  </dataValidations>
  <pageMargins left="0.5" right="0.5" top="0.39" bottom="0.4" header="0.25" footer="0.25"/>
  <pageSetup scale="43" fitToHeight="0" orientation="portrait" errors="blank" r:id="rId1"/>
  <headerFooter alignWithMargins="0">
    <oddHeader>&amp;R&amp;D - &amp;T</oddHeader>
    <oddFooter>&amp;L&amp;F - &amp;A&amp;RPage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91"/>
  <sheetViews>
    <sheetView showGridLines="0" view="pageBreakPreview" topLeftCell="A28" zoomScaleNormal="85" zoomScaleSheetLayoutView="100" workbookViewId="0">
      <selection activeCell="Q27" sqref="Q27"/>
    </sheetView>
  </sheetViews>
  <sheetFormatPr defaultColWidth="13.85546875" defaultRowHeight="12.75" outlineLevelRow="1"/>
  <cols>
    <col min="1" max="1" width="5.85546875" style="1259" customWidth="1"/>
    <col min="2" max="3" width="2.28515625" style="1259" customWidth="1"/>
    <col min="4" max="4" width="29.140625" style="1259" customWidth="1"/>
    <col min="5" max="5" width="2.28515625" style="1259" customWidth="1"/>
    <col min="6" max="6" width="0.7109375" style="1259" customWidth="1"/>
    <col min="7" max="7" width="12.85546875" style="583" customWidth="1"/>
    <col min="8" max="8" width="1.7109375" style="1259" customWidth="1"/>
    <col min="9" max="9" width="12.85546875" style="583" customWidth="1"/>
    <col min="10" max="10" width="1.7109375" style="1259" customWidth="1"/>
    <col min="11" max="11" width="12.85546875" style="583" customWidth="1"/>
    <col min="12" max="12" width="1.7109375" style="1259" customWidth="1"/>
    <col min="13" max="13" width="12.85546875" style="583" customWidth="1"/>
    <col min="14" max="14" width="1.7109375" style="1259" customWidth="1"/>
    <col min="15" max="15" width="12.85546875" style="583" customWidth="1"/>
    <col min="16" max="16" width="1.7109375" style="1259" customWidth="1"/>
    <col min="17" max="17" width="12.85546875" style="583" customWidth="1"/>
    <col min="18" max="18" width="1.7109375" style="1259" customWidth="1"/>
    <col min="19" max="19" width="12.85546875" style="583" customWidth="1"/>
    <col min="20" max="20" width="1.7109375" style="1259" customWidth="1"/>
    <col min="21" max="21" width="12.85546875" style="583" customWidth="1"/>
    <col min="22" max="22" width="1.7109375" style="1259" customWidth="1"/>
    <col min="23" max="23" width="12.85546875" style="583" customWidth="1"/>
    <col min="24" max="24" width="1.7109375" style="1259" customWidth="1"/>
    <col min="25" max="25" width="12.85546875" style="583" customWidth="1"/>
    <col min="26" max="26" width="1.7109375" style="1259" customWidth="1"/>
    <col min="27" max="27" width="12.85546875" style="583" customWidth="1"/>
    <col min="28" max="28" width="1.7109375" style="1259" customWidth="1"/>
    <col min="29" max="29" width="12.85546875" style="583" customWidth="1"/>
    <col min="30" max="30" width="1.7109375" style="1259" customWidth="1"/>
    <col min="31" max="31" width="12.85546875" style="583" customWidth="1"/>
    <col min="32" max="32" width="4.5703125" style="1259" customWidth="1"/>
    <col min="33" max="33" width="1.42578125" style="1259" customWidth="1"/>
    <col min="34" max="256" width="13.85546875" style="1259"/>
    <col min="257" max="257" width="7.85546875" style="1259" customWidth="1"/>
    <col min="258" max="259" width="2.28515625" style="1259" customWidth="1"/>
    <col min="260" max="260" width="31.42578125" style="1259" customWidth="1"/>
    <col min="261" max="261" width="2.28515625" style="1259" customWidth="1"/>
    <col min="262" max="262" width="2.140625" style="1259" customWidth="1"/>
    <col min="263" max="263" width="12.28515625" style="1259" customWidth="1"/>
    <col min="264" max="264" width="1.5703125" style="1259" customWidth="1"/>
    <col min="265" max="265" width="12.28515625" style="1259" customWidth="1"/>
    <col min="266" max="266" width="1.5703125" style="1259" customWidth="1"/>
    <col min="267" max="267" width="12.28515625" style="1259" customWidth="1"/>
    <col min="268" max="268" width="1.5703125" style="1259" customWidth="1"/>
    <col min="269" max="269" width="13.5703125" style="1259" customWidth="1"/>
    <col min="270" max="270" width="0.85546875" style="1259" customWidth="1"/>
    <col min="271" max="271" width="12.28515625" style="1259" customWidth="1"/>
    <col min="272" max="272" width="1.5703125" style="1259" customWidth="1"/>
    <col min="273" max="273" width="12.28515625" style="1259" customWidth="1"/>
    <col min="274" max="274" width="1.5703125" style="1259" customWidth="1"/>
    <col min="275" max="275" width="12.28515625" style="1259" customWidth="1"/>
    <col min="276" max="276" width="0.85546875" style="1259" customWidth="1"/>
    <col min="277" max="277" width="12.28515625" style="1259" customWidth="1"/>
    <col min="278" max="278" width="1.5703125" style="1259" customWidth="1"/>
    <col min="279" max="279" width="12.28515625" style="1259" customWidth="1"/>
    <col min="280" max="280" width="1.5703125" style="1259" customWidth="1"/>
    <col min="281" max="281" width="12.28515625" style="1259" customWidth="1"/>
    <col min="282" max="282" width="0.85546875" style="1259" customWidth="1"/>
    <col min="283" max="283" width="12.28515625" style="1259" customWidth="1"/>
    <col min="284" max="284" width="1.5703125" style="1259" customWidth="1"/>
    <col min="285" max="285" width="12.28515625" style="1259" customWidth="1"/>
    <col min="286" max="286" width="1.5703125" style="1259" customWidth="1"/>
    <col min="287" max="287" width="12.28515625" style="1259" customWidth="1"/>
    <col min="288" max="288" width="4.5703125" style="1259" customWidth="1"/>
    <col min="289" max="289" width="1.42578125" style="1259" customWidth="1"/>
    <col min="290" max="512" width="13.85546875" style="1259"/>
    <col min="513" max="513" width="7.85546875" style="1259" customWidth="1"/>
    <col min="514" max="515" width="2.28515625" style="1259" customWidth="1"/>
    <col min="516" max="516" width="31.42578125" style="1259" customWidth="1"/>
    <col min="517" max="517" width="2.28515625" style="1259" customWidth="1"/>
    <col min="518" max="518" width="2.140625" style="1259" customWidth="1"/>
    <col min="519" max="519" width="12.28515625" style="1259" customWidth="1"/>
    <col min="520" max="520" width="1.5703125" style="1259" customWidth="1"/>
    <col min="521" max="521" width="12.28515625" style="1259" customWidth="1"/>
    <col min="522" max="522" width="1.5703125" style="1259" customWidth="1"/>
    <col min="523" max="523" width="12.28515625" style="1259" customWidth="1"/>
    <col min="524" max="524" width="1.5703125" style="1259" customWidth="1"/>
    <col min="525" max="525" width="13.5703125" style="1259" customWidth="1"/>
    <col min="526" max="526" width="0.85546875" style="1259" customWidth="1"/>
    <col min="527" max="527" width="12.28515625" style="1259" customWidth="1"/>
    <col min="528" max="528" width="1.5703125" style="1259" customWidth="1"/>
    <col min="529" max="529" width="12.28515625" style="1259" customWidth="1"/>
    <col min="530" max="530" width="1.5703125" style="1259" customWidth="1"/>
    <col min="531" max="531" width="12.28515625" style="1259" customWidth="1"/>
    <col min="532" max="532" width="0.85546875" style="1259" customWidth="1"/>
    <col min="533" max="533" width="12.28515625" style="1259" customWidth="1"/>
    <col min="534" max="534" width="1.5703125" style="1259" customWidth="1"/>
    <col min="535" max="535" width="12.28515625" style="1259" customWidth="1"/>
    <col min="536" max="536" width="1.5703125" style="1259" customWidth="1"/>
    <col min="537" max="537" width="12.28515625" style="1259" customWidth="1"/>
    <col min="538" max="538" width="0.85546875" style="1259" customWidth="1"/>
    <col min="539" max="539" width="12.28515625" style="1259" customWidth="1"/>
    <col min="540" max="540" width="1.5703125" style="1259" customWidth="1"/>
    <col min="541" max="541" width="12.28515625" style="1259" customWidth="1"/>
    <col min="542" max="542" width="1.5703125" style="1259" customWidth="1"/>
    <col min="543" max="543" width="12.28515625" style="1259" customWidth="1"/>
    <col min="544" max="544" width="4.5703125" style="1259" customWidth="1"/>
    <col min="545" max="545" width="1.42578125" style="1259" customWidth="1"/>
    <col min="546" max="768" width="13.85546875" style="1259"/>
    <col min="769" max="769" width="7.85546875" style="1259" customWidth="1"/>
    <col min="770" max="771" width="2.28515625" style="1259" customWidth="1"/>
    <col min="772" max="772" width="31.42578125" style="1259" customWidth="1"/>
    <col min="773" max="773" width="2.28515625" style="1259" customWidth="1"/>
    <col min="774" max="774" width="2.140625" style="1259" customWidth="1"/>
    <col min="775" max="775" width="12.28515625" style="1259" customWidth="1"/>
    <col min="776" max="776" width="1.5703125" style="1259" customWidth="1"/>
    <col min="777" max="777" width="12.28515625" style="1259" customWidth="1"/>
    <col min="778" max="778" width="1.5703125" style="1259" customWidth="1"/>
    <col min="779" max="779" width="12.28515625" style="1259" customWidth="1"/>
    <col min="780" max="780" width="1.5703125" style="1259" customWidth="1"/>
    <col min="781" max="781" width="13.5703125" style="1259" customWidth="1"/>
    <col min="782" max="782" width="0.85546875" style="1259" customWidth="1"/>
    <col min="783" max="783" width="12.28515625" style="1259" customWidth="1"/>
    <col min="784" max="784" width="1.5703125" style="1259" customWidth="1"/>
    <col min="785" max="785" width="12.28515625" style="1259" customWidth="1"/>
    <col min="786" max="786" width="1.5703125" style="1259" customWidth="1"/>
    <col min="787" max="787" width="12.28515625" style="1259" customWidth="1"/>
    <col min="788" max="788" width="0.85546875" style="1259" customWidth="1"/>
    <col min="789" max="789" width="12.28515625" style="1259" customWidth="1"/>
    <col min="790" max="790" width="1.5703125" style="1259" customWidth="1"/>
    <col min="791" max="791" width="12.28515625" style="1259" customWidth="1"/>
    <col min="792" max="792" width="1.5703125" style="1259" customWidth="1"/>
    <col min="793" max="793" width="12.28515625" style="1259" customWidth="1"/>
    <col min="794" max="794" width="0.85546875" style="1259" customWidth="1"/>
    <col min="795" max="795" width="12.28515625" style="1259" customWidth="1"/>
    <col min="796" max="796" width="1.5703125" style="1259" customWidth="1"/>
    <col min="797" max="797" width="12.28515625" style="1259" customWidth="1"/>
    <col min="798" max="798" width="1.5703125" style="1259" customWidth="1"/>
    <col min="799" max="799" width="12.28515625" style="1259" customWidth="1"/>
    <col min="800" max="800" width="4.5703125" style="1259" customWidth="1"/>
    <col min="801" max="801" width="1.42578125" style="1259" customWidth="1"/>
    <col min="802" max="1024" width="13.85546875" style="1259"/>
    <col min="1025" max="1025" width="7.85546875" style="1259" customWidth="1"/>
    <col min="1026" max="1027" width="2.28515625" style="1259" customWidth="1"/>
    <col min="1028" max="1028" width="31.42578125" style="1259" customWidth="1"/>
    <col min="1029" max="1029" width="2.28515625" style="1259" customWidth="1"/>
    <col min="1030" max="1030" width="2.140625" style="1259" customWidth="1"/>
    <col min="1031" max="1031" width="12.28515625" style="1259" customWidth="1"/>
    <col min="1032" max="1032" width="1.5703125" style="1259" customWidth="1"/>
    <col min="1033" max="1033" width="12.28515625" style="1259" customWidth="1"/>
    <col min="1034" max="1034" width="1.5703125" style="1259" customWidth="1"/>
    <col min="1035" max="1035" width="12.28515625" style="1259" customWidth="1"/>
    <col min="1036" max="1036" width="1.5703125" style="1259" customWidth="1"/>
    <col min="1037" max="1037" width="13.5703125" style="1259" customWidth="1"/>
    <col min="1038" max="1038" width="0.85546875" style="1259" customWidth="1"/>
    <col min="1039" max="1039" width="12.28515625" style="1259" customWidth="1"/>
    <col min="1040" max="1040" width="1.5703125" style="1259" customWidth="1"/>
    <col min="1041" max="1041" width="12.28515625" style="1259" customWidth="1"/>
    <col min="1042" max="1042" width="1.5703125" style="1259" customWidth="1"/>
    <col min="1043" max="1043" width="12.28515625" style="1259" customWidth="1"/>
    <col min="1044" max="1044" width="0.85546875" style="1259" customWidth="1"/>
    <col min="1045" max="1045" width="12.28515625" style="1259" customWidth="1"/>
    <col min="1046" max="1046" width="1.5703125" style="1259" customWidth="1"/>
    <col min="1047" max="1047" width="12.28515625" style="1259" customWidth="1"/>
    <col min="1048" max="1048" width="1.5703125" style="1259" customWidth="1"/>
    <col min="1049" max="1049" width="12.28515625" style="1259" customWidth="1"/>
    <col min="1050" max="1050" width="0.85546875" style="1259" customWidth="1"/>
    <col min="1051" max="1051" width="12.28515625" style="1259" customWidth="1"/>
    <col min="1052" max="1052" width="1.5703125" style="1259" customWidth="1"/>
    <col min="1053" max="1053" width="12.28515625" style="1259" customWidth="1"/>
    <col min="1054" max="1054" width="1.5703125" style="1259" customWidth="1"/>
    <col min="1055" max="1055" width="12.28515625" style="1259" customWidth="1"/>
    <col min="1056" max="1056" width="4.5703125" style="1259" customWidth="1"/>
    <col min="1057" max="1057" width="1.42578125" style="1259" customWidth="1"/>
    <col min="1058" max="1280" width="13.85546875" style="1259"/>
    <col min="1281" max="1281" width="7.85546875" style="1259" customWidth="1"/>
    <col min="1282" max="1283" width="2.28515625" style="1259" customWidth="1"/>
    <col min="1284" max="1284" width="31.42578125" style="1259" customWidth="1"/>
    <col min="1285" max="1285" width="2.28515625" style="1259" customWidth="1"/>
    <col min="1286" max="1286" width="2.140625" style="1259" customWidth="1"/>
    <col min="1287" max="1287" width="12.28515625" style="1259" customWidth="1"/>
    <col min="1288" max="1288" width="1.5703125" style="1259" customWidth="1"/>
    <col min="1289" max="1289" width="12.28515625" style="1259" customWidth="1"/>
    <col min="1290" max="1290" width="1.5703125" style="1259" customWidth="1"/>
    <col min="1291" max="1291" width="12.28515625" style="1259" customWidth="1"/>
    <col min="1292" max="1292" width="1.5703125" style="1259" customWidth="1"/>
    <col min="1293" max="1293" width="13.5703125" style="1259" customWidth="1"/>
    <col min="1294" max="1294" width="0.85546875" style="1259" customWidth="1"/>
    <col min="1295" max="1295" width="12.28515625" style="1259" customWidth="1"/>
    <col min="1296" max="1296" width="1.5703125" style="1259" customWidth="1"/>
    <col min="1297" max="1297" width="12.28515625" style="1259" customWidth="1"/>
    <col min="1298" max="1298" width="1.5703125" style="1259" customWidth="1"/>
    <col min="1299" max="1299" width="12.28515625" style="1259" customWidth="1"/>
    <col min="1300" max="1300" width="0.85546875" style="1259" customWidth="1"/>
    <col min="1301" max="1301" width="12.28515625" style="1259" customWidth="1"/>
    <col min="1302" max="1302" width="1.5703125" style="1259" customWidth="1"/>
    <col min="1303" max="1303" width="12.28515625" style="1259" customWidth="1"/>
    <col min="1304" max="1304" width="1.5703125" style="1259" customWidth="1"/>
    <col min="1305" max="1305" width="12.28515625" style="1259" customWidth="1"/>
    <col min="1306" max="1306" width="0.85546875" style="1259" customWidth="1"/>
    <col min="1307" max="1307" width="12.28515625" style="1259" customWidth="1"/>
    <col min="1308" max="1308" width="1.5703125" style="1259" customWidth="1"/>
    <col min="1309" max="1309" width="12.28515625" style="1259" customWidth="1"/>
    <col min="1310" max="1310" width="1.5703125" style="1259" customWidth="1"/>
    <col min="1311" max="1311" width="12.28515625" style="1259" customWidth="1"/>
    <col min="1312" max="1312" width="4.5703125" style="1259" customWidth="1"/>
    <col min="1313" max="1313" width="1.42578125" style="1259" customWidth="1"/>
    <col min="1314" max="1536" width="13.85546875" style="1259"/>
    <col min="1537" max="1537" width="7.85546875" style="1259" customWidth="1"/>
    <col min="1538" max="1539" width="2.28515625" style="1259" customWidth="1"/>
    <col min="1540" max="1540" width="31.42578125" style="1259" customWidth="1"/>
    <col min="1541" max="1541" width="2.28515625" style="1259" customWidth="1"/>
    <col min="1542" max="1542" width="2.140625" style="1259" customWidth="1"/>
    <col min="1543" max="1543" width="12.28515625" style="1259" customWidth="1"/>
    <col min="1544" max="1544" width="1.5703125" style="1259" customWidth="1"/>
    <col min="1545" max="1545" width="12.28515625" style="1259" customWidth="1"/>
    <col min="1546" max="1546" width="1.5703125" style="1259" customWidth="1"/>
    <col min="1547" max="1547" width="12.28515625" style="1259" customWidth="1"/>
    <col min="1548" max="1548" width="1.5703125" style="1259" customWidth="1"/>
    <col min="1549" max="1549" width="13.5703125" style="1259" customWidth="1"/>
    <col min="1550" max="1550" width="0.85546875" style="1259" customWidth="1"/>
    <col min="1551" max="1551" width="12.28515625" style="1259" customWidth="1"/>
    <col min="1552" max="1552" width="1.5703125" style="1259" customWidth="1"/>
    <col min="1553" max="1553" width="12.28515625" style="1259" customWidth="1"/>
    <col min="1554" max="1554" width="1.5703125" style="1259" customWidth="1"/>
    <col min="1555" max="1555" width="12.28515625" style="1259" customWidth="1"/>
    <col min="1556" max="1556" width="0.85546875" style="1259" customWidth="1"/>
    <col min="1557" max="1557" width="12.28515625" style="1259" customWidth="1"/>
    <col min="1558" max="1558" width="1.5703125" style="1259" customWidth="1"/>
    <col min="1559" max="1559" width="12.28515625" style="1259" customWidth="1"/>
    <col min="1560" max="1560" width="1.5703125" style="1259" customWidth="1"/>
    <col min="1561" max="1561" width="12.28515625" style="1259" customWidth="1"/>
    <col min="1562" max="1562" width="0.85546875" style="1259" customWidth="1"/>
    <col min="1563" max="1563" width="12.28515625" style="1259" customWidth="1"/>
    <col min="1564" max="1564" width="1.5703125" style="1259" customWidth="1"/>
    <col min="1565" max="1565" width="12.28515625" style="1259" customWidth="1"/>
    <col min="1566" max="1566" width="1.5703125" style="1259" customWidth="1"/>
    <col min="1567" max="1567" width="12.28515625" style="1259" customWidth="1"/>
    <col min="1568" max="1568" width="4.5703125" style="1259" customWidth="1"/>
    <col min="1569" max="1569" width="1.42578125" style="1259" customWidth="1"/>
    <col min="1570" max="1792" width="13.85546875" style="1259"/>
    <col min="1793" max="1793" width="7.85546875" style="1259" customWidth="1"/>
    <col min="1794" max="1795" width="2.28515625" style="1259" customWidth="1"/>
    <col min="1796" max="1796" width="31.42578125" style="1259" customWidth="1"/>
    <col min="1797" max="1797" width="2.28515625" style="1259" customWidth="1"/>
    <col min="1798" max="1798" width="2.140625" style="1259" customWidth="1"/>
    <col min="1799" max="1799" width="12.28515625" style="1259" customWidth="1"/>
    <col min="1800" max="1800" width="1.5703125" style="1259" customWidth="1"/>
    <col min="1801" max="1801" width="12.28515625" style="1259" customWidth="1"/>
    <col min="1802" max="1802" width="1.5703125" style="1259" customWidth="1"/>
    <col min="1803" max="1803" width="12.28515625" style="1259" customWidth="1"/>
    <col min="1804" max="1804" width="1.5703125" style="1259" customWidth="1"/>
    <col min="1805" max="1805" width="13.5703125" style="1259" customWidth="1"/>
    <col min="1806" max="1806" width="0.85546875" style="1259" customWidth="1"/>
    <col min="1807" max="1807" width="12.28515625" style="1259" customWidth="1"/>
    <col min="1808" max="1808" width="1.5703125" style="1259" customWidth="1"/>
    <col min="1809" max="1809" width="12.28515625" style="1259" customWidth="1"/>
    <col min="1810" max="1810" width="1.5703125" style="1259" customWidth="1"/>
    <col min="1811" max="1811" width="12.28515625" style="1259" customWidth="1"/>
    <col min="1812" max="1812" width="0.85546875" style="1259" customWidth="1"/>
    <col min="1813" max="1813" width="12.28515625" style="1259" customWidth="1"/>
    <col min="1814" max="1814" width="1.5703125" style="1259" customWidth="1"/>
    <col min="1815" max="1815" width="12.28515625" style="1259" customWidth="1"/>
    <col min="1816" max="1816" width="1.5703125" style="1259" customWidth="1"/>
    <col min="1817" max="1817" width="12.28515625" style="1259" customWidth="1"/>
    <col min="1818" max="1818" width="0.85546875" style="1259" customWidth="1"/>
    <col min="1819" max="1819" width="12.28515625" style="1259" customWidth="1"/>
    <col min="1820" max="1820" width="1.5703125" style="1259" customWidth="1"/>
    <col min="1821" max="1821" width="12.28515625" style="1259" customWidth="1"/>
    <col min="1822" max="1822" width="1.5703125" style="1259" customWidth="1"/>
    <col min="1823" max="1823" width="12.28515625" style="1259" customWidth="1"/>
    <col min="1824" max="1824" width="4.5703125" style="1259" customWidth="1"/>
    <col min="1825" max="1825" width="1.42578125" style="1259" customWidth="1"/>
    <col min="1826" max="2048" width="13.85546875" style="1259"/>
    <col min="2049" max="2049" width="7.85546875" style="1259" customWidth="1"/>
    <col min="2050" max="2051" width="2.28515625" style="1259" customWidth="1"/>
    <col min="2052" max="2052" width="31.42578125" style="1259" customWidth="1"/>
    <col min="2053" max="2053" width="2.28515625" style="1259" customWidth="1"/>
    <col min="2054" max="2054" width="2.140625" style="1259" customWidth="1"/>
    <col min="2055" max="2055" width="12.28515625" style="1259" customWidth="1"/>
    <col min="2056" max="2056" width="1.5703125" style="1259" customWidth="1"/>
    <col min="2057" max="2057" width="12.28515625" style="1259" customWidth="1"/>
    <col min="2058" max="2058" width="1.5703125" style="1259" customWidth="1"/>
    <col min="2059" max="2059" width="12.28515625" style="1259" customWidth="1"/>
    <col min="2060" max="2060" width="1.5703125" style="1259" customWidth="1"/>
    <col min="2061" max="2061" width="13.5703125" style="1259" customWidth="1"/>
    <col min="2062" max="2062" width="0.85546875" style="1259" customWidth="1"/>
    <col min="2063" max="2063" width="12.28515625" style="1259" customWidth="1"/>
    <col min="2064" max="2064" width="1.5703125" style="1259" customWidth="1"/>
    <col min="2065" max="2065" width="12.28515625" style="1259" customWidth="1"/>
    <col min="2066" max="2066" width="1.5703125" style="1259" customWidth="1"/>
    <col min="2067" max="2067" width="12.28515625" style="1259" customWidth="1"/>
    <col min="2068" max="2068" width="0.85546875" style="1259" customWidth="1"/>
    <col min="2069" max="2069" width="12.28515625" style="1259" customWidth="1"/>
    <col min="2070" max="2070" width="1.5703125" style="1259" customWidth="1"/>
    <col min="2071" max="2071" width="12.28515625" style="1259" customWidth="1"/>
    <col min="2072" max="2072" width="1.5703125" style="1259" customWidth="1"/>
    <col min="2073" max="2073" width="12.28515625" style="1259" customWidth="1"/>
    <col min="2074" max="2074" width="0.85546875" style="1259" customWidth="1"/>
    <col min="2075" max="2075" width="12.28515625" style="1259" customWidth="1"/>
    <col min="2076" max="2076" width="1.5703125" style="1259" customWidth="1"/>
    <col min="2077" max="2077" width="12.28515625" style="1259" customWidth="1"/>
    <col min="2078" max="2078" width="1.5703125" style="1259" customWidth="1"/>
    <col min="2079" max="2079" width="12.28515625" style="1259" customWidth="1"/>
    <col min="2080" max="2080" width="4.5703125" style="1259" customWidth="1"/>
    <col min="2081" max="2081" width="1.42578125" style="1259" customWidth="1"/>
    <col min="2082" max="2304" width="13.85546875" style="1259"/>
    <col min="2305" max="2305" width="7.85546875" style="1259" customWidth="1"/>
    <col min="2306" max="2307" width="2.28515625" style="1259" customWidth="1"/>
    <col min="2308" max="2308" width="31.42578125" style="1259" customWidth="1"/>
    <col min="2309" max="2309" width="2.28515625" style="1259" customWidth="1"/>
    <col min="2310" max="2310" width="2.140625" style="1259" customWidth="1"/>
    <col min="2311" max="2311" width="12.28515625" style="1259" customWidth="1"/>
    <col min="2312" max="2312" width="1.5703125" style="1259" customWidth="1"/>
    <col min="2313" max="2313" width="12.28515625" style="1259" customWidth="1"/>
    <col min="2314" max="2314" width="1.5703125" style="1259" customWidth="1"/>
    <col min="2315" max="2315" width="12.28515625" style="1259" customWidth="1"/>
    <col min="2316" max="2316" width="1.5703125" style="1259" customWidth="1"/>
    <col min="2317" max="2317" width="13.5703125" style="1259" customWidth="1"/>
    <col min="2318" max="2318" width="0.85546875" style="1259" customWidth="1"/>
    <col min="2319" max="2319" width="12.28515625" style="1259" customWidth="1"/>
    <col min="2320" max="2320" width="1.5703125" style="1259" customWidth="1"/>
    <col min="2321" max="2321" width="12.28515625" style="1259" customWidth="1"/>
    <col min="2322" max="2322" width="1.5703125" style="1259" customWidth="1"/>
    <col min="2323" max="2323" width="12.28515625" style="1259" customWidth="1"/>
    <col min="2324" max="2324" width="0.85546875" style="1259" customWidth="1"/>
    <col min="2325" max="2325" width="12.28515625" style="1259" customWidth="1"/>
    <col min="2326" max="2326" width="1.5703125" style="1259" customWidth="1"/>
    <col min="2327" max="2327" width="12.28515625" style="1259" customWidth="1"/>
    <col min="2328" max="2328" width="1.5703125" style="1259" customWidth="1"/>
    <col min="2329" max="2329" width="12.28515625" style="1259" customWidth="1"/>
    <col min="2330" max="2330" width="0.85546875" style="1259" customWidth="1"/>
    <col min="2331" max="2331" width="12.28515625" style="1259" customWidth="1"/>
    <col min="2332" max="2332" width="1.5703125" style="1259" customWidth="1"/>
    <col min="2333" max="2333" width="12.28515625" style="1259" customWidth="1"/>
    <col min="2334" max="2334" width="1.5703125" style="1259" customWidth="1"/>
    <col min="2335" max="2335" width="12.28515625" style="1259" customWidth="1"/>
    <col min="2336" max="2336" width="4.5703125" style="1259" customWidth="1"/>
    <col min="2337" max="2337" width="1.42578125" style="1259" customWidth="1"/>
    <col min="2338" max="2560" width="13.85546875" style="1259"/>
    <col min="2561" max="2561" width="7.85546875" style="1259" customWidth="1"/>
    <col min="2562" max="2563" width="2.28515625" style="1259" customWidth="1"/>
    <col min="2564" max="2564" width="31.42578125" style="1259" customWidth="1"/>
    <col min="2565" max="2565" width="2.28515625" style="1259" customWidth="1"/>
    <col min="2566" max="2566" width="2.140625" style="1259" customWidth="1"/>
    <col min="2567" max="2567" width="12.28515625" style="1259" customWidth="1"/>
    <col min="2568" max="2568" width="1.5703125" style="1259" customWidth="1"/>
    <col min="2569" max="2569" width="12.28515625" style="1259" customWidth="1"/>
    <col min="2570" max="2570" width="1.5703125" style="1259" customWidth="1"/>
    <col min="2571" max="2571" width="12.28515625" style="1259" customWidth="1"/>
    <col min="2572" max="2572" width="1.5703125" style="1259" customWidth="1"/>
    <col min="2573" max="2573" width="13.5703125" style="1259" customWidth="1"/>
    <col min="2574" max="2574" width="0.85546875" style="1259" customWidth="1"/>
    <col min="2575" max="2575" width="12.28515625" style="1259" customWidth="1"/>
    <col min="2576" max="2576" width="1.5703125" style="1259" customWidth="1"/>
    <col min="2577" max="2577" width="12.28515625" style="1259" customWidth="1"/>
    <col min="2578" max="2578" width="1.5703125" style="1259" customWidth="1"/>
    <col min="2579" max="2579" width="12.28515625" style="1259" customWidth="1"/>
    <col min="2580" max="2580" width="0.85546875" style="1259" customWidth="1"/>
    <col min="2581" max="2581" width="12.28515625" style="1259" customWidth="1"/>
    <col min="2582" max="2582" width="1.5703125" style="1259" customWidth="1"/>
    <col min="2583" max="2583" width="12.28515625" style="1259" customWidth="1"/>
    <col min="2584" max="2584" width="1.5703125" style="1259" customWidth="1"/>
    <col min="2585" max="2585" width="12.28515625" style="1259" customWidth="1"/>
    <col min="2586" max="2586" width="0.85546875" style="1259" customWidth="1"/>
    <col min="2587" max="2587" width="12.28515625" style="1259" customWidth="1"/>
    <col min="2588" max="2588" width="1.5703125" style="1259" customWidth="1"/>
    <col min="2589" max="2589" width="12.28515625" style="1259" customWidth="1"/>
    <col min="2590" max="2590" width="1.5703125" style="1259" customWidth="1"/>
    <col min="2591" max="2591" width="12.28515625" style="1259" customWidth="1"/>
    <col min="2592" max="2592" width="4.5703125" style="1259" customWidth="1"/>
    <col min="2593" max="2593" width="1.42578125" style="1259" customWidth="1"/>
    <col min="2594" max="2816" width="13.85546875" style="1259"/>
    <col min="2817" max="2817" width="7.85546875" style="1259" customWidth="1"/>
    <col min="2818" max="2819" width="2.28515625" style="1259" customWidth="1"/>
    <col min="2820" max="2820" width="31.42578125" style="1259" customWidth="1"/>
    <col min="2821" max="2821" width="2.28515625" style="1259" customWidth="1"/>
    <col min="2822" max="2822" width="2.140625" style="1259" customWidth="1"/>
    <col min="2823" max="2823" width="12.28515625" style="1259" customWidth="1"/>
    <col min="2824" max="2824" width="1.5703125" style="1259" customWidth="1"/>
    <col min="2825" max="2825" width="12.28515625" style="1259" customWidth="1"/>
    <col min="2826" max="2826" width="1.5703125" style="1259" customWidth="1"/>
    <col min="2827" max="2827" width="12.28515625" style="1259" customWidth="1"/>
    <col min="2828" max="2828" width="1.5703125" style="1259" customWidth="1"/>
    <col min="2829" max="2829" width="13.5703125" style="1259" customWidth="1"/>
    <col min="2830" max="2830" width="0.85546875" style="1259" customWidth="1"/>
    <col min="2831" max="2831" width="12.28515625" style="1259" customWidth="1"/>
    <col min="2832" max="2832" width="1.5703125" style="1259" customWidth="1"/>
    <col min="2833" max="2833" width="12.28515625" style="1259" customWidth="1"/>
    <col min="2834" max="2834" width="1.5703125" style="1259" customWidth="1"/>
    <col min="2835" max="2835" width="12.28515625" style="1259" customWidth="1"/>
    <col min="2836" max="2836" width="0.85546875" style="1259" customWidth="1"/>
    <col min="2837" max="2837" width="12.28515625" style="1259" customWidth="1"/>
    <col min="2838" max="2838" width="1.5703125" style="1259" customWidth="1"/>
    <col min="2839" max="2839" width="12.28515625" style="1259" customWidth="1"/>
    <col min="2840" max="2840" width="1.5703125" style="1259" customWidth="1"/>
    <col min="2841" max="2841" width="12.28515625" style="1259" customWidth="1"/>
    <col min="2842" max="2842" width="0.85546875" style="1259" customWidth="1"/>
    <col min="2843" max="2843" width="12.28515625" style="1259" customWidth="1"/>
    <col min="2844" max="2844" width="1.5703125" style="1259" customWidth="1"/>
    <col min="2845" max="2845" width="12.28515625" style="1259" customWidth="1"/>
    <col min="2846" max="2846" width="1.5703125" style="1259" customWidth="1"/>
    <col min="2847" max="2847" width="12.28515625" style="1259" customWidth="1"/>
    <col min="2848" max="2848" width="4.5703125" style="1259" customWidth="1"/>
    <col min="2849" max="2849" width="1.42578125" style="1259" customWidth="1"/>
    <col min="2850" max="3072" width="13.85546875" style="1259"/>
    <col min="3073" max="3073" width="7.85546875" style="1259" customWidth="1"/>
    <col min="3074" max="3075" width="2.28515625" style="1259" customWidth="1"/>
    <col min="3076" max="3076" width="31.42578125" style="1259" customWidth="1"/>
    <col min="3077" max="3077" width="2.28515625" style="1259" customWidth="1"/>
    <col min="3078" max="3078" width="2.140625" style="1259" customWidth="1"/>
    <col min="3079" max="3079" width="12.28515625" style="1259" customWidth="1"/>
    <col min="3080" max="3080" width="1.5703125" style="1259" customWidth="1"/>
    <col min="3081" max="3081" width="12.28515625" style="1259" customWidth="1"/>
    <col min="3082" max="3082" width="1.5703125" style="1259" customWidth="1"/>
    <col min="3083" max="3083" width="12.28515625" style="1259" customWidth="1"/>
    <col min="3084" max="3084" width="1.5703125" style="1259" customWidth="1"/>
    <col min="3085" max="3085" width="13.5703125" style="1259" customWidth="1"/>
    <col min="3086" max="3086" width="0.85546875" style="1259" customWidth="1"/>
    <col min="3087" max="3087" width="12.28515625" style="1259" customWidth="1"/>
    <col min="3088" max="3088" width="1.5703125" style="1259" customWidth="1"/>
    <col min="3089" max="3089" width="12.28515625" style="1259" customWidth="1"/>
    <col min="3090" max="3090" width="1.5703125" style="1259" customWidth="1"/>
    <col min="3091" max="3091" width="12.28515625" style="1259" customWidth="1"/>
    <col min="3092" max="3092" width="0.85546875" style="1259" customWidth="1"/>
    <col min="3093" max="3093" width="12.28515625" style="1259" customWidth="1"/>
    <col min="3094" max="3094" width="1.5703125" style="1259" customWidth="1"/>
    <col min="3095" max="3095" width="12.28515625" style="1259" customWidth="1"/>
    <col min="3096" max="3096" width="1.5703125" style="1259" customWidth="1"/>
    <col min="3097" max="3097" width="12.28515625" style="1259" customWidth="1"/>
    <col min="3098" max="3098" width="0.85546875" style="1259" customWidth="1"/>
    <col min="3099" max="3099" width="12.28515625" style="1259" customWidth="1"/>
    <col min="3100" max="3100" width="1.5703125" style="1259" customWidth="1"/>
    <col min="3101" max="3101" width="12.28515625" style="1259" customWidth="1"/>
    <col min="3102" max="3102" width="1.5703125" style="1259" customWidth="1"/>
    <col min="3103" max="3103" width="12.28515625" style="1259" customWidth="1"/>
    <col min="3104" max="3104" width="4.5703125" style="1259" customWidth="1"/>
    <col min="3105" max="3105" width="1.42578125" style="1259" customWidth="1"/>
    <col min="3106" max="3328" width="13.85546875" style="1259"/>
    <col min="3329" max="3329" width="7.85546875" style="1259" customWidth="1"/>
    <col min="3330" max="3331" width="2.28515625" style="1259" customWidth="1"/>
    <col min="3332" max="3332" width="31.42578125" style="1259" customWidth="1"/>
    <col min="3333" max="3333" width="2.28515625" style="1259" customWidth="1"/>
    <col min="3334" max="3334" width="2.140625" style="1259" customWidth="1"/>
    <col min="3335" max="3335" width="12.28515625" style="1259" customWidth="1"/>
    <col min="3336" max="3336" width="1.5703125" style="1259" customWidth="1"/>
    <col min="3337" max="3337" width="12.28515625" style="1259" customWidth="1"/>
    <col min="3338" max="3338" width="1.5703125" style="1259" customWidth="1"/>
    <col min="3339" max="3339" width="12.28515625" style="1259" customWidth="1"/>
    <col min="3340" max="3340" width="1.5703125" style="1259" customWidth="1"/>
    <col min="3341" max="3341" width="13.5703125" style="1259" customWidth="1"/>
    <col min="3342" max="3342" width="0.85546875" style="1259" customWidth="1"/>
    <col min="3343" max="3343" width="12.28515625" style="1259" customWidth="1"/>
    <col min="3344" max="3344" width="1.5703125" style="1259" customWidth="1"/>
    <col min="3345" max="3345" width="12.28515625" style="1259" customWidth="1"/>
    <col min="3346" max="3346" width="1.5703125" style="1259" customWidth="1"/>
    <col min="3347" max="3347" width="12.28515625" style="1259" customWidth="1"/>
    <col min="3348" max="3348" width="0.85546875" style="1259" customWidth="1"/>
    <col min="3349" max="3349" width="12.28515625" style="1259" customWidth="1"/>
    <col min="3350" max="3350" width="1.5703125" style="1259" customWidth="1"/>
    <col min="3351" max="3351" width="12.28515625" style="1259" customWidth="1"/>
    <col min="3352" max="3352" width="1.5703125" style="1259" customWidth="1"/>
    <col min="3353" max="3353" width="12.28515625" style="1259" customWidth="1"/>
    <col min="3354" max="3354" width="0.85546875" style="1259" customWidth="1"/>
    <col min="3355" max="3355" width="12.28515625" style="1259" customWidth="1"/>
    <col min="3356" max="3356" width="1.5703125" style="1259" customWidth="1"/>
    <col min="3357" max="3357" width="12.28515625" style="1259" customWidth="1"/>
    <col min="3358" max="3358" width="1.5703125" style="1259" customWidth="1"/>
    <col min="3359" max="3359" width="12.28515625" style="1259" customWidth="1"/>
    <col min="3360" max="3360" width="4.5703125" style="1259" customWidth="1"/>
    <col min="3361" max="3361" width="1.42578125" style="1259" customWidth="1"/>
    <col min="3362" max="3584" width="13.85546875" style="1259"/>
    <col min="3585" max="3585" width="7.85546875" style="1259" customWidth="1"/>
    <col min="3586" max="3587" width="2.28515625" style="1259" customWidth="1"/>
    <col min="3588" max="3588" width="31.42578125" style="1259" customWidth="1"/>
    <col min="3589" max="3589" width="2.28515625" style="1259" customWidth="1"/>
    <col min="3590" max="3590" width="2.140625" style="1259" customWidth="1"/>
    <col min="3591" max="3591" width="12.28515625" style="1259" customWidth="1"/>
    <col min="3592" max="3592" width="1.5703125" style="1259" customWidth="1"/>
    <col min="3593" max="3593" width="12.28515625" style="1259" customWidth="1"/>
    <col min="3594" max="3594" width="1.5703125" style="1259" customWidth="1"/>
    <col min="3595" max="3595" width="12.28515625" style="1259" customWidth="1"/>
    <col min="3596" max="3596" width="1.5703125" style="1259" customWidth="1"/>
    <col min="3597" max="3597" width="13.5703125" style="1259" customWidth="1"/>
    <col min="3598" max="3598" width="0.85546875" style="1259" customWidth="1"/>
    <col min="3599" max="3599" width="12.28515625" style="1259" customWidth="1"/>
    <col min="3600" max="3600" width="1.5703125" style="1259" customWidth="1"/>
    <col min="3601" max="3601" width="12.28515625" style="1259" customWidth="1"/>
    <col min="3602" max="3602" width="1.5703125" style="1259" customWidth="1"/>
    <col min="3603" max="3603" width="12.28515625" style="1259" customWidth="1"/>
    <col min="3604" max="3604" width="0.85546875" style="1259" customWidth="1"/>
    <col min="3605" max="3605" width="12.28515625" style="1259" customWidth="1"/>
    <col min="3606" max="3606" width="1.5703125" style="1259" customWidth="1"/>
    <col min="3607" max="3607" width="12.28515625" style="1259" customWidth="1"/>
    <col min="3608" max="3608" width="1.5703125" style="1259" customWidth="1"/>
    <col min="3609" max="3609" width="12.28515625" style="1259" customWidth="1"/>
    <col min="3610" max="3610" width="0.85546875" style="1259" customWidth="1"/>
    <col min="3611" max="3611" width="12.28515625" style="1259" customWidth="1"/>
    <col min="3612" max="3612" width="1.5703125" style="1259" customWidth="1"/>
    <col min="3613" max="3613" width="12.28515625" style="1259" customWidth="1"/>
    <col min="3614" max="3614" width="1.5703125" style="1259" customWidth="1"/>
    <col min="3615" max="3615" width="12.28515625" style="1259" customWidth="1"/>
    <col min="3616" max="3616" width="4.5703125" style="1259" customWidth="1"/>
    <col min="3617" max="3617" width="1.42578125" style="1259" customWidth="1"/>
    <col min="3618" max="3840" width="13.85546875" style="1259"/>
    <col min="3841" max="3841" width="7.85546875" style="1259" customWidth="1"/>
    <col min="3842" max="3843" width="2.28515625" style="1259" customWidth="1"/>
    <col min="3844" max="3844" width="31.42578125" style="1259" customWidth="1"/>
    <col min="3845" max="3845" width="2.28515625" style="1259" customWidth="1"/>
    <col min="3846" max="3846" width="2.140625" style="1259" customWidth="1"/>
    <col min="3847" max="3847" width="12.28515625" style="1259" customWidth="1"/>
    <col min="3848" max="3848" width="1.5703125" style="1259" customWidth="1"/>
    <col min="3849" max="3849" width="12.28515625" style="1259" customWidth="1"/>
    <col min="3850" max="3850" width="1.5703125" style="1259" customWidth="1"/>
    <col min="3851" max="3851" width="12.28515625" style="1259" customWidth="1"/>
    <col min="3852" max="3852" width="1.5703125" style="1259" customWidth="1"/>
    <col min="3853" max="3853" width="13.5703125" style="1259" customWidth="1"/>
    <col min="3854" max="3854" width="0.85546875" style="1259" customWidth="1"/>
    <col min="3855" max="3855" width="12.28515625" style="1259" customWidth="1"/>
    <col min="3856" max="3856" width="1.5703125" style="1259" customWidth="1"/>
    <col min="3857" max="3857" width="12.28515625" style="1259" customWidth="1"/>
    <col min="3858" max="3858" width="1.5703125" style="1259" customWidth="1"/>
    <col min="3859" max="3859" width="12.28515625" style="1259" customWidth="1"/>
    <col min="3860" max="3860" width="0.85546875" style="1259" customWidth="1"/>
    <col min="3861" max="3861" width="12.28515625" style="1259" customWidth="1"/>
    <col min="3862" max="3862" width="1.5703125" style="1259" customWidth="1"/>
    <col min="3863" max="3863" width="12.28515625" style="1259" customWidth="1"/>
    <col min="3864" max="3864" width="1.5703125" style="1259" customWidth="1"/>
    <col min="3865" max="3865" width="12.28515625" style="1259" customWidth="1"/>
    <col min="3866" max="3866" width="0.85546875" style="1259" customWidth="1"/>
    <col min="3867" max="3867" width="12.28515625" style="1259" customWidth="1"/>
    <col min="3868" max="3868" width="1.5703125" style="1259" customWidth="1"/>
    <col min="3869" max="3869" width="12.28515625" style="1259" customWidth="1"/>
    <col min="3870" max="3870" width="1.5703125" style="1259" customWidth="1"/>
    <col min="3871" max="3871" width="12.28515625" style="1259" customWidth="1"/>
    <col min="3872" max="3872" width="4.5703125" style="1259" customWidth="1"/>
    <col min="3873" max="3873" width="1.42578125" style="1259" customWidth="1"/>
    <col min="3874" max="4096" width="13.85546875" style="1259"/>
    <col min="4097" max="4097" width="7.85546875" style="1259" customWidth="1"/>
    <col min="4098" max="4099" width="2.28515625" style="1259" customWidth="1"/>
    <col min="4100" max="4100" width="31.42578125" style="1259" customWidth="1"/>
    <col min="4101" max="4101" width="2.28515625" style="1259" customWidth="1"/>
    <col min="4102" max="4102" width="2.140625" style="1259" customWidth="1"/>
    <col min="4103" max="4103" width="12.28515625" style="1259" customWidth="1"/>
    <col min="4104" max="4104" width="1.5703125" style="1259" customWidth="1"/>
    <col min="4105" max="4105" width="12.28515625" style="1259" customWidth="1"/>
    <col min="4106" max="4106" width="1.5703125" style="1259" customWidth="1"/>
    <col min="4107" max="4107" width="12.28515625" style="1259" customWidth="1"/>
    <col min="4108" max="4108" width="1.5703125" style="1259" customWidth="1"/>
    <col min="4109" max="4109" width="13.5703125" style="1259" customWidth="1"/>
    <col min="4110" max="4110" width="0.85546875" style="1259" customWidth="1"/>
    <col min="4111" max="4111" width="12.28515625" style="1259" customWidth="1"/>
    <col min="4112" max="4112" width="1.5703125" style="1259" customWidth="1"/>
    <col min="4113" max="4113" width="12.28515625" style="1259" customWidth="1"/>
    <col min="4114" max="4114" width="1.5703125" style="1259" customWidth="1"/>
    <col min="4115" max="4115" width="12.28515625" style="1259" customWidth="1"/>
    <col min="4116" max="4116" width="0.85546875" style="1259" customWidth="1"/>
    <col min="4117" max="4117" width="12.28515625" style="1259" customWidth="1"/>
    <col min="4118" max="4118" width="1.5703125" style="1259" customWidth="1"/>
    <col min="4119" max="4119" width="12.28515625" style="1259" customWidth="1"/>
    <col min="4120" max="4120" width="1.5703125" style="1259" customWidth="1"/>
    <col min="4121" max="4121" width="12.28515625" style="1259" customWidth="1"/>
    <col min="4122" max="4122" width="0.85546875" style="1259" customWidth="1"/>
    <col min="4123" max="4123" width="12.28515625" style="1259" customWidth="1"/>
    <col min="4124" max="4124" width="1.5703125" style="1259" customWidth="1"/>
    <col min="4125" max="4125" width="12.28515625" style="1259" customWidth="1"/>
    <col min="4126" max="4126" width="1.5703125" style="1259" customWidth="1"/>
    <col min="4127" max="4127" width="12.28515625" style="1259" customWidth="1"/>
    <col min="4128" max="4128" width="4.5703125" style="1259" customWidth="1"/>
    <col min="4129" max="4129" width="1.42578125" style="1259" customWidth="1"/>
    <col min="4130" max="4352" width="13.85546875" style="1259"/>
    <col min="4353" max="4353" width="7.85546875" style="1259" customWidth="1"/>
    <col min="4354" max="4355" width="2.28515625" style="1259" customWidth="1"/>
    <col min="4356" max="4356" width="31.42578125" style="1259" customWidth="1"/>
    <col min="4357" max="4357" width="2.28515625" style="1259" customWidth="1"/>
    <col min="4358" max="4358" width="2.140625" style="1259" customWidth="1"/>
    <col min="4359" max="4359" width="12.28515625" style="1259" customWidth="1"/>
    <col min="4360" max="4360" width="1.5703125" style="1259" customWidth="1"/>
    <col min="4361" max="4361" width="12.28515625" style="1259" customWidth="1"/>
    <col min="4362" max="4362" width="1.5703125" style="1259" customWidth="1"/>
    <col min="4363" max="4363" width="12.28515625" style="1259" customWidth="1"/>
    <col min="4364" max="4364" width="1.5703125" style="1259" customWidth="1"/>
    <col min="4365" max="4365" width="13.5703125" style="1259" customWidth="1"/>
    <col min="4366" max="4366" width="0.85546875" style="1259" customWidth="1"/>
    <col min="4367" max="4367" width="12.28515625" style="1259" customWidth="1"/>
    <col min="4368" max="4368" width="1.5703125" style="1259" customWidth="1"/>
    <col min="4369" max="4369" width="12.28515625" style="1259" customWidth="1"/>
    <col min="4370" max="4370" width="1.5703125" style="1259" customWidth="1"/>
    <col min="4371" max="4371" width="12.28515625" style="1259" customWidth="1"/>
    <col min="4372" max="4372" width="0.85546875" style="1259" customWidth="1"/>
    <col min="4373" max="4373" width="12.28515625" style="1259" customWidth="1"/>
    <col min="4374" max="4374" width="1.5703125" style="1259" customWidth="1"/>
    <col min="4375" max="4375" width="12.28515625" style="1259" customWidth="1"/>
    <col min="4376" max="4376" width="1.5703125" style="1259" customWidth="1"/>
    <col min="4377" max="4377" width="12.28515625" style="1259" customWidth="1"/>
    <col min="4378" max="4378" width="0.85546875" style="1259" customWidth="1"/>
    <col min="4379" max="4379" width="12.28515625" style="1259" customWidth="1"/>
    <col min="4380" max="4380" width="1.5703125" style="1259" customWidth="1"/>
    <col min="4381" max="4381" width="12.28515625" style="1259" customWidth="1"/>
    <col min="4382" max="4382" width="1.5703125" style="1259" customWidth="1"/>
    <col min="4383" max="4383" width="12.28515625" style="1259" customWidth="1"/>
    <col min="4384" max="4384" width="4.5703125" style="1259" customWidth="1"/>
    <col min="4385" max="4385" width="1.42578125" style="1259" customWidth="1"/>
    <col min="4386" max="4608" width="13.85546875" style="1259"/>
    <col min="4609" max="4609" width="7.85546875" style="1259" customWidth="1"/>
    <col min="4610" max="4611" width="2.28515625" style="1259" customWidth="1"/>
    <col min="4612" max="4612" width="31.42578125" style="1259" customWidth="1"/>
    <col min="4613" max="4613" width="2.28515625" style="1259" customWidth="1"/>
    <col min="4614" max="4614" width="2.140625" style="1259" customWidth="1"/>
    <col min="4615" max="4615" width="12.28515625" style="1259" customWidth="1"/>
    <col min="4616" max="4616" width="1.5703125" style="1259" customWidth="1"/>
    <col min="4617" max="4617" width="12.28515625" style="1259" customWidth="1"/>
    <col min="4618" max="4618" width="1.5703125" style="1259" customWidth="1"/>
    <col min="4619" max="4619" width="12.28515625" style="1259" customWidth="1"/>
    <col min="4620" max="4620" width="1.5703125" style="1259" customWidth="1"/>
    <col min="4621" max="4621" width="13.5703125" style="1259" customWidth="1"/>
    <col min="4622" max="4622" width="0.85546875" style="1259" customWidth="1"/>
    <col min="4623" max="4623" width="12.28515625" style="1259" customWidth="1"/>
    <col min="4624" max="4624" width="1.5703125" style="1259" customWidth="1"/>
    <col min="4625" max="4625" width="12.28515625" style="1259" customWidth="1"/>
    <col min="4626" max="4626" width="1.5703125" style="1259" customWidth="1"/>
    <col min="4627" max="4627" width="12.28515625" style="1259" customWidth="1"/>
    <col min="4628" max="4628" width="0.85546875" style="1259" customWidth="1"/>
    <col min="4629" max="4629" width="12.28515625" style="1259" customWidth="1"/>
    <col min="4630" max="4630" width="1.5703125" style="1259" customWidth="1"/>
    <col min="4631" max="4631" width="12.28515625" style="1259" customWidth="1"/>
    <col min="4632" max="4632" width="1.5703125" style="1259" customWidth="1"/>
    <col min="4633" max="4633" width="12.28515625" style="1259" customWidth="1"/>
    <col min="4634" max="4634" width="0.85546875" style="1259" customWidth="1"/>
    <col min="4635" max="4635" width="12.28515625" style="1259" customWidth="1"/>
    <col min="4636" max="4636" width="1.5703125" style="1259" customWidth="1"/>
    <col min="4637" max="4637" width="12.28515625" style="1259" customWidth="1"/>
    <col min="4638" max="4638" width="1.5703125" style="1259" customWidth="1"/>
    <col min="4639" max="4639" width="12.28515625" style="1259" customWidth="1"/>
    <col min="4640" max="4640" width="4.5703125" style="1259" customWidth="1"/>
    <col min="4641" max="4641" width="1.42578125" style="1259" customWidth="1"/>
    <col min="4642" max="4864" width="13.85546875" style="1259"/>
    <col min="4865" max="4865" width="7.85546875" style="1259" customWidth="1"/>
    <col min="4866" max="4867" width="2.28515625" style="1259" customWidth="1"/>
    <col min="4868" max="4868" width="31.42578125" style="1259" customWidth="1"/>
    <col min="4869" max="4869" width="2.28515625" style="1259" customWidth="1"/>
    <col min="4870" max="4870" width="2.140625" style="1259" customWidth="1"/>
    <col min="4871" max="4871" width="12.28515625" style="1259" customWidth="1"/>
    <col min="4872" max="4872" width="1.5703125" style="1259" customWidth="1"/>
    <col min="4873" max="4873" width="12.28515625" style="1259" customWidth="1"/>
    <col min="4874" max="4874" width="1.5703125" style="1259" customWidth="1"/>
    <col min="4875" max="4875" width="12.28515625" style="1259" customWidth="1"/>
    <col min="4876" max="4876" width="1.5703125" style="1259" customWidth="1"/>
    <col min="4877" max="4877" width="13.5703125" style="1259" customWidth="1"/>
    <col min="4878" max="4878" width="0.85546875" style="1259" customWidth="1"/>
    <col min="4879" max="4879" width="12.28515625" style="1259" customWidth="1"/>
    <col min="4880" max="4880" width="1.5703125" style="1259" customWidth="1"/>
    <col min="4881" max="4881" width="12.28515625" style="1259" customWidth="1"/>
    <col min="4882" max="4882" width="1.5703125" style="1259" customWidth="1"/>
    <col min="4883" max="4883" width="12.28515625" style="1259" customWidth="1"/>
    <col min="4884" max="4884" width="0.85546875" style="1259" customWidth="1"/>
    <col min="4885" max="4885" width="12.28515625" style="1259" customWidth="1"/>
    <col min="4886" max="4886" width="1.5703125" style="1259" customWidth="1"/>
    <col min="4887" max="4887" width="12.28515625" style="1259" customWidth="1"/>
    <col min="4888" max="4888" width="1.5703125" style="1259" customWidth="1"/>
    <col min="4889" max="4889" width="12.28515625" style="1259" customWidth="1"/>
    <col min="4890" max="4890" width="0.85546875" style="1259" customWidth="1"/>
    <col min="4891" max="4891" width="12.28515625" style="1259" customWidth="1"/>
    <col min="4892" max="4892" width="1.5703125" style="1259" customWidth="1"/>
    <col min="4893" max="4893" width="12.28515625" style="1259" customWidth="1"/>
    <col min="4894" max="4894" width="1.5703125" style="1259" customWidth="1"/>
    <col min="4895" max="4895" width="12.28515625" style="1259" customWidth="1"/>
    <col min="4896" max="4896" width="4.5703125" style="1259" customWidth="1"/>
    <col min="4897" max="4897" width="1.42578125" style="1259" customWidth="1"/>
    <col min="4898" max="5120" width="13.85546875" style="1259"/>
    <col min="5121" max="5121" width="7.85546875" style="1259" customWidth="1"/>
    <col min="5122" max="5123" width="2.28515625" style="1259" customWidth="1"/>
    <col min="5124" max="5124" width="31.42578125" style="1259" customWidth="1"/>
    <col min="5125" max="5125" width="2.28515625" style="1259" customWidth="1"/>
    <col min="5126" max="5126" width="2.140625" style="1259" customWidth="1"/>
    <col min="5127" max="5127" width="12.28515625" style="1259" customWidth="1"/>
    <col min="5128" max="5128" width="1.5703125" style="1259" customWidth="1"/>
    <col min="5129" max="5129" width="12.28515625" style="1259" customWidth="1"/>
    <col min="5130" max="5130" width="1.5703125" style="1259" customWidth="1"/>
    <col min="5131" max="5131" width="12.28515625" style="1259" customWidth="1"/>
    <col min="5132" max="5132" width="1.5703125" style="1259" customWidth="1"/>
    <col min="5133" max="5133" width="13.5703125" style="1259" customWidth="1"/>
    <col min="5134" max="5134" width="0.85546875" style="1259" customWidth="1"/>
    <col min="5135" max="5135" width="12.28515625" style="1259" customWidth="1"/>
    <col min="5136" max="5136" width="1.5703125" style="1259" customWidth="1"/>
    <col min="5137" max="5137" width="12.28515625" style="1259" customWidth="1"/>
    <col min="5138" max="5138" width="1.5703125" style="1259" customWidth="1"/>
    <col min="5139" max="5139" width="12.28515625" style="1259" customWidth="1"/>
    <col min="5140" max="5140" width="0.85546875" style="1259" customWidth="1"/>
    <col min="5141" max="5141" width="12.28515625" style="1259" customWidth="1"/>
    <col min="5142" max="5142" width="1.5703125" style="1259" customWidth="1"/>
    <col min="5143" max="5143" width="12.28515625" style="1259" customWidth="1"/>
    <col min="5144" max="5144" width="1.5703125" style="1259" customWidth="1"/>
    <col min="5145" max="5145" width="12.28515625" style="1259" customWidth="1"/>
    <col min="5146" max="5146" width="0.85546875" style="1259" customWidth="1"/>
    <col min="5147" max="5147" width="12.28515625" style="1259" customWidth="1"/>
    <col min="5148" max="5148" width="1.5703125" style="1259" customWidth="1"/>
    <col min="5149" max="5149" width="12.28515625" style="1259" customWidth="1"/>
    <col min="5150" max="5150" width="1.5703125" style="1259" customWidth="1"/>
    <col min="5151" max="5151" width="12.28515625" style="1259" customWidth="1"/>
    <col min="5152" max="5152" width="4.5703125" style="1259" customWidth="1"/>
    <col min="5153" max="5153" width="1.42578125" style="1259" customWidth="1"/>
    <col min="5154" max="5376" width="13.85546875" style="1259"/>
    <col min="5377" max="5377" width="7.85546875" style="1259" customWidth="1"/>
    <col min="5378" max="5379" width="2.28515625" style="1259" customWidth="1"/>
    <col min="5380" max="5380" width="31.42578125" style="1259" customWidth="1"/>
    <col min="5381" max="5381" width="2.28515625" style="1259" customWidth="1"/>
    <col min="5382" max="5382" width="2.140625" style="1259" customWidth="1"/>
    <col min="5383" max="5383" width="12.28515625" style="1259" customWidth="1"/>
    <col min="5384" max="5384" width="1.5703125" style="1259" customWidth="1"/>
    <col min="5385" max="5385" width="12.28515625" style="1259" customWidth="1"/>
    <col min="5386" max="5386" width="1.5703125" style="1259" customWidth="1"/>
    <col min="5387" max="5387" width="12.28515625" style="1259" customWidth="1"/>
    <col min="5388" max="5388" width="1.5703125" style="1259" customWidth="1"/>
    <col min="5389" max="5389" width="13.5703125" style="1259" customWidth="1"/>
    <col min="5390" max="5390" width="0.85546875" style="1259" customWidth="1"/>
    <col min="5391" max="5391" width="12.28515625" style="1259" customWidth="1"/>
    <col min="5392" max="5392" width="1.5703125" style="1259" customWidth="1"/>
    <col min="5393" max="5393" width="12.28515625" style="1259" customWidth="1"/>
    <col min="5394" max="5394" width="1.5703125" style="1259" customWidth="1"/>
    <col min="5395" max="5395" width="12.28515625" style="1259" customWidth="1"/>
    <col min="5396" max="5396" width="0.85546875" style="1259" customWidth="1"/>
    <col min="5397" max="5397" width="12.28515625" style="1259" customWidth="1"/>
    <col min="5398" max="5398" width="1.5703125" style="1259" customWidth="1"/>
    <col min="5399" max="5399" width="12.28515625" style="1259" customWidth="1"/>
    <col min="5400" max="5400" width="1.5703125" style="1259" customWidth="1"/>
    <col min="5401" max="5401" width="12.28515625" style="1259" customWidth="1"/>
    <col min="5402" max="5402" width="0.85546875" style="1259" customWidth="1"/>
    <col min="5403" max="5403" width="12.28515625" style="1259" customWidth="1"/>
    <col min="5404" max="5404" width="1.5703125" style="1259" customWidth="1"/>
    <col min="5405" max="5405" width="12.28515625" style="1259" customWidth="1"/>
    <col min="5406" max="5406" width="1.5703125" style="1259" customWidth="1"/>
    <col min="5407" max="5407" width="12.28515625" style="1259" customWidth="1"/>
    <col min="5408" max="5408" width="4.5703125" style="1259" customWidth="1"/>
    <col min="5409" max="5409" width="1.42578125" style="1259" customWidth="1"/>
    <col min="5410" max="5632" width="13.85546875" style="1259"/>
    <col min="5633" max="5633" width="7.85546875" style="1259" customWidth="1"/>
    <col min="5634" max="5635" width="2.28515625" style="1259" customWidth="1"/>
    <col min="5636" max="5636" width="31.42578125" style="1259" customWidth="1"/>
    <col min="5637" max="5637" width="2.28515625" style="1259" customWidth="1"/>
    <col min="5638" max="5638" width="2.140625" style="1259" customWidth="1"/>
    <col min="5639" max="5639" width="12.28515625" style="1259" customWidth="1"/>
    <col min="5640" max="5640" width="1.5703125" style="1259" customWidth="1"/>
    <col min="5641" max="5641" width="12.28515625" style="1259" customWidth="1"/>
    <col min="5642" max="5642" width="1.5703125" style="1259" customWidth="1"/>
    <col min="5643" max="5643" width="12.28515625" style="1259" customWidth="1"/>
    <col min="5644" max="5644" width="1.5703125" style="1259" customWidth="1"/>
    <col min="5645" max="5645" width="13.5703125" style="1259" customWidth="1"/>
    <col min="5646" max="5646" width="0.85546875" style="1259" customWidth="1"/>
    <col min="5647" max="5647" width="12.28515625" style="1259" customWidth="1"/>
    <col min="5648" max="5648" width="1.5703125" style="1259" customWidth="1"/>
    <col min="5649" max="5649" width="12.28515625" style="1259" customWidth="1"/>
    <col min="5650" max="5650" width="1.5703125" style="1259" customWidth="1"/>
    <col min="5651" max="5651" width="12.28515625" style="1259" customWidth="1"/>
    <col min="5652" max="5652" width="0.85546875" style="1259" customWidth="1"/>
    <col min="5653" max="5653" width="12.28515625" style="1259" customWidth="1"/>
    <col min="5654" max="5654" width="1.5703125" style="1259" customWidth="1"/>
    <col min="5655" max="5655" width="12.28515625" style="1259" customWidth="1"/>
    <col min="5656" max="5656" width="1.5703125" style="1259" customWidth="1"/>
    <col min="5657" max="5657" width="12.28515625" style="1259" customWidth="1"/>
    <col min="5658" max="5658" width="0.85546875" style="1259" customWidth="1"/>
    <col min="5659" max="5659" width="12.28515625" style="1259" customWidth="1"/>
    <col min="5660" max="5660" width="1.5703125" style="1259" customWidth="1"/>
    <col min="5661" max="5661" width="12.28515625" style="1259" customWidth="1"/>
    <col min="5662" max="5662" width="1.5703125" style="1259" customWidth="1"/>
    <col min="5663" max="5663" width="12.28515625" style="1259" customWidth="1"/>
    <col min="5664" max="5664" width="4.5703125" style="1259" customWidth="1"/>
    <col min="5665" max="5665" width="1.42578125" style="1259" customWidth="1"/>
    <col min="5666" max="5888" width="13.85546875" style="1259"/>
    <col min="5889" max="5889" width="7.85546875" style="1259" customWidth="1"/>
    <col min="5890" max="5891" width="2.28515625" style="1259" customWidth="1"/>
    <col min="5892" max="5892" width="31.42578125" style="1259" customWidth="1"/>
    <col min="5893" max="5893" width="2.28515625" style="1259" customWidth="1"/>
    <col min="5894" max="5894" width="2.140625" style="1259" customWidth="1"/>
    <col min="5895" max="5895" width="12.28515625" style="1259" customWidth="1"/>
    <col min="5896" max="5896" width="1.5703125" style="1259" customWidth="1"/>
    <col min="5897" max="5897" width="12.28515625" style="1259" customWidth="1"/>
    <col min="5898" max="5898" width="1.5703125" style="1259" customWidth="1"/>
    <col min="5899" max="5899" width="12.28515625" style="1259" customWidth="1"/>
    <col min="5900" max="5900" width="1.5703125" style="1259" customWidth="1"/>
    <col min="5901" max="5901" width="13.5703125" style="1259" customWidth="1"/>
    <col min="5902" max="5902" width="0.85546875" style="1259" customWidth="1"/>
    <col min="5903" max="5903" width="12.28515625" style="1259" customWidth="1"/>
    <col min="5904" max="5904" width="1.5703125" style="1259" customWidth="1"/>
    <col min="5905" max="5905" width="12.28515625" style="1259" customWidth="1"/>
    <col min="5906" max="5906" width="1.5703125" style="1259" customWidth="1"/>
    <col min="5907" max="5907" width="12.28515625" style="1259" customWidth="1"/>
    <col min="5908" max="5908" width="0.85546875" style="1259" customWidth="1"/>
    <col min="5909" max="5909" width="12.28515625" style="1259" customWidth="1"/>
    <col min="5910" max="5910" width="1.5703125" style="1259" customWidth="1"/>
    <col min="5911" max="5911" width="12.28515625" style="1259" customWidth="1"/>
    <col min="5912" max="5912" width="1.5703125" style="1259" customWidth="1"/>
    <col min="5913" max="5913" width="12.28515625" style="1259" customWidth="1"/>
    <col min="5914" max="5914" width="0.85546875" style="1259" customWidth="1"/>
    <col min="5915" max="5915" width="12.28515625" style="1259" customWidth="1"/>
    <col min="5916" max="5916" width="1.5703125" style="1259" customWidth="1"/>
    <col min="5917" max="5917" width="12.28515625" style="1259" customWidth="1"/>
    <col min="5918" max="5918" width="1.5703125" style="1259" customWidth="1"/>
    <col min="5919" max="5919" width="12.28515625" style="1259" customWidth="1"/>
    <col min="5920" max="5920" width="4.5703125" style="1259" customWidth="1"/>
    <col min="5921" max="5921" width="1.42578125" style="1259" customWidth="1"/>
    <col min="5922" max="6144" width="13.85546875" style="1259"/>
    <col min="6145" max="6145" width="7.85546875" style="1259" customWidth="1"/>
    <col min="6146" max="6147" width="2.28515625" style="1259" customWidth="1"/>
    <col min="6148" max="6148" width="31.42578125" style="1259" customWidth="1"/>
    <col min="6149" max="6149" width="2.28515625" style="1259" customWidth="1"/>
    <col min="6150" max="6150" width="2.140625" style="1259" customWidth="1"/>
    <col min="6151" max="6151" width="12.28515625" style="1259" customWidth="1"/>
    <col min="6152" max="6152" width="1.5703125" style="1259" customWidth="1"/>
    <col min="6153" max="6153" width="12.28515625" style="1259" customWidth="1"/>
    <col min="6154" max="6154" width="1.5703125" style="1259" customWidth="1"/>
    <col min="6155" max="6155" width="12.28515625" style="1259" customWidth="1"/>
    <col min="6156" max="6156" width="1.5703125" style="1259" customWidth="1"/>
    <col min="6157" max="6157" width="13.5703125" style="1259" customWidth="1"/>
    <col min="6158" max="6158" width="0.85546875" style="1259" customWidth="1"/>
    <col min="6159" max="6159" width="12.28515625" style="1259" customWidth="1"/>
    <col min="6160" max="6160" width="1.5703125" style="1259" customWidth="1"/>
    <col min="6161" max="6161" width="12.28515625" style="1259" customWidth="1"/>
    <col min="6162" max="6162" width="1.5703125" style="1259" customWidth="1"/>
    <col min="6163" max="6163" width="12.28515625" style="1259" customWidth="1"/>
    <col min="6164" max="6164" width="0.85546875" style="1259" customWidth="1"/>
    <col min="6165" max="6165" width="12.28515625" style="1259" customWidth="1"/>
    <col min="6166" max="6166" width="1.5703125" style="1259" customWidth="1"/>
    <col min="6167" max="6167" width="12.28515625" style="1259" customWidth="1"/>
    <col min="6168" max="6168" width="1.5703125" style="1259" customWidth="1"/>
    <col min="6169" max="6169" width="12.28515625" style="1259" customWidth="1"/>
    <col min="6170" max="6170" width="0.85546875" style="1259" customWidth="1"/>
    <col min="6171" max="6171" width="12.28515625" style="1259" customWidth="1"/>
    <col min="6172" max="6172" width="1.5703125" style="1259" customWidth="1"/>
    <col min="6173" max="6173" width="12.28515625" style="1259" customWidth="1"/>
    <col min="6174" max="6174" width="1.5703125" style="1259" customWidth="1"/>
    <col min="6175" max="6175" width="12.28515625" style="1259" customWidth="1"/>
    <col min="6176" max="6176" width="4.5703125" style="1259" customWidth="1"/>
    <col min="6177" max="6177" width="1.42578125" style="1259" customWidth="1"/>
    <col min="6178" max="6400" width="13.85546875" style="1259"/>
    <col min="6401" max="6401" width="7.85546875" style="1259" customWidth="1"/>
    <col min="6402" max="6403" width="2.28515625" style="1259" customWidth="1"/>
    <col min="6404" max="6404" width="31.42578125" style="1259" customWidth="1"/>
    <col min="6405" max="6405" width="2.28515625" style="1259" customWidth="1"/>
    <col min="6406" max="6406" width="2.140625" style="1259" customWidth="1"/>
    <col min="6407" max="6407" width="12.28515625" style="1259" customWidth="1"/>
    <col min="6408" max="6408" width="1.5703125" style="1259" customWidth="1"/>
    <col min="6409" max="6409" width="12.28515625" style="1259" customWidth="1"/>
    <col min="6410" max="6410" width="1.5703125" style="1259" customWidth="1"/>
    <col min="6411" max="6411" width="12.28515625" style="1259" customWidth="1"/>
    <col min="6412" max="6412" width="1.5703125" style="1259" customWidth="1"/>
    <col min="6413" max="6413" width="13.5703125" style="1259" customWidth="1"/>
    <col min="6414" max="6414" width="0.85546875" style="1259" customWidth="1"/>
    <col min="6415" max="6415" width="12.28515625" style="1259" customWidth="1"/>
    <col min="6416" max="6416" width="1.5703125" style="1259" customWidth="1"/>
    <col min="6417" max="6417" width="12.28515625" style="1259" customWidth="1"/>
    <col min="6418" max="6418" width="1.5703125" style="1259" customWidth="1"/>
    <col min="6419" max="6419" width="12.28515625" style="1259" customWidth="1"/>
    <col min="6420" max="6420" width="0.85546875" style="1259" customWidth="1"/>
    <col min="6421" max="6421" width="12.28515625" style="1259" customWidth="1"/>
    <col min="6422" max="6422" width="1.5703125" style="1259" customWidth="1"/>
    <col min="6423" max="6423" width="12.28515625" style="1259" customWidth="1"/>
    <col min="6424" max="6424" width="1.5703125" style="1259" customWidth="1"/>
    <col min="6425" max="6425" width="12.28515625" style="1259" customWidth="1"/>
    <col min="6426" max="6426" width="0.85546875" style="1259" customWidth="1"/>
    <col min="6427" max="6427" width="12.28515625" style="1259" customWidth="1"/>
    <col min="6428" max="6428" width="1.5703125" style="1259" customWidth="1"/>
    <col min="6429" max="6429" width="12.28515625" style="1259" customWidth="1"/>
    <col min="6430" max="6430" width="1.5703125" style="1259" customWidth="1"/>
    <col min="6431" max="6431" width="12.28515625" style="1259" customWidth="1"/>
    <col min="6432" max="6432" width="4.5703125" style="1259" customWidth="1"/>
    <col min="6433" max="6433" width="1.42578125" style="1259" customWidth="1"/>
    <col min="6434" max="6656" width="13.85546875" style="1259"/>
    <col min="6657" max="6657" width="7.85546875" style="1259" customWidth="1"/>
    <col min="6658" max="6659" width="2.28515625" style="1259" customWidth="1"/>
    <col min="6660" max="6660" width="31.42578125" style="1259" customWidth="1"/>
    <col min="6661" max="6661" width="2.28515625" style="1259" customWidth="1"/>
    <col min="6662" max="6662" width="2.140625" style="1259" customWidth="1"/>
    <col min="6663" max="6663" width="12.28515625" style="1259" customWidth="1"/>
    <col min="6664" max="6664" width="1.5703125" style="1259" customWidth="1"/>
    <col min="6665" max="6665" width="12.28515625" style="1259" customWidth="1"/>
    <col min="6666" max="6666" width="1.5703125" style="1259" customWidth="1"/>
    <col min="6667" max="6667" width="12.28515625" style="1259" customWidth="1"/>
    <col min="6668" max="6668" width="1.5703125" style="1259" customWidth="1"/>
    <col min="6669" max="6669" width="13.5703125" style="1259" customWidth="1"/>
    <col min="6670" max="6670" width="0.85546875" style="1259" customWidth="1"/>
    <col min="6671" max="6671" width="12.28515625" style="1259" customWidth="1"/>
    <col min="6672" max="6672" width="1.5703125" style="1259" customWidth="1"/>
    <col min="6673" max="6673" width="12.28515625" style="1259" customWidth="1"/>
    <col min="6674" max="6674" width="1.5703125" style="1259" customWidth="1"/>
    <col min="6675" max="6675" width="12.28515625" style="1259" customWidth="1"/>
    <col min="6676" max="6676" width="0.85546875" style="1259" customWidth="1"/>
    <col min="6677" max="6677" width="12.28515625" style="1259" customWidth="1"/>
    <col min="6678" max="6678" width="1.5703125" style="1259" customWidth="1"/>
    <col min="6679" max="6679" width="12.28515625" style="1259" customWidth="1"/>
    <col min="6680" max="6680" width="1.5703125" style="1259" customWidth="1"/>
    <col min="6681" max="6681" width="12.28515625" style="1259" customWidth="1"/>
    <col min="6682" max="6682" width="0.85546875" style="1259" customWidth="1"/>
    <col min="6683" max="6683" width="12.28515625" style="1259" customWidth="1"/>
    <col min="6684" max="6684" width="1.5703125" style="1259" customWidth="1"/>
    <col min="6685" max="6685" width="12.28515625" style="1259" customWidth="1"/>
    <col min="6686" max="6686" width="1.5703125" style="1259" customWidth="1"/>
    <col min="6687" max="6687" width="12.28515625" style="1259" customWidth="1"/>
    <col min="6688" max="6688" width="4.5703125" style="1259" customWidth="1"/>
    <col min="6689" max="6689" width="1.42578125" style="1259" customWidth="1"/>
    <col min="6690" max="6912" width="13.85546875" style="1259"/>
    <col min="6913" max="6913" width="7.85546875" style="1259" customWidth="1"/>
    <col min="6914" max="6915" width="2.28515625" style="1259" customWidth="1"/>
    <col min="6916" max="6916" width="31.42578125" style="1259" customWidth="1"/>
    <col min="6917" max="6917" width="2.28515625" style="1259" customWidth="1"/>
    <col min="6918" max="6918" width="2.140625" style="1259" customWidth="1"/>
    <col min="6919" max="6919" width="12.28515625" style="1259" customWidth="1"/>
    <col min="6920" max="6920" width="1.5703125" style="1259" customWidth="1"/>
    <col min="6921" max="6921" width="12.28515625" style="1259" customWidth="1"/>
    <col min="6922" max="6922" width="1.5703125" style="1259" customWidth="1"/>
    <col min="6923" max="6923" width="12.28515625" style="1259" customWidth="1"/>
    <col min="6924" max="6924" width="1.5703125" style="1259" customWidth="1"/>
    <col min="6925" max="6925" width="13.5703125" style="1259" customWidth="1"/>
    <col min="6926" max="6926" width="0.85546875" style="1259" customWidth="1"/>
    <col min="6927" max="6927" width="12.28515625" style="1259" customWidth="1"/>
    <col min="6928" max="6928" width="1.5703125" style="1259" customWidth="1"/>
    <col min="6929" max="6929" width="12.28515625" style="1259" customWidth="1"/>
    <col min="6930" max="6930" width="1.5703125" style="1259" customWidth="1"/>
    <col min="6931" max="6931" width="12.28515625" style="1259" customWidth="1"/>
    <col min="6932" max="6932" width="0.85546875" style="1259" customWidth="1"/>
    <col min="6933" max="6933" width="12.28515625" style="1259" customWidth="1"/>
    <col min="6934" max="6934" width="1.5703125" style="1259" customWidth="1"/>
    <col min="6935" max="6935" width="12.28515625" style="1259" customWidth="1"/>
    <col min="6936" max="6936" width="1.5703125" style="1259" customWidth="1"/>
    <col min="6937" max="6937" width="12.28515625" style="1259" customWidth="1"/>
    <col min="6938" max="6938" width="0.85546875" style="1259" customWidth="1"/>
    <col min="6939" max="6939" width="12.28515625" style="1259" customWidth="1"/>
    <col min="6940" max="6940" width="1.5703125" style="1259" customWidth="1"/>
    <col min="6941" max="6941" width="12.28515625" style="1259" customWidth="1"/>
    <col min="6942" max="6942" width="1.5703125" style="1259" customWidth="1"/>
    <col min="6943" max="6943" width="12.28515625" style="1259" customWidth="1"/>
    <col min="6944" max="6944" width="4.5703125" style="1259" customWidth="1"/>
    <col min="6945" max="6945" width="1.42578125" style="1259" customWidth="1"/>
    <col min="6946" max="7168" width="13.85546875" style="1259"/>
    <col min="7169" max="7169" width="7.85546875" style="1259" customWidth="1"/>
    <col min="7170" max="7171" width="2.28515625" style="1259" customWidth="1"/>
    <col min="7172" max="7172" width="31.42578125" style="1259" customWidth="1"/>
    <col min="7173" max="7173" width="2.28515625" style="1259" customWidth="1"/>
    <col min="7174" max="7174" width="2.140625" style="1259" customWidth="1"/>
    <col min="7175" max="7175" width="12.28515625" style="1259" customWidth="1"/>
    <col min="7176" max="7176" width="1.5703125" style="1259" customWidth="1"/>
    <col min="7177" max="7177" width="12.28515625" style="1259" customWidth="1"/>
    <col min="7178" max="7178" width="1.5703125" style="1259" customWidth="1"/>
    <col min="7179" max="7179" width="12.28515625" style="1259" customWidth="1"/>
    <col min="7180" max="7180" width="1.5703125" style="1259" customWidth="1"/>
    <col min="7181" max="7181" width="13.5703125" style="1259" customWidth="1"/>
    <col min="7182" max="7182" width="0.85546875" style="1259" customWidth="1"/>
    <col min="7183" max="7183" width="12.28515625" style="1259" customWidth="1"/>
    <col min="7184" max="7184" width="1.5703125" style="1259" customWidth="1"/>
    <col min="7185" max="7185" width="12.28515625" style="1259" customWidth="1"/>
    <col min="7186" max="7186" width="1.5703125" style="1259" customWidth="1"/>
    <col min="7187" max="7187" width="12.28515625" style="1259" customWidth="1"/>
    <col min="7188" max="7188" width="0.85546875" style="1259" customWidth="1"/>
    <col min="7189" max="7189" width="12.28515625" style="1259" customWidth="1"/>
    <col min="7190" max="7190" width="1.5703125" style="1259" customWidth="1"/>
    <col min="7191" max="7191" width="12.28515625" style="1259" customWidth="1"/>
    <col min="7192" max="7192" width="1.5703125" style="1259" customWidth="1"/>
    <col min="7193" max="7193" width="12.28515625" style="1259" customWidth="1"/>
    <col min="7194" max="7194" width="0.85546875" style="1259" customWidth="1"/>
    <col min="7195" max="7195" width="12.28515625" style="1259" customWidth="1"/>
    <col min="7196" max="7196" width="1.5703125" style="1259" customWidth="1"/>
    <col min="7197" max="7197" width="12.28515625" style="1259" customWidth="1"/>
    <col min="7198" max="7198" width="1.5703125" style="1259" customWidth="1"/>
    <col min="7199" max="7199" width="12.28515625" style="1259" customWidth="1"/>
    <col min="7200" max="7200" width="4.5703125" style="1259" customWidth="1"/>
    <col min="7201" max="7201" width="1.42578125" style="1259" customWidth="1"/>
    <col min="7202" max="7424" width="13.85546875" style="1259"/>
    <col min="7425" max="7425" width="7.85546875" style="1259" customWidth="1"/>
    <col min="7426" max="7427" width="2.28515625" style="1259" customWidth="1"/>
    <col min="7428" max="7428" width="31.42578125" style="1259" customWidth="1"/>
    <col min="7429" max="7429" width="2.28515625" style="1259" customWidth="1"/>
    <col min="7430" max="7430" width="2.140625" style="1259" customWidth="1"/>
    <col min="7431" max="7431" width="12.28515625" style="1259" customWidth="1"/>
    <col min="7432" max="7432" width="1.5703125" style="1259" customWidth="1"/>
    <col min="7433" max="7433" width="12.28515625" style="1259" customWidth="1"/>
    <col min="7434" max="7434" width="1.5703125" style="1259" customWidth="1"/>
    <col min="7435" max="7435" width="12.28515625" style="1259" customWidth="1"/>
    <col min="7436" max="7436" width="1.5703125" style="1259" customWidth="1"/>
    <col min="7437" max="7437" width="13.5703125" style="1259" customWidth="1"/>
    <col min="7438" max="7438" width="0.85546875" style="1259" customWidth="1"/>
    <col min="7439" max="7439" width="12.28515625" style="1259" customWidth="1"/>
    <col min="7440" max="7440" width="1.5703125" style="1259" customWidth="1"/>
    <col min="7441" max="7441" width="12.28515625" style="1259" customWidth="1"/>
    <col min="7442" max="7442" width="1.5703125" style="1259" customWidth="1"/>
    <col min="7443" max="7443" width="12.28515625" style="1259" customWidth="1"/>
    <col min="7444" max="7444" width="0.85546875" style="1259" customWidth="1"/>
    <col min="7445" max="7445" width="12.28515625" style="1259" customWidth="1"/>
    <col min="7446" max="7446" width="1.5703125" style="1259" customWidth="1"/>
    <col min="7447" max="7447" width="12.28515625" style="1259" customWidth="1"/>
    <col min="7448" max="7448" width="1.5703125" style="1259" customWidth="1"/>
    <col min="7449" max="7449" width="12.28515625" style="1259" customWidth="1"/>
    <col min="7450" max="7450" width="0.85546875" style="1259" customWidth="1"/>
    <col min="7451" max="7451" width="12.28515625" style="1259" customWidth="1"/>
    <col min="7452" max="7452" width="1.5703125" style="1259" customWidth="1"/>
    <col min="7453" max="7453" width="12.28515625" style="1259" customWidth="1"/>
    <col min="7454" max="7454" width="1.5703125" style="1259" customWidth="1"/>
    <col min="7455" max="7455" width="12.28515625" style="1259" customWidth="1"/>
    <col min="7456" max="7456" width="4.5703125" style="1259" customWidth="1"/>
    <col min="7457" max="7457" width="1.42578125" style="1259" customWidth="1"/>
    <col min="7458" max="7680" width="13.85546875" style="1259"/>
    <col min="7681" max="7681" width="7.85546875" style="1259" customWidth="1"/>
    <col min="7682" max="7683" width="2.28515625" style="1259" customWidth="1"/>
    <col min="7684" max="7684" width="31.42578125" style="1259" customWidth="1"/>
    <col min="7685" max="7685" width="2.28515625" style="1259" customWidth="1"/>
    <col min="7686" max="7686" width="2.140625" style="1259" customWidth="1"/>
    <col min="7687" max="7687" width="12.28515625" style="1259" customWidth="1"/>
    <col min="7688" max="7688" width="1.5703125" style="1259" customWidth="1"/>
    <col min="7689" max="7689" width="12.28515625" style="1259" customWidth="1"/>
    <col min="7690" max="7690" width="1.5703125" style="1259" customWidth="1"/>
    <col min="7691" max="7691" width="12.28515625" style="1259" customWidth="1"/>
    <col min="7692" max="7692" width="1.5703125" style="1259" customWidth="1"/>
    <col min="7693" max="7693" width="13.5703125" style="1259" customWidth="1"/>
    <col min="7694" max="7694" width="0.85546875" style="1259" customWidth="1"/>
    <col min="7695" max="7695" width="12.28515625" style="1259" customWidth="1"/>
    <col min="7696" max="7696" width="1.5703125" style="1259" customWidth="1"/>
    <col min="7697" max="7697" width="12.28515625" style="1259" customWidth="1"/>
    <col min="7698" max="7698" width="1.5703125" style="1259" customWidth="1"/>
    <col min="7699" max="7699" width="12.28515625" style="1259" customWidth="1"/>
    <col min="7700" max="7700" width="0.85546875" style="1259" customWidth="1"/>
    <col min="7701" max="7701" width="12.28515625" style="1259" customWidth="1"/>
    <col min="7702" max="7702" width="1.5703125" style="1259" customWidth="1"/>
    <col min="7703" max="7703" width="12.28515625" style="1259" customWidth="1"/>
    <col min="7704" max="7704" width="1.5703125" style="1259" customWidth="1"/>
    <col min="7705" max="7705" width="12.28515625" style="1259" customWidth="1"/>
    <col min="7706" max="7706" width="0.85546875" style="1259" customWidth="1"/>
    <col min="7707" max="7707" width="12.28515625" style="1259" customWidth="1"/>
    <col min="7708" max="7708" width="1.5703125" style="1259" customWidth="1"/>
    <col min="7709" max="7709" width="12.28515625" style="1259" customWidth="1"/>
    <col min="7710" max="7710" width="1.5703125" style="1259" customWidth="1"/>
    <col min="7711" max="7711" width="12.28515625" style="1259" customWidth="1"/>
    <col min="7712" max="7712" width="4.5703125" style="1259" customWidth="1"/>
    <col min="7713" max="7713" width="1.42578125" style="1259" customWidth="1"/>
    <col min="7714" max="7936" width="13.85546875" style="1259"/>
    <col min="7937" max="7937" width="7.85546875" style="1259" customWidth="1"/>
    <col min="7938" max="7939" width="2.28515625" style="1259" customWidth="1"/>
    <col min="7940" max="7940" width="31.42578125" style="1259" customWidth="1"/>
    <col min="7941" max="7941" width="2.28515625" style="1259" customWidth="1"/>
    <col min="7942" max="7942" width="2.140625" style="1259" customWidth="1"/>
    <col min="7943" max="7943" width="12.28515625" style="1259" customWidth="1"/>
    <col min="7944" max="7944" width="1.5703125" style="1259" customWidth="1"/>
    <col min="7945" max="7945" width="12.28515625" style="1259" customWidth="1"/>
    <col min="7946" max="7946" width="1.5703125" style="1259" customWidth="1"/>
    <col min="7947" max="7947" width="12.28515625" style="1259" customWidth="1"/>
    <col min="7948" max="7948" width="1.5703125" style="1259" customWidth="1"/>
    <col min="7949" max="7949" width="13.5703125" style="1259" customWidth="1"/>
    <col min="7950" max="7950" width="0.85546875" style="1259" customWidth="1"/>
    <col min="7951" max="7951" width="12.28515625" style="1259" customWidth="1"/>
    <col min="7952" max="7952" width="1.5703125" style="1259" customWidth="1"/>
    <col min="7953" max="7953" width="12.28515625" style="1259" customWidth="1"/>
    <col min="7954" max="7954" width="1.5703125" style="1259" customWidth="1"/>
    <col min="7955" max="7955" width="12.28515625" style="1259" customWidth="1"/>
    <col min="7956" max="7956" width="0.85546875" style="1259" customWidth="1"/>
    <col min="7957" max="7957" width="12.28515625" style="1259" customWidth="1"/>
    <col min="7958" max="7958" width="1.5703125" style="1259" customWidth="1"/>
    <col min="7959" max="7959" width="12.28515625" style="1259" customWidth="1"/>
    <col min="7960" max="7960" width="1.5703125" style="1259" customWidth="1"/>
    <col min="7961" max="7961" width="12.28515625" style="1259" customWidth="1"/>
    <col min="7962" max="7962" width="0.85546875" style="1259" customWidth="1"/>
    <col min="7963" max="7963" width="12.28515625" style="1259" customWidth="1"/>
    <col min="7964" max="7964" width="1.5703125" style="1259" customWidth="1"/>
    <col min="7965" max="7965" width="12.28515625" style="1259" customWidth="1"/>
    <col min="7966" max="7966" width="1.5703125" style="1259" customWidth="1"/>
    <col min="7967" max="7967" width="12.28515625" style="1259" customWidth="1"/>
    <col min="7968" max="7968" width="4.5703125" style="1259" customWidth="1"/>
    <col min="7969" max="7969" width="1.42578125" style="1259" customWidth="1"/>
    <col min="7970" max="8192" width="13.85546875" style="1259"/>
    <col min="8193" max="8193" width="7.85546875" style="1259" customWidth="1"/>
    <col min="8194" max="8195" width="2.28515625" style="1259" customWidth="1"/>
    <col min="8196" max="8196" width="31.42578125" style="1259" customWidth="1"/>
    <col min="8197" max="8197" width="2.28515625" style="1259" customWidth="1"/>
    <col min="8198" max="8198" width="2.140625" style="1259" customWidth="1"/>
    <col min="8199" max="8199" width="12.28515625" style="1259" customWidth="1"/>
    <col min="8200" max="8200" width="1.5703125" style="1259" customWidth="1"/>
    <col min="8201" max="8201" width="12.28515625" style="1259" customWidth="1"/>
    <col min="8202" max="8202" width="1.5703125" style="1259" customWidth="1"/>
    <col min="8203" max="8203" width="12.28515625" style="1259" customWidth="1"/>
    <col min="8204" max="8204" width="1.5703125" style="1259" customWidth="1"/>
    <col min="8205" max="8205" width="13.5703125" style="1259" customWidth="1"/>
    <col min="8206" max="8206" width="0.85546875" style="1259" customWidth="1"/>
    <col min="8207" max="8207" width="12.28515625" style="1259" customWidth="1"/>
    <col min="8208" max="8208" width="1.5703125" style="1259" customWidth="1"/>
    <col min="8209" max="8209" width="12.28515625" style="1259" customWidth="1"/>
    <col min="8210" max="8210" width="1.5703125" style="1259" customWidth="1"/>
    <col min="8211" max="8211" width="12.28515625" style="1259" customWidth="1"/>
    <col min="8212" max="8212" width="0.85546875" style="1259" customWidth="1"/>
    <col min="8213" max="8213" width="12.28515625" style="1259" customWidth="1"/>
    <col min="8214" max="8214" width="1.5703125" style="1259" customWidth="1"/>
    <col min="8215" max="8215" width="12.28515625" style="1259" customWidth="1"/>
    <col min="8216" max="8216" width="1.5703125" style="1259" customWidth="1"/>
    <col min="8217" max="8217" width="12.28515625" style="1259" customWidth="1"/>
    <col min="8218" max="8218" width="0.85546875" style="1259" customWidth="1"/>
    <col min="8219" max="8219" width="12.28515625" style="1259" customWidth="1"/>
    <col min="8220" max="8220" width="1.5703125" style="1259" customWidth="1"/>
    <col min="8221" max="8221" width="12.28515625" style="1259" customWidth="1"/>
    <col min="8222" max="8222" width="1.5703125" style="1259" customWidth="1"/>
    <col min="8223" max="8223" width="12.28515625" style="1259" customWidth="1"/>
    <col min="8224" max="8224" width="4.5703125" style="1259" customWidth="1"/>
    <col min="8225" max="8225" width="1.42578125" style="1259" customWidth="1"/>
    <col min="8226" max="8448" width="13.85546875" style="1259"/>
    <col min="8449" max="8449" width="7.85546875" style="1259" customWidth="1"/>
    <col min="8450" max="8451" width="2.28515625" style="1259" customWidth="1"/>
    <col min="8452" max="8452" width="31.42578125" style="1259" customWidth="1"/>
    <col min="8453" max="8453" width="2.28515625" style="1259" customWidth="1"/>
    <col min="8454" max="8454" width="2.140625" style="1259" customWidth="1"/>
    <col min="8455" max="8455" width="12.28515625" style="1259" customWidth="1"/>
    <col min="8456" max="8456" width="1.5703125" style="1259" customWidth="1"/>
    <col min="8457" max="8457" width="12.28515625" style="1259" customWidth="1"/>
    <col min="8458" max="8458" width="1.5703125" style="1259" customWidth="1"/>
    <col min="8459" max="8459" width="12.28515625" style="1259" customWidth="1"/>
    <col min="8460" max="8460" width="1.5703125" style="1259" customWidth="1"/>
    <col min="8461" max="8461" width="13.5703125" style="1259" customWidth="1"/>
    <col min="8462" max="8462" width="0.85546875" style="1259" customWidth="1"/>
    <col min="8463" max="8463" width="12.28515625" style="1259" customWidth="1"/>
    <col min="8464" max="8464" width="1.5703125" style="1259" customWidth="1"/>
    <col min="8465" max="8465" width="12.28515625" style="1259" customWidth="1"/>
    <col min="8466" max="8466" width="1.5703125" style="1259" customWidth="1"/>
    <col min="8467" max="8467" width="12.28515625" style="1259" customWidth="1"/>
    <col min="8468" max="8468" width="0.85546875" style="1259" customWidth="1"/>
    <col min="8469" max="8469" width="12.28515625" style="1259" customWidth="1"/>
    <col min="8470" max="8470" width="1.5703125" style="1259" customWidth="1"/>
    <col min="8471" max="8471" width="12.28515625" style="1259" customWidth="1"/>
    <col min="8472" max="8472" width="1.5703125" style="1259" customWidth="1"/>
    <col min="8473" max="8473" width="12.28515625" style="1259" customWidth="1"/>
    <col min="8474" max="8474" width="0.85546875" style="1259" customWidth="1"/>
    <col min="8475" max="8475" width="12.28515625" style="1259" customWidth="1"/>
    <col min="8476" max="8476" width="1.5703125" style="1259" customWidth="1"/>
    <col min="8477" max="8477" width="12.28515625" style="1259" customWidth="1"/>
    <col min="8478" max="8478" width="1.5703125" style="1259" customWidth="1"/>
    <col min="8479" max="8479" width="12.28515625" style="1259" customWidth="1"/>
    <col min="8480" max="8480" width="4.5703125" style="1259" customWidth="1"/>
    <col min="8481" max="8481" width="1.42578125" style="1259" customWidth="1"/>
    <col min="8482" max="8704" width="13.85546875" style="1259"/>
    <col min="8705" max="8705" width="7.85546875" style="1259" customWidth="1"/>
    <col min="8706" max="8707" width="2.28515625" style="1259" customWidth="1"/>
    <col min="8708" max="8708" width="31.42578125" style="1259" customWidth="1"/>
    <col min="8709" max="8709" width="2.28515625" style="1259" customWidth="1"/>
    <col min="8710" max="8710" width="2.140625" style="1259" customWidth="1"/>
    <col min="8711" max="8711" width="12.28515625" style="1259" customWidth="1"/>
    <col min="8712" max="8712" width="1.5703125" style="1259" customWidth="1"/>
    <col min="8713" max="8713" width="12.28515625" style="1259" customWidth="1"/>
    <col min="8714" max="8714" width="1.5703125" style="1259" customWidth="1"/>
    <col min="8715" max="8715" width="12.28515625" style="1259" customWidth="1"/>
    <col min="8716" max="8716" width="1.5703125" style="1259" customWidth="1"/>
    <col min="8717" max="8717" width="13.5703125" style="1259" customWidth="1"/>
    <col min="8718" max="8718" width="0.85546875" style="1259" customWidth="1"/>
    <col min="8719" max="8719" width="12.28515625" style="1259" customWidth="1"/>
    <col min="8720" max="8720" width="1.5703125" style="1259" customWidth="1"/>
    <col min="8721" max="8721" width="12.28515625" style="1259" customWidth="1"/>
    <col min="8722" max="8722" width="1.5703125" style="1259" customWidth="1"/>
    <col min="8723" max="8723" width="12.28515625" style="1259" customWidth="1"/>
    <col min="8724" max="8724" width="0.85546875" style="1259" customWidth="1"/>
    <col min="8725" max="8725" width="12.28515625" style="1259" customWidth="1"/>
    <col min="8726" max="8726" width="1.5703125" style="1259" customWidth="1"/>
    <col min="8727" max="8727" width="12.28515625" style="1259" customWidth="1"/>
    <col min="8728" max="8728" width="1.5703125" style="1259" customWidth="1"/>
    <col min="8729" max="8729" width="12.28515625" style="1259" customWidth="1"/>
    <col min="8730" max="8730" width="0.85546875" style="1259" customWidth="1"/>
    <col min="8731" max="8731" width="12.28515625" style="1259" customWidth="1"/>
    <col min="8732" max="8732" width="1.5703125" style="1259" customWidth="1"/>
    <col min="8733" max="8733" width="12.28515625" style="1259" customWidth="1"/>
    <col min="8734" max="8734" width="1.5703125" style="1259" customWidth="1"/>
    <col min="8735" max="8735" width="12.28515625" style="1259" customWidth="1"/>
    <col min="8736" max="8736" width="4.5703125" style="1259" customWidth="1"/>
    <col min="8737" max="8737" width="1.42578125" style="1259" customWidth="1"/>
    <col min="8738" max="8960" width="13.85546875" style="1259"/>
    <col min="8961" max="8961" width="7.85546875" style="1259" customWidth="1"/>
    <col min="8962" max="8963" width="2.28515625" style="1259" customWidth="1"/>
    <col min="8964" max="8964" width="31.42578125" style="1259" customWidth="1"/>
    <col min="8965" max="8965" width="2.28515625" style="1259" customWidth="1"/>
    <col min="8966" max="8966" width="2.140625" style="1259" customWidth="1"/>
    <col min="8967" max="8967" width="12.28515625" style="1259" customWidth="1"/>
    <col min="8968" max="8968" width="1.5703125" style="1259" customWidth="1"/>
    <col min="8969" max="8969" width="12.28515625" style="1259" customWidth="1"/>
    <col min="8970" max="8970" width="1.5703125" style="1259" customWidth="1"/>
    <col min="8971" max="8971" width="12.28515625" style="1259" customWidth="1"/>
    <col min="8972" max="8972" width="1.5703125" style="1259" customWidth="1"/>
    <col min="8973" max="8973" width="13.5703125" style="1259" customWidth="1"/>
    <col min="8974" max="8974" width="0.85546875" style="1259" customWidth="1"/>
    <col min="8975" max="8975" width="12.28515625" style="1259" customWidth="1"/>
    <col min="8976" max="8976" width="1.5703125" style="1259" customWidth="1"/>
    <col min="8977" max="8977" width="12.28515625" style="1259" customWidth="1"/>
    <col min="8978" max="8978" width="1.5703125" style="1259" customWidth="1"/>
    <col min="8979" max="8979" width="12.28515625" style="1259" customWidth="1"/>
    <col min="8980" max="8980" width="0.85546875" style="1259" customWidth="1"/>
    <col min="8981" max="8981" width="12.28515625" style="1259" customWidth="1"/>
    <col min="8982" max="8982" width="1.5703125" style="1259" customWidth="1"/>
    <col min="8983" max="8983" width="12.28515625" style="1259" customWidth="1"/>
    <col min="8984" max="8984" width="1.5703125" style="1259" customWidth="1"/>
    <col min="8985" max="8985" width="12.28515625" style="1259" customWidth="1"/>
    <col min="8986" max="8986" width="0.85546875" style="1259" customWidth="1"/>
    <col min="8987" max="8987" width="12.28515625" style="1259" customWidth="1"/>
    <col min="8988" max="8988" width="1.5703125" style="1259" customWidth="1"/>
    <col min="8989" max="8989" width="12.28515625" style="1259" customWidth="1"/>
    <col min="8990" max="8990" width="1.5703125" style="1259" customWidth="1"/>
    <col min="8991" max="8991" width="12.28515625" style="1259" customWidth="1"/>
    <col min="8992" max="8992" width="4.5703125" style="1259" customWidth="1"/>
    <col min="8993" max="8993" width="1.42578125" style="1259" customWidth="1"/>
    <col min="8994" max="9216" width="13.85546875" style="1259"/>
    <col min="9217" max="9217" width="7.85546875" style="1259" customWidth="1"/>
    <col min="9218" max="9219" width="2.28515625" style="1259" customWidth="1"/>
    <col min="9220" max="9220" width="31.42578125" style="1259" customWidth="1"/>
    <col min="9221" max="9221" width="2.28515625" style="1259" customWidth="1"/>
    <col min="9222" max="9222" width="2.140625" style="1259" customWidth="1"/>
    <col min="9223" max="9223" width="12.28515625" style="1259" customWidth="1"/>
    <col min="9224" max="9224" width="1.5703125" style="1259" customWidth="1"/>
    <col min="9225" max="9225" width="12.28515625" style="1259" customWidth="1"/>
    <col min="9226" max="9226" width="1.5703125" style="1259" customWidth="1"/>
    <col min="9227" max="9227" width="12.28515625" style="1259" customWidth="1"/>
    <col min="9228" max="9228" width="1.5703125" style="1259" customWidth="1"/>
    <col min="9229" max="9229" width="13.5703125" style="1259" customWidth="1"/>
    <col min="9230" max="9230" width="0.85546875" style="1259" customWidth="1"/>
    <col min="9231" max="9231" width="12.28515625" style="1259" customWidth="1"/>
    <col min="9232" max="9232" width="1.5703125" style="1259" customWidth="1"/>
    <col min="9233" max="9233" width="12.28515625" style="1259" customWidth="1"/>
    <col min="9234" max="9234" width="1.5703125" style="1259" customWidth="1"/>
    <col min="9235" max="9235" width="12.28515625" style="1259" customWidth="1"/>
    <col min="9236" max="9236" width="0.85546875" style="1259" customWidth="1"/>
    <col min="9237" max="9237" width="12.28515625" style="1259" customWidth="1"/>
    <col min="9238" max="9238" width="1.5703125" style="1259" customWidth="1"/>
    <col min="9239" max="9239" width="12.28515625" style="1259" customWidth="1"/>
    <col min="9240" max="9240" width="1.5703125" style="1259" customWidth="1"/>
    <col min="9241" max="9241" width="12.28515625" style="1259" customWidth="1"/>
    <col min="9242" max="9242" width="0.85546875" style="1259" customWidth="1"/>
    <col min="9243" max="9243" width="12.28515625" style="1259" customWidth="1"/>
    <col min="9244" max="9244" width="1.5703125" style="1259" customWidth="1"/>
    <col min="9245" max="9245" width="12.28515625" style="1259" customWidth="1"/>
    <col min="9246" max="9246" width="1.5703125" style="1259" customWidth="1"/>
    <col min="9247" max="9247" width="12.28515625" style="1259" customWidth="1"/>
    <col min="9248" max="9248" width="4.5703125" style="1259" customWidth="1"/>
    <col min="9249" max="9249" width="1.42578125" style="1259" customWidth="1"/>
    <col min="9250" max="9472" width="13.85546875" style="1259"/>
    <col min="9473" max="9473" width="7.85546875" style="1259" customWidth="1"/>
    <col min="9474" max="9475" width="2.28515625" style="1259" customWidth="1"/>
    <col min="9476" max="9476" width="31.42578125" style="1259" customWidth="1"/>
    <col min="9477" max="9477" width="2.28515625" style="1259" customWidth="1"/>
    <col min="9478" max="9478" width="2.140625" style="1259" customWidth="1"/>
    <col min="9479" max="9479" width="12.28515625" style="1259" customWidth="1"/>
    <col min="9480" max="9480" width="1.5703125" style="1259" customWidth="1"/>
    <col min="9481" max="9481" width="12.28515625" style="1259" customWidth="1"/>
    <col min="9482" max="9482" width="1.5703125" style="1259" customWidth="1"/>
    <col min="9483" max="9483" width="12.28515625" style="1259" customWidth="1"/>
    <col min="9484" max="9484" width="1.5703125" style="1259" customWidth="1"/>
    <col min="9485" max="9485" width="13.5703125" style="1259" customWidth="1"/>
    <col min="9486" max="9486" width="0.85546875" style="1259" customWidth="1"/>
    <col min="9487" max="9487" width="12.28515625" style="1259" customWidth="1"/>
    <col min="9488" max="9488" width="1.5703125" style="1259" customWidth="1"/>
    <col min="9489" max="9489" width="12.28515625" style="1259" customWidth="1"/>
    <col min="9490" max="9490" width="1.5703125" style="1259" customWidth="1"/>
    <col min="9491" max="9491" width="12.28515625" style="1259" customWidth="1"/>
    <col min="9492" max="9492" width="0.85546875" style="1259" customWidth="1"/>
    <col min="9493" max="9493" width="12.28515625" style="1259" customWidth="1"/>
    <col min="9494" max="9494" width="1.5703125" style="1259" customWidth="1"/>
    <col min="9495" max="9495" width="12.28515625" style="1259" customWidth="1"/>
    <col min="9496" max="9496" width="1.5703125" style="1259" customWidth="1"/>
    <col min="9497" max="9497" width="12.28515625" style="1259" customWidth="1"/>
    <col min="9498" max="9498" width="0.85546875" style="1259" customWidth="1"/>
    <col min="9499" max="9499" width="12.28515625" style="1259" customWidth="1"/>
    <col min="9500" max="9500" width="1.5703125" style="1259" customWidth="1"/>
    <col min="9501" max="9501" width="12.28515625" style="1259" customWidth="1"/>
    <col min="9502" max="9502" width="1.5703125" style="1259" customWidth="1"/>
    <col min="9503" max="9503" width="12.28515625" style="1259" customWidth="1"/>
    <col min="9504" max="9504" width="4.5703125" style="1259" customWidth="1"/>
    <col min="9505" max="9505" width="1.42578125" style="1259" customWidth="1"/>
    <col min="9506" max="9728" width="13.85546875" style="1259"/>
    <col min="9729" max="9729" width="7.85546875" style="1259" customWidth="1"/>
    <col min="9730" max="9731" width="2.28515625" style="1259" customWidth="1"/>
    <col min="9732" max="9732" width="31.42578125" style="1259" customWidth="1"/>
    <col min="9733" max="9733" width="2.28515625" style="1259" customWidth="1"/>
    <col min="9734" max="9734" width="2.140625" style="1259" customWidth="1"/>
    <col min="9735" max="9735" width="12.28515625" style="1259" customWidth="1"/>
    <col min="9736" max="9736" width="1.5703125" style="1259" customWidth="1"/>
    <col min="9737" max="9737" width="12.28515625" style="1259" customWidth="1"/>
    <col min="9738" max="9738" width="1.5703125" style="1259" customWidth="1"/>
    <col min="9739" max="9739" width="12.28515625" style="1259" customWidth="1"/>
    <col min="9740" max="9740" width="1.5703125" style="1259" customWidth="1"/>
    <col min="9741" max="9741" width="13.5703125" style="1259" customWidth="1"/>
    <col min="9742" max="9742" width="0.85546875" style="1259" customWidth="1"/>
    <col min="9743" max="9743" width="12.28515625" style="1259" customWidth="1"/>
    <col min="9744" max="9744" width="1.5703125" style="1259" customWidth="1"/>
    <col min="9745" max="9745" width="12.28515625" style="1259" customWidth="1"/>
    <col min="9746" max="9746" width="1.5703125" style="1259" customWidth="1"/>
    <col min="9747" max="9747" width="12.28515625" style="1259" customWidth="1"/>
    <col min="9748" max="9748" width="0.85546875" style="1259" customWidth="1"/>
    <col min="9749" max="9749" width="12.28515625" style="1259" customWidth="1"/>
    <col min="9750" max="9750" width="1.5703125" style="1259" customWidth="1"/>
    <col min="9751" max="9751" width="12.28515625" style="1259" customWidth="1"/>
    <col min="9752" max="9752" width="1.5703125" style="1259" customWidth="1"/>
    <col min="9753" max="9753" width="12.28515625" style="1259" customWidth="1"/>
    <col min="9754" max="9754" width="0.85546875" style="1259" customWidth="1"/>
    <col min="9755" max="9755" width="12.28515625" style="1259" customWidth="1"/>
    <col min="9756" max="9756" width="1.5703125" style="1259" customWidth="1"/>
    <col min="9757" max="9757" width="12.28515625" style="1259" customWidth="1"/>
    <col min="9758" max="9758" width="1.5703125" style="1259" customWidth="1"/>
    <col min="9759" max="9759" width="12.28515625" style="1259" customWidth="1"/>
    <col min="9760" max="9760" width="4.5703125" style="1259" customWidth="1"/>
    <col min="9761" max="9761" width="1.42578125" style="1259" customWidth="1"/>
    <col min="9762" max="9984" width="13.85546875" style="1259"/>
    <col min="9985" max="9985" width="7.85546875" style="1259" customWidth="1"/>
    <col min="9986" max="9987" width="2.28515625" style="1259" customWidth="1"/>
    <col min="9988" max="9988" width="31.42578125" style="1259" customWidth="1"/>
    <col min="9989" max="9989" width="2.28515625" style="1259" customWidth="1"/>
    <col min="9990" max="9990" width="2.140625" style="1259" customWidth="1"/>
    <col min="9991" max="9991" width="12.28515625" style="1259" customWidth="1"/>
    <col min="9992" max="9992" width="1.5703125" style="1259" customWidth="1"/>
    <col min="9993" max="9993" width="12.28515625" style="1259" customWidth="1"/>
    <col min="9994" max="9994" width="1.5703125" style="1259" customWidth="1"/>
    <col min="9995" max="9995" width="12.28515625" style="1259" customWidth="1"/>
    <col min="9996" max="9996" width="1.5703125" style="1259" customWidth="1"/>
    <col min="9997" max="9997" width="13.5703125" style="1259" customWidth="1"/>
    <col min="9998" max="9998" width="0.85546875" style="1259" customWidth="1"/>
    <col min="9999" max="9999" width="12.28515625" style="1259" customWidth="1"/>
    <col min="10000" max="10000" width="1.5703125" style="1259" customWidth="1"/>
    <col min="10001" max="10001" width="12.28515625" style="1259" customWidth="1"/>
    <col min="10002" max="10002" width="1.5703125" style="1259" customWidth="1"/>
    <col min="10003" max="10003" width="12.28515625" style="1259" customWidth="1"/>
    <col min="10004" max="10004" width="0.85546875" style="1259" customWidth="1"/>
    <col min="10005" max="10005" width="12.28515625" style="1259" customWidth="1"/>
    <col min="10006" max="10006" width="1.5703125" style="1259" customWidth="1"/>
    <col min="10007" max="10007" width="12.28515625" style="1259" customWidth="1"/>
    <col min="10008" max="10008" width="1.5703125" style="1259" customWidth="1"/>
    <col min="10009" max="10009" width="12.28515625" style="1259" customWidth="1"/>
    <col min="10010" max="10010" width="0.85546875" style="1259" customWidth="1"/>
    <col min="10011" max="10011" width="12.28515625" style="1259" customWidth="1"/>
    <col min="10012" max="10012" width="1.5703125" style="1259" customWidth="1"/>
    <col min="10013" max="10013" width="12.28515625" style="1259" customWidth="1"/>
    <col min="10014" max="10014" width="1.5703125" style="1259" customWidth="1"/>
    <col min="10015" max="10015" width="12.28515625" style="1259" customWidth="1"/>
    <col min="10016" max="10016" width="4.5703125" style="1259" customWidth="1"/>
    <col min="10017" max="10017" width="1.42578125" style="1259" customWidth="1"/>
    <col min="10018" max="10240" width="13.85546875" style="1259"/>
    <col min="10241" max="10241" width="7.85546875" style="1259" customWidth="1"/>
    <col min="10242" max="10243" width="2.28515625" style="1259" customWidth="1"/>
    <col min="10244" max="10244" width="31.42578125" style="1259" customWidth="1"/>
    <col min="10245" max="10245" width="2.28515625" style="1259" customWidth="1"/>
    <col min="10246" max="10246" width="2.140625" style="1259" customWidth="1"/>
    <col min="10247" max="10247" width="12.28515625" style="1259" customWidth="1"/>
    <col min="10248" max="10248" width="1.5703125" style="1259" customWidth="1"/>
    <col min="10249" max="10249" width="12.28515625" style="1259" customWidth="1"/>
    <col min="10250" max="10250" width="1.5703125" style="1259" customWidth="1"/>
    <col min="10251" max="10251" width="12.28515625" style="1259" customWidth="1"/>
    <col min="10252" max="10252" width="1.5703125" style="1259" customWidth="1"/>
    <col min="10253" max="10253" width="13.5703125" style="1259" customWidth="1"/>
    <col min="10254" max="10254" width="0.85546875" style="1259" customWidth="1"/>
    <col min="10255" max="10255" width="12.28515625" style="1259" customWidth="1"/>
    <col min="10256" max="10256" width="1.5703125" style="1259" customWidth="1"/>
    <col min="10257" max="10257" width="12.28515625" style="1259" customWidth="1"/>
    <col min="10258" max="10258" width="1.5703125" style="1259" customWidth="1"/>
    <col min="10259" max="10259" width="12.28515625" style="1259" customWidth="1"/>
    <col min="10260" max="10260" width="0.85546875" style="1259" customWidth="1"/>
    <col min="10261" max="10261" width="12.28515625" style="1259" customWidth="1"/>
    <col min="10262" max="10262" width="1.5703125" style="1259" customWidth="1"/>
    <col min="10263" max="10263" width="12.28515625" style="1259" customWidth="1"/>
    <col min="10264" max="10264" width="1.5703125" style="1259" customWidth="1"/>
    <col min="10265" max="10265" width="12.28515625" style="1259" customWidth="1"/>
    <col min="10266" max="10266" width="0.85546875" style="1259" customWidth="1"/>
    <col min="10267" max="10267" width="12.28515625" style="1259" customWidth="1"/>
    <col min="10268" max="10268" width="1.5703125" style="1259" customWidth="1"/>
    <col min="10269" max="10269" width="12.28515625" style="1259" customWidth="1"/>
    <col min="10270" max="10270" width="1.5703125" style="1259" customWidth="1"/>
    <col min="10271" max="10271" width="12.28515625" style="1259" customWidth="1"/>
    <col min="10272" max="10272" width="4.5703125" style="1259" customWidth="1"/>
    <col min="10273" max="10273" width="1.42578125" style="1259" customWidth="1"/>
    <col min="10274" max="10496" width="13.85546875" style="1259"/>
    <col min="10497" max="10497" width="7.85546875" style="1259" customWidth="1"/>
    <col min="10498" max="10499" width="2.28515625" style="1259" customWidth="1"/>
    <col min="10500" max="10500" width="31.42578125" style="1259" customWidth="1"/>
    <col min="10501" max="10501" width="2.28515625" style="1259" customWidth="1"/>
    <col min="10502" max="10502" width="2.140625" style="1259" customWidth="1"/>
    <col min="10503" max="10503" width="12.28515625" style="1259" customWidth="1"/>
    <col min="10504" max="10504" width="1.5703125" style="1259" customWidth="1"/>
    <col min="10505" max="10505" width="12.28515625" style="1259" customWidth="1"/>
    <col min="10506" max="10506" width="1.5703125" style="1259" customWidth="1"/>
    <col min="10507" max="10507" width="12.28515625" style="1259" customWidth="1"/>
    <col min="10508" max="10508" width="1.5703125" style="1259" customWidth="1"/>
    <col min="10509" max="10509" width="13.5703125" style="1259" customWidth="1"/>
    <col min="10510" max="10510" width="0.85546875" style="1259" customWidth="1"/>
    <col min="10511" max="10511" width="12.28515625" style="1259" customWidth="1"/>
    <col min="10512" max="10512" width="1.5703125" style="1259" customWidth="1"/>
    <col min="10513" max="10513" width="12.28515625" style="1259" customWidth="1"/>
    <col min="10514" max="10514" width="1.5703125" style="1259" customWidth="1"/>
    <col min="10515" max="10515" width="12.28515625" style="1259" customWidth="1"/>
    <col min="10516" max="10516" width="0.85546875" style="1259" customWidth="1"/>
    <col min="10517" max="10517" width="12.28515625" style="1259" customWidth="1"/>
    <col min="10518" max="10518" width="1.5703125" style="1259" customWidth="1"/>
    <col min="10519" max="10519" width="12.28515625" style="1259" customWidth="1"/>
    <col min="10520" max="10520" width="1.5703125" style="1259" customWidth="1"/>
    <col min="10521" max="10521" width="12.28515625" style="1259" customWidth="1"/>
    <col min="10522" max="10522" width="0.85546875" style="1259" customWidth="1"/>
    <col min="10523" max="10523" width="12.28515625" style="1259" customWidth="1"/>
    <col min="10524" max="10524" width="1.5703125" style="1259" customWidth="1"/>
    <col min="10525" max="10525" width="12.28515625" style="1259" customWidth="1"/>
    <col min="10526" max="10526" width="1.5703125" style="1259" customWidth="1"/>
    <col min="10527" max="10527" width="12.28515625" style="1259" customWidth="1"/>
    <col min="10528" max="10528" width="4.5703125" style="1259" customWidth="1"/>
    <col min="10529" max="10529" width="1.42578125" style="1259" customWidth="1"/>
    <col min="10530" max="10752" width="13.85546875" style="1259"/>
    <col min="10753" max="10753" width="7.85546875" style="1259" customWidth="1"/>
    <col min="10754" max="10755" width="2.28515625" style="1259" customWidth="1"/>
    <col min="10756" max="10756" width="31.42578125" style="1259" customWidth="1"/>
    <col min="10757" max="10757" width="2.28515625" style="1259" customWidth="1"/>
    <col min="10758" max="10758" width="2.140625" style="1259" customWidth="1"/>
    <col min="10759" max="10759" width="12.28515625" style="1259" customWidth="1"/>
    <col min="10760" max="10760" width="1.5703125" style="1259" customWidth="1"/>
    <col min="10761" max="10761" width="12.28515625" style="1259" customWidth="1"/>
    <col min="10762" max="10762" width="1.5703125" style="1259" customWidth="1"/>
    <col min="10763" max="10763" width="12.28515625" style="1259" customWidth="1"/>
    <col min="10764" max="10764" width="1.5703125" style="1259" customWidth="1"/>
    <col min="10765" max="10765" width="13.5703125" style="1259" customWidth="1"/>
    <col min="10766" max="10766" width="0.85546875" style="1259" customWidth="1"/>
    <col min="10767" max="10767" width="12.28515625" style="1259" customWidth="1"/>
    <col min="10768" max="10768" width="1.5703125" style="1259" customWidth="1"/>
    <col min="10769" max="10769" width="12.28515625" style="1259" customWidth="1"/>
    <col min="10770" max="10770" width="1.5703125" style="1259" customWidth="1"/>
    <col min="10771" max="10771" width="12.28515625" style="1259" customWidth="1"/>
    <col min="10772" max="10772" width="0.85546875" style="1259" customWidth="1"/>
    <col min="10773" max="10773" width="12.28515625" style="1259" customWidth="1"/>
    <col min="10774" max="10774" width="1.5703125" style="1259" customWidth="1"/>
    <col min="10775" max="10775" width="12.28515625" style="1259" customWidth="1"/>
    <col min="10776" max="10776" width="1.5703125" style="1259" customWidth="1"/>
    <col min="10777" max="10777" width="12.28515625" style="1259" customWidth="1"/>
    <col min="10778" max="10778" width="0.85546875" style="1259" customWidth="1"/>
    <col min="10779" max="10779" width="12.28515625" style="1259" customWidth="1"/>
    <col min="10780" max="10780" width="1.5703125" style="1259" customWidth="1"/>
    <col min="10781" max="10781" width="12.28515625" style="1259" customWidth="1"/>
    <col min="10782" max="10782" width="1.5703125" style="1259" customWidth="1"/>
    <col min="10783" max="10783" width="12.28515625" style="1259" customWidth="1"/>
    <col min="10784" max="10784" width="4.5703125" style="1259" customWidth="1"/>
    <col min="10785" max="10785" width="1.42578125" style="1259" customWidth="1"/>
    <col min="10786" max="11008" width="13.85546875" style="1259"/>
    <col min="11009" max="11009" width="7.85546875" style="1259" customWidth="1"/>
    <col min="11010" max="11011" width="2.28515625" style="1259" customWidth="1"/>
    <col min="11012" max="11012" width="31.42578125" style="1259" customWidth="1"/>
    <col min="11013" max="11013" width="2.28515625" style="1259" customWidth="1"/>
    <col min="11014" max="11014" width="2.140625" style="1259" customWidth="1"/>
    <col min="11015" max="11015" width="12.28515625" style="1259" customWidth="1"/>
    <col min="11016" max="11016" width="1.5703125" style="1259" customWidth="1"/>
    <col min="11017" max="11017" width="12.28515625" style="1259" customWidth="1"/>
    <col min="11018" max="11018" width="1.5703125" style="1259" customWidth="1"/>
    <col min="11019" max="11019" width="12.28515625" style="1259" customWidth="1"/>
    <col min="11020" max="11020" width="1.5703125" style="1259" customWidth="1"/>
    <col min="11021" max="11021" width="13.5703125" style="1259" customWidth="1"/>
    <col min="11022" max="11022" width="0.85546875" style="1259" customWidth="1"/>
    <col min="11023" max="11023" width="12.28515625" style="1259" customWidth="1"/>
    <col min="11024" max="11024" width="1.5703125" style="1259" customWidth="1"/>
    <col min="11025" max="11025" width="12.28515625" style="1259" customWidth="1"/>
    <col min="11026" max="11026" width="1.5703125" style="1259" customWidth="1"/>
    <col min="11027" max="11027" width="12.28515625" style="1259" customWidth="1"/>
    <col min="11028" max="11028" width="0.85546875" style="1259" customWidth="1"/>
    <col min="11029" max="11029" width="12.28515625" style="1259" customWidth="1"/>
    <col min="11030" max="11030" width="1.5703125" style="1259" customWidth="1"/>
    <col min="11031" max="11031" width="12.28515625" style="1259" customWidth="1"/>
    <col min="11032" max="11032" width="1.5703125" style="1259" customWidth="1"/>
    <col min="11033" max="11033" width="12.28515625" style="1259" customWidth="1"/>
    <col min="11034" max="11034" width="0.85546875" style="1259" customWidth="1"/>
    <col min="11035" max="11035" width="12.28515625" style="1259" customWidth="1"/>
    <col min="11036" max="11036" width="1.5703125" style="1259" customWidth="1"/>
    <col min="11037" max="11037" width="12.28515625" style="1259" customWidth="1"/>
    <col min="11038" max="11038" width="1.5703125" style="1259" customWidth="1"/>
    <col min="11039" max="11039" width="12.28515625" style="1259" customWidth="1"/>
    <col min="11040" max="11040" width="4.5703125" style="1259" customWidth="1"/>
    <col min="11041" max="11041" width="1.42578125" style="1259" customWidth="1"/>
    <col min="11042" max="11264" width="13.85546875" style="1259"/>
    <col min="11265" max="11265" width="7.85546875" style="1259" customWidth="1"/>
    <col min="11266" max="11267" width="2.28515625" style="1259" customWidth="1"/>
    <col min="11268" max="11268" width="31.42578125" style="1259" customWidth="1"/>
    <col min="11269" max="11269" width="2.28515625" style="1259" customWidth="1"/>
    <col min="11270" max="11270" width="2.140625" style="1259" customWidth="1"/>
    <col min="11271" max="11271" width="12.28515625" style="1259" customWidth="1"/>
    <col min="11272" max="11272" width="1.5703125" style="1259" customWidth="1"/>
    <col min="11273" max="11273" width="12.28515625" style="1259" customWidth="1"/>
    <col min="11274" max="11274" width="1.5703125" style="1259" customWidth="1"/>
    <col min="11275" max="11275" width="12.28515625" style="1259" customWidth="1"/>
    <col min="11276" max="11276" width="1.5703125" style="1259" customWidth="1"/>
    <col min="11277" max="11277" width="13.5703125" style="1259" customWidth="1"/>
    <col min="11278" max="11278" width="0.85546875" style="1259" customWidth="1"/>
    <col min="11279" max="11279" width="12.28515625" style="1259" customWidth="1"/>
    <col min="11280" max="11280" width="1.5703125" style="1259" customWidth="1"/>
    <col min="11281" max="11281" width="12.28515625" style="1259" customWidth="1"/>
    <col min="11282" max="11282" width="1.5703125" style="1259" customWidth="1"/>
    <col min="11283" max="11283" width="12.28515625" style="1259" customWidth="1"/>
    <col min="11284" max="11284" width="0.85546875" style="1259" customWidth="1"/>
    <col min="11285" max="11285" width="12.28515625" style="1259" customWidth="1"/>
    <col min="11286" max="11286" width="1.5703125" style="1259" customWidth="1"/>
    <col min="11287" max="11287" width="12.28515625" style="1259" customWidth="1"/>
    <col min="11288" max="11288" width="1.5703125" style="1259" customWidth="1"/>
    <col min="11289" max="11289" width="12.28515625" style="1259" customWidth="1"/>
    <col min="11290" max="11290" width="0.85546875" style="1259" customWidth="1"/>
    <col min="11291" max="11291" width="12.28515625" style="1259" customWidth="1"/>
    <col min="11292" max="11292" width="1.5703125" style="1259" customWidth="1"/>
    <col min="11293" max="11293" width="12.28515625" style="1259" customWidth="1"/>
    <col min="11294" max="11294" width="1.5703125" style="1259" customWidth="1"/>
    <col min="11295" max="11295" width="12.28515625" style="1259" customWidth="1"/>
    <col min="11296" max="11296" width="4.5703125" style="1259" customWidth="1"/>
    <col min="11297" max="11297" width="1.42578125" style="1259" customWidth="1"/>
    <col min="11298" max="11520" width="13.85546875" style="1259"/>
    <col min="11521" max="11521" width="7.85546875" style="1259" customWidth="1"/>
    <col min="11522" max="11523" width="2.28515625" style="1259" customWidth="1"/>
    <col min="11524" max="11524" width="31.42578125" style="1259" customWidth="1"/>
    <col min="11525" max="11525" width="2.28515625" style="1259" customWidth="1"/>
    <col min="11526" max="11526" width="2.140625" style="1259" customWidth="1"/>
    <col min="11527" max="11527" width="12.28515625" style="1259" customWidth="1"/>
    <col min="11528" max="11528" width="1.5703125" style="1259" customWidth="1"/>
    <col min="11529" max="11529" width="12.28515625" style="1259" customWidth="1"/>
    <col min="11530" max="11530" width="1.5703125" style="1259" customWidth="1"/>
    <col min="11531" max="11531" width="12.28515625" style="1259" customWidth="1"/>
    <col min="11532" max="11532" width="1.5703125" style="1259" customWidth="1"/>
    <col min="11533" max="11533" width="13.5703125" style="1259" customWidth="1"/>
    <col min="11534" max="11534" width="0.85546875" style="1259" customWidth="1"/>
    <col min="11535" max="11535" width="12.28515625" style="1259" customWidth="1"/>
    <col min="11536" max="11536" width="1.5703125" style="1259" customWidth="1"/>
    <col min="11537" max="11537" width="12.28515625" style="1259" customWidth="1"/>
    <col min="11538" max="11538" width="1.5703125" style="1259" customWidth="1"/>
    <col min="11539" max="11539" width="12.28515625" style="1259" customWidth="1"/>
    <col min="11540" max="11540" width="0.85546875" style="1259" customWidth="1"/>
    <col min="11541" max="11541" width="12.28515625" style="1259" customWidth="1"/>
    <col min="11542" max="11542" width="1.5703125" style="1259" customWidth="1"/>
    <col min="11543" max="11543" width="12.28515625" style="1259" customWidth="1"/>
    <col min="11544" max="11544" width="1.5703125" style="1259" customWidth="1"/>
    <col min="11545" max="11545" width="12.28515625" style="1259" customWidth="1"/>
    <col min="11546" max="11546" width="0.85546875" style="1259" customWidth="1"/>
    <col min="11547" max="11547" width="12.28515625" style="1259" customWidth="1"/>
    <col min="11548" max="11548" width="1.5703125" style="1259" customWidth="1"/>
    <col min="11549" max="11549" width="12.28515625" style="1259" customWidth="1"/>
    <col min="11550" max="11550" width="1.5703125" style="1259" customWidth="1"/>
    <col min="11551" max="11551" width="12.28515625" style="1259" customWidth="1"/>
    <col min="11552" max="11552" width="4.5703125" style="1259" customWidth="1"/>
    <col min="11553" max="11553" width="1.42578125" style="1259" customWidth="1"/>
    <col min="11554" max="11776" width="13.85546875" style="1259"/>
    <col min="11777" max="11777" width="7.85546875" style="1259" customWidth="1"/>
    <col min="11778" max="11779" width="2.28515625" style="1259" customWidth="1"/>
    <col min="11780" max="11780" width="31.42578125" style="1259" customWidth="1"/>
    <col min="11781" max="11781" width="2.28515625" style="1259" customWidth="1"/>
    <col min="11782" max="11782" width="2.140625" style="1259" customWidth="1"/>
    <col min="11783" max="11783" width="12.28515625" style="1259" customWidth="1"/>
    <col min="11784" max="11784" width="1.5703125" style="1259" customWidth="1"/>
    <col min="11785" max="11785" width="12.28515625" style="1259" customWidth="1"/>
    <col min="11786" max="11786" width="1.5703125" style="1259" customWidth="1"/>
    <col min="11787" max="11787" width="12.28515625" style="1259" customWidth="1"/>
    <col min="11788" max="11788" width="1.5703125" style="1259" customWidth="1"/>
    <col min="11789" max="11789" width="13.5703125" style="1259" customWidth="1"/>
    <col min="11790" max="11790" width="0.85546875" style="1259" customWidth="1"/>
    <col min="11791" max="11791" width="12.28515625" style="1259" customWidth="1"/>
    <col min="11792" max="11792" width="1.5703125" style="1259" customWidth="1"/>
    <col min="11793" max="11793" width="12.28515625" style="1259" customWidth="1"/>
    <col min="11794" max="11794" width="1.5703125" style="1259" customWidth="1"/>
    <col min="11795" max="11795" width="12.28515625" style="1259" customWidth="1"/>
    <col min="11796" max="11796" width="0.85546875" style="1259" customWidth="1"/>
    <col min="11797" max="11797" width="12.28515625" style="1259" customWidth="1"/>
    <col min="11798" max="11798" width="1.5703125" style="1259" customWidth="1"/>
    <col min="11799" max="11799" width="12.28515625" style="1259" customWidth="1"/>
    <col min="11800" max="11800" width="1.5703125" style="1259" customWidth="1"/>
    <col min="11801" max="11801" width="12.28515625" style="1259" customWidth="1"/>
    <col min="11802" max="11802" width="0.85546875" style="1259" customWidth="1"/>
    <col min="11803" max="11803" width="12.28515625" style="1259" customWidth="1"/>
    <col min="11804" max="11804" width="1.5703125" style="1259" customWidth="1"/>
    <col min="11805" max="11805" width="12.28515625" style="1259" customWidth="1"/>
    <col min="11806" max="11806" width="1.5703125" style="1259" customWidth="1"/>
    <col min="11807" max="11807" width="12.28515625" style="1259" customWidth="1"/>
    <col min="11808" max="11808" width="4.5703125" style="1259" customWidth="1"/>
    <col min="11809" max="11809" width="1.42578125" style="1259" customWidth="1"/>
    <col min="11810" max="12032" width="13.85546875" style="1259"/>
    <col min="12033" max="12033" width="7.85546875" style="1259" customWidth="1"/>
    <col min="12034" max="12035" width="2.28515625" style="1259" customWidth="1"/>
    <col min="12036" max="12036" width="31.42578125" style="1259" customWidth="1"/>
    <col min="12037" max="12037" width="2.28515625" style="1259" customWidth="1"/>
    <col min="12038" max="12038" width="2.140625" style="1259" customWidth="1"/>
    <col min="12039" max="12039" width="12.28515625" style="1259" customWidth="1"/>
    <col min="12040" max="12040" width="1.5703125" style="1259" customWidth="1"/>
    <col min="12041" max="12041" width="12.28515625" style="1259" customWidth="1"/>
    <col min="12042" max="12042" width="1.5703125" style="1259" customWidth="1"/>
    <col min="12043" max="12043" width="12.28515625" style="1259" customWidth="1"/>
    <col min="12044" max="12044" width="1.5703125" style="1259" customWidth="1"/>
    <col min="12045" max="12045" width="13.5703125" style="1259" customWidth="1"/>
    <col min="12046" max="12046" width="0.85546875" style="1259" customWidth="1"/>
    <col min="12047" max="12047" width="12.28515625" style="1259" customWidth="1"/>
    <col min="12048" max="12048" width="1.5703125" style="1259" customWidth="1"/>
    <col min="12049" max="12049" width="12.28515625" style="1259" customWidth="1"/>
    <col min="12050" max="12050" width="1.5703125" style="1259" customWidth="1"/>
    <col min="12051" max="12051" width="12.28515625" style="1259" customWidth="1"/>
    <col min="12052" max="12052" width="0.85546875" style="1259" customWidth="1"/>
    <col min="12053" max="12053" width="12.28515625" style="1259" customWidth="1"/>
    <col min="12054" max="12054" width="1.5703125" style="1259" customWidth="1"/>
    <col min="12055" max="12055" width="12.28515625" style="1259" customWidth="1"/>
    <col min="12056" max="12056" width="1.5703125" style="1259" customWidth="1"/>
    <col min="12057" max="12057" width="12.28515625" style="1259" customWidth="1"/>
    <col min="12058" max="12058" width="0.85546875" style="1259" customWidth="1"/>
    <col min="12059" max="12059" width="12.28515625" style="1259" customWidth="1"/>
    <col min="12060" max="12060" width="1.5703125" style="1259" customWidth="1"/>
    <col min="12061" max="12061" width="12.28515625" style="1259" customWidth="1"/>
    <col min="12062" max="12062" width="1.5703125" style="1259" customWidth="1"/>
    <col min="12063" max="12063" width="12.28515625" style="1259" customWidth="1"/>
    <col min="12064" max="12064" width="4.5703125" style="1259" customWidth="1"/>
    <col min="12065" max="12065" width="1.42578125" style="1259" customWidth="1"/>
    <col min="12066" max="12288" width="13.85546875" style="1259"/>
    <col min="12289" max="12289" width="7.85546875" style="1259" customWidth="1"/>
    <col min="12290" max="12291" width="2.28515625" style="1259" customWidth="1"/>
    <col min="12292" max="12292" width="31.42578125" style="1259" customWidth="1"/>
    <col min="12293" max="12293" width="2.28515625" style="1259" customWidth="1"/>
    <col min="12294" max="12294" width="2.140625" style="1259" customWidth="1"/>
    <col min="12295" max="12295" width="12.28515625" style="1259" customWidth="1"/>
    <col min="12296" max="12296" width="1.5703125" style="1259" customWidth="1"/>
    <col min="12297" max="12297" width="12.28515625" style="1259" customWidth="1"/>
    <col min="12298" max="12298" width="1.5703125" style="1259" customWidth="1"/>
    <col min="12299" max="12299" width="12.28515625" style="1259" customWidth="1"/>
    <col min="12300" max="12300" width="1.5703125" style="1259" customWidth="1"/>
    <col min="12301" max="12301" width="13.5703125" style="1259" customWidth="1"/>
    <col min="12302" max="12302" width="0.85546875" style="1259" customWidth="1"/>
    <col min="12303" max="12303" width="12.28515625" style="1259" customWidth="1"/>
    <col min="12304" max="12304" width="1.5703125" style="1259" customWidth="1"/>
    <col min="12305" max="12305" width="12.28515625" style="1259" customWidth="1"/>
    <col min="12306" max="12306" width="1.5703125" style="1259" customWidth="1"/>
    <col min="12307" max="12307" width="12.28515625" style="1259" customWidth="1"/>
    <col min="12308" max="12308" width="0.85546875" style="1259" customWidth="1"/>
    <col min="12309" max="12309" width="12.28515625" style="1259" customWidth="1"/>
    <col min="12310" max="12310" width="1.5703125" style="1259" customWidth="1"/>
    <col min="12311" max="12311" width="12.28515625" style="1259" customWidth="1"/>
    <col min="12312" max="12312" width="1.5703125" style="1259" customWidth="1"/>
    <col min="12313" max="12313" width="12.28515625" style="1259" customWidth="1"/>
    <col min="12314" max="12314" width="0.85546875" style="1259" customWidth="1"/>
    <col min="12315" max="12315" width="12.28515625" style="1259" customWidth="1"/>
    <col min="12316" max="12316" width="1.5703125" style="1259" customWidth="1"/>
    <col min="12317" max="12317" width="12.28515625" style="1259" customWidth="1"/>
    <col min="12318" max="12318" width="1.5703125" style="1259" customWidth="1"/>
    <col min="12319" max="12319" width="12.28515625" style="1259" customWidth="1"/>
    <col min="12320" max="12320" width="4.5703125" style="1259" customWidth="1"/>
    <col min="12321" max="12321" width="1.42578125" style="1259" customWidth="1"/>
    <col min="12322" max="12544" width="13.85546875" style="1259"/>
    <col min="12545" max="12545" width="7.85546875" style="1259" customWidth="1"/>
    <col min="12546" max="12547" width="2.28515625" style="1259" customWidth="1"/>
    <col min="12548" max="12548" width="31.42578125" style="1259" customWidth="1"/>
    <col min="12549" max="12549" width="2.28515625" style="1259" customWidth="1"/>
    <col min="12550" max="12550" width="2.140625" style="1259" customWidth="1"/>
    <col min="12551" max="12551" width="12.28515625" style="1259" customWidth="1"/>
    <col min="12552" max="12552" width="1.5703125" style="1259" customWidth="1"/>
    <col min="12553" max="12553" width="12.28515625" style="1259" customWidth="1"/>
    <col min="12554" max="12554" width="1.5703125" style="1259" customWidth="1"/>
    <col min="12555" max="12555" width="12.28515625" style="1259" customWidth="1"/>
    <col min="12556" max="12556" width="1.5703125" style="1259" customWidth="1"/>
    <col min="12557" max="12557" width="13.5703125" style="1259" customWidth="1"/>
    <col min="12558" max="12558" width="0.85546875" style="1259" customWidth="1"/>
    <col min="12559" max="12559" width="12.28515625" style="1259" customWidth="1"/>
    <col min="12560" max="12560" width="1.5703125" style="1259" customWidth="1"/>
    <col min="12561" max="12561" width="12.28515625" style="1259" customWidth="1"/>
    <col min="12562" max="12562" width="1.5703125" style="1259" customWidth="1"/>
    <col min="12563" max="12563" width="12.28515625" style="1259" customWidth="1"/>
    <col min="12564" max="12564" width="0.85546875" style="1259" customWidth="1"/>
    <col min="12565" max="12565" width="12.28515625" style="1259" customWidth="1"/>
    <col min="12566" max="12566" width="1.5703125" style="1259" customWidth="1"/>
    <col min="12567" max="12567" width="12.28515625" style="1259" customWidth="1"/>
    <col min="12568" max="12568" width="1.5703125" style="1259" customWidth="1"/>
    <col min="12569" max="12569" width="12.28515625" style="1259" customWidth="1"/>
    <col min="12570" max="12570" width="0.85546875" style="1259" customWidth="1"/>
    <col min="12571" max="12571" width="12.28515625" style="1259" customWidth="1"/>
    <col min="12572" max="12572" width="1.5703125" style="1259" customWidth="1"/>
    <col min="12573" max="12573" width="12.28515625" style="1259" customWidth="1"/>
    <col min="12574" max="12574" width="1.5703125" style="1259" customWidth="1"/>
    <col min="12575" max="12575" width="12.28515625" style="1259" customWidth="1"/>
    <col min="12576" max="12576" width="4.5703125" style="1259" customWidth="1"/>
    <col min="12577" max="12577" width="1.42578125" style="1259" customWidth="1"/>
    <col min="12578" max="12800" width="13.85546875" style="1259"/>
    <col min="12801" max="12801" width="7.85546875" style="1259" customWidth="1"/>
    <col min="12802" max="12803" width="2.28515625" style="1259" customWidth="1"/>
    <col min="12804" max="12804" width="31.42578125" style="1259" customWidth="1"/>
    <col min="12805" max="12805" width="2.28515625" style="1259" customWidth="1"/>
    <col min="12806" max="12806" width="2.140625" style="1259" customWidth="1"/>
    <col min="12807" max="12807" width="12.28515625" style="1259" customWidth="1"/>
    <col min="12808" max="12808" width="1.5703125" style="1259" customWidth="1"/>
    <col min="12809" max="12809" width="12.28515625" style="1259" customWidth="1"/>
    <col min="12810" max="12810" width="1.5703125" style="1259" customWidth="1"/>
    <col min="12811" max="12811" width="12.28515625" style="1259" customWidth="1"/>
    <col min="12812" max="12812" width="1.5703125" style="1259" customWidth="1"/>
    <col min="12813" max="12813" width="13.5703125" style="1259" customWidth="1"/>
    <col min="12814" max="12814" width="0.85546875" style="1259" customWidth="1"/>
    <col min="12815" max="12815" width="12.28515625" style="1259" customWidth="1"/>
    <col min="12816" max="12816" width="1.5703125" style="1259" customWidth="1"/>
    <col min="12817" max="12817" width="12.28515625" style="1259" customWidth="1"/>
    <col min="12818" max="12818" width="1.5703125" style="1259" customWidth="1"/>
    <col min="12819" max="12819" width="12.28515625" style="1259" customWidth="1"/>
    <col min="12820" max="12820" width="0.85546875" style="1259" customWidth="1"/>
    <col min="12821" max="12821" width="12.28515625" style="1259" customWidth="1"/>
    <col min="12822" max="12822" width="1.5703125" style="1259" customWidth="1"/>
    <col min="12823" max="12823" width="12.28515625" style="1259" customWidth="1"/>
    <col min="12824" max="12824" width="1.5703125" style="1259" customWidth="1"/>
    <col min="12825" max="12825" width="12.28515625" style="1259" customWidth="1"/>
    <col min="12826" max="12826" width="0.85546875" style="1259" customWidth="1"/>
    <col min="12827" max="12827" width="12.28515625" style="1259" customWidth="1"/>
    <col min="12828" max="12828" width="1.5703125" style="1259" customWidth="1"/>
    <col min="12829" max="12829" width="12.28515625" style="1259" customWidth="1"/>
    <col min="12830" max="12830" width="1.5703125" style="1259" customWidth="1"/>
    <col min="12831" max="12831" width="12.28515625" style="1259" customWidth="1"/>
    <col min="12832" max="12832" width="4.5703125" style="1259" customWidth="1"/>
    <col min="12833" max="12833" width="1.42578125" style="1259" customWidth="1"/>
    <col min="12834" max="13056" width="13.85546875" style="1259"/>
    <col min="13057" max="13057" width="7.85546875" style="1259" customWidth="1"/>
    <col min="13058" max="13059" width="2.28515625" style="1259" customWidth="1"/>
    <col min="13060" max="13060" width="31.42578125" style="1259" customWidth="1"/>
    <col min="13061" max="13061" width="2.28515625" style="1259" customWidth="1"/>
    <col min="13062" max="13062" width="2.140625" style="1259" customWidth="1"/>
    <col min="13063" max="13063" width="12.28515625" style="1259" customWidth="1"/>
    <col min="13064" max="13064" width="1.5703125" style="1259" customWidth="1"/>
    <col min="13065" max="13065" width="12.28515625" style="1259" customWidth="1"/>
    <col min="13066" max="13066" width="1.5703125" style="1259" customWidth="1"/>
    <col min="13067" max="13067" width="12.28515625" style="1259" customWidth="1"/>
    <col min="13068" max="13068" width="1.5703125" style="1259" customWidth="1"/>
    <col min="13069" max="13069" width="13.5703125" style="1259" customWidth="1"/>
    <col min="13070" max="13070" width="0.85546875" style="1259" customWidth="1"/>
    <col min="13071" max="13071" width="12.28515625" style="1259" customWidth="1"/>
    <col min="13072" max="13072" width="1.5703125" style="1259" customWidth="1"/>
    <col min="13073" max="13073" width="12.28515625" style="1259" customWidth="1"/>
    <col min="13074" max="13074" width="1.5703125" style="1259" customWidth="1"/>
    <col min="13075" max="13075" width="12.28515625" style="1259" customWidth="1"/>
    <col min="13076" max="13076" width="0.85546875" style="1259" customWidth="1"/>
    <col min="13077" max="13077" width="12.28515625" style="1259" customWidth="1"/>
    <col min="13078" max="13078" width="1.5703125" style="1259" customWidth="1"/>
    <col min="13079" max="13079" width="12.28515625" style="1259" customWidth="1"/>
    <col min="13080" max="13080" width="1.5703125" style="1259" customWidth="1"/>
    <col min="13081" max="13081" width="12.28515625" style="1259" customWidth="1"/>
    <col min="13082" max="13082" width="0.85546875" style="1259" customWidth="1"/>
    <col min="13083" max="13083" width="12.28515625" style="1259" customWidth="1"/>
    <col min="13084" max="13084" width="1.5703125" style="1259" customWidth="1"/>
    <col min="13085" max="13085" width="12.28515625" style="1259" customWidth="1"/>
    <col min="13086" max="13086" width="1.5703125" style="1259" customWidth="1"/>
    <col min="13087" max="13087" width="12.28515625" style="1259" customWidth="1"/>
    <col min="13088" max="13088" width="4.5703125" style="1259" customWidth="1"/>
    <col min="13089" max="13089" width="1.42578125" style="1259" customWidth="1"/>
    <col min="13090" max="13312" width="13.85546875" style="1259"/>
    <col min="13313" max="13313" width="7.85546875" style="1259" customWidth="1"/>
    <col min="13314" max="13315" width="2.28515625" style="1259" customWidth="1"/>
    <col min="13316" max="13316" width="31.42578125" style="1259" customWidth="1"/>
    <col min="13317" max="13317" width="2.28515625" style="1259" customWidth="1"/>
    <col min="13318" max="13318" width="2.140625" style="1259" customWidth="1"/>
    <col min="13319" max="13319" width="12.28515625" style="1259" customWidth="1"/>
    <col min="13320" max="13320" width="1.5703125" style="1259" customWidth="1"/>
    <col min="13321" max="13321" width="12.28515625" style="1259" customWidth="1"/>
    <col min="13322" max="13322" width="1.5703125" style="1259" customWidth="1"/>
    <col min="13323" max="13323" width="12.28515625" style="1259" customWidth="1"/>
    <col min="13324" max="13324" width="1.5703125" style="1259" customWidth="1"/>
    <col min="13325" max="13325" width="13.5703125" style="1259" customWidth="1"/>
    <col min="13326" max="13326" width="0.85546875" style="1259" customWidth="1"/>
    <col min="13327" max="13327" width="12.28515625" style="1259" customWidth="1"/>
    <col min="13328" max="13328" width="1.5703125" style="1259" customWidth="1"/>
    <col min="13329" max="13329" width="12.28515625" style="1259" customWidth="1"/>
    <col min="13330" max="13330" width="1.5703125" style="1259" customWidth="1"/>
    <col min="13331" max="13331" width="12.28515625" style="1259" customWidth="1"/>
    <col min="13332" max="13332" width="0.85546875" style="1259" customWidth="1"/>
    <col min="13333" max="13333" width="12.28515625" style="1259" customWidth="1"/>
    <col min="13334" max="13334" width="1.5703125" style="1259" customWidth="1"/>
    <col min="13335" max="13335" width="12.28515625" style="1259" customWidth="1"/>
    <col min="13336" max="13336" width="1.5703125" style="1259" customWidth="1"/>
    <col min="13337" max="13337" width="12.28515625" style="1259" customWidth="1"/>
    <col min="13338" max="13338" width="0.85546875" style="1259" customWidth="1"/>
    <col min="13339" max="13339" width="12.28515625" style="1259" customWidth="1"/>
    <col min="13340" max="13340" width="1.5703125" style="1259" customWidth="1"/>
    <col min="13341" max="13341" width="12.28515625" style="1259" customWidth="1"/>
    <col min="13342" max="13342" width="1.5703125" style="1259" customWidth="1"/>
    <col min="13343" max="13343" width="12.28515625" style="1259" customWidth="1"/>
    <col min="13344" max="13344" width="4.5703125" style="1259" customWidth="1"/>
    <col min="13345" max="13345" width="1.42578125" style="1259" customWidth="1"/>
    <col min="13346" max="13568" width="13.85546875" style="1259"/>
    <col min="13569" max="13569" width="7.85546875" style="1259" customWidth="1"/>
    <col min="13570" max="13571" width="2.28515625" style="1259" customWidth="1"/>
    <col min="13572" max="13572" width="31.42578125" style="1259" customWidth="1"/>
    <col min="13573" max="13573" width="2.28515625" style="1259" customWidth="1"/>
    <col min="13574" max="13574" width="2.140625" style="1259" customWidth="1"/>
    <col min="13575" max="13575" width="12.28515625" style="1259" customWidth="1"/>
    <col min="13576" max="13576" width="1.5703125" style="1259" customWidth="1"/>
    <col min="13577" max="13577" width="12.28515625" style="1259" customWidth="1"/>
    <col min="13578" max="13578" width="1.5703125" style="1259" customWidth="1"/>
    <col min="13579" max="13579" width="12.28515625" style="1259" customWidth="1"/>
    <col min="13580" max="13580" width="1.5703125" style="1259" customWidth="1"/>
    <col min="13581" max="13581" width="13.5703125" style="1259" customWidth="1"/>
    <col min="13582" max="13582" width="0.85546875" style="1259" customWidth="1"/>
    <col min="13583" max="13583" width="12.28515625" style="1259" customWidth="1"/>
    <col min="13584" max="13584" width="1.5703125" style="1259" customWidth="1"/>
    <col min="13585" max="13585" width="12.28515625" style="1259" customWidth="1"/>
    <col min="13586" max="13586" width="1.5703125" style="1259" customWidth="1"/>
    <col min="13587" max="13587" width="12.28515625" style="1259" customWidth="1"/>
    <col min="13588" max="13588" width="0.85546875" style="1259" customWidth="1"/>
    <col min="13589" max="13589" width="12.28515625" style="1259" customWidth="1"/>
    <col min="13590" max="13590" width="1.5703125" style="1259" customWidth="1"/>
    <col min="13591" max="13591" width="12.28515625" style="1259" customWidth="1"/>
    <col min="13592" max="13592" width="1.5703125" style="1259" customWidth="1"/>
    <col min="13593" max="13593" width="12.28515625" style="1259" customWidth="1"/>
    <col min="13594" max="13594" width="0.85546875" style="1259" customWidth="1"/>
    <col min="13595" max="13595" width="12.28515625" style="1259" customWidth="1"/>
    <col min="13596" max="13596" width="1.5703125" style="1259" customWidth="1"/>
    <col min="13597" max="13597" width="12.28515625" style="1259" customWidth="1"/>
    <col min="13598" max="13598" width="1.5703125" style="1259" customWidth="1"/>
    <col min="13599" max="13599" width="12.28515625" style="1259" customWidth="1"/>
    <col min="13600" max="13600" width="4.5703125" style="1259" customWidth="1"/>
    <col min="13601" max="13601" width="1.42578125" style="1259" customWidth="1"/>
    <col min="13602" max="13824" width="13.85546875" style="1259"/>
    <col min="13825" max="13825" width="7.85546875" style="1259" customWidth="1"/>
    <col min="13826" max="13827" width="2.28515625" style="1259" customWidth="1"/>
    <col min="13828" max="13828" width="31.42578125" style="1259" customWidth="1"/>
    <col min="13829" max="13829" width="2.28515625" style="1259" customWidth="1"/>
    <col min="13830" max="13830" width="2.140625" style="1259" customWidth="1"/>
    <col min="13831" max="13831" width="12.28515625" style="1259" customWidth="1"/>
    <col min="13832" max="13832" width="1.5703125" style="1259" customWidth="1"/>
    <col min="13833" max="13833" width="12.28515625" style="1259" customWidth="1"/>
    <col min="13834" max="13834" width="1.5703125" style="1259" customWidth="1"/>
    <col min="13835" max="13835" width="12.28515625" style="1259" customWidth="1"/>
    <col min="13836" max="13836" width="1.5703125" style="1259" customWidth="1"/>
    <col min="13837" max="13837" width="13.5703125" style="1259" customWidth="1"/>
    <col min="13838" max="13838" width="0.85546875" style="1259" customWidth="1"/>
    <col min="13839" max="13839" width="12.28515625" style="1259" customWidth="1"/>
    <col min="13840" max="13840" width="1.5703125" style="1259" customWidth="1"/>
    <col min="13841" max="13841" width="12.28515625" style="1259" customWidth="1"/>
    <col min="13842" max="13842" width="1.5703125" style="1259" customWidth="1"/>
    <col min="13843" max="13843" width="12.28515625" style="1259" customWidth="1"/>
    <col min="13844" max="13844" width="0.85546875" style="1259" customWidth="1"/>
    <col min="13845" max="13845" width="12.28515625" style="1259" customWidth="1"/>
    <col min="13846" max="13846" width="1.5703125" style="1259" customWidth="1"/>
    <col min="13847" max="13847" width="12.28515625" style="1259" customWidth="1"/>
    <col min="13848" max="13848" width="1.5703125" style="1259" customWidth="1"/>
    <col min="13849" max="13849" width="12.28515625" style="1259" customWidth="1"/>
    <col min="13850" max="13850" width="0.85546875" style="1259" customWidth="1"/>
    <col min="13851" max="13851" width="12.28515625" style="1259" customWidth="1"/>
    <col min="13852" max="13852" width="1.5703125" style="1259" customWidth="1"/>
    <col min="13853" max="13853" width="12.28515625" style="1259" customWidth="1"/>
    <col min="13854" max="13854" width="1.5703125" style="1259" customWidth="1"/>
    <col min="13855" max="13855" width="12.28515625" style="1259" customWidth="1"/>
    <col min="13856" max="13856" width="4.5703125" style="1259" customWidth="1"/>
    <col min="13857" max="13857" width="1.42578125" style="1259" customWidth="1"/>
    <col min="13858" max="14080" width="13.85546875" style="1259"/>
    <col min="14081" max="14081" width="7.85546875" style="1259" customWidth="1"/>
    <col min="14082" max="14083" width="2.28515625" style="1259" customWidth="1"/>
    <col min="14084" max="14084" width="31.42578125" style="1259" customWidth="1"/>
    <col min="14085" max="14085" width="2.28515625" style="1259" customWidth="1"/>
    <col min="14086" max="14086" width="2.140625" style="1259" customWidth="1"/>
    <col min="14087" max="14087" width="12.28515625" style="1259" customWidth="1"/>
    <col min="14088" max="14088" width="1.5703125" style="1259" customWidth="1"/>
    <col min="14089" max="14089" width="12.28515625" style="1259" customWidth="1"/>
    <col min="14090" max="14090" width="1.5703125" style="1259" customWidth="1"/>
    <col min="14091" max="14091" width="12.28515625" style="1259" customWidth="1"/>
    <col min="14092" max="14092" width="1.5703125" style="1259" customWidth="1"/>
    <col min="14093" max="14093" width="13.5703125" style="1259" customWidth="1"/>
    <col min="14094" max="14094" width="0.85546875" style="1259" customWidth="1"/>
    <col min="14095" max="14095" width="12.28515625" style="1259" customWidth="1"/>
    <col min="14096" max="14096" width="1.5703125" style="1259" customWidth="1"/>
    <col min="14097" max="14097" width="12.28515625" style="1259" customWidth="1"/>
    <col min="14098" max="14098" width="1.5703125" style="1259" customWidth="1"/>
    <col min="14099" max="14099" width="12.28515625" style="1259" customWidth="1"/>
    <col min="14100" max="14100" width="0.85546875" style="1259" customWidth="1"/>
    <col min="14101" max="14101" width="12.28515625" style="1259" customWidth="1"/>
    <col min="14102" max="14102" width="1.5703125" style="1259" customWidth="1"/>
    <col min="14103" max="14103" width="12.28515625" style="1259" customWidth="1"/>
    <col min="14104" max="14104" width="1.5703125" style="1259" customWidth="1"/>
    <col min="14105" max="14105" width="12.28515625" style="1259" customWidth="1"/>
    <col min="14106" max="14106" width="0.85546875" style="1259" customWidth="1"/>
    <col min="14107" max="14107" width="12.28515625" style="1259" customWidth="1"/>
    <col min="14108" max="14108" width="1.5703125" style="1259" customWidth="1"/>
    <col min="14109" max="14109" width="12.28515625" style="1259" customWidth="1"/>
    <col min="14110" max="14110" width="1.5703125" style="1259" customWidth="1"/>
    <col min="14111" max="14111" width="12.28515625" style="1259" customWidth="1"/>
    <col min="14112" max="14112" width="4.5703125" style="1259" customWidth="1"/>
    <col min="14113" max="14113" width="1.42578125" style="1259" customWidth="1"/>
    <col min="14114" max="14336" width="13.85546875" style="1259"/>
    <col min="14337" max="14337" width="7.85546875" style="1259" customWidth="1"/>
    <col min="14338" max="14339" width="2.28515625" style="1259" customWidth="1"/>
    <col min="14340" max="14340" width="31.42578125" style="1259" customWidth="1"/>
    <col min="14341" max="14341" width="2.28515625" style="1259" customWidth="1"/>
    <col min="14342" max="14342" width="2.140625" style="1259" customWidth="1"/>
    <col min="14343" max="14343" width="12.28515625" style="1259" customWidth="1"/>
    <col min="14344" max="14344" width="1.5703125" style="1259" customWidth="1"/>
    <col min="14345" max="14345" width="12.28515625" style="1259" customWidth="1"/>
    <col min="14346" max="14346" width="1.5703125" style="1259" customWidth="1"/>
    <col min="14347" max="14347" width="12.28515625" style="1259" customWidth="1"/>
    <col min="14348" max="14348" width="1.5703125" style="1259" customWidth="1"/>
    <col min="14349" max="14349" width="13.5703125" style="1259" customWidth="1"/>
    <col min="14350" max="14350" width="0.85546875" style="1259" customWidth="1"/>
    <col min="14351" max="14351" width="12.28515625" style="1259" customWidth="1"/>
    <col min="14352" max="14352" width="1.5703125" style="1259" customWidth="1"/>
    <col min="14353" max="14353" width="12.28515625" style="1259" customWidth="1"/>
    <col min="14354" max="14354" width="1.5703125" style="1259" customWidth="1"/>
    <col min="14355" max="14355" width="12.28515625" style="1259" customWidth="1"/>
    <col min="14356" max="14356" width="0.85546875" style="1259" customWidth="1"/>
    <col min="14357" max="14357" width="12.28515625" style="1259" customWidth="1"/>
    <col min="14358" max="14358" width="1.5703125" style="1259" customWidth="1"/>
    <col min="14359" max="14359" width="12.28515625" style="1259" customWidth="1"/>
    <col min="14360" max="14360" width="1.5703125" style="1259" customWidth="1"/>
    <col min="14361" max="14361" width="12.28515625" style="1259" customWidth="1"/>
    <col min="14362" max="14362" width="0.85546875" style="1259" customWidth="1"/>
    <col min="14363" max="14363" width="12.28515625" style="1259" customWidth="1"/>
    <col min="14364" max="14364" width="1.5703125" style="1259" customWidth="1"/>
    <col min="14365" max="14365" width="12.28515625" style="1259" customWidth="1"/>
    <col min="14366" max="14366" width="1.5703125" style="1259" customWidth="1"/>
    <col min="14367" max="14367" width="12.28515625" style="1259" customWidth="1"/>
    <col min="14368" max="14368" width="4.5703125" style="1259" customWidth="1"/>
    <col min="14369" max="14369" width="1.42578125" style="1259" customWidth="1"/>
    <col min="14370" max="14592" width="13.85546875" style="1259"/>
    <col min="14593" max="14593" width="7.85546875" style="1259" customWidth="1"/>
    <col min="14594" max="14595" width="2.28515625" style="1259" customWidth="1"/>
    <col min="14596" max="14596" width="31.42578125" style="1259" customWidth="1"/>
    <col min="14597" max="14597" width="2.28515625" style="1259" customWidth="1"/>
    <col min="14598" max="14598" width="2.140625" style="1259" customWidth="1"/>
    <col min="14599" max="14599" width="12.28515625" style="1259" customWidth="1"/>
    <col min="14600" max="14600" width="1.5703125" style="1259" customWidth="1"/>
    <col min="14601" max="14601" width="12.28515625" style="1259" customWidth="1"/>
    <col min="14602" max="14602" width="1.5703125" style="1259" customWidth="1"/>
    <col min="14603" max="14603" width="12.28515625" style="1259" customWidth="1"/>
    <col min="14604" max="14604" width="1.5703125" style="1259" customWidth="1"/>
    <col min="14605" max="14605" width="13.5703125" style="1259" customWidth="1"/>
    <col min="14606" max="14606" width="0.85546875" style="1259" customWidth="1"/>
    <col min="14607" max="14607" width="12.28515625" style="1259" customWidth="1"/>
    <col min="14608" max="14608" width="1.5703125" style="1259" customWidth="1"/>
    <col min="14609" max="14609" width="12.28515625" style="1259" customWidth="1"/>
    <col min="14610" max="14610" width="1.5703125" style="1259" customWidth="1"/>
    <col min="14611" max="14611" width="12.28515625" style="1259" customWidth="1"/>
    <col min="14612" max="14612" width="0.85546875" style="1259" customWidth="1"/>
    <col min="14613" max="14613" width="12.28515625" style="1259" customWidth="1"/>
    <col min="14614" max="14614" width="1.5703125" style="1259" customWidth="1"/>
    <col min="14615" max="14615" width="12.28515625" style="1259" customWidth="1"/>
    <col min="14616" max="14616" width="1.5703125" style="1259" customWidth="1"/>
    <col min="14617" max="14617" width="12.28515625" style="1259" customWidth="1"/>
    <col min="14618" max="14618" width="0.85546875" style="1259" customWidth="1"/>
    <col min="14619" max="14619" width="12.28515625" style="1259" customWidth="1"/>
    <col min="14620" max="14620" width="1.5703125" style="1259" customWidth="1"/>
    <col min="14621" max="14621" width="12.28515625" style="1259" customWidth="1"/>
    <col min="14622" max="14622" width="1.5703125" style="1259" customWidth="1"/>
    <col min="14623" max="14623" width="12.28515625" style="1259" customWidth="1"/>
    <col min="14624" max="14624" width="4.5703125" style="1259" customWidth="1"/>
    <col min="14625" max="14625" width="1.42578125" style="1259" customWidth="1"/>
    <col min="14626" max="14848" width="13.85546875" style="1259"/>
    <col min="14849" max="14849" width="7.85546875" style="1259" customWidth="1"/>
    <col min="14850" max="14851" width="2.28515625" style="1259" customWidth="1"/>
    <col min="14852" max="14852" width="31.42578125" style="1259" customWidth="1"/>
    <col min="14853" max="14853" width="2.28515625" style="1259" customWidth="1"/>
    <col min="14854" max="14854" width="2.140625" style="1259" customWidth="1"/>
    <col min="14855" max="14855" width="12.28515625" style="1259" customWidth="1"/>
    <col min="14856" max="14856" width="1.5703125" style="1259" customWidth="1"/>
    <col min="14857" max="14857" width="12.28515625" style="1259" customWidth="1"/>
    <col min="14858" max="14858" width="1.5703125" style="1259" customWidth="1"/>
    <col min="14859" max="14859" width="12.28515625" style="1259" customWidth="1"/>
    <col min="14860" max="14860" width="1.5703125" style="1259" customWidth="1"/>
    <col min="14861" max="14861" width="13.5703125" style="1259" customWidth="1"/>
    <col min="14862" max="14862" width="0.85546875" style="1259" customWidth="1"/>
    <col min="14863" max="14863" width="12.28515625" style="1259" customWidth="1"/>
    <col min="14864" max="14864" width="1.5703125" style="1259" customWidth="1"/>
    <col min="14865" max="14865" width="12.28515625" style="1259" customWidth="1"/>
    <col min="14866" max="14866" width="1.5703125" style="1259" customWidth="1"/>
    <col min="14867" max="14867" width="12.28515625" style="1259" customWidth="1"/>
    <col min="14868" max="14868" width="0.85546875" style="1259" customWidth="1"/>
    <col min="14869" max="14869" width="12.28515625" style="1259" customWidth="1"/>
    <col min="14870" max="14870" width="1.5703125" style="1259" customWidth="1"/>
    <col min="14871" max="14871" width="12.28515625" style="1259" customWidth="1"/>
    <col min="14872" max="14872" width="1.5703125" style="1259" customWidth="1"/>
    <col min="14873" max="14873" width="12.28515625" style="1259" customWidth="1"/>
    <col min="14874" max="14874" width="0.85546875" style="1259" customWidth="1"/>
    <col min="14875" max="14875" width="12.28515625" style="1259" customWidth="1"/>
    <col min="14876" max="14876" width="1.5703125" style="1259" customWidth="1"/>
    <col min="14877" max="14877" width="12.28515625" style="1259" customWidth="1"/>
    <col min="14878" max="14878" width="1.5703125" style="1259" customWidth="1"/>
    <col min="14879" max="14879" width="12.28515625" style="1259" customWidth="1"/>
    <col min="14880" max="14880" width="4.5703125" style="1259" customWidth="1"/>
    <col min="14881" max="14881" width="1.42578125" style="1259" customWidth="1"/>
    <col min="14882" max="15104" width="13.85546875" style="1259"/>
    <col min="15105" max="15105" width="7.85546875" style="1259" customWidth="1"/>
    <col min="15106" max="15107" width="2.28515625" style="1259" customWidth="1"/>
    <col min="15108" max="15108" width="31.42578125" style="1259" customWidth="1"/>
    <col min="15109" max="15109" width="2.28515625" style="1259" customWidth="1"/>
    <col min="15110" max="15110" width="2.140625" style="1259" customWidth="1"/>
    <col min="15111" max="15111" width="12.28515625" style="1259" customWidth="1"/>
    <col min="15112" max="15112" width="1.5703125" style="1259" customWidth="1"/>
    <col min="15113" max="15113" width="12.28515625" style="1259" customWidth="1"/>
    <col min="15114" max="15114" width="1.5703125" style="1259" customWidth="1"/>
    <col min="15115" max="15115" width="12.28515625" style="1259" customWidth="1"/>
    <col min="15116" max="15116" width="1.5703125" style="1259" customWidth="1"/>
    <col min="15117" max="15117" width="13.5703125" style="1259" customWidth="1"/>
    <col min="15118" max="15118" width="0.85546875" style="1259" customWidth="1"/>
    <col min="15119" max="15119" width="12.28515625" style="1259" customWidth="1"/>
    <col min="15120" max="15120" width="1.5703125" style="1259" customWidth="1"/>
    <col min="15121" max="15121" width="12.28515625" style="1259" customWidth="1"/>
    <col min="15122" max="15122" width="1.5703125" style="1259" customWidth="1"/>
    <col min="15123" max="15123" width="12.28515625" style="1259" customWidth="1"/>
    <col min="15124" max="15124" width="0.85546875" style="1259" customWidth="1"/>
    <col min="15125" max="15125" width="12.28515625" style="1259" customWidth="1"/>
    <col min="15126" max="15126" width="1.5703125" style="1259" customWidth="1"/>
    <col min="15127" max="15127" width="12.28515625" style="1259" customWidth="1"/>
    <col min="15128" max="15128" width="1.5703125" style="1259" customWidth="1"/>
    <col min="15129" max="15129" width="12.28515625" style="1259" customWidth="1"/>
    <col min="15130" max="15130" width="0.85546875" style="1259" customWidth="1"/>
    <col min="15131" max="15131" width="12.28515625" style="1259" customWidth="1"/>
    <col min="15132" max="15132" width="1.5703125" style="1259" customWidth="1"/>
    <col min="15133" max="15133" width="12.28515625" style="1259" customWidth="1"/>
    <col min="15134" max="15134" width="1.5703125" style="1259" customWidth="1"/>
    <col min="15135" max="15135" width="12.28515625" style="1259" customWidth="1"/>
    <col min="15136" max="15136" width="4.5703125" style="1259" customWidth="1"/>
    <col min="15137" max="15137" width="1.42578125" style="1259" customWidth="1"/>
    <col min="15138" max="15360" width="13.85546875" style="1259"/>
    <col min="15361" max="15361" width="7.85546875" style="1259" customWidth="1"/>
    <col min="15362" max="15363" width="2.28515625" style="1259" customWidth="1"/>
    <col min="15364" max="15364" width="31.42578125" style="1259" customWidth="1"/>
    <col min="15365" max="15365" width="2.28515625" style="1259" customWidth="1"/>
    <col min="15366" max="15366" width="2.140625" style="1259" customWidth="1"/>
    <col min="15367" max="15367" width="12.28515625" style="1259" customWidth="1"/>
    <col min="15368" max="15368" width="1.5703125" style="1259" customWidth="1"/>
    <col min="15369" max="15369" width="12.28515625" style="1259" customWidth="1"/>
    <col min="15370" max="15370" width="1.5703125" style="1259" customWidth="1"/>
    <col min="15371" max="15371" width="12.28515625" style="1259" customWidth="1"/>
    <col min="15372" max="15372" width="1.5703125" style="1259" customWidth="1"/>
    <col min="15373" max="15373" width="13.5703125" style="1259" customWidth="1"/>
    <col min="15374" max="15374" width="0.85546875" style="1259" customWidth="1"/>
    <col min="15375" max="15375" width="12.28515625" style="1259" customWidth="1"/>
    <col min="15376" max="15376" width="1.5703125" style="1259" customWidth="1"/>
    <col min="15377" max="15377" width="12.28515625" style="1259" customWidth="1"/>
    <col min="15378" max="15378" width="1.5703125" style="1259" customWidth="1"/>
    <col min="15379" max="15379" width="12.28515625" style="1259" customWidth="1"/>
    <col min="15380" max="15380" width="0.85546875" style="1259" customWidth="1"/>
    <col min="15381" max="15381" width="12.28515625" style="1259" customWidth="1"/>
    <col min="15382" max="15382" width="1.5703125" style="1259" customWidth="1"/>
    <col min="15383" max="15383" width="12.28515625" style="1259" customWidth="1"/>
    <col min="15384" max="15384" width="1.5703125" style="1259" customWidth="1"/>
    <col min="15385" max="15385" width="12.28515625" style="1259" customWidth="1"/>
    <col min="15386" max="15386" width="0.85546875" style="1259" customWidth="1"/>
    <col min="15387" max="15387" width="12.28515625" style="1259" customWidth="1"/>
    <col min="15388" max="15388" width="1.5703125" style="1259" customWidth="1"/>
    <col min="15389" max="15389" width="12.28515625" style="1259" customWidth="1"/>
    <col min="15390" max="15390" width="1.5703125" style="1259" customWidth="1"/>
    <col min="15391" max="15391" width="12.28515625" style="1259" customWidth="1"/>
    <col min="15392" max="15392" width="4.5703125" style="1259" customWidth="1"/>
    <col min="15393" max="15393" width="1.42578125" style="1259" customWidth="1"/>
    <col min="15394" max="15616" width="13.85546875" style="1259"/>
    <col min="15617" max="15617" width="7.85546875" style="1259" customWidth="1"/>
    <col min="15618" max="15619" width="2.28515625" style="1259" customWidth="1"/>
    <col min="15620" max="15620" width="31.42578125" style="1259" customWidth="1"/>
    <col min="15621" max="15621" width="2.28515625" style="1259" customWidth="1"/>
    <col min="15622" max="15622" width="2.140625" style="1259" customWidth="1"/>
    <col min="15623" max="15623" width="12.28515625" style="1259" customWidth="1"/>
    <col min="15624" max="15624" width="1.5703125" style="1259" customWidth="1"/>
    <col min="15625" max="15625" width="12.28515625" style="1259" customWidth="1"/>
    <col min="15626" max="15626" width="1.5703125" style="1259" customWidth="1"/>
    <col min="15627" max="15627" width="12.28515625" style="1259" customWidth="1"/>
    <col min="15628" max="15628" width="1.5703125" style="1259" customWidth="1"/>
    <col min="15629" max="15629" width="13.5703125" style="1259" customWidth="1"/>
    <col min="15630" max="15630" width="0.85546875" style="1259" customWidth="1"/>
    <col min="15631" max="15631" width="12.28515625" style="1259" customWidth="1"/>
    <col min="15632" max="15632" width="1.5703125" style="1259" customWidth="1"/>
    <col min="15633" max="15633" width="12.28515625" style="1259" customWidth="1"/>
    <col min="15634" max="15634" width="1.5703125" style="1259" customWidth="1"/>
    <col min="15635" max="15635" width="12.28515625" style="1259" customWidth="1"/>
    <col min="15636" max="15636" width="0.85546875" style="1259" customWidth="1"/>
    <col min="15637" max="15637" width="12.28515625" style="1259" customWidth="1"/>
    <col min="15638" max="15638" width="1.5703125" style="1259" customWidth="1"/>
    <col min="15639" max="15639" width="12.28515625" style="1259" customWidth="1"/>
    <col min="15640" max="15640" width="1.5703125" style="1259" customWidth="1"/>
    <col min="15641" max="15641" width="12.28515625" style="1259" customWidth="1"/>
    <col min="15642" max="15642" width="0.85546875" style="1259" customWidth="1"/>
    <col min="15643" max="15643" width="12.28515625" style="1259" customWidth="1"/>
    <col min="15644" max="15644" width="1.5703125" style="1259" customWidth="1"/>
    <col min="15645" max="15645" width="12.28515625" style="1259" customWidth="1"/>
    <col min="15646" max="15646" width="1.5703125" style="1259" customWidth="1"/>
    <col min="15647" max="15647" width="12.28515625" style="1259" customWidth="1"/>
    <col min="15648" max="15648" width="4.5703125" style="1259" customWidth="1"/>
    <col min="15649" max="15649" width="1.42578125" style="1259" customWidth="1"/>
    <col min="15650" max="15872" width="13.85546875" style="1259"/>
    <col min="15873" max="15873" width="7.85546875" style="1259" customWidth="1"/>
    <col min="15874" max="15875" width="2.28515625" style="1259" customWidth="1"/>
    <col min="15876" max="15876" width="31.42578125" style="1259" customWidth="1"/>
    <col min="15877" max="15877" width="2.28515625" style="1259" customWidth="1"/>
    <col min="15878" max="15878" width="2.140625" style="1259" customWidth="1"/>
    <col min="15879" max="15879" width="12.28515625" style="1259" customWidth="1"/>
    <col min="15880" max="15880" width="1.5703125" style="1259" customWidth="1"/>
    <col min="15881" max="15881" width="12.28515625" style="1259" customWidth="1"/>
    <col min="15882" max="15882" width="1.5703125" style="1259" customWidth="1"/>
    <col min="15883" max="15883" width="12.28515625" style="1259" customWidth="1"/>
    <col min="15884" max="15884" width="1.5703125" style="1259" customWidth="1"/>
    <col min="15885" max="15885" width="13.5703125" style="1259" customWidth="1"/>
    <col min="15886" max="15886" width="0.85546875" style="1259" customWidth="1"/>
    <col min="15887" max="15887" width="12.28515625" style="1259" customWidth="1"/>
    <col min="15888" max="15888" width="1.5703125" style="1259" customWidth="1"/>
    <col min="15889" max="15889" width="12.28515625" style="1259" customWidth="1"/>
    <col min="15890" max="15890" width="1.5703125" style="1259" customWidth="1"/>
    <col min="15891" max="15891" width="12.28515625" style="1259" customWidth="1"/>
    <col min="15892" max="15892" width="0.85546875" style="1259" customWidth="1"/>
    <col min="15893" max="15893" width="12.28515625" style="1259" customWidth="1"/>
    <col min="15894" max="15894" width="1.5703125" style="1259" customWidth="1"/>
    <col min="15895" max="15895" width="12.28515625" style="1259" customWidth="1"/>
    <col min="15896" max="15896" width="1.5703125" style="1259" customWidth="1"/>
    <col min="15897" max="15897" width="12.28515625" style="1259" customWidth="1"/>
    <col min="15898" max="15898" width="0.85546875" style="1259" customWidth="1"/>
    <col min="15899" max="15899" width="12.28515625" style="1259" customWidth="1"/>
    <col min="15900" max="15900" width="1.5703125" style="1259" customWidth="1"/>
    <col min="15901" max="15901" width="12.28515625" style="1259" customWidth="1"/>
    <col min="15902" max="15902" width="1.5703125" style="1259" customWidth="1"/>
    <col min="15903" max="15903" width="12.28515625" style="1259" customWidth="1"/>
    <col min="15904" max="15904" width="4.5703125" style="1259" customWidth="1"/>
    <col min="15905" max="15905" width="1.42578125" style="1259" customWidth="1"/>
    <col min="15906" max="16128" width="13.85546875" style="1259"/>
    <col min="16129" max="16129" width="7.85546875" style="1259" customWidth="1"/>
    <col min="16130" max="16131" width="2.28515625" style="1259" customWidth="1"/>
    <col min="16132" max="16132" width="31.42578125" style="1259" customWidth="1"/>
    <col min="16133" max="16133" width="2.28515625" style="1259" customWidth="1"/>
    <col min="16134" max="16134" width="2.140625" style="1259" customWidth="1"/>
    <col min="16135" max="16135" width="12.28515625" style="1259" customWidth="1"/>
    <col min="16136" max="16136" width="1.5703125" style="1259" customWidth="1"/>
    <col min="16137" max="16137" width="12.28515625" style="1259" customWidth="1"/>
    <col min="16138" max="16138" width="1.5703125" style="1259" customWidth="1"/>
    <col min="16139" max="16139" width="12.28515625" style="1259" customWidth="1"/>
    <col min="16140" max="16140" width="1.5703125" style="1259" customWidth="1"/>
    <col min="16141" max="16141" width="13.5703125" style="1259" customWidth="1"/>
    <col min="16142" max="16142" width="0.85546875" style="1259" customWidth="1"/>
    <col min="16143" max="16143" width="12.28515625" style="1259" customWidth="1"/>
    <col min="16144" max="16144" width="1.5703125" style="1259" customWidth="1"/>
    <col min="16145" max="16145" width="12.28515625" style="1259" customWidth="1"/>
    <col min="16146" max="16146" width="1.5703125" style="1259" customWidth="1"/>
    <col min="16147" max="16147" width="12.28515625" style="1259" customWidth="1"/>
    <col min="16148" max="16148" width="0.85546875" style="1259" customWidth="1"/>
    <col min="16149" max="16149" width="12.28515625" style="1259" customWidth="1"/>
    <col min="16150" max="16150" width="1.5703125" style="1259" customWidth="1"/>
    <col min="16151" max="16151" width="12.28515625" style="1259" customWidth="1"/>
    <col min="16152" max="16152" width="1.5703125" style="1259" customWidth="1"/>
    <col min="16153" max="16153" width="12.28515625" style="1259" customWidth="1"/>
    <col min="16154" max="16154" width="0.85546875" style="1259" customWidth="1"/>
    <col min="16155" max="16155" width="12.28515625" style="1259" customWidth="1"/>
    <col min="16156" max="16156" width="1.5703125" style="1259" customWidth="1"/>
    <col min="16157" max="16157" width="12.28515625" style="1259" customWidth="1"/>
    <col min="16158" max="16158" width="1.5703125" style="1259" customWidth="1"/>
    <col min="16159" max="16159" width="12.28515625" style="1259" customWidth="1"/>
    <col min="16160" max="16160" width="4.5703125" style="1259" customWidth="1"/>
    <col min="16161" max="16161" width="1.42578125" style="1259" customWidth="1"/>
    <col min="16162" max="16384" width="13.85546875" style="1259"/>
  </cols>
  <sheetData>
    <row r="1" spans="1:33" s="1272" customFormat="1" ht="15.75">
      <c r="A1" s="487" t="s">
        <v>404</v>
      </c>
      <c r="J1" s="1273"/>
      <c r="K1" s="567"/>
      <c r="N1" s="1273"/>
      <c r="O1" s="1274"/>
      <c r="P1" s="1273"/>
      <c r="Q1" s="567"/>
      <c r="V1" s="1273"/>
      <c r="W1" s="567"/>
      <c r="AB1" s="1273"/>
      <c r="AC1" s="567"/>
      <c r="AE1" s="569"/>
    </row>
    <row r="2" spans="1:33" s="1272" customFormat="1" ht="15.75">
      <c r="A2" s="487" t="s">
        <v>639</v>
      </c>
      <c r="K2" s="1275"/>
      <c r="N2" s="1273"/>
      <c r="O2" s="1275"/>
      <c r="Q2" s="1275" t="s">
        <v>195</v>
      </c>
      <c r="W2" s="1275" t="s">
        <v>195</v>
      </c>
      <c r="AC2" s="1275" t="s">
        <v>195</v>
      </c>
    </row>
    <row r="3" spans="1:33" s="1272" customFormat="1" ht="15">
      <c r="A3" s="487" t="s">
        <v>2093</v>
      </c>
    </row>
    <row r="4" spans="1:33" s="1272" customFormat="1" ht="15">
      <c r="A4" s="1277"/>
      <c r="B4" s="1277"/>
      <c r="C4" s="1277"/>
      <c r="D4" s="1277"/>
      <c r="E4" s="1277"/>
      <c r="F4" s="1277"/>
      <c r="G4" s="131"/>
      <c r="H4" s="132"/>
      <c r="I4" s="131"/>
      <c r="J4" s="132"/>
      <c r="K4" s="133"/>
      <c r="L4" s="132"/>
      <c r="M4" s="131"/>
      <c r="N4" s="132"/>
      <c r="O4" s="131"/>
      <c r="P4" s="132"/>
      <c r="Q4" s="133"/>
      <c r="R4" s="132"/>
      <c r="S4" s="131"/>
      <c r="T4" s="132"/>
      <c r="U4" s="131"/>
      <c r="V4" s="132"/>
      <c r="W4" s="133"/>
      <c r="X4" s="132"/>
      <c r="Y4" s="131"/>
      <c r="Z4" s="132"/>
      <c r="AA4" s="131"/>
      <c r="AB4" s="132"/>
      <c r="AC4" s="133"/>
      <c r="AD4" s="132"/>
      <c r="AE4" s="131"/>
      <c r="AF4" s="131"/>
    </row>
    <row r="5" spans="1:33" s="1272" customFormat="1" ht="15.75" thickBot="1">
      <c r="A5" s="1277"/>
      <c r="B5" s="1277"/>
      <c r="C5" s="1277"/>
      <c r="D5" s="1277"/>
      <c r="E5" s="1277"/>
      <c r="F5" s="1277"/>
      <c r="G5" s="572">
        <v>42768</v>
      </c>
      <c r="H5" s="573"/>
      <c r="I5" s="572">
        <v>42797</v>
      </c>
      <c r="J5" s="573"/>
      <c r="K5" s="572">
        <v>42829</v>
      </c>
      <c r="L5" s="574"/>
      <c r="M5" s="572">
        <v>42860</v>
      </c>
      <c r="N5" s="573"/>
      <c r="O5" s="572">
        <v>42892</v>
      </c>
      <c r="P5" s="573"/>
      <c r="Q5" s="572">
        <v>42923</v>
      </c>
      <c r="R5" s="574"/>
      <c r="S5" s="572">
        <v>42955</v>
      </c>
      <c r="T5" s="573"/>
      <c r="U5" s="572">
        <v>42987</v>
      </c>
      <c r="V5" s="573"/>
      <c r="W5" s="572">
        <v>43018</v>
      </c>
      <c r="X5" s="574"/>
      <c r="Y5" s="572">
        <v>43050</v>
      </c>
      <c r="Z5" s="573"/>
      <c r="AA5" s="572">
        <v>43081</v>
      </c>
      <c r="AB5" s="573"/>
      <c r="AC5" s="572">
        <v>43101</v>
      </c>
      <c r="AD5" s="574"/>
      <c r="AE5" s="575" t="s">
        <v>26</v>
      </c>
      <c r="AF5" s="576"/>
    </row>
    <row r="6" spans="1:33" outlineLevel="1">
      <c r="A6" s="1264"/>
      <c r="B6" s="1264"/>
      <c r="C6" s="1265"/>
      <c r="D6" s="1261"/>
      <c r="E6" s="1266"/>
      <c r="F6" s="1267"/>
      <c r="G6" s="1268"/>
      <c r="H6" s="1267"/>
      <c r="I6" s="1268"/>
      <c r="J6" s="1267"/>
      <c r="K6" s="1268"/>
      <c r="L6" s="1267"/>
      <c r="M6" s="1268"/>
      <c r="N6" s="1267"/>
      <c r="O6" s="1268"/>
      <c r="P6" s="1267"/>
      <c r="Q6" s="1268"/>
      <c r="R6" s="1267"/>
      <c r="S6" s="1268"/>
      <c r="T6" s="1267"/>
      <c r="U6" s="1268"/>
      <c r="V6" s="1267"/>
      <c r="W6" s="1268"/>
      <c r="X6" s="1267"/>
      <c r="Y6" s="1268"/>
      <c r="Z6" s="1267"/>
      <c r="AA6" s="1268"/>
      <c r="AB6" s="1267"/>
      <c r="AC6" s="1268"/>
      <c r="AD6" s="1267"/>
      <c r="AE6" s="1268">
        <f>AC6+AA6+Y6+W6+U6+S6+Q6+O6+M6+K6+I6+G6</f>
        <v>0</v>
      </c>
      <c r="AF6" s="1269">
        <f>IF(AE$45=0,0,AE6/AE$45)</f>
        <v>0</v>
      </c>
      <c r="AG6" s="1270"/>
    </row>
    <row r="7" spans="1:33" s="1266" customFormat="1" ht="4.5" customHeight="1">
      <c r="G7" s="1267"/>
      <c r="H7" s="1272"/>
      <c r="I7" s="1267"/>
      <c r="J7" s="1272"/>
      <c r="K7" s="1267"/>
      <c r="L7" s="1272"/>
      <c r="M7" s="1267"/>
      <c r="N7" s="1272"/>
      <c r="O7" s="1267"/>
      <c r="P7" s="1272"/>
      <c r="Q7" s="1267"/>
      <c r="R7" s="1272"/>
      <c r="S7" s="1267"/>
      <c r="T7" s="1272"/>
      <c r="U7" s="1267"/>
      <c r="V7" s="1272"/>
      <c r="W7" s="1267"/>
      <c r="X7" s="1272"/>
      <c r="Y7" s="1267"/>
      <c r="Z7" s="1272"/>
      <c r="AA7" s="1267"/>
      <c r="AB7" s="1272"/>
      <c r="AC7" s="1267"/>
      <c r="AD7" s="1272"/>
      <c r="AE7" s="1267"/>
      <c r="AF7" s="140"/>
      <c r="AG7" s="1272"/>
    </row>
    <row r="8" spans="1:33" s="1266" customFormat="1" ht="15" outlineLevel="1">
      <c r="G8" s="1267"/>
      <c r="H8" s="1272"/>
      <c r="I8" s="1267"/>
      <c r="J8" s="1272"/>
      <c r="K8" s="1267"/>
      <c r="L8" s="1272"/>
      <c r="M8" s="1267"/>
      <c r="N8" s="1272"/>
      <c r="O8" s="1267"/>
      <c r="P8" s="1272"/>
      <c r="Q8" s="1267"/>
      <c r="R8" s="1272"/>
      <c r="S8" s="1267"/>
      <c r="T8" s="1272"/>
      <c r="U8" s="1267"/>
      <c r="V8" s="1272"/>
      <c r="W8" s="1267"/>
      <c r="X8" s="1272"/>
      <c r="Y8" s="1267"/>
      <c r="Z8" s="1272"/>
      <c r="AA8" s="1267"/>
      <c r="AB8" s="1272"/>
      <c r="AC8" s="1267"/>
      <c r="AD8" s="1272"/>
      <c r="AE8" s="1267"/>
      <c r="AF8" s="577"/>
      <c r="AG8" s="1272"/>
    </row>
    <row r="9" spans="1:33" outlineLevel="1">
      <c r="A9" s="1264">
        <v>31000</v>
      </c>
      <c r="B9" s="1264" t="s">
        <v>202</v>
      </c>
      <c r="C9" s="1265"/>
      <c r="D9" s="1261"/>
      <c r="E9" s="1266"/>
      <c r="F9" s="1267"/>
      <c r="G9" s="1268">
        <v>3946.27</v>
      </c>
      <c r="H9" s="1267"/>
      <c r="I9" s="1268">
        <v>7614.52</v>
      </c>
      <c r="J9" s="1267"/>
      <c r="K9" s="1268">
        <v>6323.98</v>
      </c>
      <c r="L9" s="1267"/>
      <c r="M9" s="1268">
        <v>9822.5300000000007</v>
      </c>
      <c r="N9" s="1267"/>
      <c r="O9" s="1268">
        <v>9811.14</v>
      </c>
      <c r="P9" s="1267"/>
      <c r="Q9" s="1268">
        <v>9937.69</v>
      </c>
      <c r="R9" s="1267"/>
      <c r="S9" s="1268">
        <v>12627.99</v>
      </c>
      <c r="T9" s="1267"/>
      <c r="U9" s="1268">
        <v>12403.91</v>
      </c>
      <c r="V9" s="1267"/>
      <c r="W9" s="1268">
        <v>13239.14</v>
      </c>
      <c r="X9" s="1267"/>
      <c r="Y9" s="1268">
        <v>8268.7999999999993</v>
      </c>
      <c r="Z9" s="1267"/>
      <c r="AA9" s="1268">
        <v>7441.54</v>
      </c>
      <c r="AB9" s="1267"/>
      <c r="AC9" s="1268">
        <v>5937.65</v>
      </c>
      <c r="AD9" s="1267"/>
      <c r="AE9" s="1268">
        <f t="shared" ref="AE9:AE16" si="0">AC9+AA9+Y9+W9+U9+S9+Q9+O9+M9+K9+I9+G9</f>
        <v>107375.15999999999</v>
      </c>
      <c r="AF9" s="1269">
        <f t="shared" ref="AF9:AF16" si="1">IF(AE$45=0,0,AE9/AE$45)</f>
        <v>3.2428274991543368E-2</v>
      </c>
      <c r="AG9" s="1270"/>
    </row>
    <row r="10" spans="1:33" outlineLevel="1">
      <c r="A10" s="1264">
        <v>31005</v>
      </c>
      <c r="B10" s="1264" t="s">
        <v>204</v>
      </c>
      <c r="C10" s="1265"/>
      <c r="D10" s="1261"/>
      <c r="E10" s="1266"/>
      <c r="F10" s="1267"/>
      <c r="G10" s="1268">
        <v>2837.87</v>
      </c>
      <c r="H10" s="1267"/>
      <c r="I10" s="1268">
        <v>8235.27</v>
      </c>
      <c r="J10" s="1267"/>
      <c r="K10" s="1268">
        <v>9138.4599999999991</v>
      </c>
      <c r="L10" s="1267"/>
      <c r="M10" s="1268">
        <v>9663.8799999999992</v>
      </c>
      <c r="N10" s="1267"/>
      <c r="O10" s="1268">
        <v>8507.16</v>
      </c>
      <c r="P10" s="1267"/>
      <c r="Q10" s="1268">
        <v>11342.53</v>
      </c>
      <c r="R10" s="1267"/>
      <c r="S10" s="1268">
        <v>13997.07</v>
      </c>
      <c r="T10" s="1267"/>
      <c r="U10" s="1268">
        <v>12975.44</v>
      </c>
      <c r="V10" s="1267"/>
      <c r="W10" s="1268">
        <v>12944.46</v>
      </c>
      <c r="X10" s="1267"/>
      <c r="Y10" s="1268">
        <v>9070.73</v>
      </c>
      <c r="Z10" s="1267"/>
      <c r="AA10" s="1268">
        <v>7518.55</v>
      </c>
      <c r="AB10" s="1267"/>
      <c r="AC10" s="1268">
        <v>4839.34</v>
      </c>
      <c r="AD10" s="1267"/>
      <c r="AE10" s="1268">
        <f t="shared" si="0"/>
        <v>111070.76000000002</v>
      </c>
      <c r="AF10" s="1269">
        <f t="shared" si="1"/>
        <v>3.3544379806276579E-2</v>
      </c>
      <c r="AG10" s="1270"/>
    </row>
    <row r="11" spans="1:33" outlineLevel="1">
      <c r="A11" s="1264">
        <v>31010</v>
      </c>
      <c r="B11" s="1264" t="s">
        <v>205</v>
      </c>
      <c r="C11" s="1265"/>
      <c r="D11" s="1261"/>
      <c r="E11" s="1266"/>
      <c r="F11" s="1267"/>
      <c r="G11" s="1268">
        <v>762.6</v>
      </c>
      <c r="H11" s="1267"/>
      <c r="I11" s="1268">
        <v>2108.17</v>
      </c>
      <c r="J11" s="1267"/>
      <c r="K11" s="1268">
        <v>2174.89</v>
      </c>
      <c r="L11" s="1267"/>
      <c r="M11" s="1268">
        <v>4001.41</v>
      </c>
      <c r="N11" s="1267"/>
      <c r="O11" s="1268">
        <v>3474.63</v>
      </c>
      <c r="P11" s="1267"/>
      <c r="Q11" s="1268">
        <v>4533.8500000000004</v>
      </c>
      <c r="R11" s="1267"/>
      <c r="S11" s="1268">
        <v>4305.46</v>
      </c>
      <c r="T11" s="1267"/>
      <c r="U11" s="1268">
        <v>5626.69</v>
      </c>
      <c r="V11" s="1267"/>
      <c r="W11" s="1268">
        <v>5902.47</v>
      </c>
      <c r="X11" s="1267"/>
      <c r="Y11" s="1268">
        <v>2603.15</v>
      </c>
      <c r="Z11" s="1267"/>
      <c r="AA11" s="1268">
        <v>2503.2399999999998</v>
      </c>
      <c r="AB11" s="1267"/>
      <c r="AC11" s="1268">
        <v>1752.99</v>
      </c>
      <c r="AD11" s="1267"/>
      <c r="AE11" s="1268">
        <f t="shared" si="0"/>
        <v>39749.549999999996</v>
      </c>
      <c r="AF11" s="1269">
        <f t="shared" si="1"/>
        <v>1.2004725657126868E-2</v>
      </c>
      <c r="AG11" s="1270"/>
    </row>
    <row r="12" spans="1:33" outlineLevel="1">
      <c r="A12" s="1264">
        <v>32000</v>
      </c>
      <c r="B12" s="1264" t="s">
        <v>206</v>
      </c>
      <c r="C12" s="1265"/>
      <c r="D12" s="1261"/>
      <c r="E12" s="1266"/>
      <c r="F12" s="1267"/>
      <c r="G12" s="1268">
        <v>133080.92000000001</v>
      </c>
      <c r="H12" s="1267"/>
      <c r="I12" s="1268">
        <v>133015.20000000001</v>
      </c>
      <c r="J12" s="1267"/>
      <c r="K12" s="1268">
        <v>134745.01</v>
      </c>
      <c r="L12" s="1267"/>
      <c r="M12" s="1268">
        <v>135715.43</v>
      </c>
      <c r="N12" s="1267"/>
      <c r="O12" s="1268">
        <v>138191.75</v>
      </c>
      <c r="P12" s="1267"/>
      <c r="Q12" s="1268">
        <v>135427.29999999999</v>
      </c>
      <c r="R12" s="1267"/>
      <c r="S12" s="1268">
        <v>138289.21</v>
      </c>
      <c r="T12" s="1267"/>
      <c r="U12" s="1268">
        <v>138170.37</v>
      </c>
      <c r="V12" s="1267"/>
      <c r="W12" s="1268">
        <v>139001.74</v>
      </c>
      <c r="X12" s="1267"/>
      <c r="Y12" s="1268">
        <v>138343.26999999999</v>
      </c>
      <c r="Z12" s="1267"/>
      <c r="AA12" s="1268">
        <v>137819.31</v>
      </c>
      <c r="AB12" s="1267"/>
      <c r="AC12" s="1268">
        <v>136017.17000000001</v>
      </c>
      <c r="AD12" s="1267"/>
      <c r="AE12" s="1268">
        <f t="shared" si="0"/>
        <v>1637816.6799999997</v>
      </c>
      <c r="AF12" s="1269">
        <f t="shared" si="1"/>
        <v>0.4946355347435718</v>
      </c>
      <c r="AG12" s="1270"/>
    </row>
    <row r="13" spans="1:33" outlineLevel="1">
      <c r="A13" s="1264">
        <v>32001</v>
      </c>
      <c r="B13" s="1264" t="s">
        <v>207</v>
      </c>
      <c r="C13" s="1265"/>
      <c r="D13" s="1261"/>
      <c r="E13" s="1266"/>
      <c r="F13" s="1267"/>
      <c r="G13" s="1268">
        <v>1502.6</v>
      </c>
      <c r="H13" s="1267"/>
      <c r="I13" s="1268">
        <v>3433.87</v>
      </c>
      <c r="J13" s="1267"/>
      <c r="K13" s="1268">
        <v>2252.46</v>
      </c>
      <c r="L13" s="1267"/>
      <c r="M13" s="1268">
        <v>4221.6400000000003</v>
      </c>
      <c r="N13" s="1267"/>
      <c r="O13" s="1268">
        <v>3889.01</v>
      </c>
      <c r="P13" s="1267"/>
      <c r="Q13" s="1268">
        <v>4950.1400000000003</v>
      </c>
      <c r="R13" s="1267"/>
      <c r="S13" s="1268">
        <v>3816.95</v>
      </c>
      <c r="T13" s="1267"/>
      <c r="U13" s="1268">
        <v>3734.31</v>
      </c>
      <c r="V13" s="1267"/>
      <c r="W13" s="1268">
        <v>2811.23</v>
      </c>
      <c r="X13" s="1267"/>
      <c r="Y13" s="1268">
        <v>3574.49</v>
      </c>
      <c r="Z13" s="1267"/>
      <c r="AA13" s="1268">
        <v>3013.19</v>
      </c>
      <c r="AB13" s="1267"/>
      <c r="AC13" s="1268">
        <v>3961.78</v>
      </c>
      <c r="AD13" s="1267"/>
      <c r="AE13" s="1268">
        <f t="shared" si="0"/>
        <v>41161.67</v>
      </c>
      <c r="AF13" s="1269">
        <f t="shared" si="1"/>
        <v>1.243119874160058E-2</v>
      </c>
      <c r="AG13" s="1270"/>
    </row>
    <row r="14" spans="1:33" outlineLevel="1">
      <c r="A14" s="1264">
        <v>33000</v>
      </c>
      <c r="B14" s="1264" t="s">
        <v>208</v>
      </c>
      <c r="C14" s="1265"/>
      <c r="D14" s="1261"/>
      <c r="E14" s="1266"/>
      <c r="F14" s="1267"/>
      <c r="G14" s="1268">
        <v>104168.85</v>
      </c>
      <c r="H14" s="1267"/>
      <c r="I14" s="1268">
        <v>105570.81</v>
      </c>
      <c r="J14" s="1267"/>
      <c r="K14" s="1268">
        <v>108125.77</v>
      </c>
      <c r="L14" s="1267"/>
      <c r="M14" s="1268">
        <v>110939.78</v>
      </c>
      <c r="N14" s="1267"/>
      <c r="O14" s="1268">
        <v>113930.57</v>
      </c>
      <c r="P14" s="1267"/>
      <c r="Q14" s="1268">
        <v>112956.56</v>
      </c>
      <c r="R14" s="1267"/>
      <c r="S14" s="1268">
        <v>113786.44</v>
      </c>
      <c r="T14" s="1267"/>
      <c r="U14" s="1268">
        <v>115596.58</v>
      </c>
      <c r="V14" s="1267"/>
      <c r="W14" s="1268">
        <v>113517.53</v>
      </c>
      <c r="X14" s="1267"/>
      <c r="Y14" s="1268">
        <v>110932.13</v>
      </c>
      <c r="Z14" s="1267"/>
      <c r="AA14" s="1268">
        <v>108138.12</v>
      </c>
      <c r="AB14" s="1267"/>
      <c r="AC14" s="1268">
        <v>107576.42</v>
      </c>
      <c r="AD14" s="1267"/>
      <c r="AE14" s="1268">
        <f t="shared" si="0"/>
        <v>1325239.5600000003</v>
      </c>
      <c r="AF14" s="1269">
        <f t="shared" si="1"/>
        <v>0.40023440133967619</v>
      </c>
      <c r="AG14" s="1270"/>
    </row>
    <row r="15" spans="1:33" outlineLevel="1">
      <c r="A15" s="1264">
        <v>33001</v>
      </c>
      <c r="B15" s="1264" t="s">
        <v>209</v>
      </c>
      <c r="C15" s="1265"/>
      <c r="D15" s="1261"/>
      <c r="E15" s="1266"/>
      <c r="F15" s="1267"/>
      <c r="G15" s="1268">
        <v>48.79</v>
      </c>
      <c r="H15" s="1267"/>
      <c r="I15" s="1268">
        <v>48.79</v>
      </c>
      <c r="J15" s="1267"/>
      <c r="K15" s="1268">
        <v>48.79</v>
      </c>
      <c r="L15" s="1267"/>
      <c r="M15" s="1268">
        <v>48.79</v>
      </c>
      <c r="N15" s="1267"/>
      <c r="O15" s="1268">
        <v>48.79</v>
      </c>
      <c r="P15" s="1267"/>
      <c r="Q15" s="1268">
        <v>48.79</v>
      </c>
      <c r="R15" s="1267"/>
      <c r="S15" s="1268">
        <v>48.79</v>
      </c>
      <c r="T15" s="1267"/>
      <c r="U15" s="1268">
        <v>89.7</v>
      </c>
      <c r="V15" s="1267"/>
      <c r="W15" s="1268">
        <v>48.79</v>
      </c>
      <c r="X15" s="1267"/>
      <c r="Y15" s="1268">
        <v>48.79</v>
      </c>
      <c r="Z15" s="1267"/>
      <c r="AA15" s="1268">
        <v>48.79</v>
      </c>
      <c r="AB15" s="1267"/>
      <c r="AC15" s="1268">
        <v>48.79</v>
      </c>
      <c r="AD15" s="1267"/>
      <c r="AE15" s="1268">
        <f t="shared" si="0"/>
        <v>626.39</v>
      </c>
      <c r="AF15" s="1269">
        <f t="shared" si="1"/>
        <v>1.8917547756811586E-4</v>
      </c>
      <c r="AG15" s="1270"/>
    </row>
    <row r="16" spans="1:33" outlineLevel="1">
      <c r="A16" s="1264">
        <v>33011</v>
      </c>
      <c r="B16" s="1264" t="s">
        <v>210</v>
      </c>
      <c r="C16" s="1265"/>
      <c r="D16" s="1261"/>
      <c r="E16" s="1266"/>
      <c r="F16" s="1267"/>
      <c r="G16" s="1268">
        <v>1286.3800000000001</v>
      </c>
      <c r="H16" s="1267"/>
      <c r="I16" s="1268">
        <v>1928.91</v>
      </c>
      <c r="J16" s="1267"/>
      <c r="K16" s="1268">
        <v>1866.54</v>
      </c>
      <c r="L16" s="1267"/>
      <c r="M16" s="1268">
        <v>2616.23</v>
      </c>
      <c r="N16" s="1267"/>
      <c r="O16" s="1268">
        <v>3583.88</v>
      </c>
      <c r="P16" s="1267"/>
      <c r="Q16" s="1268">
        <v>2853.41</v>
      </c>
      <c r="R16" s="1267"/>
      <c r="S16" s="1268">
        <v>3647.41</v>
      </c>
      <c r="T16" s="1267"/>
      <c r="U16" s="1268">
        <v>2914.33</v>
      </c>
      <c r="V16" s="1267"/>
      <c r="W16" s="1268">
        <v>2942.1</v>
      </c>
      <c r="X16" s="1267"/>
      <c r="Y16" s="1268">
        <v>1945.05</v>
      </c>
      <c r="Z16" s="1267"/>
      <c r="AA16" s="1268">
        <v>1599.41</v>
      </c>
      <c r="AB16" s="1267"/>
      <c r="AC16" s="1268">
        <v>1747.42</v>
      </c>
      <c r="AD16" s="1267"/>
      <c r="AE16" s="1268">
        <f t="shared" si="0"/>
        <v>28931.07</v>
      </c>
      <c r="AF16" s="1269">
        <f t="shared" si="1"/>
        <v>8.7374462935337245E-3</v>
      </c>
      <c r="AG16" s="1270"/>
    </row>
    <row r="17" spans="1:33" s="1266" customFormat="1" ht="4.5" customHeight="1" outlineLevel="1">
      <c r="G17" s="143"/>
      <c r="H17" s="1272"/>
      <c r="I17" s="143"/>
      <c r="J17" s="1272"/>
      <c r="K17" s="143"/>
      <c r="L17" s="1272"/>
      <c r="M17" s="143"/>
      <c r="N17" s="1272"/>
      <c r="O17" s="143"/>
      <c r="P17" s="1272"/>
      <c r="Q17" s="143"/>
      <c r="R17" s="1272"/>
      <c r="S17" s="143"/>
      <c r="T17" s="1272"/>
      <c r="U17" s="143"/>
      <c r="V17" s="1272"/>
      <c r="W17" s="143"/>
      <c r="X17" s="1272"/>
      <c r="Y17" s="143"/>
      <c r="Z17" s="1272"/>
      <c r="AA17" s="143"/>
      <c r="AB17" s="1272"/>
      <c r="AC17" s="143"/>
      <c r="AD17" s="1272"/>
      <c r="AE17" s="143"/>
      <c r="AF17" s="577"/>
      <c r="AG17" s="1272"/>
    </row>
    <row r="18" spans="1:33" s="1266" customFormat="1" ht="15">
      <c r="C18" s="1266" t="s">
        <v>211</v>
      </c>
      <c r="G18" s="578">
        <f>SUM(G8:G17)</f>
        <v>247634.28000000003</v>
      </c>
      <c r="H18" s="579"/>
      <c r="I18" s="578">
        <f>SUM(I8:I17)</f>
        <v>261955.54</v>
      </c>
      <c r="J18" s="579"/>
      <c r="K18" s="578">
        <f>SUM(K8:K17)</f>
        <v>264675.89999999997</v>
      </c>
      <c r="L18" s="579"/>
      <c r="M18" s="578">
        <f>SUM(M8:M17)</f>
        <v>277029.69</v>
      </c>
      <c r="N18" s="579"/>
      <c r="O18" s="578">
        <f>SUM(O8:O17)</f>
        <v>281436.93</v>
      </c>
      <c r="P18" s="579"/>
      <c r="Q18" s="578">
        <f>SUM(Q8:Q17)</f>
        <v>282050.26999999996</v>
      </c>
      <c r="R18" s="579"/>
      <c r="S18" s="578">
        <f>SUM(S8:S17)</f>
        <v>290519.31999999995</v>
      </c>
      <c r="T18" s="579"/>
      <c r="U18" s="578">
        <f>SUM(U8:U17)</f>
        <v>291511.33</v>
      </c>
      <c r="V18" s="579"/>
      <c r="W18" s="578">
        <f>SUM(W8:W17)</f>
        <v>290407.45999999996</v>
      </c>
      <c r="X18" s="579"/>
      <c r="Y18" s="578">
        <f>SUM(Y8:Y17)</f>
        <v>274786.40999999992</v>
      </c>
      <c r="Z18" s="579"/>
      <c r="AA18" s="578">
        <f>SUM(AA8:AA17)</f>
        <v>268082.14999999997</v>
      </c>
      <c r="AB18" s="579"/>
      <c r="AC18" s="578">
        <f>SUM(AC8:AC17)</f>
        <v>261881.56000000006</v>
      </c>
      <c r="AD18" s="579"/>
      <c r="AE18" s="578">
        <f>SUM(AE8:AE17)</f>
        <v>3291970.84</v>
      </c>
      <c r="AF18" s="1269">
        <f>IF(AE$45=0,0,AE18/AE$45)</f>
        <v>0.99420513705089719</v>
      </c>
      <c r="AG18" s="1272"/>
    </row>
    <row r="19" spans="1:33" s="1266" customFormat="1" ht="15" outlineLevel="1">
      <c r="G19" s="580"/>
      <c r="H19" s="579"/>
      <c r="I19" s="580"/>
      <c r="J19" s="579"/>
      <c r="K19" s="580"/>
      <c r="L19" s="579"/>
      <c r="M19" s="580"/>
      <c r="N19" s="579"/>
      <c r="O19" s="580"/>
      <c r="P19" s="579"/>
      <c r="Q19" s="580"/>
      <c r="R19" s="579"/>
      <c r="S19" s="580"/>
      <c r="T19" s="579"/>
      <c r="U19" s="580"/>
      <c r="V19" s="579"/>
      <c r="W19" s="580"/>
      <c r="X19" s="579"/>
      <c r="Y19" s="580"/>
      <c r="Z19" s="579"/>
      <c r="AA19" s="580"/>
      <c r="AB19" s="579"/>
      <c r="AC19" s="580"/>
      <c r="AD19" s="579"/>
      <c r="AE19" s="580"/>
      <c r="AF19" s="577"/>
      <c r="AG19" s="1272"/>
    </row>
    <row r="20" spans="1:33" outlineLevel="1">
      <c r="A20" s="1264"/>
      <c r="B20" s="1264"/>
      <c r="C20" s="1265"/>
      <c r="D20" s="1261"/>
      <c r="E20" s="1266"/>
      <c r="F20" s="1267"/>
      <c r="G20" s="1268"/>
      <c r="H20" s="1267"/>
      <c r="I20" s="1268"/>
      <c r="J20" s="1267"/>
      <c r="K20" s="1268"/>
      <c r="L20" s="1267"/>
      <c r="M20" s="1268"/>
      <c r="N20" s="1267"/>
      <c r="O20" s="1268"/>
      <c r="P20" s="1267"/>
      <c r="Q20" s="1268"/>
      <c r="R20" s="1267"/>
      <c r="S20" s="1268"/>
      <c r="T20" s="1267"/>
      <c r="U20" s="1268"/>
      <c r="V20" s="1267"/>
      <c r="W20" s="1268"/>
      <c r="X20" s="1267"/>
      <c r="Y20" s="1268"/>
      <c r="Z20" s="1267"/>
      <c r="AA20" s="1268"/>
      <c r="AB20" s="1267"/>
      <c r="AC20" s="1268"/>
      <c r="AD20" s="1267"/>
      <c r="AE20" s="1268">
        <f>AC20+AA20+Y20+W20+U20+S20+Q20+O20+M20+K20+I20+G20</f>
        <v>0</v>
      </c>
      <c r="AF20" s="1269">
        <f>IF(AE$45=0,0,AE20/AE$45)</f>
        <v>0</v>
      </c>
      <c r="AG20" s="1270"/>
    </row>
    <row r="21" spans="1:33" s="1266" customFormat="1" ht="5.0999999999999996" customHeight="1" outlineLevel="1">
      <c r="A21" s="1265"/>
      <c r="B21" s="1265"/>
      <c r="C21" s="1265"/>
      <c r="D21" s="1265"/>
      <c r="G21" s="581"/>
      <c r="H21" s="579"/>
      <c r="I21" s="581"/>
      <c r="J21" s="579"/>
      <c r="K21" s="581"/>
      <c r="L21" s="579"/>
      <c r="M21" s="581"/>
      <c r="N21" s="579"/>
      <c r="O21" s="581"/>
      <c r="P21" s="579"/>
      <c r="Q21" s="581"/>
      <c r="R21" s="579"/>
      <c r="S21" s="581"/>
      <c r="T21" s="579"/>
      <c r="U21" s="581"/>
      <c r="V21" s="579"/>
      <c r="W21" s="581"/>
      <c r="X21" s="579"/>
      <c r="Y21" s="581"/>
      <c r="Z21" s="579"/>
      <c r="AA21" s="581"/>
      <c r="AB21" s="579"/>
      <c r="AC21" s="581"/>
      <c r="AD21" s="579"/>
      <c r="AE21" s="581"/>
      <c r="AF21" s="577"/>
      <c r="AG21" s="1272"/>
    </row>
    <row r="22" spans="1:33" s="1266" customFormat="1" ht="15">
      <c r="C22" s="1265" t="s">
        <v>213</v>
      </c>
      <c r="G22" s="578">
        <f>SUM(G20:G21)</f>
        <v>0</v>
      </c>
      <c r="H22" s="579"/>
      <c r="I22" s="578">
        <f>SUM(I20:I21)</f>
        <v>0</v>
      </c>
      <c r="J22" s="579"/>
      <c r="K22" s="578">
        <f>SUM(K20:K21)</f>
        <v>0</v>
      </c>
      <c r="L22" s="579"/>
      <c r="M22" s="578">
        <f>SUM(M20:M21)</f>
        <v>0</v>
      </c>
      <c r="N22" s="579"/>
      <c r="O22" s="578">
        <f>SUM(O20:O21)</f>
        <v>0</v>
      </c>
      <c r="P22" s="579"/>
      <c r="Q22" s="578">
        <f>SUM(Q20:Q21)</f>
        <v>0</v>
      </c>
      <c r="R22" s="579"/>
      <c r="S22" s="578">
        <f>SUM(S20:S21)</f>
        <v>0</v>
      </c>
      <c r="T22" s="579"/>
      <c r="U22" s="578">
        <f>SUM(U20:U21)</f>
        <v>0</v>
      </c>
      <c r="V22" s="579"/>
      <c r="W22" s="578">
        <f>SUM(W20:W21)</f>
        <v>0</v>
      </c>
      <c r="X22" s="579"/>
      <c r="Y22" s="578">
        <f>SUM(Y20:Y21)</f>
        <v>0</v>
      </c>
      <c r="Z22" s="579"/>
      <c r="AA22" s="578">
        <f>SUM(AA20:AA21)</f>
        <v>0</v>
      </c>
      <c r="AB22" s="579"/>
      <c r="AC22" s="578">
        <f>SUM(AC20:AC21)</f>
        <v>0</v>
      </c>
      <c r="AD22" s="579"/>
      <c r="AE22" s="578">
        <f>SUM(AE20:AE21)</f>
        <v>0</v>
      </c>
      <c r="AF22" s="1269">
        <f>IF(AE$45=0,0,AE22/AE$45)</f>
        <v>0</v>
      </c>
      <c r="AG22" s="1272"/>
    </row>
    <row r="23" spans="1:33" s="1266" customFormat="1" ht="15" outlineLevel="1">
      <c r="G23" s="580"/>
      <c r="H23" s="579"/>
      <c r="I23" s="580"/>
      <c r="J23" s="579"/>
      <c r="K23" s="580"/>
      <c r="L23" s="579"/>
      <c r="M23" s="580"/>
      <c r="N23" s="579"/>
      <c r="O23" s="580"/>
      <c r="P23" s="579"/>
      <c r="Q23" s="580"/>
      <c r="R23" s="579"/>
      <c r="S23" s="580"/>
      <c r="T23" s="579"/>
      <c r="U23" s="580"/>
      <c r="V23" s="579"/>
      <c r="W23" s="580"/>
      <c r="X23" s="579"/>
      <c r="Y23" s="580"/>
      <c r="Z23" s="579"/>
      <c r="AA23" s="580"/>
      <c r="AB23" s="579"/>
      <c r="AC23" s="580"/>
      <c r="AD23" s="579"/>
      <c r="AE23" s="580"/>
      <c r="AF23" s="577"/>
      <c r="AG23" s="1272"/>
    </row>
    <row r="24" spans="1:33" s="1266" customFormat="1" ht="15" outlineLevel="1">
      <c r="G24" s="580"/>
      <c r="H24" s="579"/>
      <c r="I24" s="580"/>
      <c r="J24" s="579"/>
      <c r="K24" s="580"/>
      <c r="L24" s="579"/>
      <c r="M24" s="580"/>
      <c r="N24" s="579"/>
      <c r="O24" s="580"/>
      <c r="P24" s="579"/>
      <c r="Q24" s="580"/>
      <c r="R24" s="579"/>
      <c r="S24" s="580"/>
      <c r="T24" s="579"/>
      <c r="U24" s="580"/>
      <c r="V24" s="579"/>
      <c r="W24" s="580"/>
      <c r="X24" s="579"/>
      <c r="Y24" s="580"/>
      <c r="Z24" s="579"/>
      <c r="AA24" s="580"/>
      <c r="AB24" s="579"/>
      <c r="AC24" s="580"/>
      <c r="AD24" s="579"/>
      <c r="AE24" s="580"/>
      <c r="AF24" s="577"/>
      <c r="AG24" s="1272"/>
    </row>
    <row r="25" spans="1:33" outlineLevel="1">
      <c r="A25" s="1264">
        <v>35514</v>
      </c>
      <c r="B25" s="1264" t="s">
        <v>215</v>
      </c>
      <c r="C25" s="1265"/>
      <c r="D25" s="1261"/>
      <c r="E25" s="1266"/>
      <c r="F25" s="1267"/>
      <c r="G25" s="1268">
        <v>0</v>
      </c>
      <c r="H25" s="1267"/>
      <c r="I25" s="1268">
        <v>0</v>
      </c>
      <c r="J25" s="1267"/>
      <c r="K25" s="1268">
        <v>0</v>
      </c>
      <c r="L25" s="1267"/>
      <c r="M25" s="1268">
        <v>0</v>
      </c>
      <c r="N25" s="1267"/>
      <c r="O25" s="1268">
        <v>0</v>
      </c>
      <c r="P25" s="1267"/>
      <c r="Q25" s="1268">
        <v>542.85</v>
      </c>
      <c r="R25" s="1267"/>
      <c r="S25" s="1268">
        <v>0</v>
      </c>
      <c r="T25" s="1267"/>
      <c r="U25" s="1268">
        <v>0</v>
      </c>
      <c r="V25" s="1267"/>
      <c r="W25" s="1268">
        <v>400</v>
      </c>
      <c r="X25" s="1267"/>
      <c r="Y25" s="1268">
        <v>541.5</v>
      </c>
      <c r="Z25" s="1267"/>
      <c r="AA25" s="1268">
        <v>0</v>
      </c>
      <c r="AB25" s="1267"/>
      <c r="AC25" s="1268">
        <v>0</v>
      </c>
      <c r="AD25" s="1267"/>
      <c r="AE25" s="1268">
        <f t="shared" ref="AE25:AE26" si="2">AC25+AA25+Y25+W25+U25+S25+Q25+O25+M25+K25+I25+G25</f>
        <v>1484.35</v>
      </c>
      <c r="AF25" s="1269">
        <f t="shared" ref="AF25:AF26" si="3">IF(AE$45=0,0,AE25/AE$45)</f>
        <v>4.4828720146910514E-4</v>
      </c>
      <c r="AG25" s="1270"/>
    </row>
    <row r="26" spans="1:33" outlineLevel="1">
      <c r="A26" s="1264">
        <v>35518</v>
      </c>
      <c r="B26" s="1264" t="s">
        <v>216</v>
      </c>
      <c r="C26" s="1265"/>
      <c r="D26" s="1261"/>
      <c r="E26" s="1266"/>
      <c r="F26" s="1267"/>
      <c r="G26" s="1268">
        <v>1279.1500000000001</v>
      </c>
      <c r="H26" s="1267"/>
      <c r="I26" s="1268">
        <v>182.42</v>
      </c>
      <c r="J26" s="1267"/>
      <c r="K26" s="1268">
        <v>1808.13</v>
      </c>
      <c r="L26" s="1267"/>
      <c r="M26" s="1268">
        <v>0</v>
      </c>
      <c r="N26" s="1267"/>
      <c r="O26" s="1268">
        <v>0</v>
      </c>
      <c r="P26" s="1267"/>
      <c r="Q26" s="1268">
        <v>709.2</v>
      </c>
      <c r="R26" s="1267"/>
      <c r="S26" s="1268">
        <v>2487.48</v>
      </c>
      <c r="T26" s="1267"/>
      <c r="U26" s="1268">
        <v>0</v>
      </c>
      <c r="V26" s="1267"/>
      <c r="W26" s="1268">
        <v>2483.17</v>
      </c>
      <c r="X26" s="1267"/>
      <c r="Y26" s="1268">
        <v>0</v>
      </c>
      <c r="Z26" s="1267"/>
      <c r="AA26" s="1268">
        <v>0</v>
      </c>
      <c r="AB26" s="1267"/>
      <c r="AC26" s="1268">
        <v>1839.39</v>
      </c>
      <c r="AD26" s="1267"/>
      <c r="AE26" s="1268">
        <f t="shared" si="2"/>
        <v>10788.94</v>
      </c>
      <c r="AF26" s="1269">
        <f t="shared" si="3"/>
        <v>3.2583580149008573E-3</v>
      </c>
      <c r="AG26" s="1270"/>
    </row>
    <row r="27" spans="1:33" s="1266" customFormat="1" ht="5.0999999999999996" customHeight="1" outlineLevel="1">
      <c r="A27" s="1265"/>
      <c r="B27" s="1265"/>
      <c r="C27" s="1265"/>
      <c r="D27" s="1265"/>
      <c r="G27" s="581"/>
      <c r="H27" s="579"/>
      <c r="I27" s="581"/>
      <c r="J27" s="579"/>
      <c r="K27" s="581"/>
      <c r="L27" s="579"/>
      <c r="M27" s="581"/>
      <c r="N27" s="579"/>
      <c r="O27" s="581"/>
      <c r="P27" s="579"/>
      <c r="Q27" s="581"/>
      <c r="R27" s="579"/>
      <c r="S27" s="581"/>
      <c r="T27" s="579"/>
      <c r="U27" s="581"/>
      <c r="V27" s="579"/>
      <c r="W27" s="581"/>
      <c r="X27" s="579"/>
      <c r="Y27" s="581"/>
      <c r="Z27" s="579"/>
      <c r="AA27" s="581"/>
      <c r="AB27" s="579"/>
      <c r="AC27" s="581"/>
      <c r="AD27" s="579"/>
      <c r="AE27" s="581"/>
      <c r="AF27" s="577"/>
      <c r="AG27" s="1272"/>
    </row>
    <row r="28" spans="1:33" s="1266" customFormat="1" ht="15">
      <c r="C28" s="1265" t="s">
        <v>217</v>
      </c>
      <c r="G28" s="578">
        <f>SUM(G24:G27)</f>
        <v>1279.1500000000001</v>
      </c>
      <c r="H28" s="579"/>
      <c r="I28" s="578">
        <f>SUM(I24:I27)</f>
        <v>182.42</v>
      </c>
      <c r="J28" s="579"/>
      <c r="K28" s="578">
        <f>SUM(K24:K27)</f>
        <v>1808.13</v>
      </c>
      <c r="L28" s="579"/>
      <c r="M28" s="578">
        <f>SUM(M24:M27)</f>
        <v>0</v>
      </c>
      <c r="N28" s="579"/>
      <c r="O28" s="578">
        <f>SUM(O24:O27)</f>
        <v>0</v>
      </c>
      <c r="P28" s="579"/>
      <c r="Q28" s="578">
        <f>SUM(Q24:Q27)</f>
        <v>1252.0500000000002</v>
      </c>
      <c r="R28" s="579"/>
      <c r="S28" s="578">
        <f>SUM(S24:S27)</f>
        <v>2487.48</v>
      </c>
      <c r="T28" s="579"/>
      <c r="U28" s="578">
        <f>SUM(U24:U27)</f>
        <v>0</v>
      </c>
      <c r="V28" s="579"/>
      <c r="W28" s="578">
        <f>SUM(W24:W27)</f>
        <v>2883.17</v>
      </c>
      <c r="X28" s="579"/>
      <c r="Y28" s="578">
        <f>SUM(Y24:Y27)</f>
        <v>541.5</v>
      </c>
      <c r="Z28" s="579"/>
      <c r="AA28" s="578">
        <f>SUM(AA24:AA27)</f>
        <v>0</v>
      </c>
      <c r="AB28" s="579"/>
      <c r="AC28" s="578">
        <f>SUM(AC24:AC27)</f>
        <v>1839.39</v>
      </c>
      <c r="AD28" s="579"/>
      <c r="AE28" s="578">
        <f>SUM(AE24:AE27)</f>
        <v>12273.29</v>
      </c>
      <c r="AF28" s="1269">
        <f>IF(AE$45=0,0,AE28/AE$45)</f>
        <v>3.7066452163699625E-3</v>
      </c>
      <c r="AG28" s="1272"/>
    </row>
    <row r="29" spans="1:33" s="1266" customFormat="1" ht="15" outlineLevel="1">
      <c r="A29" s="1265"/>
      <c r="B29" s="1265"/>
      <c r="C29" s="1265"/>
      <c r="D29" s="1265"/>
      <c r="G29" s="580"/>
      <c r="H29" s="579"/>
      <c r="I29" s="580"/>
      <c r="J29" s="579"/>
      <c r="K29" s="580"/>
      <c r="L29" s="579"/>
      <c r="M29" s="580"/>
      <c r="N29" s="579"/>
      <c r="O29" s="580"/>
      <c r="P29" s="579"/>
      <c r="Q29" s="580"/>
      <c r="R29" s="579"/>
      <c r="S29" s="580"/>
      <c r="T29" s="579"/>
      <c r="U29" s="580"/>
      <c r="V29" s="579"/>
      <c r="W29" s="580"/>
      <c r="X29" s="579"/>
      <c r="Y29" s="580"/>
      <c r="Z29" s="579"/>
      <c r="AA29" s="580"/>
      <c r="AB29" s="579"/>
      <c r="AC29" s="580"/>
      <c r="AD29" s="579"/>
      <c r="AE29" s="580"/>
      <c r="AF29" s="577"/>
      <c r="AG29" s="1272"/>
    </row>
    <row r="30" spans="1:33" s="1266" customFormat="1" ht="15" outlineLevel="1">
      <c r="G30" s="580"/>
      <c r="H30" s="579"/>
      <c r="I30" s="580"/>
      <c r="J30" s="579"/>
      <c r="K30" s="580"/>
      <c r="L30" s="579"/>
      <c r="M30" s="580"/>
      <c r="N30" s="579"/>
      <c r="O30" s="580"/>
      <c r="P30" s="579"/>
      <c r="Q30" s="580"/>
      <c r="R30" s="579"/>
      <c r="S30" s="580"/>
      <c r="T30" s="579"/>
      <c r="U30" s="580"/>
      <c r="V30" s="579"/>
      <c r="W30" s="580"/>
      <c r="X30" s="579"/>
      <c r="Y30" s="580"/>
      <c r="Z30" s="579"/>
      <c r="AA30" s="580"/>
      <c r="AB30" s="579"/>
      <c r="AC30" s="580"/>
      <c r="AD30" s="579"/>
      <c r="AE30" s="580"/>
      <c r="AF30" s="577"/>
      <c r="AG30" s="1272"/>
    </row>
    <row r="31" spans="1:33" outlineLevel="1">
      <c r="A31" s="1264"/>
      <c r="B31" s="1264"/>
      <c r="C31" s="1265"/>
      <c r="D31" s="1261"/>
      <c r="E31" s="1266"/>
      <c r="F31" s="1267"/>
      <c r="G31" s="1268"/>
      <c r="H31" s="1267"/>
      <c r="I31" s="1268"/>
      <c r="J31" s="1267"/>
      <c r="K31" s="1268"/>
      <c r="L31" s="1267"/>
      <c r="M31" s="1268"/>
      <c r="N31" s="1267"/>
      <c r="O31" s="1268"/>
      <c r="P31" s="1267"/>
      <c r="Q31" s="1268"/>
      <c r="R31" s="1267"/>
      <c r="S31" s="1268"/>
      <c r="T31" s="1267"/>
      <c r="U31" s="1268"/>
      <c r="V31" s="1267"/>
      <c r="W31" s="1268"/>
      <c r="X31" s="1267"/>
      <c r="Y31" s="1268"/>
      <c r="Z31" s="1267"/>
      <c r="AA31" s="1268"/>
      <c r="AB31" s="1267"/>
      <c r="AC31" s="1268"/>
      <c r="AD31" s="1267"/>
      <c r="AE31" s="1268">
        <f>AC31+AA31+Y31+W31+U31+S31+Q31+O31+M31+K31+I31+G31</f>
        <v>0</v>
      </c>
      <c r="AF31" s="1269">
        <f>IF(AE$45=0,0,AE31/AE$45)</f>
        <v>0</v>
      </c>
      <c r="AG31" s="1270"/>
    </row>
    <row r="32" spans="1:33" s="1266" customFormat="1" ht="3.75" customHeight="1" outlineLevel="1">
      <c r="A32" s="1265"/>
      <c r="B32" s="1265"/>
      <c r="C32" s="1265"/>
      <c r="D32" s="1265"/>
      <c r="G32" s="581"/>
      <c r="H32" s="579"/>
      <c r="I32" s="581"/>
      <c r="J32" s="579"/>
      <c r="K32" s="581"/>
      <c r="L32" s="579"/>
      <c r="M32" s="581"/>
      <c r="N32" s="579"/>
      <c r="O32" s="581"/>
      <c r="P32" s="579"/>
      <c r="Q32" s="581"/>
      <c r="R32" s="579"/>
      <c r="S32" s="581"/>
      <c r="T32" s="579"/>
      <c r="U32" s="581"/>
      <c r="V32" s="579"/>
      <c r="W32" s="581"/>
      <c r="X32" s="579"/>
      <c r="Y32" s="581"/>
      <c r="Z32" s="579"/>
      <c r="AA32" s="581"/>
      <c r="AB32" s="579"/>
      <c r="AC32" s="581"/>
      <c r="AD32" s="579"/>
      <c r="AE32" s="581"/>
      <c r="AF32" s="577"/>
      <c r="AG32" s="1272"/>
    </row>
    <row r="33" spans="1:33" s="1266" customFormat="1" ht="15">
      <c r="C33" s="1265" t="s">
        <v>219</v>
      </c>
      <c r="G33" s="578">
        <f>SUM(G30:G32)</f>
        <v>0</v>
      </c>
      <c r="H33" s="579"/>
      <c r="I33" s="578">
        <f>SUM(I30:I32)</f>
        <v>0</v>
      </c>
      <c r="J33" s="579"/>
      <c r="K33" s="578">
        <f>SUM(K30:K32)</f>
        <v>0</v>
      </c>
      <c r="L33" s="579"/>
      <c r="M33" s="578">
        <f>SUM(M30:M32)</f>
        <v>0</v>
      </c>
      <c r="N33" s="579"/>
      <c r="O33" s="578">
        <f>SUM(O30:O32)</f>
        <v>0</v>
      </c>
      <c r="P33" s="579"/>
      <c r="Q33" s="578">
        <f>SUM(Q30:Q32)</f>
        <v>0</v>
      </c>
      <c r="R33" s="579"/>
      <c r="S33" s="578">
        <f>SUM(S30:S32)</f>
        <v>0</v>
      </c>
      <c r="T33" s="579"/>
      <c r="U33" s="578">
        <f>SUM(U30:U32)</f>
        <v>0</v>
      </c>
      <c r="V33" s="579"/>
      <c r="W33" s="578">
        <f>SUM(W30:W32)</f>
        <v>0</v>
      </c>
      <c r="X33" s="579"/>
      <c r="Y33" s="578">
        <f>SUM(Y30:Y32)</f>
        <v>0</v>
      </c>
      <c r="Z33" s="579"/>
      <c r="AA33" s="578">
        <f>SUM(AA30:AA32)</f>
        <v>0</v>
      </c>
      <c r="AB33" s="579"/>
      <c r="AC33" s="578">
        <f>SUM(AC30:AC32)</f>
        <v>0</v>
      </c>
      <c r="AD33" s="579"/>
      <c r="AE33" s="578">
        <f>SUM(AE30:AE32)</f>
        <v>0</v>
      </c>
      <c r="AF33" s="1269">
        <f>IF(AE$45=0,0,AE33/AE$45)</f>
        <v>0</v>
      </c>
      <c r="AG33" s="1272"/>
    </row>
    <row r="34" spans="1:33" s="1266" customFormat="1" ht="15" outlineLevel="1">
      <c r="G34" s="580"/>
      <c r="H34" s="579"/>
      <c r="I34" s="580"/>
      <c r="J34" s="579"/>
      <c r="K34" s="580"/>
      <c r="L34" s="579"/>
      <c r="M34" s="580"/>
      <c r="N34" s="579"/>
      <c r="O34" s="580"/>
      <c r="P34" s="579"/>
      <c r="Q34" s="580"/>
      <c r="R34" s="579"/>
      <c r="S34" s="580"/>
      <c r="T34" s="579"/>
      <c r="U34" s="580"/>
      <c r="V34" s="579"/>
      <c r="W34" s="580"/>
      <c r="X34" s="579"/>
      <c r="Y34" s="580"/>
      <c r="Z34" s="579"/>
      <c r="AA34" s="580"/>
      <c r="AB34" s="579"/>
      <c r="AC34" s="580"/>
      <c r="AD34" s="579"/>
      <c r="AE34" s="580"/>
      <c r="AF34" s="577"/>
      <c r="AG34" s="1272"/>
    </row>
    <row r="35" spans="1:33" outlineLevel="1">
      <c r="A35" s="1264"/>
      <c r="B35" s="1264"/>
      <c r="C35" s="1265"/>
      <c r="D35" s="1261"/>
      <c r="E35" s="1266"/>
      <c r="F35" s="1267"/>
      <c r="G35" s="1268"/>
      <c r="H35" s="1267"/>
      <c r="I35" s="1268"/>
      <c r="J35" s="1267"/>
      <c r="K35" s="1268"/>
      <c r="L35" s="1267"/>
      <c r="M35" s="1268"/>
      <c r="N35" s="1267"/>
      <c r="O35" s="1268"/>
      <c r="P35" s="1267"/>
      <c r="Q35" s="1268"/>
      <c r="R35" s="1267"/>
      <c r="S35" s="1268"/>
      <c r="T35" s="1267"/>
      <c r="U35" s="1268"/>
      <c r="V35" s="1267"/>
      <c r="W35" s="1268"/>
      <c r="X35" s="1267"/>
      <c r="Y35" s="1268"/>
      <c r="Z35" s="1267"/>
      <c r="AA35" s="1268"/>
      <c r="AB35" s="1267"/>
      <c r="AC35" s="1268"/>
      <c r="AD35" s="1267"/>
      <c r="AE35" s="1268">
        <f>AC35+AA35+Y35+W35+U35+S35+Q35+O35+M35+K35+I35+G35</f>
        <v>0</v>
      </c>
      <c r="AF35" s="1269">
        <f>IF(AE$45=0,0,AE35/AE$45)</f>
        <v>0</v>
      </c>
      <c r="AG35" s="1270"/>
    </row>
    <row r="36" spans="1:33" s="1266" customFormat="1" ht="3.75" customHeight="1" outlineLevel="1">
      <c r="A36" s="1265"/>
      <c r="B36" s="1265"/>
      <c r="C36" s="1265"/>
      <c r="D36" s="1265"/>
      <c r="G36" s="581"/>
      <c r="H36" s="579"/>
      <c r="I36" s="581"/>
      <c r="J36" s="579"/>
      <c r="K36" s="581"/>
      <c r="L36" s="579"/>
      <c r="M36" s="581"/>
      <c r="N36" s="579"/>
      <c r="O36" s="581"/>
      <c r="P36" s="579"/>
      <c r="Q36" s="581"/>
      <c r="R36" s="579"/>
      <c r="S36" s="581"/>
      <c r="T36" s="579"/>
      <c r="U36" s="581"/>
      <c r="V36" s="579"/>
      <c r="W36" s="581"/>
      <c r="X36" s="579"/>
      <c r="Y36" s="581"/>
      <c r="Z36" s="579"/>
      <c r="AA36" s="581"/>
      <c r="AB36" s="579"/>
      <c r="AC36" s="581"/>
      <c r="AD36" s="579"/>
      <c r="AE36" s="581"/>
      <c r="AF36" s="577"/>
      <c r="AG36" s="1272"/>
    </row>
    <row r="37" spans="1:33" s="1266" customFormat="1" ht="15">
      <c r="C37" s="1265" t="s">
        <v>221</v>
      </c>
      <c r="G37" s="578">
        <f>SUM(G35:G36)</f>
        <v>0</v>
      </c>
      <c r="H37" s="579"/>
      <c r="I37" s="578">
        <f>SUM(I35:I36)</f>
        <v>0</v>
      </c>
      <c r="J37" s="579"/>
      <c r="K37" s="578">
        <f>SUM(K35:K36)</f>
        <v>0</v>
      </c>
      <c r="L37" s="579"/>
      <c r="M37" s="578">
        <f>SUM(M35:M36)</f>
        <v>0</v>
      </c>
      <c r="N37" s="579"/>
      <c r="O37" s="578">
        <f>SUM(O35:O36)</f>
        <v>0</v>
      </c>
      <c r="P37" s="579"/>
      <c r="Q37" s="578">
        <f>SUM(Q35:Q36)</f>
        <v>0</v>
      </c>
      <c r="R37" s="579"/>
      <c r="S37" s="578">
        <f>SUM(S35:S36)</f>
        <v>0</v>
      </c>
      <c r="T37" s="579"/>
      <c r="U37" s="578">
        <f>SUM(U35:U36)</f>
        <v>0</v>
      </c>
      <c r="V37" s="579"/>
      <c r="W37" s="578">
        <f>SUM(W35:W36)</f>
        <v>0</v>
      </c>
      <c r="X37" s="579"/>
      <c r="Y37" s="578">
        <f>SUM(Y35:Y36)</f>
        <v>0</v>
      </c>
      <c r="Z37" s="579"/>
      <c r="AA37" s="578">
        <f>SUM(AA35:AA36)</f>
        <v>0</v>
      </c>
      <c r="AB37" s="579"/>
      <c r="AC37" s="578">
        <f>SUM(AC35:AC36)</f>
        <v>0</v>
      </c>
      <c r="AD37" s="579"/>
      <c r="AE37" s="578">
        <f>SUM(AE35:AE36)</f>
        <v>0</v>
      </c>
      <c r="AF37" s="1269">
        <f>IF(AE$45=0,0,AE37/AE$45)</f>
        <v>0</v>
      </c>
      <c r="AG37" s="1272"/>
    </row>
    <row r="38" spans="1:33" s="1266" customFormat="1" ht="15" outlineLevel="1">
      <c r="G38" s="580"/>
      <c r="H38" s="579"/>
      <c r="I38" s="580"/>
      <c r="J38" s="579"/>
      <c r="K38" s="580"/>
      <c r="L38" s="579"/>
      <c r="M38" s="580"/>
      <c r="N38" s="579"/>
      <c r="O38" s="580"/>
      <c r="P38" s="579"/>
      <c r="Q38" s="580"/>
      <c r="R38" s="579"/>
      <c r="S38" s="580"/>
      <c r="T38" s="579"/>
      <c r="U38" s="580"/>
      <c r="V38" s="579"/>
      <c r="W38" s="580"/>
      <c r="X38" s="579"/>
      <c r="Y38" s="580"/>
      <c r="Z38" s="579"/>
      <c r="AA38" s="580"/>
      <c r="AB38" s="579"/>
      <c r="AC38" s="580"/>
      <c r="AD38" s="579"/>
      <c r="AE38" s="580"/>
      <c r="AF38" s="577"/>
      <c r="AG38" s="1272"/>
    </row>
    <row r="39" spans="1:33" s="1266" customFormat="1" ht="15" outlineLevel="1">
      <c r="G39" s="580"/>
      <c r="H39" s="579"/>
      <c r="I39" s="580"/>
      <c r="J39" s="579"/>
      <c r="K39" s="580"/>
      <c r="L39" s="579"/>
      <c r="M39" s="580"/>
      <c r="N39" s="579"/>
      <c r="O39" s="580"/>
      <c r="P39" s="579"/>
      <c r="Q39" s="580"/>
      <c r="R39" s="579"/>
      <c r="S39" s="580"/>
      <c r="T39" s="579"/>
      <c r="U39" s="580"/>
      <c r="V39" s="579"/>
      <c r="W39" s="580"/>
      <c r="X39" s="579"/>
      <c r="Y39" s="580"/>
      <c r="Z39" s="579"/>
      <c r="AA39" s="580"/>
      <c r="AB39" s="579"/>
      <c r="AC39" s="580"/>
      <c r="AD39" s="579"/>
      <c r="AE39" s="580"/>
      <c r="AF39" s="577"/>
      <c r="AG39" s="1272"/>
    </row>
    <row r="40" spans="1:33" outlineLevel="1">
      <c r="A40" s="1264">
        <v>38000</v>
      </c>
      <c r="B40" s="1264" t="s">
        <v>223</v>
      </c>
      <c r="C40" s="1265"/>
      <c r="D40" s="1261"/>
      <c r="E40" s="1266"/>
      <c r="F40" s="1267"/>
      <c r="G40" s="1268">
        <v>364.66</v>
      </c>
      <c r="H40" s="1267"/>
      <c r="I40" s="1268">
        <v>242.09</v>
      </c>
      <c r="J40" s="1267"/>
      <c r="K40" s="1268">
        <v>483.97</v>
      </c>
      <c r="L40" s="1267"/>
      <c r="M40" s="1268">
        <v>415.84</v>
      </c>
      <c r="N40" s="1267"/>
      <c r="O40" s="1268">
        <v>286.97000000000003</v>
      </c>
      <c r="P40" s="1267"/>
      <c r="Q40" s="1268">
        <v>273</v>
      </c>
      <c r="R40" s="1267"/>
      <c r="S40" s="1268">
        <v>313.70999999999998</v>
      </c>
      <c r="T40" s="1267"/>
      <c r="U40" s="1268">
        <v>165.93</v>
      </c>
      <c r="V40" s="1267"/>
      <c r="W40" s="1268">
        <v>533</v>
      </c>
      <c r="X40" s="1267"/>
      <c r="Y40" s="1268">
        <v>341.2</v>
      </c>
      <c r="Z40" s="1267"/>
      <c r="AA40" s="1268">
        <v>302.31</v>
      </c>
      <c r="AB40" s="1267"/>
      <c r="AC40" s="1268">
        <v>542.01</v>
      </c>
      <c r="AD40" s="1267"/>
      <c r="AE40" s="1268">
        <f t="shared" ref="AE40:AE41" si="4">AC40+AA40+Y40+W40+U40+S40+Q40+O40+M40+K40+I40+G40</f>
        <v>4264.6900000000005</v>
      </c>
      <c r="AF40" s="1269">
        <f t="shared" ref="AF40:AF41" si="5">IF(AE$45=0,0,AE40/AE$45)</f>
        <v>1.287975171107406E-3</v>
      </c>
      <c r="AG40" s="1270"/>
    </row>
    <row r="41" spans="1:33" outlineLevel="1">
      <c r="A41" s="1264">
        <v>38001</v>
      </c>
      <c r="B41" s="1264" t="s">
        <v>224</v>
      </c>
      <c r="C41" s="1265"/>
      <c r="D41" s="1261"/>
      <c r="E41" s="1266"/>
      <c r="F41" s="1267"/>
      <c r="G41" s="1268">
        <v>192.23</v>
      </c>
      <c r="H41" s="1267"/>
      <c r="I41" s="1268">
        <v>264.83</v>
      </c>
      <c r="J41" s="1267"/>
      <c r="K41" s="1268">
        <v>114.69</v>
      </c>
      <c r="L41" s="1267"/>
      <c r="M41" s="1268">
        <v>151.47</v>
      </c>
      <c r="N41" s="1267"/>
      <c r="O41" s="1268">
        <v>266.10000000000002</v>
      </c>
      <c r="P41" s="1267"/>
      <c r="Q41" s="1268">
        <v>325</v>
      </c>
      <c r="R41" s="1267"/>
      <c r="S41" s="1268">
        <v>133.15</v>
      </c>
      <c r="T41" s="1267"/>
      <c r="U41" s="1268">
        <v>223.98</v>
      </c>
      <c r="V41" s="1267"/>
      <c r="W41" s="1268">
        <v>229.29</v>
      </c>
      <c r="X41" s="1267"/>
      <c r="Y41" s="1268">
        <v>444.85</v>
      </c>
      <c r="Z41" s="1267"/>
      <c r="AA41" s="1268">
        <v>163.09</v>
      </c>
      <c r="AB41" s="1267"/>
      <c r="AC41" s="1268">
        <v>141.05000000000001</v>
      </c>
      <c r="AD41" s="1267"/>
      <c r="AE41" s="1268">
        <f t="shared" si="4"/>
        <v>2649.73</v>
      </c>
      <c r="AF41" s="1269">
        <f t="shared" si="5"/>
        <v>8.0024256162544683E-4</v>
      </c>
      <c r="AG41" s="1270"/>
    </row>
    <row r="42" spans="1:33" s="1266" customFormat="1" ht="4.5" customHeight="1" outlineLevel="1">
      <c r="A42" s="148"/>
      <c r="G42" s="581"/>
      <c r="H42" s="579"/>
      <c r="I42" s="581"/>
      <c r="J42" s="579"/>
      <c r="K42" s="581"/>
      <c r="L42" s="579"/>
      <c r="M42" s="581"/>
      <c r="N42" s="579"/>
      <c r="O42" s="581"/>
      <c r="P42" s="579"/>
      <c r="Q42" s="581"/>
      <c r="R42" s="579"/>
      <c r="S42" s="581"/>
      <c r="T42" s="579"/>
      <c r="U42" s="581"/>
      <c r="V42" s="579"/>
      <c r="W42" s="581"/>
      <c r="X42" s="579"/>
      <c r="Y42" s="581"/>
      <c r="Z42" s="579"/>
      <c r="AA42" s="581"/>
      <c r="AB42" s="579"/>
      <c r="AC42" s="581"/>
      <c r="AD42" s="579"/>
      <c r="AE42" s="581"/>
      <c r="AF42" s="577"/>
      <c r="AG42" s="1272"/>
    </row>
    <row r="43" spans="1:33" s="1266" customFormat="1" ht="15">
      <c r="C43" s="1266" t="s">
        <v>223</v>
      </c>
      <c r="G43" s="578">
        <f>SUM(G39:G42)</f>
        <v>556.89</v>
      </c>
      <c r="H43" s="579"/>
      <c r="I43" s="578">
        <f>SUM(I39:I42)</f>
        <v>506.91999999999996</v>
      </c>
      <c r="J43" s="579"/>
      <c r="K43" s="578">
        <f>SUM(K39:K42)</f>
        <v>598.66000000000008</v>
      </c>
      <c r="L43" s="579"/>
      <c r="M43" s="578">
        <f>SUM(M39:M42)</f>
        <v>567.30999999999995</v>
      </c>
      <c r="N43" s="579"/>
      <c r="O43" s="578">
        <f>SUM(O39:O42)</f>
        <v>553.07000000000005</v>
      </c>
      <c r="P43" s="579"/>
      <c r="Q43" s="578">
        <f>SUM(Q39:Q42)</f>
        <v>598</v>
      </c>
      <c r="R43" s="579"/>
      <c r="S43" s="578">
        <f>SUM(S39:S42)</f>
        <v>446.86</v>
      </c>
      <c r="T43" s="579"/>
      <c r="U43" s="578">
        <f>SUM(U39:U42)</f>
        <v>389.90999999999997</v>
      </c>
      <c r="V43" s="579"/>
      <c r="W43" s="578">
        <f>SUM(W39:W42)</f>
        <v>762.29</v>
      </c>
      <c r="X43" s="579"/>
      <c r="Y43" s="578">
        <f>SUM(Y39:Y42)</f>
        <v>786.05</v>
      </c>
      <c r="Z43" s="579"/>
      <c r="AA43" s="578">
        <f>SUM(AA39:AA42)</f>
        <v>465.4</v>
      </c>
      <c r="AB43" s="579"/>
      <c r="AC43" s="578">
        <f>SUM(AC39:AC42)</f>
        <v>683.06</v>
      </c>
      <c r="AD43" s="579"/>
      <c r="AE43" s="578">
        <f>SUM(AE39:AE42)</f>
        <v>6914.42</v>
      </c>
      <c r="AF43" s="1269">
        <f>IF(AE$45=0,0,AE43/AE$45)</f>
        <v>2.088217732732853E-3</v>
      </c>
      <c r="AG43" s="1272"/>
    </row>
    <row r="44" spans="1:33" s="1266" customFormat="1" ht="7.5" customHeight="1">
      <c r="G44" s="580"/>
      <c r="H44" s="579"/>
      <c r="I44" s="580"/>
      <c r="J44" s="579"/>
      <c r="K44" s="580"/>
      <c r="L44" s="579"/>
      <c r="M44" s="580"/>
      <c r="N44" s="579"/>
      <c r="O44" s="580"/>
      <c r="P44" s="579"/>
      <c r="Q44" s="580"/>
      <c r="R44" s="579"/>
      <c r="S44" s="580"/>
      <c r="T44" s="579"/>
      <c r="U44" s="580"/>
      <c r="V44" s="579"/>
      <c r="W44" s="580"/>
      <c r="X44" s="579"/>
      <c r="Y44" s="580"/>
      <c r="Z44" s="579"/>
      <c r="AA44" s="580"/>
      <c r="AB44" s="579"/>
      <c r="AC44" s="580"/>
      <c r="AD44" s="579"/>
      <c r="AE44" s="580"/>
      <c r="AF44" s="577"/>
      <c r="AG44" s="1272"/>
    </row>
    <row r="45" spans="1:33" s="1266" customFormat="1" ht="15">
      <c r="B45" s="582" t="s">
        <v>87</v>
      </c>
      <c r="G45" s="150">
        <f>+G22+G28+G33+G43+G18+G37</f>
        <v>249470.32000000004</v>
      </c>
      <c r="H45" s="579"/>
      <c r="I45" s="150">
        <f>+I22+I28+I33+I43+I18+I37</f>
        <v>262644.88</v>
      </c>
      <c r="J45" s="579"/>
      <c r="K45" s="150">
        <f>+K22+K28+K33+K43+K18+K37</f>
        <v>267082.68999999994</v>
      </c>
      <c r="L45" s="579"/>
      <c r="M45" s="150">
        <f>+M22+M28+M33+M43+M18+M37</f>
        <v>277597</v>
      </c>
      <c r="N45" s="579"/>
      <c r="O45" s="150">
        <f>+O22+O28+O33+O43+O18+O37</f>
        <v>281990</v>
      </c>
      <c r="P45" s="579"/>
      <c r="Q45" s="150">
        <f>+Q22+Q28+Q33+Q43+Q18+Q37</f>
        <v>283900.31999999995</v>
      </c>
      <c r="R45" s="579"/>
      <c r="S45" s="150">
        <f>+S22+S28+S33+S43+S18+S37</f>
        <v>293453.65999999997</v>
      </c>
      <c r="T45" s="579"/>
      <c r="U45" s="150">
        <f>+U22+U28+U33+U43+U18+U37</f>
        <v>291901.24</v>
      </c>
      <c r="V45" s="579"/>
      <c r="W45" s="150">
        <f>+W22+W28+W33+W43+W18+W37</f>
        <v>294052.92</v>
      </c>
      <c r="X45" s="579"/>
      <c r="Y45" s="150">
        <f>+Y22+Y28+Y33+Y43+Y18+Y37</f>
        <v>276113.9599999999</v>
      </c>
      <c r="Z45" s="579"/>
      <c r="AA45" s="150">
        <f>+AA22+AA28+AA33+AA43+AA18+AA37</f>
        <v>268547.55</v>
      </c>
      <c r="AB45" s="579"/>
      <c r="AC45" s="150">
        <f>+AC22+AC28+AC33+AC43+AC18+AC37</f>
        <v>264404.01000000007</v>
      </c>
      <c r="AD45" s="579"/>
      <c r="AE45" s="150">
        <f>+AE22+AE28+AE33+AE43+AE18+AE37</f>
        <v>3311158.55</v>
      </c>
      <c r="AF45" s="1269">
        <f>IF(AE$45=0,0,AE45/AE$45)</f>
        <v>1</v>
      </c>
      <c r="AG45" s="1272"/>
    </row>
    <row r="46" spans="1:33" s="1266" customFormat="1" ht="7.5" customHeight="1">
      <c r="G46" s="580"/>
      <c r="H46" s="579"/>
      <c r="I46" s="580"/>
      <c r="J46" s="579"/>
      <c r="K46" s="580"/>
      <c r="L46" s="579"/>
      <c r="M46" s="580"/>
      <c r="N46" s="579"/>
      <c r="O46" s="580"/>
      <c r="P46" s="579"/>
      <c r="Q46" s="580"/>
      <c r="R46" s="579"/>
      <c r="S46" s="580"/>
      <c r="T46" s="579"/>
      <c r="U46" s="580"/>
      <c r="V46" s="579"/>
      <c r="W46" s="580"/>
      <c r="X46" s="579"/>
      <c r="Y46" s="580"/>
      <c r="Z46" s="579"/>
      <c r="AA46" s="580"/>
      <c r="AB46" s="579"/>
      <c r="AC46" s="580"/>
      <c r="AD46" s="579"/>
      <c r="AE46" s="580"/>
      <c r="AF46" s="577"/>
      <c r="AG46" s="1272"/>
    </row>
    <row r="47" spans="1:33" s="1266" customFormat="1" ht="15" outlineLevel="1">
      <c r="G47" s="580"/>
      <c r="H47" s="579"/>
      <c r="I47" s="580"/>
      <c r="J47" s="579"/>
      <c r="K47" s="580"/>
      <c r="L47" s="579"/>
      <c r="M47" s="580"/>
      <c r="N47" s="579"/>
      <c r="O47" s="580"/>
      <c r="P47" s="579"/>
      <c r="Q47" s="580"/>
      <c r="R47" s="579"/>
      <c r="S47" s="580"/>
      <c r="T47" s="579"/>
      <c r="U47" s="580"/>
      <c r="V47" s="579"/>
      <c r="W47" s="580"/>
      <c r="X47" s="579"/>
      <c r="Y47" s="580"/>
      <c r="Z47" s="579"/>
      <c r="AA47" s="580"/>
      <c r="AB47" s="579"/>
      <c r="AC47" s="580"/>
      <c r="AD47" s="579"/>
      <c r="AE47" s="580"/>
      <c r="AF47" s="577"/>
      <c r="AG47" s="1272"/>
    </row>
    <row r="48" spans="1:33" outlineLevel="1">
      <c r="A48" s="1264">
        <v>40101</v>
      </c>
      <c r="B48" s="1264" t="s">
        <v>80</v>
      </c>
      <c r="C48" s="1265"/>
      <c r="D48" s="1261"/>
      <c r="E48" s="1266"/>
      <c r="F48" s="1267"/>
      <c r="G48" s="1268">
        <v>57076.77</v>
      </c>
      <c r="H48" s="1267"/>
      <c r="I48" s="1268">
        <v>70587.490000000005</v>
      </c>
      <c r="J48" s="1267"/>
      <c r="K48" s="1268">
        <v>62201.79</v>
      </c>
      <c r="L48" s="1267"/>
      <c r="M48" s="1268">
        <v>73228.600000000006</v>
      </c>
      <c r="N48" s="1267"/>
      <c r="O48" s="1268">
        <v>74135.55</v>
      </c>
      <c r="P48" s="1267"/>
      <c r="Q48" s="1268">
        <v>69612.479999999996</v>
      </c>
      <c r="R48" s="1267"/>
      <c r="S48" s="1268">
        <v>78454.97</v>
      </c>
      <c r="T48" s="1267"/>
      <c r="U48" s="1268">
        <v>68159.25</v>
      </c>
      <c r="V48" s="1267"/>
      <c r="W48" s="1268">
        <v>73323.64</v>
      </c>
      <c r="X48" s="1267"/>
      <c r="Y48" s="1268">
        <v>73929.02</v>
      </c>
      <c r="Z48" s="1267"/>
      <c r="AA48" s="1268">
        <v>59075.96</v>
      </c>
      <c r="AB48" s="1267"/>
      <c r="AC48" s="1268">
        <v>67072.56</v>
      </c>
      <c r="AD48" s="1267"/>
      <c r="AE48" s="1268">
        <f t="shared" ref="AE48:AE50" si="6">AC48+AA48+Y48+W48+U48+S48+Q48+O48+M48+K48+I48+G48</f>
        <v>826858.08000000007</v>
      </c>
      <c r="AF48" s="1269">
        <f t="shared" ref="AF48:AF50" si="7">IF(AE$45=0,0,AE48/AE$45)</f>
        <v>0.24971866116166505</v>
      </c>
      <c r="AG48" s="1270"/>
    </row>
    <row r="49" spans="1:33" outlineLevel="1">
      <c r="A49" s="1264">
        <v>40121</v>
      </c>
      <c r="B49" s="1264" t="s">
        <v>226</v>
      </c>
      <c r="C49" s="1265"/>
      <c r="D49" s="1261"/>
      <c r="E49" s="1266"/>
      <c r="F49" s="1267"/>
      <c r="G49" s="1268">
        <v>4772.21</v>
      </c>
      <c r="H49" s="1267"/>
      <c r="I49" s="1268">
        <v>6324.63</v>
      </c>
      <c r="J49" s="1267"/>
      <c r="K49" s="1268">
        <v>7169.15</v>
      </c>
      <c r="L49" s="1267"/>
      <c r="M49" s="1268">
        <v>5058.41</v>
      </c>
      <c r="N49" s="1267"/>
      <c r="O49" s="1268">
        <v>6319.21</v>
      </c>
      <c r="P49" s="1267"/>
      <c r="Q49" s="1268">
        <v>3212.19</v>
      </c>
      <c r="R49" s="1267"/>
      <c r="S49" s="1268">
        <v>6993.53</v>
      </c>
      <c r="T49" s="1267"/>
      <c r="U49" s="1268">
        <v>6657.45</v>
      </c>
      <c r="V49" s="1267"/>
      <c r="W49" s="1268">
        <v>8236.99</v>
      </c>
      <c r="X49" s="1267"/>
      <c r="Y49" s="1268">
        <v>6242.23</v>
      </c>
      <c r="Z49" s="1267"/>
      <c r="AA49" s="1268">
        <v>5510.49</v>
      </c>
      <c r="AB49" s="1267"/>
      <c r="AC49" s="1268">
        <v>4487.92</v>
      </c>
      <c r="AD49" s="1267"/>
      <c r="AE49" s="1268">
        <f t="shared" si="6"/>
        <v>70984.41</v>
      </c>
      <c r="AF49" s="1269">
        <f t="shared" si="7"/>
        <v>2.14379374856574E-2</v>
      </c>
      <c r="AG49" s="1270"/>
    </row>
    <row r="50" spans="1:33" outlineLevel="1">
      <c r="A50" s="1264">
        <v>40131</v>
      </c>
      <c r="B50" s="1264" t="s">
        <v>227</v>
      </c>
      <c r="C50" s="1265"/>
      <c r="D50" s="1261"/>
      <c r="E50" s="1266"/>
      <c r="F50" s="1267"/>
      <c r="G50" s="1268">
        <v>11073.69</v>
      </c>
      <c r="H50" s="1267"/>
      <c r="I50" s="1268">
        <v>13622.99</v>
      </c>
      <c r="J50" s="1267"/>
      <c r="K50" s="1268">
        <v>14778.78</v>
      </c>
      <c r="L50" s="1267"/>
      <c r="M50" s="1268">
        <v>13408.4</v>
      </c>
      <c r="N50" s="1267"/>
      <c r="O50" s="1268">
        <v>14902.61</v>
      </c>
      <c r="P50" s="1267"/>
      <c r="Q50" s="1268">
        <v>11748.31</v>
      </c>
      <c r="R50" s="1267"/>
      <c r="S50" s="1268">
        <v>13805.61</v>
      </c>
      <c r="T50" s="1267"/>
      <c r="U50" s="1268">
        <v>12355.1</v>
      </c>
      <c r="V50" s="1267"/>
      <c r="W50" s="1268">
        <v>13860.28</v>
      </c>
      <c r="X50" s="1267"/>
      <c r="Y50" s="1268">
        <v>14631.73</v>
      </c>
      <c r="Z50" s="1267"/>
      <c r="AA50" s="1268">
        <v>11822.39</v>
      </c>
      <c r="AB50" s="1267"/>
      <c r="AC50" s="1268">
        <v>13360.76</v>
      </c>
      <c r="AD50" s="1267"/>
      <c r="AE50" s="1268">
        <f t="shared" si="6"/>
        <v>159370.65</v>
      </c>
      <c r="AF50" s="1269">
        <f t="shared" si="7"/>
        <v>4.8131385916267887E-2</v>
      </c>
      <c r="AG50" s="1270"/>
    </row>
    <row r="51" spans="1:33" s="1266" customFormat="1" ht="5.0999999999999996" customHeight="1" outlineLevel="1">
      <c r="A51" s="1265"/>
      <c r="B51" s="1265"/>
      <c r="C51" s="1265"/>
      <c r="D51" s="1265"/>
      <c r="G51" s="581"/>
      <c r="H51" s="579"/>
      <c r="I51" s="581"/>
      <c r="J51" s="579"/>
      <c r="K51" s="581"/>
      <c r="L51" s="579"/>
      <c r="M51" s="581"/>
      <c r="N51" s="579"/>
      <c r="O51" s="581"/>
      <c r="P51" s="579"/>
      <c r="Q51" s="581"/>
      <c r="R51" s="579"/>
      <c r="S51" s="581"/>
      <c r="T51" s="579"/>
      <c r="U51" s="581"/>
      <c r="V51" s="579"/>
      <c r="W51" s="581"/>
      <c r="X51" s="579"/>
      <c r="Y51" s="581"/>
      <c r="Z51" s="579"/>
      <c r="AA51" s="581"/>
      <c r="AB51" s="579"/>
      <c r="AC51" s="581"/>
      <c r="AD51" s="579"/>
      <c r="AE51" s="581"/>
      <c r="AF51" s="577"/>
      <c r="AG51" s="1272"/>
    </row>
    <row r="52" spans="1:33" s="1266" customFormat="1" ht="15">
      <c r="C52" s="1265" t="s">
        <v>228</v>
      </c>
      <c r="G52" s="578">
        <f>SUM(G47:G51)</f>
        <v>72922.67</v>
      </c>
      <c r="H52" s="579"/>
      <c r="I52" s="578">
        <f>SUM(I47:I51)</f>
        <v>90535.110000000015</v>
      </c>
      <c r="J52" s="579"/>
      <c r="K52" s="578">
        <f>SUM(K47:K51)</f>
        <v>84149.72</v>
      </c>
      <c r="L52" s="579"/>
      <c r="M52" s="578">
        <f>SUM(M47:M51)</f>
        <v>91695.41</v>
      </c>
      <c r="N52" s="579"/>
      <c r="O52" s="578">
        <f>SUM(O47:O51)</f>
        <v>95357.37000000001</v>
      </c>
      <c r="P52" s="579"/>
      <c r="Q52" s="578">
        <f>SUM(Q47:Q51)</f>
        <v>84572.98</v>
      </c>
      <c r="R52" s="579"/>
      <c r="S52" s="578">
        <f>SUM(S47:S51)</f>
        <v>99254.11</v>
      </c>
      <c r="T52" s="579"/>
      <c r="U52" s="578">
        <f>SUM(U47:U51)</f>
        <v>87171.8</v>
      </c>
      <c r="V52" s="579"/>
      <c r="W52" s="578">
        <f>SUM(W47:W51)</f>
        <v>95420.91</v>
      </c>
      <c r="X52" s="579"/>
      <c r="Y52" s="578">
        <f>SUM(Y47:Y51)</f>
        <v>94802.98</v>
      </c>
      <c r="Z52" s="579"/>
      <c r="AA52" s="578">
        <f>SUM(AA47:AA51)</f>
        <v>76408.84</v>
      </c>
      <c r="AB52" s="579"/>
      <c r="AC52" s="578">
        <f>SUM(AC47:AC51)</f>
        <v>84921.239999999991</v>
      </c>
      <c r="AD52" s="579"/>
      <c r="AE52" s="578">
        <f>SUM(AE47:AE51)</f>
        <v>1057213.1400000001</v>
      </c>
      <c r="AF52" s="1269">
        <f>IF(AE$45=0,0,AE52/AE$45)</f>
        <v>0.31928798456359037</v>
      </c>
      <c r="AG52" s="1272"/>
    </row>
    <row r="53" spans="1:33" s="1266" customFormat="1" ht="15" outlineLevel="1">
      <c r="G53" s="580"/>
      <c r="H53" s="579"/>
      <c r="I53" s="580"/>
      <c r="J53" s="579"/>
      <c r="K53" s="580"/>
      <c r="L53" s="579"/>
      <c r="M53" s="580"/>
      <c r="N53" s="579"/>
      <c r="O53" s="580"/>
      <c r="P53" s="579"/>
      <c r="Q53" s="580"/>
      <c r="R53" s="579"/>
      <c r="S53" s="580"/>
      <c r="T53" s="579"/>
      <c r="U53" s="580"/>
      <c r="V53" s="579"/>
      <c r="W53" s="580"/>
      <c r="X53" s="579"/>
      <c r="Y53" s="580"/>
      <c r="Z53" s="579"/>
      <c r="AA53" s="580"/>
      <c r="AB53" s="579"/>
      <c r="AC53" s="580"/>
      <c r="AD53" s="579"/>
      <c r="AE53" s="580"/>
      <c r="AF53" s="577"/>
      <c r="AG53" s="1272"/>
    </row>
    <row r="54" spans="1:33" outlineLevel="1">
      <c r="A54" s="1264"/>
      <c r="B54" s="1264"/>
      <c r="C54" s="1265"/>
      <c r="D54" s="1261"/>
      <c r="E54" s="1266"/>
      <c r="F54" s="1267"/>
      <c r="G54" s="1268"/>
      <c r="H54" s="1267"/>
      <c r="I54" s="1268"/>
      <c r="J54" s="1267"/>
      <c r="K54" s="1268"/>
      <c r="L54" s="1267"/>
      <c r="M54" s="1268"/>
      <c r="N54" s="1267"/>
      <c r="O54" s="1268"/>
      <c r="P54" s="1267"/>
      <c r="Q54" s="1268"/>
      <c r="R54" s="1267"/>
      <c r="S54" s="1268"/>
      <c r="T54" s="1267"/>
      <c r="U54" s="1268"/>
      <c r="V54" s="1267"/>
      <c r="W54" s="1268"/>
      <c r="X54" s="1267"/>
      <c r="Y54" s="1268"/>
      <c r="Z54" s="1267"/>
      <c r="AA54" s="1268"/>
      <c r="AB54" s="1267"/>
      <c r="AC54" s="1268"/>
      <c r="AD54" s="1267"/>
      <c r="AE54" s="1268">
        <f>AC54+AA54+Y54+W54+U54+S54+Q54+O54+M54+K54+I54+G54</f>
        <v>0</v>
      </c>
      <c r="AF54" s="1269">
        <f>IF(AE$45=0,0,AE54/AE$45)</f>
        <v>0</v>
      </c>
      <c r="AG54" s="1270"/>
    </row>
    <row r="55" spans="1:33" s="1266" customFormat="1" ht="4.5" customHeight="1" outlineLevel="1">
      <c r="A55" s="148"/>
      <c r="G55" s="581"/>
      <c r="H55" s="579"/>
      <c r="I55" s="581"/>
      <c r="J55" s="579"/>
      <c r="K55" s="581"/>
      <c r="L55" s="579"/>
      <c r="M55" s="581"/>
      <c r="N55" s="579"/>
      <c r="O55" s="581"/>
      <c r="P55" s="579"/>
      <c r="Q55" s="581"/>
      <c r="R55" s="579"/>
      <c r="S55" s="581"/>
      <c r="T55" s="579"/>
      <c r="U55" s="581"/>
      <c r="V55" s="579"/>
      <c r="W55" s="581"/>
      <c r="X55" s="579"/>
      <c r="Y55" s="581"/>
      <c r="Z55" s="579"/>
      <c r="AA55" s="581"/>
      <c r="AB55" s="579"/>
      <c r="AC55" s="581"/>
      <c r="AD55" s="579"/>
      <c r="AE55" s="581"/>
      <c r="AF55" s="577"/>
      <c r="AG55" s="1272"/>
    </row>
    <row r="56" spans="1:33" s="1266" customFormat="1" ht="15">
      <c r="C56" s="1266" t="s">
        <v>230</v>
      </c>
      <c r="G56" s="578">
        <f>SUM(G54:G55)</f>
        <v>0</v>
      </c>
      <c r="H56" s="579"/>
      <c r="I56" s="578">
        <f>SUM(I54:I55)</f>
        <v>0</v>
      </c>
      <c r="J56" s="579"/>
      <c r="K56" s="578">
        <f>SUM(K54:K55)</f>
        <v>0</v>
      </c>
      <c r="L56" s="579"/>
      <c r="M56" s="578">
        <f>SUM(M54:M55)</f>
        <v>0</v>
      </c>
      <c r="N56" s="579"/>
      <c r="O56" s="578">
        <f>SUM(O54:O55)</f>
        <v>0</v>
      </c>
      <c r="P56" s="579"/>
      <c r="Q56" s="578">
        <f>SUM(Q54:Q55)</f>
        <v>0</v>
      </c>
      <c r="R56" s="579"/>
      <c r="S56" s="578">
        <f>SUM(S54:S55)</f>
        <v>0</v>
      </c>
      <c r="T56" s="579"/>
      <c r="U56" s="578">
        <f>SUM(U54:U55)</f>
        <v>0</v>
      </c>
      <c r="V56" s="579"/>
      <c r="W56" s="578">
        <f>SUM(W54:W55)</f>
        <v>0</v>
      </c>
      <c r="X56" s="579"/>
      <c r="Y56" s="578">
        <f>SUM(Y54:Y55)</f>
        <v>0</v>
      </c>
      <c r="Z56" s="579"/>
      <c r="AA56" s="578">
        <f>SUM(AA54:AA55)</f>
        <v>0</v>
      </c>
      <c r="AB56" s="579"/>
      <c r="AC56" s="578">
        <f>SUM(AC54:AC55)</f>
        <v>0</v>
      </c>
      <c r="AD56" s="579"/>
      <c r="AE56" s="578">
        <f>SUM(AE54:AE55)</f>
        <v>0</v>
      </c>
      <c r="AF56" s="1269">
        <f>IF(AE$45=0,0,AE56/AE$45)</f>
        <v>0</v>
      </c>
      <c r="AG56" s="1272"/>
    </row>
    <row r="57" spans="1:33" s="1266" customFormat="1" ht="15" outlineLevel="1">
      <c r="G57" s="580"/>
      <c r="H57" s="579"/>
      <c r="I57" s="580"/>
      <c r="J57" s="579"/>
      <c r="K57" s="580"/>
      <c r="L57" s="579"/>
      <c r="M57" s="580"/>
      <c r="N57" s="579"/>
      <c r="O57" s="580"/>
      <c r="P57" s="579"/>
      <c r="Q57" s="580"/>
      <c r="R57" s="579"/>
      <c r="S57" s="580"/>
      <c r="T57" s="579"/>
      <c r="U57" s="580"/>
      <c r="V57" s="579"/>
      <c r="W57" s="580"/>
      <c r="X57" s="579"/>
      <c r="Y57" s="580"/>
      <c r="Z57" s="579"/>
      <c r="AA57" s="580"/>
      <c r="AB57" s="579"/>
      <c r="AC57" s="580"/>
      <c r="AD57" s="579"/>
      <c r="AE57" s="580"/>
      <c r="AF57" s="577"/>
      <c r="AG57" s="1272"/>
    </row>
    <row r="58" spans="1:33" s="1266" customFormat="1" ht="15" outlineLevel="1">
      <c r="G58" s="580"/>
      <c r="H58" s="579"/>
      <c r="I58" s="580"/>
      <c r="J58" s="579"/>
      <c r="K58" s="580"/>
      <c r="L58" s="579"/>
      <c r="M58" s="580"/>
      <c r="N58" s="579"/>
      <c r="O58" s="580"/>
      <c r="P58" s="579"/>
      <c r="Q58" s="580"/>
      <c r="R58" s="579"/>
      <c r="S58" s="580"/>
      <c r="T58" s="579"/>
      <c r="U58" s="580"/>
      <c r="V58" s="579"/>
      <c r="W58" s="580"/>
      <c r="X58" s="579"/>
      <c r="Y58" s="580"/>
      <c r="Z58" s="579"/>
      <c r="AA58" s="580"/>
      <c r="AB58" s="579"/>
      <c r="AC58" s="580"/>
      <c r="AD58" s="579"/>
      <c r="AE58" s="580"/>
      <c r="AF58" s="577"/>
      <c r="AG58" s="1272"/>
    </row>
    <row r="59" spans="1:33" outlineLevel="1">
      <c r="A59" s="1264">
        <v>41201</v>
      </c>
      <c r="B59" s="1264" t="s">
        <v>232</v>
      </c>
      <c r="C59" s="1265"/>
      <c r="D59" s="1261"/>
      <c r="E59" s="1266"/>
      <c r="F59" s="1267"/>
      <c r="G59" s="1268">
        <v>2468.9899999999998</v>
      </c>
      <c r="H59" s="1267"/>
      <c r="I59" s="1268">
        <v>2454.86</v>
      </c>
      <c r="J59" s="1267"/>
      <c r="K59" s="1268">
        <v>2502.7800000000002</v>
      </c>
      <c r="L59" s="1267"/>
      <c r="M59" s="1268">
        <v>2048.1999999999998</v>
      </c>
      <c r="N59" s="1267"/>
      <c r="O59" s="1268">
        <v>2620.9</v>
      </c>
      <c r="P59" s="1267"/>
      <c r="Q59" s="1268">
        <v>2569.5300000000002</v>
      </c>
      <c r="R59" s="1267"/>
      <c r="S59" s="1268">
        <v>2621.02</v>
      </c>
      <c r="T59" s="1267"/>
      <c r="U59" s="1268">
        <v>2548.1999999999998</v>
      </c>
      <c r="V59" s="1267"/>
      <c r="W59" s="1268">
        <v>2540.4299999999998</v>
      </c>
      <c r="X59" s="1267"/>
      <c r="Y59" s="1268">
        <v>2507.31</v>
      </c>
      <c r="Z59" s="1267"/>
      <c r="AA59" s="1268">
        <v>2459.04</v>
      </c>
      <c r="AB59" s="1267"/>
      <c r="AC59" s="1268">
        <v>2507.7199999999998</v>
      </c>
      <c r="AD59" s="1267"/>
      <c r="AE59" s="1268">
        <f t="shared" ref="AE59:AE61" si="8">AC59+AA59+Y59+W59+U59+S59+Q59+O59+M59+K59+I59+G59</f>
        <v>29848.980000000003</v>
      </c>
      <c r="AF59" s="1269">
        <f t="shared" ref="AF59:AF61" si="9">IF(AE$45=0,0,AE59/AE$45)</f>
        <v>9.0146634627327055E-3</v>
      </c>
      <c r="AG59" s="1270"/>
    </row>
    <row r="60" spans="1:33" outlineLevel="1">
      <c r="A60" s="1264">
        <v>43001</v>
      </c>
      <c r="B60" s="1264" t="s">
        <v>233</v>
      </c>
      <c r="C60" s="1265"/>
      <c r="D60" s="1261"/>
      <c r="E60" s="1266"/>
      <c r="F60" s="1267"/>
      <c r="G60" s="1268">
        <v>3761.41</v>
      </c>
      <c r="H60" s="1267"/>
      <c r="I60" s="1268">
        <v>3981.28</v>
      </c>
      <c r="J60" s="1267"/>
      <c r="K60" s="1268">
        <v>4048.86</v>
      </c>
      <c r="L60" s="1267"/>
      <c r="M60" s="1268">
        <v>4200.63</v>
      </c>
      <c r="N60" s="1267"/>
      <c r="O60" s="1268">
        <v>4278.9399999999996</v>
      </c>
      <c r="P60" s="1267"/>
      <c r="Q60" s="1268">
        <v>4292.3999999999996</v>
      </c>
      <c r="R60" s="1267"/>
      <c r="S60" s="1268">
        <v>4442.87</v>
      </c>
      <c r="T60" s="1267"/>
      <c r="U60" s="1268">
        <v>4404.33</v>
      </c>
      <c r="V60" s="1267"/>
      <c r="W60" s="1268">
        <v>4431.83</v>
      </c>
      <c r="X60" s="1267"/>
      <c r="Y60" s="1268">
        <v>4135.09</v>
      </c>
      <c r="Z60" s="1267"/>
      <c r="AA60" s="1268">
        <v>4043.73</v>
      </c>
      <c r="AB60" s="1267"/>
      <c r="AC60" s="1268">
        <v>3948.98</v>
      </c>
      <c r="AD60" s="1267"/>
      <c r="AE60" s="1268">
        <f t="shared" si="8"/>
        <v>49970.349999999991</v>
      </c>
      <c r="AF60" s="1269">
        <f t="shared" si="9"/>
        <v>1.5091500224294603E-2</v>
      </c>
      <c r="AG60" s="1270"/>
    </row>
    <row r="61" spans="1:33" outlineLevel="1">
      <c r="A61" s="1264">
        <v>43002</v>
      </c>
      <c r="B61" s="1264" t="s">
        <v>234</v>
      </c>
      <c r="C61" s="1265"/>
      <c r="D61" s="1261"/>
      <c r="E61" s="1266"/>
      <c r="F61" s="1267"/>
      <c r="G61" s="1268">
        <v>3313</v>
      </c>
      <c r="H61" s="1267"/>
      <c r="I61" s="1268">
        <v>1430</v>
      </c>
      <c r="J61" s="1267"/>
      <c r="K61" s="1268">
        <v>951</v>
      </c>
      <c r="L61" s="1267"/>
      <c r="M61" s="1268">
        <v>1501</v>
      </c>
      <c r="N61" s="1267"/>
      <c r="O61" s="1268">
        <v>1011</v>
      </c>
      <c r="P61" s="1267"/>
      <c r="Q61" s="1268">
        <v>1530</v>
      </c>
      <c r="R61" s="1267"/>
      <c r="S61" s="1268">
        <v>1072</v>
      </c>
      <c r="T61" s="1267"/>
      <c r="U61" s="1268">
        <v>1570</v>
      </c>
      <c r="V61" s="1267"/>
      <c r="W61" s="1268">
        <v>1082</v>
      </c>
      <c r="X61" s="1267"/>
      <c r="Y61" s="1268">
        <v>1493</v>
      </c>
      <c r="Z61" s="1267"/>
      <c r="AA61" s="1268">
        <v>790</v>
      </c>
      <c r="AB61" s="1267"/>
      <c r="AC61" s="1268">
        <v>1627</v>
      </c>
      <c r="AD61" s="1267"/>
      <c r="AE61" s="1268">
        <f t="shared" si="8"/>
        <v>17370</v>
      </c>
      <c r="AF61" s="1269">
        <f t="shared" si="9"/>
        <v>5.2458979954312368E-3</v>
      </c>
      <c r="AG61" s="1270"/>
    </row>
    <row r="62" spans="1:33" s="1266" customFormat="1" ht="5.0999999999999996" customHeight="1" outlineLevel="1">
      <c r="A62" s="1265"/>
      <c r="B62" s="1265"/>
      <c r="C62" s="1265"/>
      <c r="D62" s="1265"/>
      <c r="G62" s="581"/>
      <c r="H62" s="579"/>
      <c r="I62" s="581"/>
      <c r="J62" s="579"/>
      <c r="K62" s="581"/>
      <c r="L62" s="579"/>
      <c r="M62" s="581"/>
      <c r="N62" s="579"/>
      <c r="O62" s="581"/>
      <c r="P62" s="579"/>
      <c r="Q62" s="581"/>
      <c r="R62" s="579"/>
      <c r="S62" s="581"/>
      <c r="T62" s="579"/>
      <c r="U62" s="581"/>
      <c r="V62" s="579"/>
      <c r="W62" s="581"/>
      <c r="X62" s="579"/>
      <c r="Y62" s="581"/>
      <c r="Z62" s="579"/>
      <c r="AA62" s="581"/>
      <c r="AB62" s="579"/>
      <c r="AC62" s="581"/>
      <c r="AD62" s="579"/>
      <c r="AE62" s="581"/>
      <c r="AF62" s="577"/>
      <c r="AG62" s="1272"/>
    </row>
    <row r="63" spans="1:33" s="1266" customFormat="1" ht="15">
      <c r="C63" s="1265" t="s">
        <v>235</v>
      </c>
      <c r="D63" s="151"/>
      <c r="E63" s="151"/>
      <c r="F63" s="151"/>
      <c r="G63" s="578">
        <f>SUM(G58:G62)</f>
        <v>9543.4</v>
      </c>
      <c r="H63" s="579"/>
      <c r="I63" s="578">
        <f>SUM(I58:I62)</f>
        <v>7866.14</v>
      </c>
      <c r="J63" s="579"/>
      <c r="K63" s="578">
        <f>SUM(K58:K62)</f>
        <v>7502.64</v>
      </c>
      <c r="L63" s="579"/>
      <c r="M63" s="578">
        <f>SUM(M58:M62)</f>
        <v>7749.83</v>
      </c>
      <c r="N63" s="579"/>
      <c r="O63" s="578">
        <f>SUM(O58:O62)</f>
        <v>7910.84</v>
      </c>
      <c r="P63" s="579"/>
      <c r="Q63" s="578">
        <f>SUM(Q58:Q62)</f>
        <v>8391.93</v>
      </c>
      <c r="R63" s="579"/>
      <c r="S63" s="578">
        <f>SUM(S58:S62)</f>
        <v>8135.8899999999994</v>
      </c>
      <c r="T63" s="579"/>
      <c r="U63" s="578">
        <f>SUM(U58:U62)</f>
        <v>8522.5299999999988</v>
      </c>
      <c r="V63" s="579"/>
      <c r="W63" s="578">
        <f>SUM(W58:W62)</f>
        <v>8054.26</v>
      </c>
      <c r="X63" s="579"/>
      <c r="Y63" s="578">
        <f>SUM(Y58:Y62)</f>
        <v>8135.4</v>
      </c>
      <c r="Z63" s="579"/>
      <c r="AA63" s="578">
        <f>SUM(AA58:AA62)</f>
        <v>7292.77</v>
      </c>
      <c r="AB63" s="579"/>
      <c r="AC63" s="578">
        <f>SUM(AC58:AC62)</f>
        <v>8083.7</v>
      </c>
      <c r="AD63" s="579"/>
      <c r="AE63" s="578">
        <f>SUM(AE58:AE62)</f>
        <v>97189.329999999987</v>
      </c>
      <c r="AF63" s="1269">
        <f>IF(AE$45=0,0,AE63/AE$45)</f>
        <v>2.9352061682458543E-2</v>
      </c>
      <c r="AG63" s="1272"/>
    </row>
    <row r="64" spans="1:33" s="1266" customFormat="1" ht="15" outlineLevel="1">
      <c r="G64" s="580"/>
      <c r="H64" s="579"/>
      <c r="I64" s="580"/>
      <c r="J64" s="579"/>
      <c r="K64" s="580"/>
      <c r="L64" s="579"/>
      <c r="M64" s="580"/>
      <c r="N64" s="579"/>
      <c r="O64" s="580"/>
      <c r="P64" s="579"/>
      <c r="Q64" s="580"/>
      <c r="R64" s="579"/>
      <c r="S64" s="580"/>
      <c r="T64" s="579"/>
      <c r="U64" s="580"/>
      <c r="V64" s="579"/>
      <c r="W64" s="580"/>
      <c r="X64" s="579"/>
      <c r="Y64" s="580"/>
      <c r="Z64" s="579"/>
      <c r="AA64" s="580"/>
      <c r="AB64" s="579"/>
      <c r="AC64" s="580"/>
      <c r="AD64" s="579"/>
      <c r="AE64" s="580"/>
      <c r="AF64" s="577"/>
      <c r="AG64" s="1272"/>
    </row>
    <row r="65" spans="1:33" s="1266" customFormat="1" ht="15" outlineLevel="1">
      <c r="G65" s="580"/>
      <c r="H65" s="579"/>
      <c r="I65" s="580"/>
      <c r="J65" s="579"/>
      <c r="K65" s="580"/>
      <c r="L65" s="579"/>
      <c r="M65" s="580"/>
      <c r="N65" s="579"/>
      <c r="O65" s="580"/>
      <c r="P65" s="579"/>
      <c r="Q65" s="580"/>
      <c r="R65" s="579"/>
      <c r="S65" s="580"/>
      <c r="T65" s="579"/>
      <c r="U65" s="580"/>
      <c r="V65" s="579"/>
      <c r="W65" s="580"/>
      <c r="X65" s="579"/>
      <c r="Y65" s="580"/>
      <c r="Z65" s="579"/>
      <c r="AA65" s="580"/>
      <c r="AB65" s="579"/>
      <c r="AC65" s="580"/>
      <c r="AD65" s="579"/>
      <c r="AE65" s="580"/>
      <c r="AF65" s="577"/>
      <c r="AG65" s="1272"/>
    </row>
    <row r="66" spans="1:33" outlineLevel="1">
      <c r="A66" s="1264">
        <v>44161</v>
      </c>
      <c r="B66" s="1264" t="s">
        <v>237</v>
      </c>
      <c r="C66" s="1265"/>
      <c r="D66" s="1261"/>
      <c r="E66" s="1266"/>
      <c r="F66" s="1267"/>
      <c r="G66" s="1268">
        <v>416.6</v>
      </c>
      <c r="H66" s="1267"/>
      <c r="I66" s="1268">
        <v>856.8</v>
      </c>
      <c r="J66" s="1267"/>
      <c r="K66" s="1268">
        <v>599.70000000000005</v>
      </c>
      <c r="L66" s="1267"/>
      <c r="M66" s="1268">
        <v>786.9</v>
      </c>
      <c r="N66" s="1267"/>
      <c r="O66" s="1268">
        <v>655.5</v>
      </c>
      <c r="P66" s="1267"/>
      <c r="Q66" s="1268">
        <v>591.29999999999995</v>
      </c>
      <c r="R66" s="1267"/>
      <c r="S66" s="1268">
        <v>793.8</v>
      </c>
      <c r="T66" s="1267"/>
      <c r="U66" s="1268">
        <v>462</v>
      </c>
      <c r="V66" s="1267"/>
      <c r="W66" s="1268">
        <v>595.79999999999995</v>
      </c>
      <c r="X66" s="1267"/>
      <c r="Y66" s="1268">
        <v>516</v>
      </c>
      <c r="Z66" s="1267"/>
      <c r="AA66" s="1268">
        <v>589.5</v>
      </c>
      <c r="AB66" s="1267"/>
      <c r="AC66" s="1268">
        <v>651.6</v>
      </c>
      <c r="AD66" s="1267"/>
      <c r="AE66" s="1268">
        <f t="shared" ref="AE66:AE67" si="10">AC66+AA66+Y66+W66+U66+S66+Q66+O66+M66+K66+I66+G66</f>
        <v>7515.5</v>
      </c>
      <c r="AF66" s="1269">
        <f t="shared" ref="AF66:AF67" si="11">IF(AE$45=0,0,AE66/AE$45)</f>
        <v>2.2697493600842521E-3</v>
      </c>
      <c r="AG66" s="1270"/>
    </row>
    <row r="67" spans="1:33" outlineLevel="1">
      <c r="A67" s="1264">
        <v>44168</v>
      </c>
      <c r="B67" s="1264" t="s">
        <v>238</v>
      </c>
      <c r="C67" s="1265"/>
      <c r="D67" s="1261"/>
      <c r="E67" s="1266"/>
      <c r="F67" s="1267"/>
      <c r="G67" s="1268">
        <v>0</v>
      </c>
      <c r="H67" s="1267"/>
      <c r="I67" s="1268">
        <v>0</v>
      </c>
      <c r="J67" s="1267"/>
      <c r="K67" s="1268">
        <v>0</v>
      </c>
      <c r="L67" s="1267"/>
      <c r="M67" s="1268">
        <v>126.44</v>
      </c>
      <c r="N67" s="1267"/>
      <c r="O67" s="1268">
        <v>0</v>
      </c>
      <c r="P67" s="1267"/>
      <c r="Q67" s="1268">
        <v>218.11</v>
      </c>
      <c r="R67" s="1267"/>
      <c r="S67" s="1268">
        <v>0</v>
      </c>
      <c r="T67" s="1267"/>
      <c r="U67" s="1268">
        <v>0</v>
      </c>
      <c r="V67" s="1267"/>
      <c r="W67" s="1268">
        <v>0</v>
      </c>
      <c r="X67" s="1267"/>
      <c r="Y67" s="1268">
        <v>526.64</v>
      </c>
      <c r="Z67" s="1267"/>
      <c r="AA67" s="1268">
        <v>354.23</v>
      </c>
      <c r="AB67" s="1267"/>
      <c r="AC67" s="1268">
        <v>330.22</v>
      </c>
      <c r="AD67" s="1267"/>
      <c r="AE67" s="1268">
        <f t="shared" si="10"/>
        <v>1555.6400000000003</v>
      </c>
      <c r="AF67" s="1269">
        <f t="shared" si="11"/>
        <v>4.6981742991437253E-4</v>
      </c>
      <c r="AG67" s="1270"/>
    </row>
    <row r="68" spans="1:33" s="1266" customFormat="1" ht="5.0999999999999996" customHeight="1" outlineLevel="1">
      <c r="A68" s="1265"/>
      <c r="B68" s="1265"/>
      <c r="C68" s="1265"/>
      <c r="D68" s="1265"/>
      <c r="G68" s="581"/>
      <c r="H68" s="579"/>
      <c r="I68" s="581"/>
      <c r="J68" s="579"/>
      <c r="K68" s="581"/>
      <c r="L68" s="579"/>
      <c r="M68" s="581"/>
      <c r="N68" s="579"/>
      <c r="O68" s="581"/>
      <c r="P68" s="579"/>
      <c r="Q68" s="581"/>
      <c r="R68" s="579"/>
      <c r="S68" s="581"/>
      <c r="T68" s="579"/>
      <c r="U68" s="581"/>
      <c r="V68" s="579"/>
      <c r="W68" s="581"/>
      <c r="X68" s="579"/>
      <c r="Y68" s="581"/>
      <c r="Z68" s="579"/>
      <c r="AA68" s="581"/>
      <c r="AB68" s="579"/>
      <c r="AC68" s="581"/>
      <c r="AD68" s="579"/>
      <c r="AE68" s="581"/>
      <c r="AF68" s="577"/>
      <c r="AG68" s="1272"/>
    </row>
    <row r="69" spans="1:33" s="1266" customFormat="1" ht="15">
      <c r="C69" s="1265" t="s">
        <v>239</v>
      </c>
      <c r="D69" s="151"/>
      <c r="E69" s="151"/>
      <c r="F69" s="151"/>
      <c r="G69" s="578">
        <f>SUM(G65:G68)</f>
        <v>416.6</v>
      </c>
      <c r="H69" s="579"/>
      <c r="I69" s="578">
        <f>SUM(I65:I68)</f>
        <v>856.8</v>
      </c>
      <c r="J69" s="579"/>
      <c r="K69" s="578">
        <f>SUM(K65:K68)</f>
        <v>599.70000000000005</v>
      </c>
      <c r="L69" s="579"/>
      <c r="M69" s="578">
        <f>SUM(M65:M68)</f>
        <v>913.33999999999992</v>
      </c>
      <c r="N69" s="579"/>
      <c r="O69" s="578">
        <f>SUM(O65:O68)</f>
        <v>655.5</v>
      </c>
      <c r="P69" s="579"/>
      <c r="Q69" s="578">
        <f>SUM(Q65:Q68)</f>
        <v>809.41</v>
      </c>
      <c r="R69" s="579"/>
      <c r="S69" s="578">
        <f>SUM(S65:S68)</f>
        <v>793.8</v>
      </c>
      <c r="T69" s="579"/>
      <c r="U69" s="578">
        <f>SUM(U65:U68)</f>
        <v>462</v>
      </c>
      <c r="V69" s="579"/>
      <c r="W69" s="578">
        <f>SUM(W65:W68)</f>
        <v>595.79999999999995</v>
      </c>
      <c r="X69" s="579"/>
      <c r="Y69" s="578">
        <f>SUM(Y65:Y68)</f>
        <v>1042.6399999999999</v>
      </c>
      <c r="Z69" s="579"/>
      <c r="AA69" s="578">
        <f>SUM(AA65:AA68)</f>
        <v>943.73</v>
      </c>
      <c r="AB69" s="579"/>
      <c r="AC69" s="578">
        <f>SUM(AC65:AC68)</f>
        <v>981.82</v>
      </c>
      <c r="AD69" s="579"/>
      <c r="AE69" s="578">
        <f>SUM(AE65:AE68)</f>
        <v>9071.14</v>
      </c>
      <c r="AF69" s="1269">
        <f>IF(AE$45=0,0,AE69/AE$45)</f>
        <v>2.7395667899986244E-3</v>
      </c>
      <c r="AG69" s="1272"/>
    </row>
    <row r="70" spans="1:33" s="1266" customFormat="1" ht="15" outlineLevel="1">
      <c r="G70" s="580"/>
      <c r="H70" s="579"/>
      <c r="I70" s="580"/>
      <c r="J70" s="579"/>
      <c r="K70" s="580"/>
      <c r="L70" s="579"/>
      <c r="M70" s="580"/>
      <c r="N70" s="579"/>
      <c r="O70" s="580"/>
      <c r="P70" s="579"/>
      <c r="Q70" s="580"/>
      <c r="R70" s="579"/>
      <c r="S70" s="580"/>
      <c r="T70" s="579"/>
      <c r="U70" s="580"/>
      <c r="V70" s="579"/>
      <c r="W70" s="580"/>
      <c r="X70" s="579"/>
      <c r="Y70" s="580"/>
      <c r="Z70" s="579"/>
      <c r="AA70" s="580"/>
      <c r="AB70" s="579"/>
      <c r="AC70" s="580"/>
      <c r="AD70" s="579"/>
      <c r="AE70" s="580"/>
      <c r="AF70" s="577"/>
      <c r="AG70" s="1272"/>
    </row>
    <row r="71" spans="1:33" outlineLevel="1">
      <c r="A71" s="1264"/>
      <c r="B71" s="1264"/>
      <c r="C71" s="1265"/>
      <c r="D71" s="1261"/>
      <c r="E71" s="1266"/>
      <c r="F71" s="1267"/>
      <c r="G71" s="1268"/>
      <c r="H71" s="1267"/>
      <c r="I71" s="1268"/>
      <c r="J71" s="1267"/>
      <c r="K71" s="1268"/>
      <c r="L71" s="1267"/>
      <c r="M71" s="1268"/>
      <c r="N71" s="1267"/>
      <c r="O71" s="1268"/>
      <c r="P71" s="1267"/>
      <c r="Q71" s="1268"/>
      <c r="R71" s="1267"/>
      <c r="S71" s="1268"/>
      <c r="T71" s="1267"/>
      <c r="U71" s="1268"/>
      <c r="V71" s="1267"/>
      <c r="W71" s="1268"/>
      <c r="X71" s="1267"/>
      <c r="Y71" s="1268"/>
      <c r="Z71" s="1267"/>
      <c r="AA71" s="1268"/>
      <c r="AB71" s="1267"/>
      <c r="AC71" s="1268"/>
      <c r="AD71" s="1267"/>
      <c r="AE71" s="1268">
        <f>AC71+AA71+Y71+W71+U71+S71+Q71+O71+M71+K71+I71+G71</f>
        <v>0</v>
      </c>
      <c r="AF71" s="1269">
        <f>IF(AE$45=0,0,AE71/AE$45)</f>
        <v>0</v>
      </c>
      <c r="AG71" s="1270"/>
    </row>
    <row r="72" spans="1:33" s="1266" customFormat="1" ht="4.5" customHeight="1" outlineLevel="1">
      <c r="A72" s="148"/>
      <c r="G72" s="581"/>
      <c r="H72" s="579"/>
      <c r="I72" s="581"/>
      <c r="J72" s="579"/>
      <c r="K72" s="581"/>
      <c r="L72" s="579"/>
      <c r="M72" s="581"/>
      <c r="N72" s="579"/>
      <c r="O72" s="581"/>
      <c r="P72" s="579"/>
      <c r="Q72" s="581"/>
      <c r="R72" s="579"/>
      <c r="S72" s="581"/>
      <c r="T72" s="579"/>
      <c r="U72" s="581"/>
      <c r="V72" s="579"/>
      <c r="W72" s="581"/>
      <c r="X72" s="579"/>
      <c r="Y72" s="581"/>
      <c r="Z72" s="579"/>
      <c r="AA72" s="581"/>
      <c r="AB72" s="579"/>
      <c r="AC72" s="581"/>
      <c r="AD72" s="579"/>
      <c r="AE72" s="581"/>
      <c r="AF72" s="577"/>
      <c r="AG72" s="1272"/>
    </row>
    <row r="73" spans="1:33" s="1266" customFormat="1" ht="15">
      <c r="C73" s="1266" t="s">
        <v>241</v>
      </c>
      <c r="G73" s="578">
        <f>SUM(G71:G72)</f>
        <v>0</v>
      </c>
      <c r="H73" s="579"/>
      <c r="I73" s="578">
        <f>SUM(I71:I72)</f>
        <v>0</v>
      </c>
      <c r="J73" s="579"/>
      <c r="K73" s="578">
        <f>SUM(K71:K72)</f>
        <v>0</v>
      </c>
      <c r="L73" s="579"/>
      <c r="M73" s="578">
        <f>SUM(M71:M72)</f>
        <v>0</v>
      </c>
      <c r="N73" s="579"/>
      <c r="O73" s="578">
        <f>SUM(O71:O72)</f>
        <v>0</v>
      </c>
      <c r="P73" s="579"/>
      <c r="Q73" s="578">
        <f>SUM(Q71:Q72)</f>
        <v>0</v>
      </c>
      <c r="R73" s="579"/>
      <c r="S73" s="578">
        <f>SUM(S71:S72)</f>
        <v>0</v>
      </c>
      <c r="T73" s="579"/>
      <c r="U73" s="578">
        <f>SUM(U71:U72)</f>
        <v>0</v>
      </c>
      <c r="V73" s="579"/>
      <c r="W73" s="578">
        <f>SUM(W71:W72)</f>
        <v>0</v>
      </c>
      <c r="X73" s="579"/>
      <c r="Y73" s="578">
        <f>SUM(Y71:Y72)</f>
        <v>0</v>
      </c>
      <c r="Z73" s="579"/>
      <c r="AA73" s="578">
        <f>SUM(AA71:AA72)</f>
        <v>0</v>
      </c>
      <c r="AB73" s="579"/>
      <c r="AC73" s="578">
        <f>SUM(AC71:AC72)</f>
        <v>0</v>
      </c>
      <c r="AD73" s="579"/>
      <c r="AE73" s="578">
        <f>SUM(AE71:AE72)</f>
        <v>0</v>
      </c>
      <c r="AF73" s="1269">
        <f>IF(AE$45=0,0,AE73/AE$45)</f>
        <v>0</v>
      </c>
      <c r="AG73" s="1272"/>
    </row>
    <row r="74" spans="1:33" s="1266" customFormat="1" ht="7.5" customHeight="1">
      <c r="G74" s="580"/>
      <c r="H74" s="579"/>
      <c r="I74" s="580"/>
      <c r="J74" s="579"/>
      <c r="K74" s="580"/>
      <c r="L74" s="579"/>
      <c r="M74" s="580"/>
      <c r="N74" s="579"/>
      <c r="O74" s="580"/>
      <c r="P74" s="579"/>
      <c r="Q74" s="580"/>
      <c r="R74" s="579"/>
      <c r="S74" s="580"/>
      <c r="T74" s="579"/>
      <c r="U74" s="580"/>
      <c r="V74" s="579"/>
      <c r="W74" s="580"/>
      <c r="X74" s="579"/>
      <c r="Y74" s="580"/>
      <c r="Z74" s="579"/>
      <c r="AA74" s="580"/>
      <c r="AB74" s="579"/>
      <c r="AC74" s="580"/>
      <c r="AD74" s="579"/>
      <c r="AE74" s="580"/>
      <c r="AF74" s="577"/>
      <c r="AG74" s="1272"/>
    </row>
    <row r="75" spans="1:33" s="1266" customFormat="1" ht="15">
      <c r="B75" s="582" t="s">
        <v>242</v>
      </c>
      <c r="G75" s="150">
        <f>+G52+G63+G69+G56+G73</f>
        <v>82882.67</v>
      </c>
      <c r="H75" s="579"/>
      <c r="I75" s="150">
        <f>+I52+I63+I69+I56+I73</f>
        <v>99258.050000000017</v>
      </c>
      <c r="J75" s="579"/>
      <c r="K75" s="150">
        <f>+K52+K63+K69+K56+K73</f>
        <v>92252.06</v>
      </c>
      <c r="L75" s="579"/>
      <c r="M75" s="150">
        <f>+M52+M63+M69+M56+M73</f>
        <v>100358.58</v>
      </c>
      <c r="N75" s="579"/>
      <c r="O75" s="150">
        <f>+O52+O63+O69+O56+O73</f>
        <v>103923.71</v>
      </c>
      <c r="P75" s="579"/>
      <c r="Q75" s="150">
        <f>+Q52+Q63+Q69+Q56+Q73</f>
        <v>93774.32</v>
      </c>
      <c r="R75" s="579"/>
      <c r="S75" s="150">
        <f>+S52+S63+S69+S56+S73</f>
        <v>108183.8</v>
      </c>
      <c r="T75" s="579"/>
      <c r="U75" s="150">
        <f>+U52+U63+U69+U56+U73</f>
        <v>96156.33</v>
      </c>
      <c r="V75" s="579"/>
      <c r="W75" s="150">
        <f>+W52+W63+W69+W56+W73</f>
        <v>104070.97</v>
      </c>
      <c r="X75" s="579"/>
      <c r="Y75" s="150">
        <f>+Y52+Y63+Y69+Y56+Y73</f>
        <v>103981.01999999999</v>
      </c>
      <c r="Z75" s="579"/>
      <c r="AA75" s="150">
        <f>+AA52+AA63+AA69+AA56+AA73</f>
        <v>84645.34</v>
      </c>
      <c r="AB75" s="579"/>
      <c r="AC75" s="150">
        <f>+AC52+AC63+AC69+AC56+AC73</f>
        <v>93986.76</v>
      </c>
      <c r="AD75" s="579"/>
      <c r="AE75" s="150">
        <f>+AE52+AE63+AE69+AE56+AE73</f>
        <v>1163473.6100000001</v>
      </c>
      <c r="AF75" s="1269">
        <f>IF(AE$45=0,0,AE75/AE$45)</f>
        <v>0.35137961303604753</v>
      </c>
      <c r="AG75" s="1272"/>
    </row>
    <row r="76" spans="1:33" s="1266" customFormat="1" ht="7.5" customHeight="1">
      <c r="G76" s="580"/>
      <c r="H76" s="579"/>
      <c r="I76" s="580"/>
      <c r="J76" s="579"/>
      <c r="K76" s="580"/>
      <c r="L76" s="579"/>
      <c r="M76" s="580"/>
      <c r="N76" s="579"/>
      <c r="O76" s="580"/>
      <c r="P76" s="579"/>
      <c r="Q76" s="580"/>
      <c r="R76" s="579"/>
      <c r="S76" s="580"/>
      <c r="T76" s="579"/>
      <c r="U76" s="580"/>
      <c r="V76" s="579"/>
      <c r="W76" s="580"/>
      <c r="X76" s="579"/>
      <c r="Y76" s="580"/>
      <c r="Z76" s="579"/>
      <c r="AA76" s="580"/>
      <c r="AB76" s="579"/>
      <c r="AC76" s="580"/>
      <c r="AD76" s="579"/>
      <c r="AE76" s="580"/>
      <c r="AF76" s="577"/>
      <c r="AG76" s="1272"/>
    </row>
    <row r="77" spans="1:33" s="1266" customFormat="1" ht="15">
      <c r="B77" s="152" t="s">
        <v>243</v>
      </c>
      <c r="G77" s="150">
        <f>G45-G75</f>
        <v>166587.65000000002</v>
      </c>
      <c r="H77" s="579"/>
      <c r="I77" s="150">
        <f>I45-I75</f>
        <v>163386.82999999999</v>
      </c>
      <c r="J77" s="579"/>
      <c r="K77" s="150">
        <f>K45-K75</f>
        <v>174830.62999999995</v>
      </c>
      <c r="L77" s="579"/>
      <c r="M77" s="150">
        <f>M45-M75</f>
        <v>177238.41999999998</v>
      </c>
      <c r="N77" s="579"/>
      <c r="O77" s="150">
        <f>O45-O75</f>
        <v>178066.28999999998</v>
      </c>
      <c r="P77" s="579"/>
      <c r="Q77" s="150">
        <f>Q45-Q75</f>
        <v>190125.99999999994</v>
      </c>
      <c r="R77" s="579"/>
      <c r="S77" s="150">
        <f>S45-S75</f>
        <v>185269.86</v>
      </c>
      <c r="T77" s="579"/>
      <c r="U77" s="150">
        <f>U45-U75</f>
        <v>195744.90999999997</v>
      </c>
      <c r="V77" s="579"/>
      <c r="W77" s="150">
        <f>W45-W75</f>
        <v>189981.94999999998</v>
      </c>
      <c r="X77" s="579"/>
      <c r="Y77" s="150">
        <f>Y45-Y75</f>
        <v>172132.93999999992</v>
      </c>
      <c r="Z77" s="579"/>
      <c r="AA77" s="150">
        <f>AA45-AA75</f>
        <v>183902.21</v>
      </c>
      <c r="AB77" s="579"/>
      <c r="AC77" s="150">
        <f>AC45-AC75</f>
        <v>170417.25000000006</v>
      </c>
      <c r="AD77" s="579"/>
      <c r="AE77" s="150">
        <f>AE45-AE75</f>
        <v>2147684.9399999995</v>
      </c>
      <c r="AF77" s="1269">
        <f>IF(AE$45=0,0,AE77/AE$45)</f>
        <v>0.64862038696395241</v>
      </c>
      <c r="AG77" s="1272"/>
    </row>
    <row r="78" spans="1:33" s="1266" customFormat="1" ht="7.5" customHeight="1">
      <c r="G78" s="580"/>
      <c r="H78" s="579"/>
      <c r="I78" s="580"/>
      <c r="J78" s="579"/>
      <c r="K78" s="580"/>
      <c r="L78" s="579"/>
      <c r="M78" s="580"/>
      <c r="N78" s="579"/>
      <c r="O78" s="580"/>
      <c r="P78" s="579"/>
      <c r="Q78" s="580"/>
      <c r="R78" s="579"/>
      <c r="S78" s="580"/>
      <c r="T78" s="579"/>
      <c r="U78" s="580"/>
      <c r="V78" s="579"/>
      <c r="W78" s="580"/>
      <c r="X78" s="579"/>
      <c r="Y78" s="580"/>
      <c r="Z78" s="579"/>
      <c r="AA78" s="580"/>
      <c r="AB78" s="579"/>
      <c r="AC78" s="580"/>
      <c r="AD78" s="579"/>
      <c r="AE78" s="580"/>
      <c r="AF78" s="577"/>
      <c r="AG78" s="1272"/>
    </row>
    <row r="79" spans="1:33" s="1266" customFormat="1" ht="15" outlineLevel="1">
      <c r="G79" s="580"/>
      <c r="H79" s="579"/>
      <c r="I79" s="580"/>
      <c r="J79" s="579"/>
      <c r="K79" s="580"/>
      <c r="L79" s="579"/>
      <c r="M79" s="580"/>
      <c r="N79" s="579"/>
      <c r="O79" s="580"/>
      <c r="P79" s="579"/>
      <c r="Q79" s="580"/>
      <c r="R79" s="579"/>
      <c r="S79" s="580"/>
      <c r="T79" s="579"/>
      <c r="U79" s="580"/>
      <c r="V79" s="579"/>
      <c r="W79" s="580"/>
      <c r="X79" s="579"/>
      <c r="Y79" s="580"/>
      <c r="Z79" s="579"/>
      <c r="AA79" s="580"/>
      <c r="AB79" s="579"/>
      <c r="AC79" s="580"/>
      <c r="AD79" s="579"/>
      <c r="AE79" s="580"/>
      <c r="AF79" s="577"/>
      <c r="AG79" s="1272"/>
    </row>
    <row r="80" spans="1:33" outlineLevel="1">
      <c r="A80" s="1264">
        <v>50020</v>
      </c>
      <c r="B80" s="1264" t="s">
        <v>40</v>
      </c>
      <c r="C80" s="1265"/>
      <c r="D80" s="1261"/>
      <c r="E80" s="1266"/>
      <c r="F80" s="1267"/>
      <c r="G80" s="1268">
        <v>28918.47</v>
      </c>
      <c r="H80" s="1267"/>
      <c r="I80" s="1268">
        <v>32065.19</v>
      </c>
      <c r="J80" s="1267"/>
      <c r="K80" s="1268">
        <v>31613.67</v>
      </c>
      <c r="L80" s="1267"/>
      <c r="M80" s="1268">
        <v>32803.68</v>
      </c>
      <c r="N80" s="1267"/>
      <c r="O80" s="1268">
        <v>30437.83</v>
      </c>
      <c r="P80" s="1267"/>
      <c r="Q80" s="1268">
        <v>32464.080000000002</v>
      </c>
      <c r="R80" s="1267"/>
      <c r="S80" s="1268">
        <v>34280.93</v>
      </c>
      <c r="T80" s="1267"/>
      <c r="U80" s="1268">
        <v>34048</v>
      </c>
      <c r="V80" s="1267"/>
      <c r="W80" s="1268">
        <v>32961.51</v>
      </c>
      <c r="X80" s="1267"/>
      <c r="Y80" s="1268">
        <v>34636.04</v>
      </c>
      <c r="Z80" s="1267"/>
      <c r="AA80" s="1268">
        <v>33492.42</v>
      </c>
      <c r="AB80" s="1267"/>
      <c r="AC80" s="1268">
        <v>39106.239999999998</v>
      </c>
      <c r="AD80" s="1267"/>
      <c r="AE80" s="1268">
        <f t="shared" ref="AE80:AE89" si="12">AC80+AA80+Y80+W80+U80+S80+Q80+O80+M80+K80+I80+G80</f>
        <v>396828.06000000006</v>
      </c>
      <c r="AF80" s="1269">
        <f t="shared" ref="AF80:AF89" si="13">IF(AE$45=0,0,AE80/AE$45)</f>
        <v>0.11984568362031474</v>
      </c>
      <c r="AG80" s="1270"/>
    </row>
    <row r="81" spans="1:33" outlineLevel="1">
      <c r="A81" s="1264">
        <v>50025</v>
      </c>
      <c r="B81" s="1264" t="s">
        <v>41</v>
      </c>
      <c r="C81" s="1265"/>
      <c r="D81" s="1261"/>
      <c r="E81" s="1266"/>
      <c r="F81" s="1267"/>
      <c r="G81" s="1268">
        <v>5577.71</v>
      </c>
      <c r="H81" s="1267"/>
      <c r="I81" s="1268">
        <v>3248.78</v>
      </c>
      <c r="J81" s="1267"/>
      <c r="K81" s="1268">
        <v>2970.12</v>
      </c>
      <c r="L81" s="1267"/>
      <c r="M81" s="1268">
        <v>2020.74</v>
      </c>
      <c r="N81" s="1267"/>
      <c r="O81" s="1268">
        <v>3188.78</v>
      </c>
      <c r="P81" s="1267"/>
      <c r="Q81" s="1268">
        <v>3001.15</v>
      </c>
      <c r="R81" s="1267"/>
      <c r="S81" s="1268">
        <v>3936.15</v>
      </c>
      <c r="T81" s="1267"/>
      <c r="U81" s="1268">
        <v>3163.72</v>
      </c>
      <c r="V81" s="1267"/>
      <c r="W81" s="1268">
        <v>2714.91</v>
      </c>
      <c r="X81" s="1267"/>
      <c r="Y81" s="1268">
        <v>2668.25</v>
      </c>
      <c r="Z81" s="1267"/>
      <c r="AA81" s="1268">
        <v>3317.55</v>
      </c>
      <c r="AB81" s="1267"/>
      <c r="AC81" s="1268">
        <v>2212.35</v>
      </c>
      <c r="AD81" s="1267"/>
      <c r="AE81" s="1268">
        <f t="shared" si="12"/>
        <v>38020.21</v>
      </c>
      <c r="AF81" s="1269">
        <f t="shared" si="13"/>
        <v>1.1482449247258185E-2</v>
      </c>
      <c r="AG81" s="1270"/>
    </row>
    <row r="82" spans="1:33" outlineLevel="1">
      <c r="A82" s="1264">
        <v>50035</v>
      </c>
      <c r="B82" s="1264" t="s">
        <v>42</v>
      </c>
      <c r="C82" s="1265"/>
      <c r="D82" s="1261"/>
      <c r="E82" s="1266"/>
      <c r="F82" s="1267"/>
      <c r="G82" s="1268">
        <v>1249</v>
      </c>
      <c r="H82" s="1267"/>
      <c r="I82" s="1268">
        <v>1168</v>
      </c>
      <c r="J82" s="1267"/>
      <c r="K82" s="1268">
        <v>1000</v>
      </c>
      <c r="L82" s="1267"/>
      <c r="M82" s="1268">
        <v>1568</v>
      </c>
      <c r="N82" s="1267"/>
      <c r="O82" s="1268">
        <v>1157</v>
      </c>
      <c r="P82" s="1267"/>
      <c r="Q82" s="1268">
        <v>851</v>
      </c>
      <c r="R82" s="1267"/>
      <c r="S82" s="1268">
        <v>1250</v>
      </c>
      <c r="T82" s="1267"/>
      <c r="U82" s="1268">
        <v>725</v>
      </c>
      <c r="V82" s="1267"/>
      <c r="W82" s="1268">
        <v>1500</v>
      </c>
      <c r="X82" s="1267"/>
      <c r="Y82" s="1268">
        <v>1330</v>
      </c>
      <c r="Z82" s="1267"/>
      <c r="AA82" s="1268">
        <v>1330</v>
      </c>
      <c r="AB82" s="1267"/>
      <c r="AC82" s="1268">
        <v>500</v>
      </c>
      <c r="AD82" s="1267"/>
      <c r="AE82" s="1268">
        <f t="shared" si="12"/>
        <v>13628</v>
      </c>
      <c r="AF82" s="1269">
        <f t="shared" si="13"/>
        <v>4.1157799586492173E-3</v>
      </c>
      <c r="AG82" s="1270"/>
    </row>
    <row r="83" spans="1:33" outlineLevel="1">
      <c r="A83" s="1264">
        <v>50050</v>
      </c>
      <c r="B83" s="1264" t="s">
        <v>168</v>
      </c>
      <c r="C83" s="1265"/>
      <c r="D83" s="1261"/>
      <c r="E83" s="1266"/>
      <c r="F83" s="1267"/>
      <c r="G83" s="1268">
        <v>2939.02</v>
      </c>
      <c r="H83" s="1267"/>
      <c r="I83" s="1268">
        <v>3201.67</v>
      </c>
      <c r="J83" s="1267"/>
      <c r="K83" s="1268">
        <v>2813.24</v>
      </c>
      <c r="L83" s="1267"/>
      <c r="M83" s="1268">
        <v>2998.87</v>
      </c>
      <c r="N83" s="1267"/>
      <c r="O83" s="1268">
        <v>2887.71</v>
      </c>
      <c r="P83" s="1267"/>
      <c r="Q83" s="1268">
        <v>3003.5</v>
      </c>
      <c r="R83" s="1267"/>
      <c r="S83" s="1268">
        <v>3352.68</v>
      </c>
      <c r="T83" s="1267"/>
      <c r="U83" s="1268">
        <v>3112.74</v>
      </c>
      <c r="V83" s="1267"/>
      <c r="W83" s="1268">
        <v>3067.78</v>
      </c>
      <c r="X83" s="1267"/>
      <c r="Y83" s="1268">
        <v>3263.91</v>
      </c>
      <c r="Z83" s="1267"/>
      <c r="AA83" s="1268">
        <v>3824.61</v>
      </c>
      <c r="AB83" s="1267"/>
      <c r="AC83" s="1268">
        <v>3632.39</v>
      </c>
      <c r="AD83" s="1267"/>
      <c r="AE83" s="1268">
        <f t="shared" si="12"/>
        <v>38098.119999999995</v>
      </c>
      <c r="AF83" s="1269">
        <f t="shared" si="13"/>
        <v>1.1505978775918175E-2</v>
      </c>
      <c r="AG83" s="1270"/>
    </row>
    <row r="84" spans="1:33" outlineLevel="1">
      <c r="A84" s="1264">
        <v>50060</v>
      </c>
      <c r="B84" s="1264" t="s">
        <v>125</v>
      </c>
      <c r="C84" s="1265"/>
      <c r="D84" s="1261"/>
      <c r="E84" s="1266"/>
      <c r="F84" s="1267"/>
      <c r="G84" s="1268">
        <v>7614.74</v>
      </c>
      <c r="H84" s="1267"/>
      <c r="I84" s="1268">
        <v>6614.74</v>
      </c>
      <c r="J84" s="1267"/>
      <c r="K84" s="1268">
        <v>7815.98</v>
      </c>
      <c r="L84" s="1267"/>
      <c r="M84" s="1268">
        <v>5723.97</v>
      </c>
      <c r="N84" s="1267"/>
      <c r="O84" s="1268">
        <v>6710.64</v>
      </c>
      <c r="P84" s="1267"/>
      <c r="Q84" s="1268">
        <v>7790.38</v>
      </c>
      <c r="R84" s="1267"/>
      <c r="S84" s="1268">
        <v>7790.94</v>
      </c>
      <c r="T84" s="1267"/>
      <c r="U84" s="1268">
        <v>7790.94</v>
      </c>
      <c r="V84" s="1267"/>
      <c r="W84" s="1268">
        <v>6305.16</v>
      </c>
      <c r="X84" s="1267"/>
      <c r="Y84" s="1268">
        <v>7538.39</v>
      </c>
      <c r="Z84" s="1267"/>
      <c r="AA84" s="1268">
        <v>7539.82</v>
      </c>
      <c r="AB84" s="1267"/>
      <c r="AC84" s="1268">
        <v>9040.24</v>
      </c>
      <c r="AD84" s="1267"/>
      <c r="AE84" s="1268">
        <f t="shared" si="12"/>
        <v>88275.94</v>
      </c>
      <c r="AF84" s="1269">
        <f t="shared" si="13"/>
        <v>2.6660136827334955E-2</v>
      </c>
      <c r="AG84" s="1270"/>
    </row>
    <row r="85" spans="1:33" outlineLevel="1">
      <c r="A85" s="1264">
        <v>50065</v>
      </c>
      <c r="B85" s="1264" t="s">
        <v>37</v>
      </c>
      <c r="C85" s="1265"/>
      <c r="D85" s="1261"/>
      <c r="E85" s="1266"/>
      <c r="F85" s="1267"/>
      <c r="G85" s="1268">
        <v>1925.51</v>
      </c>
      <c r="H85" s="1267"/>
      <c r="I85" s="1268">
        <v>2825.58</v>
      </c>
      <c r="J85" s="1267"/>
      <c r="K85" s="1268">
        <v>340.22</v>
      </c>
      <c r="L85" s="1267"/>
      <c r="M85" s="1268">
        <v>1519.93</v>
      </c>
      <c r="N85" s="1267"/>
      <c r="O85" s="1268">
        <v>1208.33</v>
      </c>
      <c r="P85" s="1267"/>
      <c r="Q85" s="1268">
        <v>2874.07</v>
      </c>
      <c r="R85" s="1267"/>
      <c r="S85" s="1268">
        <v>2419</v>
      </c>
      <c r="T85" s="1267"/>
      <c r="U85" s="1268">
        <v>-729.29</v>
      </c>
      <c r="V85" s="1267"/>
      <c r="W85" s="1268">
        <v>3643.75</v>
      </c>
      <c r="X85" s="1267"/>
      <c r="Y85" s="1268">
        <v>1886.54</v>
      </c>
      <c r="Z85" s="1267"/>
      <c r="AA85" s="1268">
        <v>2609.5100000000002</v>
      </c>
      <c r="AB85" s="1267"/>
      <c r="AC85" s="1268">
        <v>838.85</v>
      </c>
      <c r="AD85" s="1267"/>
      <c r="AE85" s="1268">
        <f t="shared" si="12"/>
        <v>21361.999999999996</v>
      </c>
      <c r="AF85" s="1269">
        <f t="shared" si="13"/>
        <v>6.4515183061831932E-3</v>
      </c>
      <c r="AG85" s="1270"/>
    </row>
    <row r="86" spans="1:33" outlineLevel="1">
      <c r="A86" s="1264">
        <v>50070</v>
      </c>
      <c r="B86" s="1264" t="s">
        <v>38</v>
      </c>
      <c r="C86" s="1265"/>
      <c r="D86" s="1261"/>
      <c r="E86" s="1266"/>
      <c r="F86" s="1267"/>
      <c r="G86" s="1268">
        <v>1724.77</v>
      </c>
      <c r="H86" s="1267"/>
      <c r="I86" s="1268">
        <v>-168.69</v>
      </c>
      <c r="J86" s="1267"/>
      <c r="K86" s="1268">
        <v>202.9</v>
      </c>
      <c r="L86" s="1267"/>
      <c r="M86" s="1268">
        <v>1834.55</v>
      </c>
      <c r="N86" s="1267"/>
      <c r="O86" s="1268">
        <v>459.07</v>
      </c>
      <c r="P86" s="1267"/>
      <c r="Q86" s="1268">
        <v>438.24</v>
      </c>
      <c r="R86" s="1267"/>
      <c r="S86" s="1268">
        <v>284.06</v>
      </c>
      <c r="T86" s="1267"/>
      <c r="U86" s="1268">
        <v>0</v>
      </c>
      <c r="V86" s="1267"/>
      <c r="W86" s="1268">
        <v>0</v>
      </c>
      <c r="X86" s="1267"/>
      <c r="Y86" s="1268">
        <v>0</v>
      </c>
      <c r="Z86" s="1267"/>
      <c r="AA86" s="1268">
        <v>779.3</v>
      </c>
      <c r="AB86" s="1267"/>
      <c r="AC86" s="1268">
        <v>502.2</v>
      </c>
      <c r="AD86" s="1267"/>
      <c r="AE86" s="1268">
        <f t="shared" si="12"/>
        <v>6056.4</v>
      </c>
      <c r="AF86" s="1269">
        <f t="shared" si="13"/>
        <v>1.8290878882861105E-3</v>
      </c>
      <c r="AG86" s="1270"/>
    </row>
    <row r="87" spans="1:33" outlineLevel="1">
      <c r="A87" s="1264">
        <v>50086</v>
      </c>
      <c r="B87" s="1264" t="s">
        <v>245</v>
      </c>
      <c r="C87" s="1265"/>
      <c r="D87" s="1261"/>
      <c r="E87" s="1266"/>
      <c r="F87" s="1267"/>
      <c r="G87" s="1268">
        <v>755.5</v>
      </c>
      <c r="H87" s="1267"/>
      <c r="I87" s="1268">
        <v>148.75</v>
      </c>
      <c r="J87" s="1267"/>
      <c r="K87" s="1268">
        <v>2040.25</v>
      </c>
      <c r="L87" s="1267"/>
      <c r="M87" s="1268">
        <v>1038.56</v>
      </c>
      <c r="N87" s="1267"/>
      <c r="O87" s="1268">
        <v>428.8</v>
      </c>
      <c r="P87" s="1267"/>
      <c r="Q87" s="1268">
        <v>176.13</v>
      </c>
      <c r="R87" s="1267"/>
      <c r="S87" s="1268">
        <v>0</v>
      </c>
      <c r="T87" s="1267"/>
      <c r="U87" s="1268">
        <v>634.25</v>
      </c>
      <c r="V87" s="1267"/>
      <c r="W87" s="1268">
        <v>194.25</v>
      </c>
      <c r="X87" s="1267"/>
      <c r="Y87" s="1268">
        <v>194.25</v>
      </c>
      <c r="Z87" s="1267"/>
      <c r="AA87" s="1268">
        <v>211.77</v>
      </c>
      <c r="AB87" s="1267"/>
      <c r="AC87" s="1268">
        <v>80.849999999999994</v>
      </c>
      <c r="AD87" s="1267"/>
      <c r="AE87" s="1268">
        <f t="shared" si="12"/>
        <v>5903.36</v>
      </c>
      <c r="AF87" s="1269">
        <f t="shared" si="13"/>
        <v>1.7828684162526738E-3</v>
      </c>
      <c r="AG87" s="1270"/>
    </row>
    <row r="88" spans="1:33" outlineLevel="1">
      <c r="A88" s="1264">
        <v>50090</v>
      </c>
      <c r="B88" s="1264" t="s">
        <v>55</v>
      </c>
      <c r="C88" s="1265"/>
      <c r="D88" s="1261"/>
      <c r="E88" s="1266"/>
      <c r="F88" s="1267"/>
      <c r="G88" s="1268">
        <v>405.87</v>
      </c>
      <c r="H88" s="1267"/>
      <c r="I88" s="1268">
        <v>1693.1</v>
      </c>
      <c r="J88" s="1267"/>
      <c r="K88" s="1268">
        <v>847.7</v>
      </c>
      <c r="L88" s="1267"/>
      <c r="M88" s="1268">
        <v>1651.68</v>
      </c>
      <c r="N88" s="1267"/>
      <c r="O88" s="1268">
        <v>983.96</v>
      </c>
      <c r="P88" s="1267"/>
      <c r="Q88" s="1268">
        <v>1348.21</v>
      </c>
      <c r="R88" s="1267"/>
      <c r="S88" s="1268">
        <v>487.09</v>
      </c>
      <c r="T88" s="1267"/>
      <c r="U88" s="1268">
        <v>606.88</v>
      </c>
      <c r="V88" s="1267"/>
      <c r="W88" s="1268">
        <v>1058.94</v>
      </c>
      <c r="X88" s="1267"/>
      <c r="Y88" s="1268">
        <v>1986.71</v>
      </c>
      <c r="Z88" s="1267"/>
      <c r="AA88" s="1268">
        <v>731.14</v>
      </c>
      <c r="AB88" s="1267"/>
      <c r="AC88" s="1268">
        <v>1023.62</v>
      </c>
      <c r="AD88" s="1267"/>
      <c r="AE88" s="1268">
        <f t="shared" si="12"/>
        <v>12824.900000000001</v>
      </c>
      <c r="AF88" s="1269">
        <f t="shared" si="13"/>
        <v>3.8732364537481909E-3</v>
      </c>
      <c r="AG88" s="1270"/>
    </row>
    <row r="89" spans="1:33" outlineLevel="1">
      <c r="A89" s="1264">
        <v>50115</v>
      </c>
      <c r="B89" s="1264" t="s">
        <v>246</v>
      </c>
      <c r="C89" s="1265"/>
      <c r="D89" s="1261"/>
      <c r="E89" s="1266"/>
      <c r="F89" s="1267"/>
      <c r="G89" s="1268">
        <v>361.55</v>
      </c>
      <c r="H89" s="1267"/>
      <c r="I89" s="1268">
        <v>346.68</v>
      </c>
      <c r="J89" s="1267"/>
      <c r="K89" s="1268">
        <v>351.09</v>
      </c>
      <c r="L89" s="1267"/>
      <c r="M89" s="1268">
        <v>514.82000000000005</v>
      </c>
      <c r="N89" s="1267"/>
      <c r="O89" s="1268">
        <v>356.59</v>
      </c>
      <c r="P89" s="1267"/>
      <c r="Q89" s="1268">
        <v>434.13</v>
      </c>
      <c r="R89" s="1267"/>
      <c r="S89" s="1268">
        <v>417.79</v>
      </c>
      <c r="T89" s="1267"/>
      <c r="U89" s="1268">
        <v>447.32</v>
      </c>
      <c r="V89" s="1267"/>
      <c r="W89" s="1268">
        <v>582.29</v>
      </c>
      <c r="X89" s="1267"/>
      <c r="Y89" s="1268">
        <v>377.97</v>
      </c>
      <c r="Z89" s="1267"/>
      <c r="AA89" s="1268">
        <v>480.78</v>
      </c>
      <c r="AB89" s="1267"/>
      <c r="AC89" s="1268">
        <v>371.2</v>
      </c>
      <c r="AD89" s="1267"/>
      <c r="AE89" s="1268">
        <f t="shared" si="12"/>
        <v>5042.2100000000009</v>
      </c>
      <c r="AF89" s="1269">
        <f t="shared" si="13"/>
        <v>1.5227932833358285E-3</v>
      </c>
      <c r="AG89" s="1270"/>
    </row>
    <row r="90" spans="1:33" s="1266" customFormat="1" ht="5.0999999999999996" customHeight="1" outlineLevel="1">
      <c r="A90" s="1265"/>
      <c r="B90" s="1265"/>
      <c r="C90" s="1265"/>
      <c r="D90" s="1265"/>
      <c r="G90" s="581"/>
      <c r="H90" s="579"/>
      <c r="I90" s="581"/>
      <c r="J90" s="579"/>
      <c r="K90" s="581"/>
      <c r="L90" s="579"/>
      <c r="M90" s="581"/>
      <c r="N90" s="579"/>
      <c r="O90" s="581"/>
      <c r="P90" s="579"/>
      <c r="Q90" s="581"/>
      <c r="R90" s="579"/>
      <c r="S90" s="581"/>
      <c r="T90" s="579"/>
      <c r="U90" s="581"/>
      <c r="V90" s="579"/>
      <c r="W90" s="581"/>
      <c r="X90" s="579"/>
      <c r="Y90" s="581"/>
      <c r="Z90" s="579"/>
      <c r="AA90" s="581"/>
      <c r="AB90" s="579"/>
      <c r="AC90" s="581"/>
      <c r="AD90" s="579"/>
      <c r="AE90" s="581"/>
      <c r="AF90" s="577"/>
      <c r="AG90" s="1272"/>
    </row>
    <row r="91" spans="1:33" s="1266" customFormat="1" ht="15">
      <c r="C91" s="1265" t="s">
        <v>247</v>
      </c>
      <c r="G91" s="578">
        <f>SUM(G79:G90)</f>
        <v>51472.14</v>
      </c>
      <c r="H91" s="579"/>
      <c r="I91" s="578">
        <f>SUM(I79:I90)</f>
        <v>51143.799999999996</v>
      </c>
      <c r="J91" s="579"/>
      <c r="K91" s="578">
        <f>SUM(K79:K90)</f>
        <v>49995.169999999991</v>
      </c>
      <c r="L91" s="579"/>
      <c r="M91" s="578">
        <f>SUM(M79:M90)</f>
        <v>51674.8</v>
      </c>
      <c r="N91" s="579"/>
      <c r="O91" s="578">
        <f>SUM(O79:O90)</f>
        <v>47818.71</v>
      </c>
      <c r="P91" s="579"/>
      <c r="Q91" s="578">
        <f>SUM(Q79:Q90)</f>
        <v>52380.889999999992</v>
      </c>
      <c r="R91" s="579"/>
      <c r="S91" s="578">
        <f>SUM(S79:S90)</f>
        <v>54218.64</v>
      </c>
      <c r="T91" s="579"/>
      <c r="U91" s="578">
        <f>SUM(U79:U90)</f>
        <v>49799.56</v>
      </c>
      <c r="V91" s="579"/>
      <c r="W91" s="578">
        <f>SUM(W79:W90)</f>
        <v>52028.590000000004</v>
      </c>
      <c r="X91" s="579"/>
      <c r="Y91" s="578">
        <f>SUM(Y79:Y90)</f>
        <v>53882.06</v>
      </c>
      <c r="Z91" s="579"/>
      <c r="AA91" s="578">
        <f>SUM(AA79:AA90)</f>
        <v>54316.9</v>
      </c>
      <c r="AB91" s="579"/>
      <c r="AC91" s="578">
        <f>SUM(AC79:AC90)</f>
        <v>57307.939999999988</v>
      </c>
      <c r="AD91" s="579"/>
      <c r="AE91" s="578">
        <f>SUM(AE79:AE90)</f>
        <v>626039.20000000007</v>
      </c>
      <c r="AF91" s="1269">
        <f>IF(AE$45=0,0,AE91/AE$45)</f>
        <v>0.18906953277728125</v>
      </c>
      <c r="AG91" s="1272"/>
    </row>
    <row r="92" spans="1:33" s="1266" customFormat="1" ht="15" outlineLevel="1">
      <c r="G92" s="580"/>
      <c r="H92" s="579"/>
      <c r="I92" s="580"/>
      <c r="J92" s="579"/>
      <c r="K92" s="580"/>
      <c r="L92" s="579"/>
      <c r="M92" s="580"/>
      <c r="N92" s="579"/>
      <c r="O92" s="580"/>
      <c r="P92" s="579"/>
      <c r="Q92" s="580"/>
      <c r="R92" s="579"/>
      <c r="S92" s="580"/>
      <c r="T92" s="579"/>
      <c r="U92" s="580"/>
      <c r="V92" s="579"/>
      <c r="W92" s="580"/>
      <c r="X92" s="579"/>
      <c r="Y92" s="580"/>
      <c r="Z92" s="579"/>
      <c r="AA92" s="580"/>
      <c r="AB92" s="579"/>
      <c r="AC92" s="580"/>
      <c r="AD92" s="579"/>
      <c r="AE92" s="580"/>
      <c r="AF92" s="577"/>
      <c r="AG92" s="1272"/>
    </row>
    <row r="93" spans="1:33" outlineLevel="1">
      <c r="A93" s="1264">
        <v>51295</v>
      </c>
      <c r="B93" s="1264" t="s">
        <v>166</v>
      </c>
      <c r="C93" s="1265"/>
      <c r="D93" s="1261"/>
      <c r="E93" s="1266"/>
      <c r="F93" s="1267"/>
      <c r="G93" s="1268">
        <v>897.37</v>
      </c>
      <c r="H93" s="1267"/>
      <c r="I93" s="1268">
        <v>852.62</v>
      </c>
      <c r="J93" s="1267"/>
      <c r="K93" s="1268">
        <v>852.62</v>
      </c>
      <c r="L93" s="1267"/>
      <c r="M93" s="1268">
        <v>852.62</v>
      </c>
      <c r="N93" s="1267"/>
      <c r="O93" s="1268">
        <v>852.62</v>
      </c>
      <c r="P93" s="1267"/>
      <c r="Q93" s="1268">
        <v>852.62</v>
      </c>
      <c r="R93" s="1267"/>
      <c r="S93" s="1268">
        <v>852.62</v>
      </c>
      <c r="T93" s="1267"/>
      <c r="U93" s="1268">
        <v>2362.39</v>
      </c>
      <c r="V93" s="1267"/>
      <c r="W93" s="1268">
        <v>-516.62</v>
      </c>
      <c r="X93" s="1267"/>
      <c r="Y93" s="1268">
        <v>1162.6199999999999</v>
      </c>
      <c r="Z93" s="1267"/>
      <c r="AA93" s="1268">
        <v>852.62</v>
      </c>
      <c r="AB93" s="1267"/>
      <c r="AC93" s="1268">
        <v>1608.79</v>
      </c>
      <c r="AD93" s="1267"/>
      <c r="AE93" s="1268">
        <f>AC93+AA93+Y93+W93+U93+S93+Q93+O93+M93+K93+I93+G93</f>
        <v>11482.890000000001</v>
      </c>
      <c r="AF93" s="1269">
        <f>IF(AE$45=0,0,AE93/AE$45)</f>
        <v>3.4679372269866091E-3</v>
      </c>
      <c r="AG93" s="1270"/>
    </row>
    <row r="94" spans="1:33" s="1266" customFormat="1" ht="5.0999999999999996" customHeight="1" outlineLevel="1">
      <c r="A94" s="1265"/>
      <c r="B94" s="1265"/>
      <c r="C94" s="1265"/>
      <c r="D94" s="1265"/>
      <c r="G94" s="581"/>
      <c r="H94" s="579"/>
      <c r="I94" s="581"/>
      <c r="J94" s="579"/>
      <c r="K94" s="581"/>
      <c r="L94" s="579"/>
      <c r="M94" s="581"/>
      <c r="N94" s="579"/>
      <c r="O94" s="581"/>
      <c r="P94" s="579"/>
      <c r="Q94" s="581"/>
      <c r="R94" s="579"/>
      <c r="S94" s="581"/>
      <c r="T94" s="579"/>
      <c r="U94" s="581"/>
      <c r="V94" s="579"/>
      <c r="W94" s="581"/>
      <c r="X94" s="579"/>
      <c r="Y94" s="581"/>
      <c r="Z94" s="579"/>
      <c r="AA94" s="581"/>
      <c r="AB94" s="579"/>
      <c r="AC94" s="581"/>
      <c r="AD94" s="579"/>
      <c r="AE94" s="581"/>
      <c r="AF94" s="577"/>
      <c r="AG94" s="1272"/>
    </row>
    <row r="95" spans="1:33" s="1266" customFormat="1" ht="15">
      <c r="C95" s="1265" t="s">
        <v>249</v>
      </c>
      <c r="G95" s="578">
        <f>SUM(G93:G94)</f>
        <v>897.37</v>
      </c>
      <c r="H95" s="579"/>
      <c r="I95" s="578">
        <f>SUM(I93:I94)</f>
        <v>852.62</v>
      </c>
      <c r="J95" s="579"/>
      <c r="K95" s="578">
        <f>SUM(K93:K94)</f>
        <v>852.62</v>
      </c>
      <c r="L95" s="579"/>
      <c r="M95" s="578">
        <f>SUM(M93:M94)</f>
        <v>852.62</v>
      </c>
      <c r="N95" s="579"/>
      <c r="O95" s="578">
        <f>SUM(O93:O94)</f>
        <v>852.62</v>
      </c>
      <c r="P95" s="579"/>
      <c r="Q95" s="578">
        <f>SUM(Q93:Q94)</f>
        <v>852.62</v>
      </c>
      <c r="R95" s="579"/>
      <c r="S95" s="578">
        <f>SUM(S93:S94)</f>
        <v>852.62</v>
      </c>
      <c r="T95" s="579"/>
      <c r="U95" s="578">
        <f>SUM(U93:U94)</f>
        <v>2362.39</v>
      </c>
      <c r="V95" s="579"/>
      <c r="W95" s="578">
        <f>SUM(W93:W94)</f>
        <v>-516.62</v>
      </c>
      <c r="X95" s="579"/>
      <c r="Y95" s="578">
        <f>SUM(Y93:Y94)</f>
        <v>1162.6199999999999</v>
      </c>
      <c r="Z95" s="579"/>
      <c r="AA95" s="578">
        <f>SUM(AA93:AA94)</f>
        <v>852.62</v>
      </c>
      <c r="AB95" s="579"/>
      <c r="AC95" s="578">
        <f>SUM(AC93:AC94)</f>
        <v>1608.79</v>
      </c>
      <c r="AD95" s="579"/>
      <c r="AE95" s="578">
        <f>SUM(AE93:AE94)</f>
        <v>11482.890000000001</v>
      </c>
      <c r="AF95" s="1269">
        <f>IF(AE$45=0,0,AE95/AE$45)</f>
        <v>3.4679372269866091E-3</v>
      </c>
      <c r="AG95" s="1272"/>
    </row>
    <row r="96" spans="1:33" s="1266" customFormat="1" ht="15" outlineLevel="1">
      <c r="G96" s="580"/>
      <c r="H96" s="579"/>
      <c r="I96" s="580"/>
      <c r="J96" s="579"/>
      <c r="K96" s="580"/>
      <c r="L96" s="579"/>
      <c r="M96" s="580"/>
      <c r="N96" s="579"/>
      <c r="O96" s="580"/>
      <c r="P96" s="579"/>
      <c r="Q96" s="580"/>
      <c r="R96" s="579"/>
      <c r="S96" s="580"/>
      <c r="T96" s="579"/>
      <c r="U96" s="580"/>
      <c r="V96" s="579"/>
      <c r="W96" s="580"/>
      <c r="X96" s="579"/>
      <c r="Y96" s="580"/>
      <c r="Z96" s="579"/>
      <c r="AA96" s="580"/>
      <c r="AB96" s="579"/>
      <c r="AC96" s="580"/>
      <c r="AD96" s="579"/>
      <c r="AE96" s="580"/>
      <c r="AF96" s="577"/>
      <c r="AG96" s="1272"/>
    </row>
    <row r="97" spans="1:33" s="1266" customFormat="1" ht="15" outlineLevel="1">
      <c r="G97" s="580"/>
      <c r="H97" s="579"/>
      <c r="I97" s="580"/>
      <c r="J97" s="579"/>
      <c r="K97" s="580"/>
      <c r="L97" s="579"/>
      <c r="M97" s="580"/>
      <c r="N97" s="579"/>
      <c r="O97" s="580"/>
      <c r="P97" s="579"/>
      <c r="Q97" s="580"/>
      <c r="R97" s="579"/>
      <c r="S97" s="580"/>
      <c r="T97" s="579"/>
      <c r="U97" s="580"/>
      <c r="V97" s="579"/>
      <c r="W97" s="580"/>
      <c r="X97" s="579"/>
      <c r="Y97" s="580"/>
      <c r="Z97" s="579"/>
      <c r="AA97" s="580"/>
      <c r="AB97" s="579"/>
      <c r="AC97" s="580"/>
      <c r="AD97" s="579"/>
      <c r="AE97" s="580"/>
      <c r="AF97" s="577"/>
      <c r="AG97" s="1272"/>
    </row>
    <row r="98" spans="1:33" outlineLevel="1">
      <c r="A98" s="1264">
        <v>52010</v>
      </c>
      <c r="B98" s="1264" t="s">
        <v>31</v>
      </c>
      <c r="C98" s="1265"/>
      <c r="D98" s="1261"/>
      <c r="E98" s="1266"/>
      <c r="F98" s="1267"/>
      <c r="G98" s="1268">
        <v>3818.58</v>
      </c>
      <c r="H98" s="1267"/>
      <c r="I98" s="1268">
        <v>4366.37</v>
      </c>
      <c r="J98" s="1267"/>
      <c r="K98" s="1268">
        <v>3818.58</v>
      </c>
      <c r="L98" s="1267"/>
      <c r="M98" s="1268">
        <v>4366.37</v>
      </c>
      <c r="N98" s="1267"/>
      <c r="O98" s="1268">
        <v>4183.7700000000004</v>
      </c>
      <c r="P98" s="1267"/>
      <c r="Q98" s="1268">
        <v>4001.18</v>
      </c>
      <c r="R98" s="1267"/>
      <c r="S98" s="1268">
        <v>4366.3599999999997</v>
      </c>
      <c r="T98" s="1267"/>
      <c r="U98" s="1268">
        <v>4001.18</v>
      </c>
      <c r="V98" s="1267"/>
      <c r="W98" s="1268">
        <v>4183.7700000000004</v>
      </c>
      <c r="X98" s="1267"/>
      <c r="Y98" s="1268">
        <v>4183.78</v>
      </c>
      <c r="Z98" s="1267"/>
      <c r="AA98" s="1268">
        <v>4001.17</v>
      </c>
      <c r="AB98" s="1267"/>
      <c r="AC98" s="1268">
        <v>4283.7</v>
      </c>
      <c r="AD98" s="1267"/>
      <c r="AE98" s="1268">
        <f t="shared" ref="AE98:AE117" si="14">AC98+AA98+Y98+W98+U98+S98+Q98+O98+M98+K98+I98+G98</f>
        <v>49574.810000000012</v>
      </c>
      <c r="AF98" s="1269">
        <f t="shared" ref="AF98:AF117" si="15">IF(AE$45=0,0,AE98/AE$45)</f>
        <v>1.4972043546510334E-2</v>
      </c>
      <c r="AG98" s="1270"/>
    </row>
    <row r="99" spans="1:33" outlineLevel="1">
      <c r="A99" s="1264">
        <v>52020</v>
      </c>
      <c r="B99" s="1264" t="s">
        <v>40</v>
      </c>
      <c r="C99" s="1265"/>
      <c r="D99" s="1261"/>
      <c r="E99" s="1266"/>
      <c r="F99" s="1267"/>
      <c r="G99" s="1268">
        <v>2811.75</v>
      </c>
      <c r="H99" s="1267"/>
      <c r="I99" s="1268">
        <v>4390.8599999999997</v>
      </c>
      <c r="J99" s="1267"/>
      <c r="K99" s="1268">
        <v>2857.6</v>
      </c>
      <c r="L99" s="1267"/>
      <c r="M99" s="1268">
        <v>3312.14</v>
      </c>
      <c r="N99" s="1267"/>
      <c r="O99" s="1268">
        <v>3074.91</v>
      </c>
      <c r="P99" s="1267"/>
      <c r="Q99" s="1268">
        <v>3146.68</v>
      </c>
      <c r="R99" s="1267"/>
      <c r="S99" s="1268">
        <v>2737.47</v>
      </c>
      <c r="T99" s="1267"/>
      <c r="U99" s="1268">
        <v>3102.02</v>
      </c>
      <c r="V99" s="1267"/>
      <c r="W99" s="1268">
        <v>3312.37</v>
      </c>
      <c r="X99" s="1267"/>
      <c r="Y99" s="1268">
        <v>3100.9</v>
      </c>
      <c r="Z99" s="1267"/>
      <c r="AA99" s="1268">
        <v>3255.21</v>
      </c>
      <c r="AB99" s="1267"/>
      <c r="AC99" s="1268">
        <v>3617.89</v>
      </c>
      <c r="AD99" s="1267"/>
      <c r="AE99" s="1268">
        <f t="shared" si="14"/>
        <v>38719.799999999996</v>
      </c>
      <c r="AF99" s="1269">
        <f t="shared" si="15"/>
        <v>1.1693731790644696E-2</v>
      </c>
      <c r="AG99" s="1270"/>
    </row>
    <row r="100" spans="1:33" outlineLevel="1">
      <c r="A100" s="1264">
        <v>52025</v>
      </c>
      <c r="B100" s="1264" t="s">
        <v>41</v>
      </c>
      <c r="C100" s="1265"/>
      <c r="D100" s="1261"/>
      <c r="E100" s="1266"/>
      <c r="F100" s="1267"/>
      <c r="G100" s="1268">
        <v>120.15</v>
      </c>
      <c r="H100" s="1267"/>
      <c r="I100" s="1268">
        <v>264.81</v>
      </c>
      <c r="J100" s="1267"/>
      <c r="K100" s="1268">
        <v>189.82</v>
      </c>
      <c r="L100" s="1267"/>
      <c r="M100" s="1268">
        <v>148.28</v>
      </c>
      <c r="N100" s="1267"/>
      <c r="O100" s="1268">
        <v>55.84</v>
      </c>
      <c r="P100" s="1267"/>
      <c r="Q100" s="1268">
        <v>52.72</v>
      </c>
      <c r="R100" s="1267"/>
      <c r="S100" s="1268">
        <v>122.34</v>
      </c>
      <c r="T100" s="1267"/>
      <c r="U100" s="1268">
        <v>163.86</v>
      </c>
      <c r="V100" s="1267"/>
      <c r="W100" s="1268">
        <v>534.96</v>
      </c>
      <c r="X100" s="1267"/>
      <c r="Y100" s="1268">
        <v>121.37</v>
      </c>
      <c r="Z100" s="1267"/>
      <c r="AA100" s="1268">
        <v>210.22</v>
      </c>
      <c r="AB100" s="1267"/>
      <c r="AC100" s="1268">
        <v>83.84</v>
      </c>
      <c r="AD100" s="1267"/>
      <c r="AE100" s="1268">
        <f t="shared" si="14"/>
        <v>2068.2099999999996</v>
      </c>
      <c r="AF100" s="1269">
        <f t="shared" si="15"/>
        <v>6.2461823218945512E-4</v>
      </c>
      <c r="AG100" s="1270"/>
    </row>
    <row r="101" spans="1:33" outlineLevel="1">
      <c r="A101" s="1264">
        <v>52035</v>
      </c>
      <c r="B101" s="1264" t="s">
        <v>42</v>
      </c>
      <c r="C101" s="1265"/>
      <c r="D101" s="1261"/>
      <c r="E101" s="1266"/>
      <c r="F101" s="1267"/>
      <c r="G101" s="1268">
        <v>0</v>
      </c>
      <c r="H101" s="1267"/>
      <c r="I101" s="1268">
        <v>0</v>
      </c>
      <c r="J101" s="1267"/>
      <c r="K101" s="1268">
        <v>0</v>
      </c>
      <c r="L101" s="1267"/>
      <c r="M101" s="1268">
        <v>0</v>
      </c>
      <c r="N101" s="1267"/>
      <c r="O101" s="1268">
        <v>0</v>
      </c>
      <c r="P101" s="1267"/>
      <c r="Q101" s="1268">
        <v>0</v>
      </c>
      <c r="R101" s="1267"/>
      <c r="S101" s="1268">
        <v>0</v>
      </c>
      <c r="T101" s="1267"/>
      <c r="U101" s="1268">
        <v>0</v>
      </c>
      <c r="V101" s="1267"/>
      <c r="W101" s="1268">
        <v>0</v>
      </c>
      <c r="X101" s="1267"/>
      <c r="Y101" s="1268">
        <v>0</v>
      </c>
      <c r="Z101" s="1267"/>
      <c r="AA101" s="1268">
        <v>0</v>
      </c>
      <c r="AB101" s="1267"/>
      <c r="AC101" s="1268">
        <v>0</v>
      </c>
      <c r="AD101" s="1267"/>
      <c r="AE101" s="1268">
        <f t="shared" si="14"/>
        <v>0</v>
      </c>
      <c r="AF101" s="1269">
        <f t="shared" si="15"/>
        <v>0</v>
      </c>
      <c r="AG101" s="1270"/>
    </row>
    <row r="102" spans="1:33" outlineLevel="1">
      <c r="A102" s="1264">
        <v>52050</v>
      </c>
      <c r="B102" s="1264" t="s">
        <v>168</v>
      </c>
      <c r="C102" s="1265"/>
      <c r="D102" s="1261"/>
      <c r="E102" s="1266"/>
      <c r="F102" s="1267"/>
      <c r="G102" s="1268">
        <v>582.08000000000004</v>
      </c>
      <c r="H102" s="1267"/>
      <c r="I102" s="1268">
        <v>749.46</v>
      </c>
      <c r="J102" s="1267"/>
      <c r="K102" s="1268">
        <v>550.71</v>
      </c>
      <c r="L102" s="1267"/>
      <c r="M102" s="1268">
        <v>605.34</v>
      </c>
      <c r="N102" s="1267"/>
      <c r="O102" s="1268">
        <v>572.49</v>
      </c>
      <c r="P102" s="1267"/>
      <c r="Q102" s="1268">
        <v>543.15</v>
      </c>
      <c r="R102" s="1267"/>
      <c r="S102" s="1268">
        <v>614.29999999999995</v>
      </c>
      <c r="T102" s="1267"/>
      <c r="U102" s="1268">
        <v>557.64</v>
      </c>
      <c r="V102" s="1267"/>
      <c r="W102" s="1268">
        <v>624.21</v>
      </c>
      <c r="X102" s="1267"/>
      <c r="Y102" s="1268">
        <v>583.63</v>
      </c>
      <c r="Z102" s="1267"/>
      <c r="AA102" s="1268">
        <v>674.62</v>
      </c>
      <c r="AB102" s="1267"/>
      <c r="AC102" s="1268">
        <v>668.94</v>
      </c>
      <c r="AD102" s="1267"/>
      <c r="AE102" s="1268">
        <f t="shared" si="14"/>
        <v>7326.57</v>
      </c>
      <c r="AF102" s="1269">
        <f t="shared" si="15"/>
        <v>2.212690781599691E-3</v>
      </c>
      <c r="AG102" s="1270"/>
    </row>
    <row r="103" spans="1:33" outlineLevel="1">
      <c r="A103" s="1264">
        <v>52060</v>
      </c>
      <c r="B103" s="1264" t="s">
        <v>125</v>
      </c>
      <c r="C103" s="1265"/>
      <c r="D103" s="1261"/>
      <c r="E103" s="1266"/>
      <c r="F103" s="1267"/>
      <c r="G103" s="1268">
        <v>1845.84</v>
      </c>
      <c r="H103" s="1267"/>
      <c r="I103" s="1268">
        <v>1845.84</v>
      </c>
      <c r="J103" s="1267"/>
      <c r="K103" s="1268">
        <v>1552.96</v>
      </c>
      <c r="L103" s="1267"/>
      <c r="M103" s="1268">
        <v>1329.44</v>
      </c>
      <c r="N103" s="1267"/>
      <c r="O103" s="1268">
        <v>1530.82</v>
      </c>
      <c r="P103" s="1267"/>
      <c r="Q103" s="1268">
        <v>1548.86</v>
      </c>
      <c r="R103" s="1267"/>
      <c r="S103" s="1268">
        <v>1548.86</v>
      </c>
      <c r="T103" s="1267"/>
      <c r="U103" s="1268">
        <v>1548.86</v>
      </c>
      <c r="V103" s="1267"/>
      <c r="W103" s="1268">
        <v>1323.29</v>
      </c>
      <c r="X103" s="1267"/>
      <c r="Y103" s="1268">
        <v>1548.86</v>
      </c>
      <c r="Z103" s="1267"/>
      <c r="AA103" s="1268">
        <v>1549.28</v>
      </c>
      <c r="AB103" s="1267"/>
      <c r="AC103" s="1268">
        <v>1850.32</v>
      </c>
      <c r="AD103" s="1267"/>
      <c r="AE103" s="1268">
        <f t="shared" si="14"/>
        <v>19023.23</v>
      </c>
      <c r="AF103" s="1269">
        <f t="shared" si="15"/>
        <v>5.7451884930125137E-3</v>
      </c>
      <c r="AG103" s="1270"/>
    </row>
    <row r="104" spans="1:33" outlineLevel="1">
      <c r="A104" s="1264">
        <v>52065</v>
      </c>
      <c r="B104" s="1264" t="s">
        <v>37</v>
      </c>
      <c r="C104" s="1265"/>
      <c r="D104" s="1261"/>
      <c r="E104" s="1266"/>
      <c r="F104" s="1267"/>
      <c r="G104" s="1268">
        <v>209.79</v>
      </c>
      <c r="H104" s="1267"/>
      <c r="I104" s="1268">
        <v>232.26</v>
      </c>
      <c r="J104" s="1267"/>
      <c r="K104" s="1268">
        <v>224.77</v>
      </c>
      <c r="L104" s="1267"/>
      <c r="M104" s="1268">
        <v>232.26</v>
      </c>
      <c r="N104" s="1267"/>
      <c r="O104" s="1268">
        <v>224.77</v>
      </c>
      <c r="P104" s="1267"/>
      <c r="Q104" s="1268">
        <v>232.26</v>
      </c>
      <c r="R104" s="1267"/>
      <c r="S104" s="1268">
        <v>-536.79</v>
      </c>
      <c r="T104" s="1267"/>
      <c r="U104" s="1268">
        <v>971.57</v>
      </c>
      <c r="V104" s="1267"/>
      <c r="W104" s="1268">
        <v>223.57</v>
      </c>
      <c r="X104" s="1267"/>
      <c r="Y104" s="1268">
        <v>224.97</v>
      </c>
      <c r="Z104" s="1267"/>
      <c r="AA104" s="1268">
        <v>236.58</v>
      </c>
      <c r="AB104" s="1267"/>
      <c r="AC104" s="1268">
        <v>238.82</v>
      </c>
      <c r="AD104" s="1267"/>
      <c r="AE104" s="1268">
        <f t="shared" si="14"/>
        <v>2714.83</v>
      </c>
      <c r="AF104" s="1269">
        <f t="shared" si="15"/>
        <v>8.199033537672184E-4</v>
      </c>
      <c r="AG104" s="1270"/>
    </row>
    <row r="105" spans="1:33" outlineLevel="1">
      <c r="A105" s="1264">
        <v>52070</v>
      </c>
      <c r="B105" s="1264" t="s">
        <v>38</v>
      </c>
      <c r="C105" s="1265"/>
      <c r="D105" s="1261"/>
      <c r="E105" s="1266"/>
      <c r="F105" s="1267"/>
      <c r="G105" s="1268">
        <v>0</v>
      </c>
      <c r="H105" s="1267"/>
      <c r="I105" s="1268">
        <v>0</v>
      </c>
      <c r="J105" s="1267"/>
      <c r="K105" s="1268">
        <v>0</v>
      </c>
      <c r="L105" s="1267"/>
      <c r="M105" s="1268">
        <v>0</v>
      </c>
      <c r="N105" s="1267"/>
      <c r="O105" s="1268">
        <v>0</v>
      </c>
      <c r="P105" s="1267"/>
      <c r="Q105" s="1268">
        <v>0</v>
      </c>
      <c r="R105" s="1267"/>
      <c r="S105" s="1268">
        <v>0</v>
      </c>
      <c r="T105" s="1267"/>
      <c r="U105" s="1268">
        <v>0</v>
      </c>
      <c r="V105" s="1267"/>
      <c r="W105" s="1268">
        <v>0</v>
      </c>
      <c r="X105" s="1267"/>
      <c r="Y105" s="1268">
        <v>298.72000000000003</v>
      </c>
      <c r="Z105" s="1267"/>
      <c r="AA105" s="1268">
        <v>0</v>
      </c>
      <c r="AB105" s="1267"/>
      <c r="AC105" s="1268">
        <v>0</v>
      </c>
      <c r="AD105" s="1267"/>
      <c r="AE105" s="1268">
        <f t="shared" si="14"/>
        <v>298.72000000000003</v>
      </c>
      <c r="AF105" s="1269">
        <f t="shared" si="15"/>
        <v>9.0216157121198571E-5</v>
      </c>
      <c r="AG105" s="1270"/>
    </row>
    <row r="106" spans="1:33" outlineLevel="1">
      <c r="A106" s="1264">
        <v>52087</v>
      </c>
      <c r="B106" s="1264" t="s">
        <v>76</v>
      </c>
      <c r="C106" s="1265"/>
      <c r="D106" s="1261"/>
      <c r="E106" s="1266"/>
      <c r="F106" s="1267"/>
      <c r="G106" s="1268">
        <v>300</v>
      </c>
      <c r="H106" s="1267"/>
      <c r="I106" s="1268">
        <v>0</v>
      </c>
      <c r="J106" s="1267"/>
      <c r="K106" s="1268">
        <v>0</v>
      </c>
      <c r="L106" s="1267"/>
      <c r="M106" s="1268">
        <v>0</v>
      </c>
      <c r="N106" s="1267"/>
      <c r="O106" s="1268">
        <v>0</v>
      </c>
      <c r="P106" s="1267"/>
      <c r="Q106" s="1268">
        <v>0</v>
      </c>
      <c r="R106" s="1267"/>
      <c r="S106" s="1268">
        <v>0</v>
      </c>
      <c r="T106" s="1267"/>
      <c r="U106" s="1268">
        <v>0</v>
      </c>
      <c r="V106" s="1267"/>
      <c r="W106" s="1268">
        <v>0</v>
      </c>
      <c r="X106" s="1267"/>
      <c r="Y106" s="1268">
        <v>300</v>
      </c>
      <c r="Z106" s="1267"/>
      <c r="AA106" s="1268">
        <v>0</v>
      </c>
      <c r="AB106" s="1267"/>
      <c r="AC106" s="1268">
        <v>150</v>
      </c>
      <c r="AD106" s="1267"/>
      <c r="AE106" s="1268">
        <f t="shared" si="14"/>
        <v>750</v>
      </c>
      <c r="AF106" s="1269">
        <f t="shared" si="15"/>
        <v>2.265068219098116E-4</v>
      </c>
      <c r="AG106" s="1270"/>
    </row>
    <row r="107" spans="1:33" outlineLevel="1">
      <c r="A107" s="1264">
        <v>52115</v>
      </c>
      <c r="B107" s="1264" t="s">
        <v>246</v>
      </c>
      <c r="C107" s="1265"/>
      <c r="D107" s="1261"/>
      <c r="E107" s="1266"/>
      <c r="F107" s="1267"/>
      <c r="G107" s="1268">
        <v>91.3</v>
      </c>
      <c r="H107" s="1267"/>
      <c r="I107" s="1268">
        <v>83.57</v>
      </c>
      <c r="J107" s="1267"/>
      <c r="K107" s="1268">
        <v>91.3</v>
      </c>
      <c r="L107" s="1267"/>
      <c r="M107" s="1268">
        <v>136.94999999999999</v>
      </c>
      <c r="N107" s="1267"/>
      <c r="O107" s="1268">
        <v>91.3</v>
      </c>
      <c r="P107" s="1267"/>
      <c r="Q107" s="1268">
        <v>91.3</v>
      </c>
      <c r="R107" s="1267"/>
      <c r="S107" s="1268">
        <v>91.3</v>
      </c>
      <c r="T107" s="1267"/>
      <c r="U107" s="1268">
        <v>91.3</v>
      </c>
      <c r="V107" s="1267"/>
      <c r="W107" s="1268">
        <v>136.94999999999999</v>
      </c>
      <c r="X107" s="1267"/>
      <c r="Y107" s="1268">
        <v>91.3</v>
      </c>
      <c r="Z107" s="1267"/>
      <c r="AA107" s="1268">
        <v>91.3</v>
      </c>
      <c r="AB107" s="1267"/>
      <c r="AC107" s="1268">
        <v>92.68</v>
      </c>
      <c r="AD107" s="1267"/>
      <c r="AE107" s="1268">
        <f t="shared" si="14"/>
        <v>1180.5499999999997</v>
      </c>
      <c r="AF107" s="1269">
        <f t="shared" si="15"/>
        <v>3.565368381408374E-4</v>
      </c>
      <c r="AG107" s="1270"/>
    </row>
    <row r="108" spans="1:33" outlineLevel="1">
      <c r="A108" s="1264">
        <v>52120</v>
      </c>
      <c r="B108" s="1264" t="s">
        <v>251</v>
      </c>
      <c r="C108" s="1265"/>
      <c r="D108" s="1261"/>
      <c r="E108" s="1266"/>
      <c r="F108" s="1267"/>
      <c r="G108" s="1268">
        <v>4424.7700000000004</v>
      </c>
      <c r="H108" s="1267"/>
      <c r="I108" s="1268">
        <v>5346.48</v>
      </c>
      <c r="J108" s="1267"/>
      <c r="K108" s="1268">
        <v>3374.44</v>
      </c>
      <c r="L108" s="1267"/>
      <c r="M108" s="1268">
        <v>6636.96</v>
      </c>
      <c r="N108" s="1267"/>
      <c r="O108" s="1268">
        <v>6859.42</v>
      </c>
      <c r="P108" s="1267"/>
      <c r="Q108" s="1268">
        <v>3762.35</v>
      </c>
      <c r="R108" s="1267"/>
      <c r="S108" s="1268">
        <v>5736.19</v>
      </c>
      <c r="T108" s="1267"/>
      <c r="U108" s="1268">
        <v>14445.29</v>
      </c>
      <c r="V108" s="1267"/>
      <c r="W108" s="1268">
        <v>5909.5</v>
      </c>
      <c r="X108" s="1267"/>
      <c r="Y108" s="1268">
        <v>8077.23</v>
      </c>
      <c r="Z108" s="1267"/>
      <c r="AA108" s="1268">
        <v>5195.58</v>
      </c>
      <c r="AB108" s="1267"/>
      <c r="AC108" s="1268">
        <v>4886.6499999999996</v>
      </c>
      <c r="AD108" s="1267"/>
      <c r="AE108" s="1268">
        <f t="shared" si="14"/>
        <v>74654.86</v>
      </c>
      <c r="AF108" s="1269">
        <f t="shared" si="15"/>
        <v>2.2546446771629224E-2</v>
      </c>
      <c r="AG108" s="1270"/>
    </row>
    <row r="109" spans="1:33" outlineLevel="1">
      <c r="A109" s="1264">
        <v>52125</v>
      </c>
      <c r="B109" s="1264" t="s">
        <v>46</v>
      </c>
      <c r="C109" s="1265"/>
      <c r="D109" s="1261"/>
      <c r="E109" s="1266"/>
      <c r="F109" s="1267"/>
      <c r="G109" s="1268">
        <v>346.38</v>
      </c>
      <c r="H109" s="1267"/>
      <c r="I109" s="1268">
        <v>285.93</v>
      </c>
      <c r="J109" s="1267"/>
      <c r="K109" s="1268">
        <v>288.3</v>
      </c>
      <c r="L109" s="1267"/>
      <c r="M109" s="1268">
        <v>290.70999999999998</v>
      </c>
      <c r="N109" s="1267"/>
      <c r="O109" s="1268">
        <v>364.88</v>
      </c>
      <c r="P109" s="1267"/>
      <c r="Q109" s="1268">
        <v>291.85000000000002</v>
      </c>
      <c r="R109" s="1267"/>
      <c r="S109" s="1268">
        <v>364.85</v>
      </c>
      <c r="T109" s="1267"/>
      <c r="U109" s="1268">
        <v>291.88</v>
      </c>
      <c r="V109" s="1267"/>
      <c r="W109" s="1268">
        <v>291.88</v>
      </c>
      <c r="X109" s="1267"/>
      <c r="Y109" s="1268">
        <v>364.85</v>
      </c>
      <c r="Z109" s="1267"/>
      <c r="AA109" s="1268">
        <v>304.88</v>
      </c>
      <c r="AB109" s="1267"/>
      <c r="AC109" s="1268">
        <v>301.49</v>
      </c>
      <c r="AD109" s="1267"/>
      <c r="AE109" s="1268">
        <f t="shared" si="14"/>
        <v>3787.88</v>
      </c>
      <c r="AF109" s="1269">
        <f t="shared" si="15"/>
        <v>1.1439742141009829E-3</v>
      </c>
      <c r="AG109" s="1270"/>
    </row>
    <row r="110" spans="1:33" outlineLevel="1">
      <c r="A110" s="1264">
        <v>52140</v>
      </c>
      <c r="B110" s="1264" t="s">
        <v>252</v>
      </c>
      <c r="C110" s="1265"/>
      <c r="D110" s="1261"/>
      <c r="E110" s="1266"/>
      <c r="F110" s="1267"/>
      <c r="G110" s="1268">
        <v>1096.48</v>
      </c>
      <c r="H110" s="1267"/>
      <c r="I110" s="1268">
        <v>2548.21</v>
      </c>
      <c r="J110" s="1267"/>
      <c r="K110" s="1268">
        <v>2869.05</v>
      </c>
      <c r="L110" s="1267"/>
      <c r="M110" s="1268">
        <v>1570.15</v>
      </c>
      <c r="N110" s="1267"/>
      <c r="O110" s="1268">
        <v>1885.76</v>
      </c>
      <c r="P110" s="1267"/>
      <c r="Q110" s="1268">
        <v>1243.8599999999999</v>
      </c>
      <c r="R110" s="1267"/>
      <c r="S110" s="1268">
        <v>2662.37</v>
      </c>
      <c r="T110" s="1267"/>
      <c r="U110" s="1268">
        <v>6554.17</v>
      </c>
      <c r="V110" s="1267"/>
      <c r="W110" s="1268">
        <v>7270.16</v>
      </c>
      <c r="X110" s="1267"/>
      <c r="Y110" s="1268">
        <v>4207.29</v>
      </c>
      <c r="Z110" s="1267"/>
      <c r="AA110" s="1268">
        <v>3731.8</v>
      </c>
      <c r="AB110" s="1267"/>
      <c r="AC110" s="1268">
        <v>3740.74</v>
      </c>
      <c r="AD110" s="1267"/>
      <c r="AE110" s="1268">
        <f t="shared" si="14"/>
        <v>39380.04</v>
      </c>
      <c r="AF110" s="1269">
        <f t="shared" si="15"/>
        <v>1.1893130276108345E-2</v>
      </c>
      <c r="AG110" s="1270"/>
    </row>
    <row r="111" spans="1:33" outlineLevel="1">
      <c r="A111" s="1375">
        <v>52142</v>
      </c>
      <c r="B111" s="1375" t="s">
        <v>72</v>
      </c>
      <c r="C111" s="1376"/>
      <c r="D111" s="1377"/>
      <c r="E111" s="1378"/>
      <c r="F111" s="1379"/>
      <c r="G111" s="1380">
        <v>13230.42</v>
      </c>
      <c r="H111" s="1379"/>
      <c r="I111" s="1380">
        <v>14843.22</v>
      </c>
      <c r="J111" s="1379"/>
      <c r="K111" s="1380">
        <v>14052.56</v>
      </c>
      <c r="L111" s="1379"/>
      <c r="M111" s="1380">
        <v>14299.23</v>
      </c>
      <c r="N111" s="1379"/>
      <c r="O111" s="1380">
        <v>13965.36</v>
      </c>
      <c r="P111" s="1379"/>
      <c r="Q111" s="1380">
        <v>13908.47</v>
      </c>
      <c r="R111" s="1379"/>
      <c r="S111" s="1380">
        <v>17272.02</v>
      </c>
      <c r="T111" s="1379"/>
      <c r="U111" s="1380">
        <v>15723.67</v>
      </c>
      <c r="V111" s="1379"/>
      <c r="W111" s="1380">
        <v>16348.2</v>
      </c>
      <c r="X111" s="1379"/>
      <c r="Y111" s="1380">
        <v>17629.04</v>
      </c>
      <c r="Z111" s="1379"/>
      <c r="AA111" s="1380">
        <v>15419.17</v>
      </c>
      <c r="AB111" s="1379"/>
      <c r="AC111" s="1380">
        <v>17314.27</v>
      </c>
      <c r="AD111" s="1379"/>
      <c r="AE111" s="1380">
        <f t="shared" si="14"/>
        <v>184005.63000000003</v>
      </c>
      <c r="AF111" s="1269">
        <f t="shared" si="15"/>
        <v>5.5571373953083592E-2</v>
      </c>
      <c r="AG111" s="1270"/>
    </row>
    <row r="112" spans="1:33" outlineLevel="1">
      <c r="A112" s="1264">
        <v>52146</v>
      </c>
      <c r="B112" s="1264" t="s">
        <v>73</v>
      </c>
      <c r="C112" s="1265"/>
      <c r="D112" s="1261"/>
      <c r="E112" s="1266"/>
      <c r="F112" s="1267"/>
      <c r="G112" s="1268">
        <v>62.12</v>
      </c>
      <c r="H112" s="1267"/>
      <c r="I112" s="1268">
        <v>1086.3900000000001</v>
      </c>
      <c r="J112" s="1267"/>
      <c r="K112" s="1268">
        <v>702.4</v>
      </c>
      <c r="L112" s="1267"/>
      <c r="M112" s="1268">
        <v>2386.65</v>
      </c>
      <c r="N112" s="1267"/>
      <c r="O112" s="1268">
        <v>989.92</v>
      </c>
      <c r="P112" s="1267"/>
      <c r="Q112" s="1268">
        <v>81.849999999999994</v>
      </c>
      <c r="R112" s="1267"/>
      <c r="S112" s="1268">
        <v>1724.13</v>
      </c>
      <c r="T112" s="1267"/>
      <c r="U112" s="1268">
        <v>2870.04</v>
      </c>
      <c r="V112" s="1267"/>
      <c r="W112" s="1268">
        <v>186.15</v>
      </c>
      <c r="X112" s="1267"/>
      <c r="Y112" s="1268">
        <v>126.24</v>
      </c>
      <c r="Z112" s="1267"/>
      <c r="AA112" s="1268">
        <v>84.96</v>
      </c>
      <c r="AB112" s="1267"/>
      <c r="AC112" s="1268">
        <v>644.69000000000005</v>
      </c>
      <c r="AD112" s="1267"/>
      <c r="AE112" s="1268">
        <f t="shared" si="14"/>
        <v>10945.54</v>
      </c>
      <c r="AF112" s="1269">
        <f t="shared" si="15"/>
        <v>3.3056526393156261E-3</v>
      </c>
      <c r="AG112" s="1270"/>
    </row>
    <row r="113" spans="1:33" outlineLevel="1">
      <c r="A113" s="1264">
        <v>52147</v>
      </c>
      <c r="B113" s="1264" t="s">
        <v>62</v>
      </c>
      <c r="C113" s="1265"/>
      <c r="D113" s="1261"/>
      <c r="E113" s="1266"/>
      <c r="F113" s="1267"/>
      <c r="G113" s="1268">
        <v>1027.49</v>
      </c>
      <c r="H113" s="1267"/>
      <c r="I113" s="1268">
        <v>3243.33</v>
      </c>
      <c r="J113" s="1267"/>
      <c r="K113" s="1268">
        <v>17557.79</v>
      </c>
      <c r="L113" s="1267"/>
      <c r="M113" s="1268">
        <v>320.38</v>
      </c>
      <c r="N113" s="1267"/>
      <c r="O113" s="1268">
        <v>2988.33</v>
      </c>
      <c r="P113" s="1267"/>
      <c r="Q113" s="1268">
        <v>2067.1999999999998</v>
      </c>
      <c r="R113" s="1267"/>
      <c r="S113" s="1268">
        <v>0</v>
      </c>
      <c r="T113" s="1267"/>
      <c r="U113" s="1268">
        <v>940.19</v>
      </c>
      <c r="V113" s="1267"/>
      <c r="W113" s="1268">
        <v>0</v>
      </c>
      <c r="X113" s="1267"/>
      <c r="Y113" s="1268">
        <v>0</v>
      </c>
      <c r="Z113" s="1267"/>
      <c r="AA113" s="1268">
        <v>0</v>
      </c>
      <c r="AB113" s="1267"/>
      <c r="AC113" s="1268">
        <v>0</v>
      </c>
      <c r="AD113" s="1267"/>
      <c r="AE113" s="1268">
        <f t="shared" si="14"/>
        <v>28144.710000000003</v>
      </c>
      <c r="AF113" s="1269">
        <f t="shared" si="15"/>
        <v>8.4999584208977266E-3</v>
      </c>
      <c r="AG113" s="1270"/>
    </row>
    <row r="114" spans="1:33" outlineLevel="1">
      <c r="A114" s="1264">
        <v>52150</v>
      </c>
      <c r="B114" s="1264" t="s">
        <v>122</v>
      </c>
      <c r="C114" s="1265"/>
      <c r="D114" s="1261"/>
      <c r="E114" s="1266"/>
      <c r="F114" s="1267"/>
      <c r="G114" s="1268">
        <v>122.71</v>
      </c>
      <c r="H114" s="1267"/>
      <c r="I114" s="1268">
        <v>122.71</v>
      </c>
      <c r="J114" s="1267"/>
      <c r="K114" s="1268">
        <v>133.46</v>
      </c>
      <c r="L114" s="1267"/>
      <c r="M114" s="1268">
        <v>126.85</v>
      </c>
      <c r="N114" s="1267"/>
      <c r="O114" s="1268">
        <v>126.85</v>
      </c>
      <c r="P114" s="1267"/>
      <c r="Q114" s="1268">
        <v>125.2</v>
      </c>
      <c r="R114" s="1267"/>
      <c r="S114" s="1268">
        <v>126.85</v>
      </c>
      <c r="T114" s="1267"/>
      <c r="U114" s="1268">
        <v>126.02</v>
      </c>
      <c r="V114" s="1267"/>
      <c r="W114" s="1268">
        <v>250.4</v>
      </c>
      <c r="X114" s="1267"/>
      <c r="Y114" s="1268">
        <v>0</v>
      </c>
      <c r="Z114" s="1267"/>
      <c r="AA114" s="1268">
        <v>125.2</v>
      </c>
      <c r="AB114" s="1267"/>
      <c r="AC114" s="1268">
        <v>122.71</v>
      </c>
      <c r="AD114" s="1267"/>
      <c r="AE114" s="1268">
        <f t="shared" si="14"/>
        <v>1508.9600000000003</v>
      </c>
      <c r="AF114" s="1269">
        <f t="shared" si="15"/>
        <v>4.5571964531870585E-4</v>
      </c>
      <c r="AG114" s="1270"/>
    </row>
    <row r="115" spans="1:33" outlineLevel="1">
      <c r="A115" s="1264">
        <v>52175</v>
      </c>
      <c r="B115" s="1264" t="s">
        <v>57</v>
      </c>
      <c r="C115" s="1265"/>
      <c r="D115" s="1261"/>
      <c r="E115" s="1266"/>
      <c r="F115" s="1267"/>
      <c r="G115" s="1268">
        <v>0</v>
      </c>
      <c r="H115" s="1267"/>
      <c r="I115" s="1268">
        <v>0</v>
      </c>
      <c r="J115" s="1267"/>
      <c r="K115" s="1268">
        <v>0</v>
      </c>
      <c r="L115" s="1267"/>
      <c r="M115" s="1268">
        <v>0</v>
      </c>
      <c r="N115" s="1267"/>
      <c r="O115" s="1268">
        <v>0</v>
      </c>
      <c r="P115" s="1267"/>
      <c r="Q115" s="1268">
        <v>1250</v>
      </c>
      <c r="R115" s="1267"/>
      <c r="S115" s="1268">
        <v>-244.1</v>
      </c>
      <c r="T115" s="1267"/>
      <c r="U115" s="1268">
        <v>0</v>
      </c>
      <c r="V115" s="1267"/>
      <c r="W115" s="1268">
        <v>0</v>
      </c>
      <c r="X115" s="1267"/>
      <c r="Y115" s="1268">
        <v>0</v>
      </c>
      <c r="Z115" s="1267"/>
      <c r="AA115" s="1268">
        <v>0</v>
      </c>
      <c r="AB115" s="1267"/>
      <c r="AC115" s="1268">
        <v>0</v>
      </c>
      <c r="AD115" s="1267"/>
      <c r="AE115" s="1268">
        <f t="shared" si="14"/>
        <v>1005.9</v>
      </c>
      <c r="AF115" s="1269">
        <f t="shared" si="15"/>
        <v>3.0379094954543931E-4</v>
      </c>
      <c r="AG115" s="1270"/>
    </row>
    <row r="116" spans="1:33" outlineLevel="1">
      <c r="A116" s="1264">
        <v>52182</v>
      </c>
      <c r="B116" s="1264" t="s">
        <v>253</v>
      </c>
      <c r="C116" s="1265"/>
      <c r="D116" s="1261"/>
      <c r="E116" s="1266"/>
      <c r="F116" s="1267"/>
      <c r="G116" s="1268">
        <v>1029.08</v>
      </c>
      <c r="H116" s="1267"/>
      <c r="I116" s="1268">
        <v>3086.56</v>
      </c>
      <c r="J116" s="1267"/>
      <c r="K116" s="1268">
        <v>645.19000000000005</v>
      </c>
      <c r="L116" s="1267"/>
      <c r="M116" s="1268">
        <v>1212.75</v>
      </c>
      <c r="N116" s="1267"/>
      <c r="O116" s="1268">
        <v>0</v>
      </c>
      <c r="P116" s="1267"/>
      <c r="Q116" s="1268">
        <v>1212.75</v>
      </c>
      <c r="R116" s="1267"/>
      <c r="S116" s="1268">
        <v>0</v>
      </c>
      <c r="T116" s="1267"/>
      <c r="U116" s="1268">
        <v>0</v>
      </c>
      <c r="V116" s="1267"/>
      <c r="W116" s="1268">
        <v>-10.23</v>
      </c>
      <c r="X116" s="1267"/>
      <c r="Y116" s="1268">
        <v>0</v>
      </c>
      <c r="Z116" s="1267"/>
      <c r="AA116" s="1268">
        <v>522.4</v>
      </c>
      <c r="AB116" s="1267"/>
      <c r="AC116" s="1268">
        <v>0</v>
      </c>
      <c r="AD116" s="1267"/>
      <c r="AE116" s="1268">
        <f t="shared" si="14"/>
        <v>7698.5</v>
      </c>
      <c r="AF116" s="1269">
        <f t="shared" si="15"/>
        <v>2.3250170246302462E-3</v>
      </c>
      <c r="AG116" s="1270"/>
    </row>
    <row r="117" spans="1:33" outlineLevel="1">
      <c r="A117" s="1264">
        <v>52901</v>
      </c>
      <c r="B117" s="1264" t="s">
        <v>60</v>
      </c>
      <c r="C117" s="1265"/>
      <c r="D117" s="1261"/>
      <c r="E117" s="1266"/>
      <c r="F117" s="1267"/>
      <c r="G117" s="1268">
        <v>0</v>
      </c>
      <c r="H117" s="1267"/>
      <c r="I117" s="1268">
        <v>0</v>
      </c>
      <c r="J117" s="1267"/>
      <c r="K117" s="1268">
        <v>0</v>
      </c>
      <c r="L117" s="1267"/>
      <c r="M117" s="1268">
        <v>0</v>
      </c>
      <c r="N117" s="1267"/>
      <c r="O117" s="1268">
        <v>0</v>
      </c>
      <c r="P117" s="1267"/>
      <c r="Q117" s="1268">
        <v>0</v>
      </c>
      <c r="R117" s="1267"/>
      <c r="S117" s="1268">
        <v>0</v>
      </c>
      <c r="T117" s="1267"/>
      <c r="U117" s="1268">
        <v>0</v>
      </c>
      <c r="V117" s="1267"/>
      <c r="W117" s="1268">
        <v>0</v>
      </c>
      <c r="X117" s="1267"/>
      <c r="Y117" s="1268">
        <v>0</v>
      </c>
      <c r="Z117" s="1267"/>
      <c r="AA117" s="1268">
        <v>0</v>
      </c>
      <c r="AB117" s="1267"/>
      <c r="AC117" s="1268">
        <v>0</v>
      </c>
      <c r="AD117" s="1267"/>
      <c r="AE117" s="1268">
        <f t="shared" si="14"/>
        <v>0</v>
      </c>
      <c r="AF117" s="1269">
        <f t="shared" si="15"/>
        <v>0</v>
      </c>
      <c r="AG117" s="1270"/>
    </row>
    <row r="118" spans="1:33" s="1266" customFormat="1" ht="5.0999999999999996" customHeight="1" outlineLevel="1">
      <c r="A118" s="1265"/>
      <c r="B118" s="1265"/>
      <c r="C118" s="1265"/>
      <c r="D118" s="1265"/>
      <c r="G118" s="581"/>
      <c r="H118" s="579"/>
      <c r="I118" s="581"/>
      <c r="J118" s="579"/>
      <c r="K118" s="581"/>
      <c r="L118" s="579"/>
      <c r="M118" s="581"/>
      <c r="N118" s="579"/>
      <c r="O118" s="581"/>
      <c r="P118" s="579"/>
      <c r="Q118" s="581"/>
      <c r="R118" s="579"/>
      <c r="S118" s="581"/>
      <c r="T118" s="579"/>
      <c r="U118" s="581"/>
      <c r="V118" s="579"/>
      <c r="W118" s="581"/>
      <c r="X118" s="579"/>
      <c r="Y118" s="581"/>
      <c r="Z118" s="579"/>
      <c r="AA118" s="581"/>
      <c r="AB118" s="579"/>
      <c r="AC118" s="581"/>
      <c r="AD118" s="579"/>
      <c r="AE118" s="581"/>
      <c r="AF118" s="577"/>
      <c r="AG118" s="1272"/>
    </row>
    <row r="119" spans="1:33" s="1266" customFormat="1" ht="15">
      <c r="C119" s="1265" t="s">
        <v>254</v>
      </c>
      <c r="G119" s="578">
        <f>SUM(G97:G118)</f>
        <v>31118.940000000002</v>
      </c>
      <c r="H119" s="579"/>
      <c r="I119" s="578">
        <f>SUM(I97:I118)</f>
        <v>42496</v>
      </c>
      <c r="J119" s="579"/>
      <c r="K119" s="578">
        <f>SUM(K97:K118)</f>
        <v>48908.93</v>
      </c>
      <c r="L119" s="579"/>
      <c r="M119" s="578">
        <f>SUM(M97:M118)</f>
        <v>36974.46</v>
      </c>
      <c r="N119" s="579"/>
      <c r="O119" s="578">
        <f>SUM(O97:O118)</f>
        <v>36914.42</v>
      </c>
      <c r="P119" s="579"/>
      <c r="Q119" s="578">
        <f>SUM(Q97:Q118)</f>
        <v>33559.68</v>
      </c>
      <c r="R119" s="579"/>
      <c r="S119" s="578">
        <f>SUM(S97:S118)</f>
        <v>36586.15</v>
      </c>
      <c r="T119" s="579"/>
      <c r="U119" s="578">
        <f>SUM(U97:U118)</f>
        <v>51387.69</v>
      </c>
      <c r="V119" s="579"/>
      <c r="W119" s="578">
        <f>SUM(W97:W118)</f>
        <v>40585.18</v>
      </c>
      <c r="X119" s="579"/>
      <c r="Y119" s="578">
        <f>SUM(Y97:Y118)</f>
        <v>40858.18</v>
      </c>
      <c r="Z119" s="579"/>
      <c r="AA119" s="578">
        <f>SUM(AA97:AA118)</f>
        <v>35402.369999999995</v>
      </c>
      <c r="AB119" s="579"/>
      <c r="AC119" s="578">
        <f>SUM(AC97:AC118)</f>
        <v>37996.74</v>
      </c>
      <c r="AD119" s="579"/>
      <c r="AE119" s="578">
        <f>SUM(AE97:AE118)</f>
        <v>472788.74000000011</v>
      </c>
      <c r="AF119" s="1269">
        <f>IF(AE$45=0,0,AE119/AE$45)</f>
        <v>0.14278649990952566</v>
      </c>
      <c r="AG119" s="1272"/>
    </row>
    <row r="120" spans="1:33" s="1266" customFormat="1" ht="15" outlineLevel="1">
      <c r="G120" s="580"/>
      <c r="H120" s="579"/>
      <c r="I120" s="580"/>
      <c r="J120" s="579"/>
      <c r="K120" s="580"/>
      <c r="L120" s="579"/>
      <c r="M120" s="580"/>
      <c r="N120" s="579"/>
      <c r="O120" s="580"/>
      <c r="P120" s="579"/>
      <c r="Q120" s="580"/>
      <c r="R120" s="579"/>
      <c r="S120" s="580"/>
      <c r="T120" s="579"/>
      <c r="U120" s="580"/>
      <c r="V120" s="579"/>
      <c r="W120" s="580"/>
      <c r="X120" s="579"/>
      <c r="Y120" s="580"/>
      <c r="Z120" s="579"/>
      <c r="AA120" s="580"/>
      <c r="AB120" s="579"/>
      <c r="AC120" s="580"/>
      <c r="AD120" s="579"/>
      <c r="AE120" s="580"/>
      <c r="AF120" s="577"/>
      <c r="AG120" s="1272"/>
    </row>
    <row r="121" spans="1:33" s="1266" customFormat="1" ht="15" outlineLevel="1">
      <c r="G121" s="580"/>
      <c r="H121" s="579"/>
      <c r="I121" s="580"/>
      <c r="J121" s="579"/>
      <c r="K121" s="580"/>
      <c r="L121" s="579"/>
      <c r="M121" s="580"/>
      <c r="N121" s="579"/>
      <c r="O121" s="580"/>
      <c r="P121" s="579"/>
      <c r="Q121" s="580"/>
      <c r="R121" s="579"/>
      <c r="S121" s="580"/>
      <c r="T121" s="579"/>
      <c r="U121" s="580"/>
      <c r="V121" s="579"/>
      <c r="W121" s="580"/>
      <c r="X121" s="579"/>
      <c r="Y121" s="580"/>
      <c r="Z121" s="579"/>
      <c r="AA121" s="580"/>
      <c r="AB121" s="579"/>
      <c r="AC121" s="580"/>
      <c r="AD121" s="579"/>
      <c r="AE121" s="580"/>
      <c r="AF121" s="577"/>
      <c r="AG121" s="1272"/>
    </row>
    <row r="122" spans="1:33" outlineLevel="1">
      <c r="A122" s="1264">
        <v>55120</v>
      </c>
      <c r="B122" s="1264" t="s">
        <v>251</v>
      </c>
      <c r="C122" s="1265"/>
      <c r="D122" s="1261"/>
      <c r="E122" s="1266"/>
      <c r="F122" s="1267"/>
      <c r="G122" s="1268">
        <v>0</v>
      </c>
      <c r="H122" s="1267"/>
      <c r="I122" s="1268">
        <v>0</v>
      </c>
      <c r="J122" s="1267"/>
      <c r="K122" s="1268">
        <v>0</v>
      </c>
      <c r="L122" s="1267"/>
      <c r="M122" s="1268">
        <v>148.88999999999999</v>
      </c>
      <c r="N122" s="1267"/>
      <c r="O122" s="1268">
        <v>19.18</v>
      </c>
      <c r="P122" s="1267"/>
      <c r="Q122" s="1268">
        <v>50.02</v>
      </c>
      <c r="R122" s="1267"/>
      <c r="S122" s="1268">
        <v>1029.82</v>
      </c>
      <c r="T122" s="1267"/>
      <c r="U122" s="1268">
        <v>-256.70999999999998</v>
      </c>
      <c r="V122" s="1267"/>
      <c r="W122" s="1268">
        <v>7378.65</v>
      </c>
      <c r="X122" s="1267"/>
      <c r="Y122" s="1268">
        <v>2283.13</v>
      </c>
      <c r="Z122" s="1267"/>
      <c r="AA122" s="1268">
        <v>608.46</v>
      </c>
      <c r="AB122" s="1267"/>
      <c r="AC122" s="1268">
        <v>129.27000000000001</v>
      </c>
      <c r="AD122" s="1267"/>
      <c r="AE122" s="1268">
        <f t="shared" ref="AE122:AE123" si="16">AC122+AA122+Y122+W122+U122+S122+Q122+O122+M122+K122+I122+G122</f>
        <v>11390.710000000001</v>
      </c>
      <c r="AF122" s="1269">
        <f t="shared" ref="AF122:AF123" si="17">IF(AE$45=0,0,AE122/AE$45)</f>
        <v>3.4400980285284139E-3</v>
      </c>
      <c r="AG122" s="1270"/>
    </row>
    <row r="123" spans="1:33" outlineLevel="1">
      <c r="A123" s="1264">
        <v>55125</v>
      </c>
      <c r="B123" s="1264" t="s">
        <v>46</v>
      </c>
      <c r="C123" s="1265"/>
      <c r="D123" s="1261"/>
      <c r="E123" s="1266"/>
      <c r="F123" s="1267"/>
      <c r="G123" s="1268">
        <v>0</v>
      </c>
      <c r="H123" s="1267"/>
      <c r="I123" s="1268">
        <v>233.76</v>
      </c>
      <c r="J123" s="1267"/>
      <c r="K123" s="1268">
        <v>102.73</v>
      </c>
      <c r="L123" s="1267"/>
      <c r="M123" s="1268">
        <v>0</v>
      </c>
      <c r="N123" s="1267"/>
      <c r="O123" s="1268">
        <v>75.8</v>
      </c>
      <c r="P123" s="1267"/>
      <c r="Q123" s="1268">
        <v>34.479999999999997</v>
      </c>
      <c r="R123" s="1267"/>
      <c r="S123" s="1268">
        <v>201</v>
      </c>
      <c r="T123" s="1267"/>
      <c r="U123" s="1268">
        <v>321.58</v>
      </c>
      <c r="V123" s="1267"/>
      <c r="W123" s="1268">
        <v>-14.98</v>
      </c>
      <c r="X123" s="1267"/>
      <c r="Y123" s="1268">
        <v>0</v>
      </c>
      <c r="Z123" s="1267"/>
      <c r="AA123" s="1268">
        <v>20.18</v>
      </c>
      <c r="AB123" s="1267"/>
      <c r="AC123" s="1268">
        <v>0</v>
      </c>
      <c r="AD123" s="1267"/>
      <c r="AE123" s="1268">
        <f t="shared" si="16"/>
        <v>974.55</v>
      </c>
      <c r="AF123" s="1269">
        <f t="shared" si="17"/>
        <v>2.943229643896092E-4</v>
      </c>
      <c r="AG123" s="1270"/>
    </row>
    <row r="124" spans="1:33" s="1266" customFormat="1" ht="5.0999999999999996" customHeight="1" outlineLevel="1">
      <c r="A124" s="1265"/>
      <c r="B124" s="1265"/>
      <c r="C124" s="1265"/>
      <c r="D124" s="1265"/>
      <c r="G124" s="581"/>
      <c r="H124" s="579"/>
      <c r="I124" s="581"/>
      <c r="J124" s="579"/>
      <c r="K124" s="581"/>
      <c r="L124" s="579"/>
      <c r="M124" s="581"/>
      <c r="N124" s="579"/>
      <c r="O124" s="581"/>
      <c r="P124" s="579"/>
      <c r="Q124" s="581"/>
      <c r="R124" s="579"/>
      <c r="S124" s="581"/>
      <c r="T124" s="579"/>
      <c r="U124" s="581"/>
      <c r="V124" s="579"/>
      <c r="W124" s="581"/>
      <c r="X124" s="579"/>
      <c r="Y124" s="581"/>
      <c r="Z124" s="579"/>
      <c r="AA124" s="581"/>
      <c r="AB124" s="579"/>
      <c r="AC124" s="581"/>
      <c r="AD124" s="579"/>
      <c r="AE124" s="581"/>
      <c r="AF124" s="577"/>
      <c r="AG124" s="1272"/>
    </row>
    <row r="125" spans="1:33" s="1266" customFormat="1" ht="15">
      <c r="C125" s="1265" t="s">
        <v>256</v>
      </c>
      <c r="G125" s="578">
        <f>SUM(G121:G124)</f>
        <v>0</v>
      </c>
      <c r="H125" s="579"/>
      <c r="I125" s="578">
        <f>SUM(I121:I124)</f>
        <v>233.76</v>
      </c>
      <c r="J125" s="579"/>
      <c r="K125" s="578">
        <f>SUM(K121:K124)</f>
        <v>102.73</v>
      </c>
      <c r="L125" s="579"/>
      <c r="M125" s="578">
        <f>SUM(M121:M124)</f>
        <v>148.88999999999999</v>
      </c>
      <c r="N125" s="579"/>
      <c r="O125" s="578">
        <f>SUM(O121:O124)</f>
        <v>94.97999999999999</v>
      </c>
      <c r="P125" s="579"/>
      <c r="Q125" s="578">
        <f>SUM(Q121:Q124)</f>
        <v>84.5</v>
      </c>
      <c r="R125" s="579"/>
      <c r="S125" s="578">
        <f>SUM(S121:S124)</f>
        <v>1230.82</v>
      </c>
      <c r="T125" s="579"/>
      <c r="U125" s="578">
        <f>SUM(U121:U124)</f>
        <v>64.87</v>
      </c>
      <c r="V125" s="579"/>
      <c r="W125" s="578">
        <f>SUM(W121:W124)</f>
        <v>7363.67</v>
      </c>
      <c r="X125" s="579"/>
      <c r="Y125" s="578">
        <f>SUM(Y121:Y124)</f>
        <v>2283.13</v>
      </c>
      <c r="Z125" s="579"/>
      <c r="AA125" s="578">
        <f>SUM(AA121:AA124)</f>
        <v>628.64</v>
      </c>
      <c r="AB125" s="579"/>
      <c r="AC125" s="578">
        <f>SUM(AC121:AC124)</f>
        <v>129.27000000000001</v>
      </c>
      <c r="AD125" s="579"/>
      <c r="AE125" s="578">
        <f>SUM(AE121:AE124)</f>
        <v>12365.26</v>
      </c>
      <c r="AF125" s="1269">
        <f>IF(AE$45=0,0,AE125/AE$45)</f>
        <v>3.734420992918023E-3</v>
      </c>
      <c r="AG125" s="1272"/>
    </row>
    <row r="126" spans="1:33" s="1266" customFormat="1" ht="15" outlineLevel="1">
      <c r="G126" s="580"/>
      <c r="H126" s="579"/>
      <c r="I126" s="580"/>
      <c r="J126" s="579"/>
      <c r="K126" s="580"/>
      <c r="L126" s="579"/>
      <c r="M126" s="580"/>
      <c r="N126" s="579"/>
      <c r="O126" s="580"/>
      <c r="P126" s="579"/>
      <c r="Q126" s="580"/>
      <c r="R126" s="579"/>
      <c r="S126" s="580"/>
      <c r="T126" s="579"/>
      <c r="U126" s="580"/>
      <c r="V126" s="579"/>
      <c r="W126" s="580"/>
      <c r="X126" s="579"/>
      <c r="Y126" s="580"/>
      <c r="Z126" s="579"/>
      <c r="AA126" s="580"/>
      <c r="AB126" s="579"/>
      <c r="AC126" s="580"/>
      <c r="AD126" s="579"/>
      <c r="AE126" s="580"/>
      <c r="AF126" s="577"/>
      <c r="AG126" s="1272"/>
    </row>
    <row r="127" spans="1:33" s="1266" customFormat="1" ht="15" outlineLevel="1">
      <c r="G127" s="580"/>
      <c r="H127" s="579"/>
      <c r="I127" s="580"/>
      <c r="J127" s="579"/>
      <c r="K127" s="580"/>
      <c r="L127" s="579"/>
      <c r="M127" s="580"/>
      <c r="N127" s="579"/>
      <c r="O127" s="580"/>
      <c r="P127" s="579"/>
      <c r="Q127" s="580"/>
      <c r="R127" s="579"/>
      <c r="S127" s="580"/>
      <c r="T127" s="579"/>
      <c r="U127" s="580"/>
      <c r="V127" s="579"/>
      <c r="W127" s="580"/>
      <c r="X127" s="579"/>
      <c r="Y127" s="580"/>
      <c r="Z127" s="579"/>
      <c r="AA127" s="580"/>
      <c r="AB127" s="579"/>
      <c r="AC127" s="580"/>
      <c r="AD127" s="579"/>
      <c r="AE127" s="580"/>
      <c r="AF127" s="577"/>
      <c r="AG127" s="1272"/>
    </row>
    <row r="128" spans="1:33" outlineLevel="1">
      <c r="A128" s="1264">
        <v>56010</v>
      </c>
      <c r="B128" s="1264" t="s">
        <v>31</v>
      </c>
      <c r="C128" s="1265"/>
      <c r="D128" s="1261"/>
      <c r="E128" s="1266"/>
      <c r="F128" s="1267"/>
      <c r="G128" s="1268">
        <v>8273.9500000000007</v>
      </c>
      <c r="H128" s="1267"/>
      <c r="I128" s="1268">
        <v>6158.96</v>
      </c>
      <c r="J128" s="1267"/>
      <c r="K128" s="1268">
        <v>-335.13</v>
      </c>
      <c r="L128" s="1267"/>
      <c r="M128" s="1268">
        <v>6158.96</v>
      </c>
      <c r="N128" s="1267"/>
      <c r="O128" s="1268">
        <v>3882.39</v>
      </c>
      <c r="P128" s="1267"/>
      <c r="Q128" s="1268">
        <v>6293</v>
      </c>
      <c r="R128" s="1267"/>
      <c r="S128" s="1268">
        <v>6158.96</v>
      </c>
      <c r="T128" s="1267"/>
      <c r="U128" s="1268">
        <v>0</v>
      </c>
      <c r="V128" s="1267"/>
      <c r="W128" s="1268">
        <v>0</v>
      </c>
      <c r="X128" s="1267"/>
      <c r="Y128" s="1268">
        <v>0</v>
      </c>
      <c r="Z128" s="1267"/>
      <c r="AA128" s="1268">
        <v>0</v>
      </c>
      <c r="AB128" s="1267"/>
      <c r="AC128" s="1268">
        <v>0</v>
      </c>
      <c r="AD128" s="1267"/>
      <c r="AE128" s="1268">
        <f t="shared" ref="AE128:AE133" si="18">AC128+AA128+Y128+W128+U128+S128+Q128+O128+M128+K128+I128+G128</f>
        <v>36591.089999999997</v>
      </c>
      <c r="AF128" s="1269">
        <f t="shared" ref="AF128:AF133" si="19">IF(AE$45=0,0,AE128/AE$45)</f>
        <v>1.1050842008154517E-2</v>
      </c>
      <c r="AG128" s="1270"/>
    </row>
    <row r="129" spans="1:33" outlineLevel="1">
      <c r="A129" s="1264">
        <v>56050</v>
      </c>
      <c r="B129" s="1264" t="s">
        <v>168</v>
      </c>
      <c r="C129" s="1265"/>
      <c r="D129" s="1261"/>
      <c r="E129" s="1266"/>
      <c r="F129" s="1267"/>
      <c r="G129" s="1268">
        <v>716.55</v>
      </c>
      <c r="H129" s="1267"/>
      <c r="I129" s="1268">
        <v>496.04</v>
      </c>
      <c r="J129" s="1267"/>
      <c r="K129" s="1268">
        <v>-137.26</v>
      </c>
      <c r="L129" s="1267"/>
      <c r="M129" s="1268">
        <v>468.04</v>
      </c>
      <c r="N129" s="1267"/>
      <c r="O129" s="1268">
        <v>428.54</v>
      </c>
      <c r="P129" s="1267"/>
      <c r="Q129" s="1268">
        <v>407.12</v>
      </c>
      <c r="R129" s="1267"/>
      <c r="S129" s="1268">
        <v>449.96</v>
      </c>
      <c r="T129" s="1267"/>
      <c r="U129" s="1268">
        <v>0</v>
      </c>
      <c r="V129" s="1267"/>
      <c r="W129" s="1268">
        <v>0</v>
      </c>
      <c r="X129" s="1267"/>
      <c r="Y129" s="1268">
        <v>0</v>
      </c>
      <c r="Z129" s="1267"/>
      <c r="AA129" s="1268">
        <v>0</v>
      </c>
      <c r="AB129" s="1267"/>
      <c r="AC129" s="1268">
        <v>0</v>
      </c>
      <c r="AD129" s="1267"/>
      <c r="AE129" s="1268">
        <f t="shared" si="18"/>
        <v>2828.99</v>
      </c>
      <c r="AF129" s="1269">
        <f t="shared" si="19"/>
        <v>8.5438071215285054E-4</v>
      </c>
      <c r="AG129" s="1270"/>
    </row>
    <row r="130" spans="1:33" outlineLevel="1">
      <c r="A130" s="1264">
        <v>56060</v>
      </c>
      <c r="B130" s="1264" t="s">
        <v>125</v>
      </c>
      <c r="C130" s="1265"/>
      <c r="D130" s="1261"/>
      <c r="E130" s="1266"/>
      <c r="F130" s="1267"/>
      <c r="G130" s="1268">
        <v>1096.3</v>
      </c>
      <c r="H130" s="1267"/>
      <c r="I130" s="1268">
        <v>696.3</v>
      </c>
      <c r="J130" s="1267"/>
      <c r="K130" s="1268">
        <v>-96.04</v>
      </c>
      <c r="L130" s="1267"/>
      <c r="M130" s="1268">
        <v>555.94000000000005</v>
      </c>
      <c r="N130" s="1267"/>
      <c r="O130" s="1268">
        <v>689.2</v>
      </c>
      <c r="P130" s="1267"/>
      <c r="Q130" s="1268">
        <v>703.04</v>
      </c>
      <c r="R130" s="1267"/>
      <c r="S130" s="1268">
        <v>703.04</v>
      </c>
      <c r="T130" s="1267"/>
      <c r="U130" s="1268">
        <v>0</v>
      </c>
      <c r="V130" s="1267"/>
      <c r="W130" s="1268">
        <v>0</v>
      </c>
      <c r="X130" s="1267"/>
      <c r="Y130" s="1268">
        <v>0</v>
      </c>
      <c r="Z130" s="1267"/>
      <c r="AA130" s="1268">
        <v>0</v>
      </c>
      <c r="AB130" s="1267"/>
      <c r="AC130" s="1268">
        <v>0</v>
      </c>
      <c r="AD130" s="1267"/>
      <c r="AE130" s="1268">
        <f t="shared" si="18"/>
        <v>4347.78</v>
      </c>
      <c r="AF130" s="1269">
        <f t="shared" si="19"/>
        <v>1.3130691068840542E-3</v>
      </c>
      <c r="AG130" s="1270"/>
    </row>
    <row r="131" spans="1:33" outlineLevel="1">
      <c r="A131" s="1264">
        <v>56065</v>
      </c>
      <c r="B131" s="1264" t="s">
        <v>37</v>
      </c>
      <c r="C131" s="1265"/>
      <c r="D131" s="1261"/>
      <c r="E131" s="1266"/>
      <c r="F131" s="1267"/>
      <c r="G131" s="1268">
        <v>221.14</v>
      </c>
      <c r="H131" s="1267"/>
      <c r="I131" s="1268">
        <v>244.83</v>
      </c>
      <c r="J131" s="1267"/>
      <c r="K131" s="1268">
        <v>236.93</v>
      </c>
      <c r="L131" s="1267"/>
      <c r="M131" s="1268">
        <v>244.83</v>
      </c>
      <c r="N131" s="1267"/>
      <c r="O131" s="1268">
        <v>804.4</v>
      </c>
      <c r="P131" s="1267"/>
      <c r="Q131" s="1268">
        <v>-424.77</v>
      </c>
      <c r="R131" s="1267"/>
      <c r="S131" s="1268">
        <v>244.83</v>
      </c>
      <c r="T131" s="1267"/>
      <c r="U131" s="1268">
        <v>0</v>
      </c>
      <c r="V131" s="1267"/>
      <c r="W131" s="1268">
        <v>0</v>
      </c>
      <c r="X131" s="1267"/>
      <c r="Y131" s="1268">
        <v>0</v>
      </c>
      <c r="Z131" s="1267"/>
      <c r="AA131" s="1268">
        <v>0</v>
      </c>
      <c r="AB131" s="1267"/>
      <c r="AC131" s="1268">
        <v>0</v>
      </c>
      <c r="AD131" s="1267"/>
      <c r="AE131" s="1268">
        <f t="shared" si="18"/>
        <v>1572.19</v>
      </c>
      <c r="AF131" s="1269">
        <f t="shared" si="19"/>
        <v>4.7481568045118228E-4</v>
      </c>
      <c r="AG131" s="1270"/>
    </row>
    <row r="132" spans="1:33" outlineLevel="1">
      <c r="A132" s="1264">
        <v>56095</v>
      </c>
      <c r="B132" s="1264" t="s">
        <v>132</v>
      </c>
      <c r="C132" s="1265"/>
      <c r="D132" s="1261"/>
      <c r="E132" s="1266"/>
      <c r="F132" s="1267"/>
      <c r="G132" s="1268">
        <v>0</v>
      </c>
      <c r="H132" s="1267"/>
      <c r="I132" s="1268">
        <v>0</v>
      </c>
      <c r="J132" s="1267"/>
      <c r="K132" s="1268">
        <v>113.19</v>
      </c>
      <c r="L132" s="1267"/>
      <c r="M132" s="1268">
        <v>0</v>
      </c>
      <c r="N132" s="1267"/>
      <c r="O132" s="1268">
        <v>0</v>
      </c>
      <c r="P132" s="1267"/>
      <c r="Q132" s="1268">
        <v>98.1</v>
      </c>
      <c r="R132" s="1267"/>
      <c r="S132" s="1268">
        <v>0</v>
      </c>
      <c r="T132" s="1267"/>
      <c r="U132" s="1268">
        <v>0</v>
      </c>
      <c r="V132" s="1267"/>
      <c r="W132" s="1268">
        <v>0</v>
      </c>
      <c r="X132" s="1267"/>
      <c r="Y132" s="1268">
        <v>0</v>
      </c>
      <c r="Z132" s="1267"/>
      <c r="AA132" s="1268">
        <v>0</v>
      </c>
      <c r="AB132" s="1267"/>
      <c r="AC132" s="1268">
        <v>0</v>
      </c>
      <c r="AD132" s="1267"/>
      <c r="AE132" s="1268">
        <f t="shared" si="18"/>
        <v>211.29</v>
      </c>
      <c r="AF132" s="1269">
        <f t="shared" si="19"/>
        <v>6.3811501868432123E-5</v>
      </c>
      <c r="AG132" s="1270"/>
    </row>
    <row r="133" spans="1:33" outlineLevel="1">
      <c r="A133" s="1264">
        <v>56115</v>
      </c>
      <c r="B133" s="1264" t="s">
        <v>246</v>
      </c>
      <c r="C133" s="1265"/>
      <c r="D133" s="1261"/>
      <c r="E133" s="1266"/>
      <c r="F133" s="1267"/>
      <c r="G133" s="1268">
        <v>160.66</v>
      </c>
      <c r="H133" s="1267"/>
      <c r="I133" s="1268">
        <v>80.34</v>
      </c>
      <c r="J133" s="1267"/>
      <c r="K133" s="1268">
        <v>160.68</v>
      </c>
      <c r="L133" s="1267"/>
      <c r="M133" s="1268">
        <v>241.02</v>
      </c>
      <c r="N133" s="1267"/>
      <c r="O133" s="1268">
        <v>160.68</v>
      </c>
      <c r="P133" s="1267"/>
      <c r="Q133" s="1268">
        <v>160.68</v>
      </c>
      <c r="R133" s="1267"/>
      <c r="S133" s="1268">
        <v>160.68</v>
      </c>
      <c r="T133" s="1267"/>
      <c r="U133" s="1268">
        <v>0</v>
      </c>
      <c r="V133" s="1267"/>
      <c r="W133" s="1268">
        <v>0</v>
      </c>
      <c r="X133" s="1267"/>
      <c r="Y133" s="1268">
        <v>0</v>
      </c>
      <c r="Z133" s="1267"/>
      <c r="AA133" s="1268">
        <v>0</v>
      </c>
      <c r="AB133" s="1267"/>
      <c r="AC133" s="1268">
        <v>0</v>
      </c>
      <c r="AD133" s="1267"/>
      <c r="AE133" s="1268">
        <f t="shared" si="18"/>
        <v>1124.74</v>
      </c>
      <c r="AF133" s="1269">
        <f t="shared" si="19"/>
        <v>3.3968171049978866E-4</v>
      </c>
      <c r="AG133" s="1270"/>
    </row>
    <row r="134" spans="1:33" s="1266" customFormat="1" ht="5.0999999999999996" customHeight="1" outlineLevel="1">
      <c r="A134" s="1265"/>
      <c r="B134" s="1265"/>
      <c r="C134" s="1265"/>
      <c r="D134" s="1265"/>
      <c r="G134" s="581"/>
      <c r="H134" s="579"/>
      <c r="I134" s="581"/>
      <c r="J134" s="579"/>
      <c r="K134" s="581"/>
      <c r="L134" s="579"/>
      <c r="M134" s="581"/>
      <c r="N134" s="579"/>
      <c r="O134" s="581"/>
      <c r="P134" s="579"/>
      <c r="Q134" s="581"/>
      <c r="R134" s="579"/>
      <c r="S134" s="581"/>
      <c r="T134" s="579"/>
      <c r="U134" s="581"/>
      <c r="V134" s="579"/>
      <c r="W134" s="581"/>
      <c r="X134" s="579"/>
      <c r="Y134" s="581"/>
      <c r="Z134" s="579"/>
      <c r="AA134" s="581"/>
      <c r="AB134" s="579"/>
      <c r="AC134" s="581"/>
      <c r="AD134" s="579"/>
      <c r="AE134" s="581"/>
      <c r="AF134" s="577"/>
      <c r="AG134" s="1272"/>
    </row>
    <row r="135" spans="1:33" s="1266" customFormat="1" ht="15">
      <c r="C135" s="1265" t="s">
        <v>258</v>
      </c>
      <c r="G135" s="578">
        <f>SUM(G127:G134)</f>
        <v>10468.599999999999</v>
      </c>
      <c r="H135" s="579"/>
      <c r="I135" s="578">
        <f>SUM(I127:I134)</f>
        <v>7676.47</v>
      </c>
      <c r="J135" s="579"/>
      <c r="K135" s="578">
        <f>SUM(K127:K134)</f>
        <v>-57.629999999999939</v>
      </c>
      <c r="L135" s="579"/>
      <c r="M135" s="578">
        <f>SUM(M127:M134)</f>
        <v>7668.7900000000009</v>
      </c>
      <c r="N135" s="579"/>
      <c r="O135" s="578">
        <f>SUM(O127:O134)</f>
        <v>5965.21</v>
      </c>
      <c r="P135" s="579"/>
      <c r="Q135" s="578">
        <f>SUM(Q127:Q134)</f>
        <v>7237.17</v>
      </c>
      <c r="R135" s="579"/>
      <c r="S135" s="578">
        <f>SUM(S127:S134)</f>
        <v>7717.47</v>
      </c>
      <c r="T135" s="579"/>
      <c r="U135" s="578">
        <f>SUM(U127:U134)</f>
        <v>0</v>
      </c>
      <c r="V135" s="579"/>
      <c r="W135" s="578">
        <f>SUM(W127:W134)</f>
        <v>0</v>
      </c>
      <c r="X135" s="579"/>
      <c r="Y135" s="578">
        <f>SUM(Y127:Y134)</f>
        <v>0</v>
      </c>
      <c r="Z135" s="579"/>
      <c r="AA135" s="578">
        <f>SUM(AA127:AA134)</f>
        <v>0</v>
      </c>
      <c r="AB135" s="579"/>
      <c r="AC135" s="578">
        <f>SUM(AC127:AC134)</f>
        <v>0</v>
      </c>
      <c r="AD135" s="579"/>
      <c r="AE135" s="578">
        <f>SUM(AE127:AE134)</f>
        <v>46676.079999999994</v>
      </c>
      <c r="AF135" s="1269">
        <f>IF(AE$45=0,0,AE135/AE$45)</f>
        <v>1.4096600720010824E-2</v>
      </c>
      <c r="AG135" s="1272"/>
    </row>
    <row r="136" spans="1:33" s="1266" customFormat="1" ht="15" outlineLevel="1">
      <c r="G136" s="580"/>
      <c r="H136" s="579"/>
      <c r="I136" s="580"/>
      <c r="J136" s="579"/>
      <c r="K136" s="580"/>
      <c r="L136" s="579"/>
      <c r="M136" s="580"/>
      <c r="N136" s="579"/>
      <c r="O136" s="580"/>
      <c r="P136" s="579"/>
      <c r="Q136" s="580"/>
      <c r="R136" s="579"/>
      <c r="S136" s="580"/>
      <c r="T136" s="579"/>
      <c r="U136" s="580"/>
      <c r="V136" s="579"/>
      <c r="W136" s="580"/>
      <c r="X136" s="579"/>
      <c r="Y136" s="580"/>
      <c r="Z136" s="579"/>
      <c r="AA136" s="580"/>
      <c r="AB136" s="579"/>
      <c r="AC136" s="580"/>
      <c r="AD136" s="579"/>
      <c r="AE136" s="580"/>
      <c r="AF136" s="577"/>
      <c r="AG136" s="1272"/>
    </row>
    <row r="137" spans="1:33" s="1266" customFormat="1" ht="15" outlineLevel="1">
      <c r="G137" s="580"/>
      <c r="H137" s="579"/>
      <c r="I137" s="580"/>
      <c r="J137" s="579"/>
      <c r="K137" s="580"/>
      <c r="L137" s="579"/>
      <c r="M137" s="580"/>
      <c r="N137" s="579"/>
      <c r="O137" s="580"/>
      <c r="P137" s="579"/>
      <c r="Q137" s="580"/>
      <c r="R137" s="579"/>
      <c r="S137" s="580"/>
      <c r="T137" s="579"/>
      <c r="U137" s="580"/>
      <c r="V137" s="579"/>
      <c r="W137" s="580"/>
      <c r="X137" s="579"/>
      <c r="Y137" s="580"/>
      <c r="Z137" s="579"/>
      <c r="AA137" s="580"/>
      <c r="AB137" s="579"/>
      <c r="AC137" s="580"/>
      <c r="AD137" s="579"/>
      <c r="AE137" s="580"/>
      <c r="AF137" s="577"/>
      <c r="AG137" s="1272"/>
    </row>
    <row r="138" spans="1:33" outlineLevel="1">
      <c r="A138" s="1264">
        <v>57147</v>
      </c>
      <c r="B138" s="1264" t="s">
        <v>260</v>
      </c>
      <c r="C138" s="1265"/>
      <c r="D138" s="1261"/>
      <c r="E138" s="1266"/>
      <c r="F138" s="1267"/>
      <c r="G138" s="1268">
        <v>267.33999999999997</v>
      </c>
      <c r="H138" s="1267"/>
      <c r="I138" s="1268">
        <v>2818.02</v>
      </c>
      <c r="J138" s="1267"/>
      <c r="K138" s="1268">
        <v>1810.08</v>
      </c>
      <c r="L138" s="1267"/>
      <c r="M138" s="1268">
        <v>270.47000000000003</v>
      </c>
      <c r="N138" s="1267"/>
      <c r="O138" s="1268">
        <v>3424.97</v>
      </c>
      <c r="P138" s="1267"/>
      <c r="Q138" s="1268">
        <v>1529.01</v>
      </c>
      <c r="R138" s="1267"/>
      <c r="S138" s="1268">
        <v>1875.33</v>
      </c>
      <c r="T138" s="1267"/>
      <c r="U138" s="1268">
        <v>-334.61</v>
      </c>
      <c r="V138" s="1267"/>
      <c r="W138" s="1268">
        <v>502.34</v>
      </c>
      <c r="X138" s="1267"/>
      <c r="Y138" s="1268">
        <v>698.72</v>
      </c>
      <c r="Z138" s="1267"/>
      <c r="AA138" s="1268">
        <v>204.11</v>
      </c>
      <c r="AB138" s="1267"/>
      <c r="AC138" s="1268">
        <v>37.71</v>
      </c>
      <c r="AD138" s="1267"/>
      <c r="AE138" s="1268">
        <f t="shared" ref="AE138:AE146" si="20">AC138+AA138+Y138+W138+U138+S138+Q138+O138+M138+K138+I138+G138</f>
        <v>13103.49</v>
      </c>
      <c r="AF138" s="1269">
        <f t="shared" ref="AF138:AF146" si="21">IF(AE$45=0,0,AE138/AE$45)</f>
        <v>3.9573731677693298E-3</v>
      </c>
      <c r="AG138" s="1270"/>
    </row>
    <row r="139" spans="1:33" outlineLevel="1">
      <c r="A139" s="1264">
        <v>57165</v>
      </c>
      <c r="B139" s="1264" t="s">
        <v>56</v>
      </c>
      <c r="C139" s="1265"/>
      <c r="D139" s="1261"/>
      <c r="E139" s="1266"/>
      <c r="F139" s="1267"/>
      <c r="G139" s="1268">
        <v>164.58</v>
      </c>
      <c r="H139" s="1267"/>
      <c r="I139" s="1268">
        <v>164.58</v>
      </c>
      <c r="J139" s="1267"/>
      <c r="K139" s="1268">
        <v>164.58</v>
      </c>
      <c r="L139" s="1267"/>
      <c r="M139" s="1268">
        <v>164.58</v>
      </c>
      <c r="N139" s="1267"/>
      <c r="O139" s="1268">
        <v>164.58</v>
      </c>
      <c r="P139" s="1267"/>
      <c r="Q139" s="1268">
        <v>164.58</v>
      </c>
      <c r="R139" s="1267"/>
      <c r="S139" s="1268">
        <v>164.58</v>
      </c>
      <c r="T139" s="1267"/>
      <c r="U139" s="1268">
        <v>164.58</v>
      </c>
      <c r="V139" s="1267"/>
      <c r="W139" s="1268">
        <v>164.58</v>
      </c>
      <c r="X139" s="1267"/>
      <c r="Y139" s="1268">
        <v>141.83000000000001</v>
      </c>
      <c r="Z139" s="1267"/>
      <c r="AA139" s="1268">
        <v>164.97</v>
      </c>
      <c r="AB139" s="1267"/>
      <c r="AC139" s="1268">
        <v>164.97</v>
      </c>
      <c r="AD139" s="1267"/>
      <c r="AE139" s="1268">
        <f t="shared" si="20"/>
        <v>1952.9899999999998</v>
      </c>
      <c r="AF139" s="1269">
        <f t="shared" si="21"/>
        <v>5.8982074416219054E-4</v>
      </c>
      <c r="AG139" s="1270"/>
    </row>
    <row r="140" spans="1:33" outlineLevel="1">
      <c r="A140" s="1264">
        <v>57170</v>
      </c>
      <c r="B140" s="1264" t="s">
        <v>261</v>
      </c>
      <c r="C140" s="1265"/>
      <c r="D140" s="1261"/>
      <c r="E140" s="1266"/>
      <c r="F140" s="1267"/>
      <c r="G140" s="1268">
        <v>475</v>
      </c>
      <c r="H140" s="1267"/>
      <c r="I140" s="1268">
        <v>475</v>
      </c>
      <c r="J140" s="1267"/>
      <c r="K140" s="1268">
        <v>475</v>
      </c>
      <c r="L140" s="1267"/>
      <c r="M140" s="1268">
        <v>475</v>
      </c>
      <c r="N140" s="1267"/>
      <c r="O140" s="1268">
        <v>475</v>
      </c>
      <c r="P140" s="1267"/>
      <c r="Q140" s="1268">
        <v>475</v>
      </c>
      <c r="R140" s="1267"/>
      <c r="S140" s="1268">
        <v>475</v>
      </c>
      <c r="T140" s="1267"/>
      <c r="U140" s="1268">
        <v>475</v>
      </c>
      <c r="V140" s="1267"/>
      <c r="W140" s="1268">
        <v>475</v>
      </c>
      <c r="X140" s="1267"/>
      <c r="Y140" s="1268">
        <v>0</v>
      </c>
      <c r="Z140" s="1267"/>
      <c r="AA140" s="1268">
        <v>950</v>
      </c>
      <c r="AB140" s="1267"/>
      <c r="AC140" s="1268">
        <v>475</v>
      </c>
      <c r="AD140" s="1267"/>
      <c r="AE140" s="1268">
        <f t="shared" si="20"/>
        <v>5700</v>
      </c>
      <c r="AF140" s="1269">
        <f t="shared" si="21"/>
        <v>1.7214518465145682E-3</v>
      </c>
      <c r="AG140" s="1270"/>
    </row>
    <row r="141" spans="1:33" outlineLevel="1">
      <c r="A141" s="1264">
        <v>57254</v>
      </c>
      <c r="B141" s="1264" t="s">
        <v>262</v>
      </c>
      <c r="C141" s="1265"/>
      <c r="D141" s="1261"/>
      <c r="E141" s="1266"/>
      <c r="F141" s="1267"/>
      <c r="G141" s="1268">
        <v>1002.53</v>
      </c>
      <c r="H141" s="1267"/>
      <c r="I141" s="1268">
        <v>597.25</v>
      </c>
      <c r="J141" s="1267"/>
      <c r="K141" s="1268">
        <v>951.85</v>
      </c>
      <c r="L141" s="1267"/>
      <c r="M141" s="1268">
        <v>742.78</v>
      </c>
      <c r="N141" s="1267"/>
      <c r="O141" s="1268">
        <v>1100.6199999999999</v>
      </c>
      <c r="P141" s="1267"/>
      <c r="Q141" s="1268">
        <v>1151.3</v>
      </c>
      <c r="R141" s="1267"/>
      <c r="S141" s="1268">
        <v>855.65</v>
      </c>
      <c r="T141" s="1267"/>
      <c r="U141" s="1268">
        <v>919.07</v>
      </c>
      <c r="V141" s="1267"/>
      <c r="W141" s="1268">
        <v>739.36</v>
      </c>
      <c r="X141" s="1267"/>
      <c r="Y141" s="1268">
        <v>738.65</v>
      </c>
      <c r="Z141" s="1267"/>
      <c r="AA141" s="1268">
        <v>301.66000000000003</v>
      </c>
      <c r="AB141" s="1267"/>
      <c r="AC141" s="1268">
        <v>729.05</v>
      </c>
      <c r="AD141" s="1267"/>
      <c r="AE141" s="1268">
        <f t="shared" si="20"/>
        <v>9829.77</v>
      </c>
      <c r="AF141" s="1269">
        <f t="shared" si="21"/>
        <v>2.9686799504058787E-3</v>
      </c>
      <c r="AG141" s="1270"/>
    </row>
    <row r="142" spans="1:33" outlineLevel="1">
      <c r="A142" s="1264">
        <v>57255</v>
      </c>
      <c r="B142" s="1264" t="s">
        <v>77</v>
      </c>
      <c r="C142" s="1265"/>
      <c r="D142" s="1261"/>
      <c r="E142" s="1266"/>
      <c r="F142" s="1267"/>
      <c r="G142" s="1268">
        <v>1613.75</v>
      </c>
      <c r="H142" s="1267"/>
      <c r="I142" s="1268">
        <v>2439.17</v>
      </c>
      <c r="J142" s="1267"/>
      <c r="K142" s="1268">
        <v>3830.76</v>
      </c>
      <c r="L142" s="1267"/>
      <c r="M142" s="1268">
        <v>1329.36</v>
      </c>
      <c r="N142" s="1267"/>
      <c r="O142" s="1268">
        <v>1012.09</v>
      </c>
      <c r="P142" s="1267"/>
      <c r="Q142" s="1268">
        <v>183.37</v>
      </c>
      <c r="R142" s="1267"/>
      <c r="S142" s="1268">
        <v>-236.63</v>
      </c>
      <c r="T142" s="1267"/>
      <c r="U142" s="1268">
        <v>3318.37</v>
      </c>
      <c r="V142" s="1267"/>
      <c r="W142" s="1268">
        <v>-576.63</v>
      </c>
      <c r="X142" s="1267"/>
      <c r="Y142" s="1268">
        <v>2315.66</v>
      </c>
      <c r="Z142" s="1267"/>
      <c r="AA142" s="1268">
        <v>707.77</v>
      </c>
      <c r="AB142" s="1267"/>
      <c r="AC142" s="1268">
        <v>1453.37</v>
      </c>
      <c r="AD142" s="1267"/>
      <c r="AE142" s="1268">
        <f t="shared" si="20"/>
        <v>17390.41</v>
      </c>
      <c r="AF142" s="1269">
        <f t="shared" si="21"/>
        <v>5.2520620010781428E-3</v>
      </c>
      <c r="AG142" s="1270"/>
    </row>
    <row r="143" spans="1:33" outlineLevel="1">
      <c r="A143" s="1264">
        <v>57275</v>
      </c>
      <c r="B143" s="1264" t="s">
        <v>263</v>
      </c>
      <c r="C143" s="1265"/>
      <c r="D143" s="1261"/>
      <c r="E143" s="1266"/>
      <c r="F143" s="1267"/>
      <c r="G143" s="1268">
        <v>250</v>
      </c>
      <c r="H143" s="1267"/>
      <c r="I143" s="1268">
        <v>635.07000000000005</v>
      </c>
      <c r="J143" s="1267"/>
      <c r="K143" s="1268">
        <v>270.70999999999998</v>
      </c>
      <c r="L143" s="1267"/>
      <c r="M143" s="1268">
        <v>351.45</v>
      </c>
      <c r="N143" s="1267"/>
      <c r="O143" s="1268">
        <v>351.45</v>
      </c>
      <c r="P143" s="1267"/>
      <c r="Q143" s="1268">
        <v>351.45</v>
      </c>
      <c r="R143" s="1267"/>
      <c r="S143" s="1268">
        <v>351.45</v>
      </c>
      <c r="T143" s="1267"/>
      <c r="U143" s="1268">
        <v>351.45</v>
      </c>
      <c r="V143" s="1267"/>
      <c r="W143" s="1268">
        <v>351.45</v>
      </c>
      <c r="X143" s="1267"/>
      <c r="Y143" s="1268">
        <v>351.45</v>
      </c>
      <c r="Z143" s="1267"/>
      <c r="AA143" s="1268">
        <v>351.41</v>
      </c>
      <c r="AB143" s="1267"/>
      <c r="AC143" s="1268">
        <v>350</v>
      </c>
      <c r="AD143" s="1267"/>
      <c r="AE143" s="1268">
        <f t="shared" si="20"/>
        <v>4317.34</v>
      </c>
      <c r="AF143" s="1269">
        <f t="shared" si="21"/>
        <v>1.3038759500054748E-3</v>
      </c>
      <c r="AG143" s="1270"/>
    </row>
    <row r="144" spans="1:33" outlineLevel="1">
      <c r="A144" s="1264">
        <v>57324</v>
      </c>
      <c r="B144" s="1264" t="s">
        <v>264</v>
      </c>
      <c r="C144" s="1265"/>
      <c r="D144" s="1261"/>
      <c r="E144" s="1266"/>
      <c r="F144" s="1267"/>
      <c r="G144" s="1268">
        <v>2767.5</v>
      </c>
      <c r="H144" s="1267"/>
      <c r="I144" s="1268">
        <v>0</v>
      </c>
      <c r="J144" s="1267"/>
      <c r="K144" s="1268">
        <v>0</v>
      </c>
      <c r="L144" s="1267"/>
      <c r="M144" s="1268">
        <v>0</v>
      </c>
      <c r="N144" s="1267"/>
      <c r="O144" s="1268">
        <v>0</v>
      </c>
      <c r="P144" s="1267"/>
      <c r="Q144" s="1268">
        <v>0</v>
      </c>
      <c r="R144" s="1267"/>
      <c r="S144" s="1268">
        <v>0</v>
      </c>
      <c r="T144" s="1267"/>
      <c r="U144" s="1268">
        <v>0</v>
      </c>
      <c r="V144" s="1267"/>
      <c r="W144" s="1268">
        <v>0</v>
      </c>
      <c r="X144" s="1267"/>
      <c r="Y144" s="1268">
        <v>0</v>
      </c>
      <c r="Z144" s="1267"/>
      <c r="AA144" s="1268">
        <v>0</v>
      </c>
      <c r="AB144" s="1267"/>
      <c r="AC144" s="1268">
        <v>0</v>
      </c>
      <c r="AD144" s="1267"/>
      <c r="AE144" s="1268">
        <f t="shared" si="20"/>
        <v>2767.5</v>
      </c>
      <c r="AF144" s="1269">
        <f t="shared" si="21"/>
        <v>8.3581017284720485E-4</v>
      </c>
      <c r="AG144" s="1270"/>
    </row>
    <row r="145" spans="1:33" outlineLevel="1">
      <c r="A145" s="1264">
        <v>57357</v>
      </c>
      <c r="B145" s="1264" t="s">
        <v>149</v>
      </c>
      <c r="C145" s="1265"/>
      <c r="D145" s="1261"/>
      <c r="E145" s="1266"/>
      <c r="F145" s="1267"/>
      <c r="G145" s="1268">
        <v>0</v>
      </c>
      <c r="H145" s="1267"/>
      <c r="I145" s="1268">
        <v>0</v>
      </c>
      <c r="J145" s="1267"/>
      <c r="K145" s="1268">
        <v>0</v>
      </c>
      <c r="L145" s="1267"/>
      <c r="M145" s="1268">
        <v>0</v>
      </c>
      <c r="N145" s="1267"/>
      <c r="O145" s="1268">
        <v>50</v>
      </c>
      <c r="P145" s="1267"/>
      <c r="Q145" s="1268">
        <v>0</v>
      </c>
      <c r="R145" s="1267"/>
      <c r="S145" s="1268">
        <v>0</v>
      </c>
      <c r="T145" s="1267"/>
      <c r="U145" s="1268">
        <v>356.76</v>
      </c>
      <c r="V145" s="1267"/>
      <c r="W145" s="1268">
        <v>169.47</v>
      </c>
      <c r="X145" s="1267"/>
      <c r="Y145" s="1268">
        <v>118.92</v>
      </c>
      <c r="Z145" s="1267"/>
      <c r="AA145" s="1268">
        <v>118.92</v>
      </c>
      <c r="AB145" s="1267"/>
      <c r="AC145" s="1268">
        <v>118.92</v>
      </c>
      <c r="AD145" s="1267"/>
      <c r="AE145" s="1268">
        <f t="shared" si="20"/>
        <v>932.99</v>
      </c>
      <c r="AF145" s="1269">
        <f t="shared" si="21"/>
        <v>2.8177146636484686E-4</v>
      </c>
      <c r="AG145" s="1270"/>
    </row>
    <row r="146" spans="1:33" outlineLevel="1">
      <c r="A146" s="1264">
        <v>57370</v>
      </c>
      <c r="B146" s="1264" t="s">
        <v>265</v>
      </c>
      <c r="C146" s="1265"/>
      <c r="D146" s="1261"/>
      <c r="E146" s="1266"/>
      <c r="F146" s="1267"/>
      <c r="G146" s="1268">
        <v>11.43</v>
      </c>
      <c r="H146" s="1267"/>
      <c r="I146" s="1268">
        <v>11.43</v>
      </c>
      <c r="J146" s="1267"/>
      <c r="K146" s="1268">
        <v>11.43</v>
      </c>
      <c r="L146" s="1267"/>
      <c r="M146" s="1268">
        <v>11.43</v>
      </c>
      <c r="N146" s="1267"/>
      <c r="O146" s="1268">
        <v>4.92</v>
      </c>
      <c r="P146" s="1267"/>
      <c r="Q146" s="1268">
        <v>8.59</v>
      </c>
      <c r="R146" s="1267"/>
      <c r="S146" s="1268">
        <v>8.59</v>
      </c>
      <c r="T146" s="1267"/>
      <c r="U146" s="1268">
        <v>8.59</v>
      </c>
      <c r="V146" s="1267"/>
      <c r="W146" s="1268">
        <v>8.59</v>
      </c>
      <c r="X146" s="1267"/>
      <c r="Y146" s="1268">
        <v>8.59</v>
      </c>
      <c r="Z146" s="1267"/>
      <c r="AA146" s="1268">
        <v>8.59</v>
      </c>
      <c r="AB146" s="1267"/>
      <c r="AC146" s="1268">
        <v>7.36</v>
      </c>
      <c r="AD146" s="1267"/>
      <c r="AE146" s="1268">
        <f t="shared" si="20"/>
        <v>109.54000000000002</v>
      </c>
      <c r="AF146" s="1269">
        <f t="shared" si="21"/>
        <v>3.3082076362667694E-5</v>
      </c>
      <c r="AG146" s="1270"/>
    </row>
    <row r="147" spans="1:33" s="1266" customFormat="1" ht="5.0999999999999996" customHeight="1" outlineLevel="1">
      <c r="A147" s="1265"/>
      <c r="B147" s="1265"/>
      <c r="C147" s="1265"/>
      <c r="D147" s="1265"/>
      <c r="G147" s="581"/>
      <c r="H147" s="579"/>
      <c r="I147" s="581"/>
      <c r="J147" s="579"/>
      <c r="K147" s="581"/>
      <c r="L147" s="579"/>
      <c r="M147" s="581"/>
      <c r="N147" s="579"/>
      <c r="O147" s="581"/>
      <c r="P147" s="579"/>
      <c r="Q147" s="581"/>
      <c r="R147" s="579"/>
      <c r="S147" s="581"/>
      <c r="T147" s="579"/>
      <c r="U147" s="581"/>
      <c r="V147" s="579"/>
      <c r="W147" s="581"/>
      <c r="X147" s="579"/>
      <c r="Y147" s="581"/>
      <c r="Z147" s="579"/>
      <c r="AA147" s="581"/>
      <c r="AB147" s="579"/>
      <c r="AC147" s="581"/>
      <c r="AD147" s="579"/>
      <c r="AE147" s="581"/>
      <c r="AF147" s="577"/>
      <c r="AG147" s="1272"/>
    </row>
    <row r="148" spans="1:33" s="1266" customFormat="1" ht="15">
      <c r="C148" s="1265" t="s">
        <v>266</v>
      </c>
      <c r="G148" s="578">
        <f>SUM(G137:G147)</f>
        <v>6552.13</v>
      </c>
      <c r="H148" s="579"/>
      <c r="I148" s="578">
        <f>SUM(I137:I147)</f>
        <v>7140.52</v>
      </c>
      <c r="J148" s="579"/>
      <c r="K148" s="578">
        <f>SUM(K137:K147)</f>
        <v>7514.4100000000008</v>
      </c>
      <c r="L148" s="579"/>
      <c r="M148" s="578">
        <f>SUM(M137:M147)</f>
        <v>3345.0699999999993</v>
      </c>
      <c r="N148" s="579"/>
      <c r="O148" s="578">
        <f>SUM(O137:O147)</f>
        <v>6583.63</v>
      </c>
      <c r="P148" s="579"/>
      <c r="Q148" s="578">
        <f>SUM(Q137:Q147)</f>
        <v>3863.3</v>
      </c>
      <c r="R148" s="579"/>
      <c r="S148" s="578">
        <f>SUM(S137:S147)</f>
        <v>3493.97</v>
      </c>
      <c r="T148" s="579"/>
      <c r="U148" s="578">
        <f>SUM(U137:U147)</f>
        <v>5259.21</v>
      </c>
      <c r="V148" s="579"/>
      <c r="W148" s="578">
        <f>SUM(W137:W147)</f>
        <v>1834.16</v>
      </c>
      <c r="X148" s="579"/>
      <c r="Y148" s="578">
        <f>SUM(Y137:Y147)</f>
        <v>4373.82</v>
      </c>
      <c r="Z148" s="579"/>
      <c r="AA148" s="578">
        <f>SUM(AA137:AA147)</f>
        <v>2807.4300000000003</v>
      </c>
      <c r="AB148" s="579"/>
      <c r="AC148" s="578">
        <f>SUM(AC137:AC147)</f>
        <v>3336.38</v>
      </c>
      <c r="AD148" s="579"/>
      <c r="AE148" s="578">
        <f>SUM(AE137:AE147)</f>
        <v>56104.03</v>
      </c>
      <c r="AF148" s="1269">
        <f>IF(AE$45=0,0,AE148/AE$45)</f>
        <v>1.6943927375510304E-2</v>
      </c>
      <c r="AG148" s="1272"/>
    </row>
    <row r="149" spans="1:33" s="1266" customFormat="1" ht="15" outlineLevel="1">
      <c r="G149" s="580"/>
      <c r="H149" s="579"/>
      <c r="I149" s="580"/>
      <c r="J149" s="579"/>
      <c r="K149" s="580"/>
      <c r="L149" s="579"/>
      <c r="M149" s="580"/>
      <c r="N149" s="579"/>
      <c r="O149" s="580"/>
      <c r="P149" s="579"/>
      <c r="Q149" s="580"/>
      <c r="R149" s="579"/>
      <c r="S149" s="580"/>
      <c r="T149" s="579"/>
      <c r="U149" s="580"/>
      <c r="V149" s="579"/>
      <c r="W149" s="580"/>
      <c r="X149" s="579"/>
      <c r="Y149" s="580"/>
      <c r="Z149" s="579"/>
      <c r="AA149" s="580"/>
      <c r="AB149" s="579"/>
      <c r="AC149" s="580"/>
      <c r="AD149" s="579"/>
      <c r="AE149" s="580"/>
      <c r="AF149" s="577"/>
      <c r="AG149" s="1272"/>
    </row>
    <row r="150" spans="1:33" s="1266" customFormat="1" ht="15" outlineLevel="1">
      <c r="A150" s="1278"/>
      <c r="B150" s="1278"/>
      <c r="C150" s="1278"/>
      <c r="D150" s="1278"/>
      <c r="E150" s="1278"/>
      <c r="F150" s="1278"/>
      <c r="G150" s="154"/>
      <c r="H150" s="155"/>
      <c r="I150" s="154"/>
      <c r="J150" s="155"/>
      <c r="K150" s="154"/>
      <c r="L150" s="155"/>
      <c r="M150" s="154"/>
      <c r="N150" s="155"/>
      <c r="O150" s="154"/>
      <c r="P150" s="155"/>
      <c r="Q150" s="154"/>
      <c r="R150" s="155"/>
      <c r="S150" s="154"/>
      <c r="T150" s="155"/>
      <c r="U150" s="154"/>
      <c r="V150" s="155"/>
      <c r="W150" s="154"/>
      <c r="X150" s="155"/>
      <c r="Y150" s="154"/>
      <c r="Z150" s="155"/>
      <c r="AA150" s="154"/>
      <c r="AB150" s="155"/>
      <c r="AC150" s="154"/>
      <c r="AD150" s="155"/>
      <c r="AE150" s="154"/>
      <c r="AF150" s="1278"/>
      <c r="AG150" s="1278"/>
    </row>
    <row r="151" spans="1:33" s="1266" customFormat="1" ht="4.5" customHeight="1" outlineLevel="1">
      <c r="A151" s="148"/>
      <c r="G151" s="581"/>
      <c r="H151" s="579"/>
      <c r="I151" s="581"/>
      <c r="J151" s="579"/>
      <c r="K151" s="581"/>
      <c r="L151" s="579"/>
      <c r="M151" s="581"/>
      <c r="N151" s="579"/>
      <c r="O151" s="581"/>
      <c r="P151" s="579"/>
      <c r="Q151" s="581"/>
      <c r="R151" s="579"/>
      <c r="S151" s="581"/>
      <c r="T151" s="579"/>
      <c r="U151" s="581"/>
      <c r="V151" s="579"/>
      <c r="W151" s="581"/>
      <c r="X151" s="579"/>
      <c r="Y151" s="581"/>
      <c r="Z151" s="579"/>
      <c r="AA151" s="581"/>
      <c r="AB151" s="579"/>
      <c r="AC151" s="581"/>
      <c r="AD151" s="579"/>
      <c r="AE151" s="581"/>
      <c r="AF151" s="577"/>
      <c r="AG151" s="1272"/>
    </row>
    <row r="152" spans="1:33" s="1266" customFormat="1" ht="15">
      <c r="C152" s="1266" t="s">
        <v>267</v>
      </c>
      <c r="G152" s="578">
        <f>SUM(G150:G151)</f>
        <v>0</v>
      </c>
      <c r="H152" s="579"/>
      <c r="I152" s="578">
        <f>SUM(I150:I151)</f>
        <v>0</v>
      </c>
      <c r="J152" s="579"/>
      <c r="K152" s="578">
        <f>SUM(K150:K151)</f>
        <v>0</v>
      </c>
      <c r="L152" s="579"/>
      <c r="M152" s="578">
        <f>SUM(M150:M151)</f>
        <v>0</v>
      </c>
      <c r="N152" s="579"/>
      <c r="O152" s="578">
        <f>SUM(O150:O151)</f>
        <v>0</v>
      </c>
      <c r="P152" s="579"/>
      <c r="Q152" s="578">
        <f>SUM(Q150:Q151)</f>
        <v>0</v>
      </c>
      <c r="R152" s="579"/>
      <c r="S152" s="578">
        <f>SUM(S150:S151)</f>
        <v>0</v>
      </c>
      <c r="T152" s="579"/>
      <c r="U152" s="578">
        <f>SUM(U150:U151)</f>
        <v>0</v>
      </c>
      <c r="V152" s="579"/>
      <c r="W152" s="578">
        <f>SUM(W150:W151)</f>
        <v>0</v>
      </c>
      <c r="X152" s="579"/>
      <c r="Y152" s="578">
        <f>SUM(Y150:Y151)</f>
        <v>0</v>
      </c>
      <c r="Z152" s="579"/>
      <c r="AA152" s="578">
        <f>SUM(AA150:AA151)</f>
        <v>0</v>
      </c>
      <c r="AB152" s="579"/>
      <c r="AC152" s="578">
        <f>SUM(AC150:AC151)</f>
        <v>0</v>
      </c>
      <c r="AD152" s="579"/>
      <c r="AE152" s="578">
        <f>SUM(AE150:AE151)</f>
        <v>0</v>
      </c>
      <c r="AF152" s="1269">
        <f>IF(AE$45=0,0,AE152/AE$45)</f>
        <v>0</v>
      </c>
      <c r="AG152" s="1272"/>
    </row>
    <row r="153" spans="1:33" s="1266" customFormat="1" ht="15" outlineLevel="1">
      <c r="G153" s="580"/>
      <c r="H153" s="579"/>
      <c r="I153" s="580"/>
      <c r="J153" s="579"/>
      <c r="K153" s="580"/>
      <c r="L153" s="579"/>
      <c r="M153" s="580"/>
      <c r="N153" s="579"/>
      <c r="O153" s="580"/>
      <c r="P153" s="579"/>
      <c r="Q153" s="580"/>
      <c r="R153" s="579"/>
      <c r="S153" s="580"/>
      <c r="T153" s="579"/>
      <c r="U153" s="580"/>
      <c r="V153" s="579"/>
      <c r="W153" s="580"/>
      <c r="X153" s="579"/>
      <c r="Y153" s="580"/>
      <c r="Z153" s="579"/>
      <c r="AA153" s="580"/>
      <c r="AB153" s="579"/>
      <c r="AC153" s="580"/>
      <c r="AD153" s="579"/>
      <c r="AE153" s="580"/>
      <c r="AF153" s="577"/>
      <c r="AG153" s="1272"/>
    </row>
    <row r="154" spans="1:33" s="1266" customFormat="1" ht="15" outlineLevel="1">
      <c r="G154" s="580"/>
      <c r="H154" s="579"/>
      <c r="I154" s="580"/>
      <c r="J154" s="579"/>
      <c r="K154" s="580"/>
      <c r="L154" s="579"/>
      <c r="M154" s="580"/>
      <c r="N154" s="579"/>
      <c r="O154" s="580"/>
      <c r="P154" s="579"/>
      <c r="Q154" s="580"/>
      <c r="R154" s="579"/>
      <c r="S154" s="580"/>
      <c r="T154" s="579"/>
      <c r="U154" s="580"/>
      <c r="V154" s="579"/>
      <c r="W154" s="580"/>
      <c r="X154" s="579"/>
      <c r="Y154" s="580"/>
      <c r="Z154" s="579"/>
      <c r="AA154" s="580"/>
      <c r="AB154" s="579"/>
      <c r="AC154" s="580"/>
      <c r="AD154" s="579"/>
      <c r="AE154" s="580"/>
      <c r="AF154" s="577"/>
      <c r="AG154" s="1272"/>
    </row>
    <row r="155" spans="1:33" outlineLevel="1">
      <c r="A155" s="1264">
        <v>59340</v>
      </c>
      <c r="B155" s="1264" t="s">
        <v>92</v>
      </c>
      <c r="C155" s="1265"/>
      <c r="D155" s="1261"/>
      <c r="E155" s="1266"/>
      <c r="F155" s="1267"/>
      <c r="G155" s="1268">
        <v>1421.8</v>
      </c>
      <c r="H155" s="1267"/>
      <c r="I155" s="1268">
        <v>1421.8</v>
      </c>
      <c r="J155" s="1267"/>
      <c r="K155" s="1268">
        <v>1421.8</v>
      </c>
      <c r="L155" s="1267"/>
      <c r="M155" s="1268">
        <v>1421.8</v>
      </c>
      <c r="N155" s="1267"/>
      <c r="O155" s="1268">
        <v>1421.8</v>
      </c>
      <c r="P155" s="1267"/>
      <c r="Q155" s="1268">
        <v>1421.8</v>
      </c>
      <c r="R155" s="1267"/>
      <c r="S155" s="1268">
        <v>1421.8</v>
      </c>
      <c r="T155" s="1267"/>
      <c r="U155" s="1268">
        <v>1421.8</v>
      </c>
      <c r="V155" s="1267"/>
      <c r="W155" s="1268">
        <v>1421.8</v>
      </c>
      <c r="X155" s="1267"/>
      <c r="Y155" s="1268">
        <v>1421.8</v>
      </c>
      <c r="Z155" s="1267"/>
      <c r="AA155" s="1268">
        <v>1421.8</v>
      </c>
      <c r="AB155" s="1267"/>
      <c r="AC155" s="1268">
        <v>1542.89</v>
      </c>
      <c r="AD155" s="1267"/>
      <c r="AE155" s="1268">
        <f t="shared" ref="AE155:AE159" si="22">AC155+AA155+Y155+W155+U155+S155+Q155+O155+M155+K155+I155+G155</f>
        <v>17182.689999999995</v>
      </c>
      <c r="AF155" s="1269">
        <f t="shared" ref="AF155:AF159" si="23">IF(AE$45=0,0,AE155/AE$45)</f>
        <v>5.1893286716819999E-3</v>
      </c>
      <c r="AG155" s="1270"/>
    </row>
    <row r="156" spans="1:33" outlineLevel="1">
      <c r="A156" s="1264">
        <v>59341</v>
      </c>
      <c r="B156" s="1264" t="s">
        <v>269</v>
      </c>
      <c r="C156" s="1265"/>
      <c r="D156" s="1261"/>
      <c r="E156" s="1266"/>
      <c r="F156" s="1267"/>
      <c r="G156" s="1268">
        <v>0</v>
      </c>
      <c r="H156" s="1267"/>
      <c r="I156" s="1268">
        <v>0</v>
      </c>
      <c r="J156" s="1267"/>
      <c r="K156" s="1268">
        <v>2515.33</v>
      </c>
      <c r="L156" s="1267"/>
      <c r="M156" s="1268">
        <v>0</v>
      </c>
      <c r="N156" s="1267"/>
      <c r="O156" s="1268">
        <v>0</v>
      </c>
      <c r="P156" s="1267"/>
      <c r="Q156" s="1268">
        <v>0</v>
      </c>
      <c r="R156" s="1267"/>
      <c r="S156" s="1268">
        <v>0</v>
      </c>
      <c r="T156" s="1267"/>
      <c r="U156" s="1268">
        <v>0</v>
      </c>
      <c r="V156" s="1267"/>
      <c r="W156" s="1268">
        <v>0</v>
      </c>
      <c r="X156" s="1267"/>
      <c r="Y156" s="1268">
        <v>0</v>
      </c>
      <c r="Z156" s="1267"/>
      <c r="AA156" s="1268">
        <v>0</v>
      </c>
      <c r="AB156" s="1267"/>
      <c r="AC156" s="1268">
        <v>0</v>
      </c>
      <c r="AD156" s="1267"/>
      <c r="AE156" s="1268">
        <f t="shared" si="22"/>
        <v>2515.33</v>
      </c>
      <c r="AF156" s="1269">
        <f t="shared" si="23"/>
        <v>7.5965253913920852E-4</v>
      </c>
      <c r="AG156" s="1270"/>
    </row>
    <row r="157" spans="1:33" outlineLevel="1">
      <c r="A157" s="1264">
        <v>59343</v>
      </c>
      <c r="B157" s="1264" t="s">
        <v>270</v>
      </c>
      <c r="C157" s="1265"/>
      <c r="D157" s="1261"/>
      <c r="E157" s="1266"/>
      <c r="F157" s="1267"/>
      <c r="G157" s="1268">
        <v>2800</v>
      </c>
      <c r="H157" s="1267"/>
      <c r="I157" s="1268">
        <v>70</v>
      </c>
      <c r="J157" s="1267"/>
      <c r="K157" s="1268">
        <v>0</v>
      </c>
      <c r="L157" s="1267"/>
      <c r="M157" s="1268">
        <v>-2211.4899999999998</v>
      </c>
      <c r="N157" s="1267"/>
      <c r="O157" s="1268">
        <v>0</v>
      </c>
      <c r="P157" s="1267"/>
      <c r="Q157" s="1268">
        <v>0</v>
      </c>
      <c r="R157" s="1267"/>
      <c r="S157" s="1268">
        <v>0</v>
      </c>
      <c r="T157" s="1267"/>
      <c r="U157" s="1268">
        <v>0</v>
      </c>
      <c r="V157" s="1267"/>
      <c r="W157" s="1268">
        <v>0</v>
      </c>
      <c r="X157" s="1267"/>
      <c r="Y157" s="1268">
        <v>0</v>
      </c>
      <c r="Z157" s="1267"/>
      <c r="AA157" s="1268">
        <v>0</v>
      </c>
      <c r="AB157" s="1267"/>
      <c r="AC157" s="1268">
        <v>0</v>
      </c>
      <c r="AD157" s="1267"/>
      <c r="AE157" s="1268">
        <f t="shared" si="22"/>
        <v>658.51000000000022</v>
      </c>
      <c r="AF157" s="1269">
        <f t="shared" si="23"/>
        <v>1.9887600972777345E-4</v>
      </c>
      <c r="AG157" s="1270"/>
    </row>
    <row r="158" spans="1:33" outlineLevel="1">
      <c r="A158" s="1264">
        <v>59344</v>
      </c>
      <c r="B158" s="1264" t="s">
        <v>271</v>
      </c>
      <c r="C158" s="1265"/>
      <c r="D158" s="1261"/>
      <c r="E158" s="1266"/>
      <c r="F158" s="1267"/>
      <c r="G158" s="1268">
        <v>0</v>
      </c>
      <c r="H158" s="1267"/>
      <c r="I158" s="1268">
        <v>33420</v>
      </c>
      <c r="J158" s="1267"/>
      <c r="K158" s="1268">
        <v>0</v>
      </c>
      <c r="L158" s="1267"/>
      <c r="M158" s="1268">
        <v>0</v>
      </c>
      <c r="N158" s="1267"/>
      <c r="O158" s="1268">
        <v>24834</v>
      </c>
      <c r="P158" s="1267"/>
      <c r="Q158" s="1268">
        <v>-3738.96</v>
      </c>
      <c r="R158" s="1267"/>
      <c r="S158" s="1268">
        <v>0</v>
      </c>
      <c r="T158" s="1267"/>
      <c r="U158" s="1268">
        <v>0</v>
      </c>
      <c r="V158" s="1267"/>
      <c r="W158" s="1268">
        <v>0</v>
      </c>
      <c r="X158" s="1267"/>
      <c r="Y158" s="1268">
        <v>0</v>
      </c>
      <c r="Z158" s="1267"/>
      <c r="AA158" s="1268">
        <v>0</v>
      </c>
      <c r="AB158" s="1267"/>
      <c r="AC158" s="1268">
        <v>0</v>
      </c>
      <c r="AD158" s="1267"/>
      <c r="AE158" s="1268">
        <f t="shared" si="22"/>
        <v>54515.040000000001</v>
      </c>
      <c r="AF158" s="1269">
        <f t="shared" si="23"/>
        <v>1.6464037942248343E-2</v>
      </c>
      <c r="AG158" s="1270"/>
    </row>
    <row r="159" spans="1:33" outlineLevel="1">
      <c r="A159" s="1264">
        <v>59500</v>
      </c>
      <c r="B159" s="1264" t="s">
        <v>272</v>
      </c>
      <c r="C159" s="1265"/>
      <c r="D159" s="1261"/>
      <c r="E159" s="1266"/>
      <c r="F159" s="1267"/>
      <c r="G159" s="1268">
        <v>250</v>
      </c>
      <c r="H159" s="1267"/>
      <c r="I159" s="1268">
        <v>125</v>
      </c>
      <c r="J159" s="1267"/>
      <c r="K159" s="1268">
        <v>125</v>
      </c>
      <c r="L159" s="1267"/>
      <c r="M159" s="1268">
        <v>300</v>
      </c>
      <c r="N159" s="1267"/>
      <c r="O159" s="1268">
        <v>125</v>
      </c>
      <c r="P159" s="1267"/>
      <c r="Q159" s="1268">
        <v>125</v>
      </c>
      <c r="R159" s="1267"/>
      <c r="S159" s="1268">
        <v>4600</v>
      </c>
      <c r="T159" s="1267"/>
      <c r="U159" s="1268">
        <v>200</v>
      </c>
      <c r="V159" s="1267"/>
      <c r="W159" s="1268">
        <v>200</v>
      </c>
      <c r="X159" s="1267"/>
      <c r="Y159" s="1268">
        <v>1400</v>
      </c>
      <c r="Z159" s="1267"/>
      <c r="AA159" s="1268">
        <v>625</v>
      </c>
      <c r="AB159" s="1267"/>
      <c r="AC159" s="1268">
        <v>250</v>
      </c>
      <c r="AD159" s="1267"/>
      <c r="AE159" s="1268">
        <f t="shared" si="22"/>
        <v>8325</v>
      </c>
      <c r="AF159" s="1269">
        <f t="shared" si="23"/>
        <v>2.5142257231989089E-3</v>
      </c>
      <c r="AG159" s="1270"/>
    </row>
    <row r="160" spans="1:33" s="1266" customFormat="1" ht="5.0999999999999996" customHeight="1" outlineLevel="1">
      <c r="A160" s="1265"/>
      <c r="B160" s="1265"/>
      <c r="C160" s="1265"/>
      <c r="D160" s="1265"/>
      <c r="G160" s="581"/>
      <c r="H160" s="579"/>
      <c r="I160" s="581"/>
      <c r="J160" s="579"/>
      <c r="K160" s="581"/>
      <c r="L160" s="579"/>
      <c r="M160" s="581"/>
      <c r="N160" s="579"/>
      <c r="O160" s="581"/>
      <c r="P160" s="579"/>
      <c r="Q160" s="581"/>
      <c r="R160" s="579"/>
      <c r="S160" s="581"/>
      <c r="T160" s="579"/>
      <c r="U160" s="581"/>
      <c r="V160" s="579"/>
      <c r="W160" s="581"/>
      <c r="X160" s="579"/>
      <c r="Y160" s="581"/>
      <c r="Z160" s="579"/>
      <c r="AA160" s="581"/>
      <c r="AB160" s="579"/>
      <c r="AC160" s="581"/>
      <c r="AD160" s="579"/>
      <c r="AE160" s="581"/>
      <c r="AF160" s="577"/>
      <c r="AG160" s="1272"/>
    </row>
    <row r="161" spans="1:33" s="1266" customFormat="1" ht="15">
      <c r="C161" s="1265" t="s">
        <v>273</v>
      </c>
      <c r="G161" s="578">
        <f>SUM(G154:G160)</f>
        <v>4471.8</v>
      </c>
      <c r="H161" s="579"/>
      <c r="I161" s="578">
        <f>SUM(I154:I160)</f>
        <v>35036.800000000003</v>
      </c>
      <c r="J161" s="579"/>
      <c r="K161" s="578">
        <f>SUM(K154:K160)</f>
        <v>4062.13</v>
      </c>
      <c r="L161" s="579"/>
      <c r="M161" s="578">
        <f>SUM(M154:M160)</f>
        <v>-489.68999999999983</v>
      </c>
      <c r="N161" s="579"/>
      <c r="O161" s="578">
        <f>SUM(O154:O160)</f>
        <v>26380.799999999999</v>
      </c>
      <c r="P161" s="579"/>
      <c r="Q161" s="578">
        <f>SUM(Q154:Q160)</f>
        <v>-2192.16</v>
      </c>
      <c r="R161" s="579"/>
      <c r="S161" s="578">
        <f>SUM(S154:S160)</f>
        <v>6021.8</v>
      </c>
      <c r="T161" s="579"/>
      <c r="U161" s="578">
        <f>SUM(U154:U160)</f>
        <v>1621.8</v>
      </c>
      <c r="V161" s="579"/>
      <c r="W161" s="578">
        <f>SUM(W154:W160)</f>
        <v>1621.8</v>
      </c>
      <c r="X161" s="579"/>
      <c r="Y161" s="578">
        <f>SUM(Y154:Y160)</f>
        <v>2821.8</v>
      </c>
      <c r="Z161" s="579"/>
      <c r="AA161" s="578">
        <f>SUM(AA154:AA160)</f>
        <v>2046.8</v>
      </c>
      <c r="AB161" s="579"/>
      <c r="AC161" s="578">
        <f>SUM(AC154:AC160)</f>
        <v>1792.89</v>
      </c>
      <c r="AD161" s="579"/>
      <c r="AE161" s="578">
        <f>SUM(AE154:AE160)</f>
        <v>83196.570000000007</v>
      </c>
      <c r="AF161" s="1269">
        <f>IF(AE$45=0,0,AE161/AE$45)</f>
        <v>2.5126120885996236E-2</v>
      </c>
      <c r="AG161" s="1272"/>
    </row>
    <row r="162" spans="1:33" s="1266" customFormat="1" ht="15" outlineLevel="1">
      <c r="G162" s="580"/>
      <c r="H162" s="579"/>
      <c r="I162" s="580"/>
      <c r="J162" s="579"/>
      <c r="K162" s="580"/>
      <c r="L162" s="579"/>
      <c r="M162" s="580"/>
      <c r="N162" s="579"/>
      <c r="O162" s="580"/>
      <c r="P162" s="579"/>
      <c r="Q162" s="580"/>
      <c r="R162" s="579"/>
      <c r="S162" s="580"/>
      <c r="T162" s="579"/>
      <c r="U162" s="580"/>
      <c r="V162" s="579"/>
      <c r="W162" s="580"/>
      <c r="X162" s="579"/>
      <c r="Y162" s="580"/>
      <c r="Z162" s="579"/>
      <c r="AA162" s="580"/>
      <c r="AB162" s="579"/>
      <c r="AC162" s="580"/>
      <c r="AD162" s="579"/>
      <c r="AE162" s="580"/>
      <c r="AF162" s="577"/>
      <c r="AG162" s="1272"/>
    </row>
    <row r="163" spans="1:33" outlineLevel="1">
      <c r="A163" s="1264">
        <v>91010</v>
      </c>
      <c r="B163" s="1264" t="s">
        <v>275</v>
      </c>
      <c r="C163" s="1265"/>
      <c r="D163" s="1261"/>
      <c r="E163" s="1266"/>
      <c r="F163" s="1267"/>
      <c r="G163" s="1268">
        <v>0</v>
      </c>
      <c r="H163" s="1267"/>
      <c r="I163" s="1268">
        <v>0</v>
      </c>
      <c r="J163" s="1267"/>
      <c r="K163" s="1268">
        <v>-2000</v>
      </c>
      <c r="L163" s="1267"/>
      <c r="M163" s="1268">
        <v>0</v>
      </c>
      <c r="N163" s="1267"/>
      <c r="O163" s="1268">
        <v>0</v>
      </c>
      <c r="P163" s="1267"/>
      <c r="Q163" s="1268">
        <v>0</v>
      </c>
      <c r="R163" s="1267"/>
      <c r="S163" s="1268">
        <v>0</v>
      </c>
      <c r="T163" s="1267"/>
      <c r="U163" s="1268">
        <v>256.64</v>
      </c>
      <c r="V163" s="1267"/>
      <c r="W163" s="1268">
        <v>0</v>
      </c>
      <c r="X163" s="1267"/>
      <c r="Y163" s="1268">
        <v>-500</v>
      </c>
      <c r="Z163" s="1267"/>
      <c r="AA163" s="1268">
        <v>0</v>
      </c>
      <c r="AB163" s="1267"/>
      <c r="AC163" s="1268">
        <v>0</v>
      </c>
      <c r="AD163" s="1267"/>
      <c r="AE163" s="1268">
        <f>AC163+AA163+Y163+W163+U163+S163+Q163+O163+M163+K163+I163+G163</f>
        <v>-2243.36</v>
      </c>
      <c r="AF163" s="1269">
        <f>IF(AE$45=0,0,AE163/AE$45)</f>
        <v>-6.7751512533279336E-4</v>
      </c>
      <c r="AG163" s="1270"/>
    </row>
    <row r="164" spans="1:33" s="1266" customFormat="1" ht="5.0999999999999996" customHeight="1" outlineLevel="1">
      <c r="A164" s="1265"/>
      <c r="B164" s="1265"/>
      <c r="C164" s="1265"/>
      <c r="D164" s="1265"/>
      <c r="G164" s="581"/>
      <c r="H164" s="579"/>
      <c r="I164" s="581"/>
      <c r="J164" s="579"/>
      <c r="K164" s="581"/>
      <c r="L164" s="579"/>
      <c r="M164" s="581"/>
      <c r="N164" s="579"/>
      <c r="O164" s="581"/>
      <c r="P164" s="579"/>
      <c r="Q164" s="581"/>
      <c r="R164" s="579"/>
      <c r="S164" s="581"/>
      <c r="T164" s="579"/>
      <c r="U164" s="581"/>
      <c r="V164" s="579"/>
      <c r="W164" s="581"/>
      <c r="X164" s="579"/>
      <c r="Y164" s="581"/>
      <c r="Z164" s="579"/>
      <c r="AA164" s="581"/>
      <c r="AB164" s="579"/>
      <c r="AC164" s="581"/>
      <c r="AD164" s="579"/>
      <c r="AE164" s="581"/>
      <c r="AF164" s="577"/>
      <c r="AG164" s="1272"/>
    </row>
    <row r="165" spans="1:33" s="1266" customFormat="1" ht="15">
      <c r="C165" s="1264" t="s">
        <v>276</v>
      </c>
      <c r="G165" s="578">
        <f>SUM(G163:G164)</f>
        <v>0</v>
      </c>
      <c r="H165" s="579"/>
      <c r="I165" s="578">
        <f>SUM(I163:I164)</f>
        <v>0</v>
      </c>
      <c r="J165" s="579"/>
      <c r="K165" s="578">
        <f>SUM(K163:K164)</f>
        <v>-2000</v>
      </c>
      <c r="L165" s="579"/>
      <c r="M165" s="578">
        <f>SUM(M163:M164)</f>
        <v>0</v>
      </c>
      <c r="N165" s="579"/>
      <c r="O165" s="578">
        <f>SUM(O163:O164)</f>
        <v>0</v>
      </c>
      <c r="P165" s="579"/>
      <c r="Q165" s="578">
        <f>SUM(Q163:Q164)</f>
        <v>0</v>
      </c>
      <c r="R165" s="579"/>
      <c r="S165" s="578">
        <f>SUM(S163:S164)</f>
        <v>0</v>
      </c>
      <c r="T165" s="579"/>
      <c r="U165" s="578">
        <f>SUM(U163:U164)</f>
        <v>256.64</v>
      </c>
      <c r="V165" s="579"/>
      <c r="W165" s="578">
        <f>SUM(W163:W164)</f>
        <v>0</v>
      </c>
      <c r="X165" s="579"/>
      <c r="Y165" s="578">
        <f>SUM(Y163:Y164)</f>
        <v>-500</v>
      </c>
      <c r="Z165" s="579"/>
      <c r="AA165" s="578">
        <f>SUM(AA163:AA164)</f>
        <v>0</v>
      </c>
      <c r="AB165" s="579"/>
      <c r="AC165" s="578">
        <f>SUM(AC163:AC164)</f>
        <v>0</v>
      </c>
      <c r="AD165" s="579"/>
      <c r="AE165" s="578">
        <f>SUM(AE163:AE164)</f>
        <v>-2243.36</v>
      </c>
      <c r="AF165" s="1269">
        <f>IF(AE$45=0,0,AE165/AE$45)</f>
        <v>-6.7751512533279336E-4</v>
      </c>
      <c r="AG165" s="1272"/>
    </row>
    <row r="166" spans="1:33" s="1266" customFormat="1" ht="7.5" customHeight="1">
      <c r="G166" s="580"/>
      <c r="H166" s="579"/>
      <c r="I166" s="580"/>
      <c r="J166" s="579"/>
      <c r="K166" s="580"/>
      <c r="L166" s="579"/>
      <c r="M166" s="580"/>
      <c r="N166" s="579"/>
      <c r="O166" s="580"/>
      <c r="P166" s="579"/>
      <c r="Q166" s="580"/>
      <c r="R166" s="579"/>
      <c r="S166" s="580"/>
      <c r="T166" s="579"/>
      <c r="U166" s="580"/>
      <c r="V166" s="579"/>
      <c r="W166" s="580"/>
      <c r="X166" s="579"/>
      <c r="Y166" s="580"/>
      <c r="Z166" s="579"/>
      <c r="AA166" s="580"/>
      <c r="AB166" s="579"/>
      <c r="AC166" s="580"/>
      <c r="AD166" s="579"/>
      <c r="AE166" s="580"/>
      <c r="AF166" s="577"/>
      <c r="AG166" s="1272"/>
    </row>
    <row r="167" spans="1:33" s="1266" customFormat="1" ht="15">
      <c r="B167" s="152" t="s">
        <v>277</v>
      </c>
      <c r="G167" s="150">
        <f>+G91+G95+G119+G125+G135+G148+G161+G152+G165</f>
        <v>104980.98000000003</v>
      </c>
      <c r="H167" s="579"/>
      <c r="I167" s="150">
        <f>+I91+I95+I119+I125+I135+I148+I161+I152+I165</f>
        <v>144579.97</v>
      </c>
      <c r="J167" s="579"/>
      <c r="K167" s="150">
        <f>+K91+K95+K119+K125+K135+K148+K161+K152+K165</f>
        <v>109378.36</v>
      </c>
      <c r="L167" s="579"/>
      <c r="M167" s="150">
        <f>+M91+M95+M119+M125+M135+M148+M161+M152+M165</f>
        <v>100174.93999999999</v>
      </c>
      <c r="N167" s="579"/>
      <c r="O167" s="150">
        <f>+O91+O95+O119+O125+O135+O148+O161+O152+O165</f>
        <v>124610.37000000001</v>
      </c>
      <c r="P167" s="579"/>
      <c r="Q167" s="150">
        <f>+Q91+Q95+Q119+Q125+Q135+Q148+Q161+Q152+Q165</f>
        <v>95786</v>
      </c>
      <c r="R167" s="579"/>
      <c r="S167" s="150">
        <f>+S91+S95+S119+S125+S135+S148+S161+S152+S165</f>
        <v>110121.47000000002</v>
      </c>
      <c r="T167" s="579"/>
      <c r="U167" s="150">
        <f>+U91+U95+U119+U125+U135+U148+U161+U152+U165</f>
        <v>110752.16</v>
      </c>
      <c r="V167" s="579"/>
      <c r="W167" s="150">
        <f>+W91+W95+W119+W125+W135+W148+W161+W152+W165</f>
        <v>102916.78</v>
      </c>
      <c r="X167" s="579"/>
      <c r="Y167" s="150">
        <f>+Y91+Y95+Y119+Y125+Y135+Y148+Y161+Y152+Y165</f>
        <v>104881.61</v>
      </c>
      <c r="Z167" s="579"/>
      <c r="AA167" s="150">
        <f>+AA91+AA95+AA119+AA125+AA135+AA148+AA161+AA152+AA165</f>
        <v>96054.76</v>
      </c>
      <c r="AB167" s="579"/>
      <c r="AC167" s="150">
        <f>+AC91+AC95+AC119+AC125+AC135+AC148+AC161+AC152+AC165</f>
        <v>102172.01</v>
      </c>
      <c r="AD167" s="579"/>
      <c r="AE167" s="150">
        <f>+AE91+AE95+AE119+AE125+AE135+AE148+AE161+AE152+AE165</f>
        <v>1306409.4100000001</v>
      </c>
      <c r="AF167" s="1269">
        <f>IF(AE$45=0,0,AE167/AE$45)</f>
        <v>0.39454752476289612</v>
      </c>
      <c r="AG167" s="1272"/>
    </row>
    <row r="168" spans="1:33" s="1266" customFormat="1" ht="7.5" customHeight="1">
      <c r="G168" s="580"/>
      <c r="H168" s="579"/>
      <c r="I168" s="580"/>
      <c r="J168" s="579"/>
      <c r="K168" s="580"/>
      <c r="L168" s="579"/>
      <c r="M168" s="580"/>
      <c r="N168" s="579"/>
      <c r="O168" s="580"/>
      <c r="P168" s="579"/>
      <c r="Q168" s="580"/>
      <c r="R168" s="579"/>
      <c r="S168" s="580"/>
      <c r="T168" s="579"/>
      <c r="U168" s="580"/>
      <c r="V168" s="579"/>
      <c r="W168" s="580"/>
      <c r="X168" s="579"/>
      <c r="Y168" s="580"/>
      <c r="Z168" s="579"/>
      <c r="AA168" s="580"/>
      <c r="AB168" s="579"/>
      <c r="AC168" s="580"/>
      <c r="AD168" s="579"/>
      <c r="AE168" s="580"/>
      <c r="AF168" s="577"/>
      <c r="AG168" s="1272"/>
    </row>
    <row r="169" spans="1:33" s="1266" customFormat="1" ht="15">
      <c r="B169" s="152" t="s">
        <v>278</v>
      </c>
      <c r="G169" s="150">
        <f>G77-G167</f>
        <v>61606.67</v>
      </c>
      <c r="H169" s="579"/>
      <c r="I169" s="150">
        <f>I77-I167</f>
        <v>18806.859999999986</v>
      </c>
      <c r="J169" s="579"/>
      <c r="K169" s="150">
        <f>K77-K167</f>
        <v>65452.269999999946</v>
      </c>
      <c r="L169" s="579"/>
      <c r="M169" s="150">
        <f>M77-M167</f>
        <v>77063.48</v>
      </c>
      <c r="N169" s="579"/>
      <c r="O169" s="150">
        <f>O77-O167</f>
        <v>53455.919999999969</v>
      </c>
      <c r="P169" s="579"/>
      <c r="Q169" s="150">
        <f>Q77-Q167</f>
        <v>94339.999999999942</v>
      </c>
      <c r="R169" s="579"/>
      <c r="S169" s="150">
        <f>S77-S167</f>
        <v>75148.38999999997</v>
      </c>
      <c r="T169" s="579"/>
      <c r="U169" s="150">
        <f>U77-U167</f>
        <v>84992.749999999971</v>
      </c>
      <c r="V169" s="579"/>
      <c r="W169" s="150">
        <f>W77-W167</f>
        <v>87065.169999999984</v>
      </c>
      <c r="X169" s="579"/>
      <c r="Y169" s="150">
        <f>Y77-Y167</f>
        <v>67251.329999999914</v>
      </c>
      <c r="Z169" s="579"/>
      <c r="AA169" s="150">
        <f>AA77-AA167</f>
        <v>87847.45</v>
      </c>
      <c r="AB169" s="579"/>
      <c r="AC169" s="150">
        <f>AC77-AC167</f>
        <v>68245.240000000063</v>
      </c>
      <c r="AD169" s="579"/>
      <c r="AE169" s="150">
        <f>AE77-AE167</f>
        <v>841275.52999999933</v>
      </c>
      <c r="AF169" s="1269">
        <f>IF(AE$45=0,0,AE169/AE$45)</f>
        <v>0.25407286220105629</v>
      </c>
      <c r="AG169" s="1272"/>
    </row>
    <row r="170" spans="1:33" s="1266" customFormat="1" ht="7.5" customHeight="1">
      <c r="G170" s="580"/>
      <c r="H170" s="579"/>
      <c r="I170" s="580"/>
      <c r="J170" s="579"/>
      <c r="K170" s="580"/>
      <c r="L170" s="579"/>
      <c r="M170" s="580"/>
      <c r="N170" s="579"/>
      <c r="O170" s="580"/>
      <c r="P170" s="579"/>
      <c r="Q170" s="580"/>
      <c r="R170" s="579"/>
      <c r="S170" s="580"/>
      <c r="T170" s="579"/>
      <c r="U170" s="580"/>
      <c r="V170" s="579"/>
      <c r="W170" s="580"/>
      <c r="X170" s="579"/>
      <c r="Y170" s="580"/>
      <c r="Z170" s="579"/>
      <c r="AA170" s="580"/>
      <c r="AB170" s="579"/>
      <c r="AC170" s="580"/>
      <c r="AD170" s="579"/>
      <c r="AE170" s="580"/>
      <c r="AF170" s="577"/>
      <c r="AG170" s="1272"/>
    </row>
    <row r="171" spans="1:33" s="1266" customFormat="1" ht="15" outlineLevel="1">
      <c r="G171" s="580"/>
      <c r="H171" s="579"/>
      <c r="I171" s="580"/>
      <c r="J171" s="579"/>
      <c r="K171" s="580"/>
      <c r="L171" s="579"/>
      <c r="M171" s="580"/>
      <c r="N171" s="579"/>
      <c r="O171" s="580"/>
      <c r="P171" s="579"/>
      <c r="Q171" s="580"/>
      <c r="R171" s="579"/>
      <c r="S171" s="580"/>
      <c r="T171" s="579"/>
      <c r="U171" s="580"/>
      <c r="V171" s="579"/>
      <c r="W171" s="580"/>
      <c r="X171" s="579"/>
      <c r="Y171" s="580"/>
      <c r="Z171" s="579"/>
      <c r="AA171" s="580"/>
      <c r="AB171" s="579"/>
      <c r="AC171" s="580"/>
      <c r="AD171" s="579"/>
      <c r="AE171" s="580"/>
      <c r="AF171" s="577"/>
      <c r="AG171" s="1272"/>
    </row>
    <row r="172" spans="1:33" outlineLevel="1">
      <c r="A172" s="1264">
        <v>60225</v>
      </c>
      <c r="B172" s="1264" t="s">
        <v>89</v>
      </c>
      <c r="C172" s="1265"/>
      <c r="D172" s="1261"/>
      <c r="E172" s="1266"/>
      <c r="F172" s="1267"/>
      <c r="G172" s="1268">
        <v>100</v>
      </c>
      <c r="H172" s="1267"/>
      <c r="I172" s="1268">
        <v>0</v>
      </c>
      <c r="J172" s="1267"/>
      <c r="K172" s="1268">
        <v>100</v>
      </c>
      <c r="L172" s="1267"/>
      <c r="M172" s="1268">
        <v>104</v>
      </c>
      <c r="N172" s="1267"/>
      <c r="O172" s="1268">
        <v>886</v>
      </c>
      <c r="P172" s="1267"/>
      <c r="Q172" s="1268">
        <v>0</v>
      </c>
      <c r="R172" s="1267"/>
      <c r="S172" s="1268">
        <v>0</v>
      </c>
      <c r="T172" s="1267"/>
      <c r="U172" s="1268">
        <v>374.5</v>
      </c>
      <c r="V172" s="1267"/>
      <c r="W172" s="1268">
        <v>0</v>
      </c>
      <c r="X172" s="1267"/>
      <c r="Y172" s="1268">
        <v>100</v>
      </c>
      <c r="Z172" s="1267"/>
      <c r="AA172" s="1268">
        <v>500</v>
      </c>
      <c r="AB172" s="1267"/>
      <c r="AC172" s="1268">
        <v>111.5</v>
      </c>
      <c r="AD172" s="1267"/>
      <c r="AE172" s="1268">
        <f>AC172+AA172+Y172+W172+U172+S172+Q172+O172+M172+K172+I172+G172</f>
        <v>2276</v>
      </c>
      <c r="AF172" s="1269">
        <f>IF(AE$45=0,0,AE172/AE$45)</f>
        <v>6.873727022223083E-4</v>
      </c>
      <c r="AG172" s="1270"/>
    </row>
    <row r="173" spans="1:33" s="1266" customFormat="1" ht="5.0999999999999996" customHeight="1" outlineLevel="1">
      <c r="A173" s="1265"/>
      <c r="B173" s="1265"/>
      <c r="C173" s="1265"/>
      <c r="D173" s="1265"/>
      <c r="G173" s="581"/>
      <c r="H173" s="579"/>
      <c r="I173" s="581"/>
      <c r="J173" s="579"/>
      <c r="K173" s="581"/>
      <c r="L173" s="579"/>
      <c r="M173" s="581"/>
      <c r="N173" s="579"/>
      <c r="O173" s="581"/>
      <c r="P173" s="579"/>
      <c r="Q173" s="581"/>
      <c r="R173" s="579"/>
      <c r="S173" s="581"/>
      <c r="T173" s="579"/>
      <c r="U173" s="581"/>
      <c r="V173" s="579"/>
      <c r="W173" s="581"/>
      <c r="X173" s="579"/>
      <c r="Y173" s="581"/>
      <c r="Z173" s="579"/>
      <c r="AA173" s="581"/>
      <c r="AB173" s="579"/>
      <c r="AC173" s="581"/>
      <c r="AD173" s="579"/>
      <c r="AE173" s="581"/>
      <c r="AF173" s="577"/>
      <c r="AG173" s="1272"/>
    </row>
    <row r="174" spans="1:33" s="1266" customFormat="1" ht="15">
      <c r="C174" s="1265" t="s">
        <v>280</v>
      </c>
      <c r="G174" s="578">
        <f>SUM(G171:G173)</f>
        <v>100</v>
      </c>
      <c r="H174" s="579"/>
      <c r="I174" s="578">
        <f>SUM(I171:I173)</f>
        <v>0</v>
      </c>
      <c r="J174" s="579"/>
      <c r="K174" s="578">
        <f>SUM(K171:K173)</f>
        <v>100</v>
      </c>
      <c r="L174" s="579"/>
      <c r="M174" s="578">
        <f>SUM(M171:M173)</f>
        <v>104</v>
      </c>
      <c r="N174" s="579"/>
      <c r="O174" s="578">
        <f>SUM(O171:O173)</f>
        <v>886</v>
      </c>
      <c r="P174" s="579"/>
      <c r="Q174" s="578">
        <f>SUM(Q171:Q173)</f>
        <v>0</v>
      </c>
      <c r="R174" s="579"/>
      <c r="S174" s="578">
        <f>SUM(S171:S173)</f>
        <v>0</v>
      </c>
      <c r="T174" s="579"/>
      <c r="U174" s="578">
        <f>SUM(U171:U173)</f>
        <v>374.5</v>
      </c>
      <c r="V174" s="579"/>
      <c r="W174" s="578">
        <f>SUM(W171:W173)</f>
        <v>0</v>
      </c>
      <c r="X174" s="579"/>
      <c r="Y174" s="578">
        <f>SUM(Y171:Y173)</f>
        <v>100</v>
      </c>
      <c r="Z174" s="579"/>
      <c r="AA174" s="578">
        <f>SUM(AA171:AA173)</f>
        <v>500</v>
      </c>
      <c r="AB174" s="579"/>
      <c r="AC174" s="578">
        <f>SUM(AC171:AC173)</f>
        <v>111.5</v>
      </c>
      <c r="AD174" s="579"/>
      <c r="AE174" s="578">
        <f>SUM(AE171:AE173)</f>
        <v>2276</v>
      </c>
      <c r="AF174" s="1269">
        <f>IF(AE$45=0,0,AE174/AE$45)</f>
        <v>6.873727022223083E-4</v>
      </c>
      <c r="AG174" s="1272"/>
    </row>
    <row r="175" spans="1:33" s="1266" customFormat="1" ht="15" outlineLevel="1">
      <c r="G175" s="580"/>
      <c r="H175" s="579"/>
      <c r="I175" s="580"/>
      <c r="J175" s="579"/>
      <c r="K175" s="580"/>
      <c r="L175" s="579"/>
      <c r="M175" s="580"/>
      <c r="N175" s="579"/>
      <c r="O175" s="580"/>
      <c r="P175" s="579"/>
      <c r="Q175" s="580"/>
      <c r="R175" s="579"/>
      <c r="S175" s="580"/>
      <c r="T175" s="579"/>
      <c r="U175" s="580"/>
      <c r="V175" s="579"/>
      <c r="W175" s="580"/>
      <c r="X175" s="579"/>
      <c r="Y175" s="580"/>
      <c r="Z175" s="579"/>
      <c r="AA175" s="580"/>
      <c r="AB175" s="579"/>
      <c r="AC175" s="580"/>
      <c r="AD175" s="579"/>
      <c r="AE175" s="580"/>
      <c r="AF175" s="577"/>
      <c r="AG175" s="1272"/>
    </row>
    <row r="176" spans="1:33" s="1266" customFormat="1" ht="15" outlineLevel="1">
      <c r="G176" s="580"/>
      <c r="H176" s="579"/>
      <c r="I176" s="580"/>
      <c r="J176" s="579"/>
      <c r="K176" s="580"/>
      <c r="L176" s="579"/>
      <c r="M176" s="580"/>
      <c r="N176" s="579"/>
      <c r="O176" s="580"/>
      <c r="P176" s="579"/>
      <c r="Q176" s="580"/>
      <c r="R176" s="579"/>
      <c r="S176" s="580"/>
      <c r="T176" s="579"/>
      <c r="U176" s="580"/>
      <c r="V176" s="579"/>
      <c r="W176" s="580"/>
      <c r="X176" s="579"/>
      <c r="Y176" s="580"/>
      <c r="Z176" s="579"/>
      <c r="AA176" s="580"/>
      <c r="AB176" s="579"/>
      <c r="AC176" s="580"/>
      <c r="AD176" s="579"/>
      <c r="AE176" s="580"/>
      <c r="AF176" s="577"/>
      <c r="AG176" s="1272"/>
    </row>
    <row r="177" spans="1:33" outlineLevel="1">
      <c r="A177" s="1264">
        <v>70010</v>
      </c>
      <c r="B177" s="1264" t="s">
        <v>31</v>
      </c>
      <c r="C177" s="1265"/>
      <c r="D177" s="1261"/>
      <c r="E177" s="1266"/>
      <c r="F177" s="1267"/>
      <c r="G177" s="1268">
        <v>5104.5200000000004</v>
      </c>
      <c r="H177" s="1267"/>
      <c r="I177" s="1268">
        <v>8286.4699999999993</v>
      </c>
      <c r="J177" s="1267"/>
      <c r="K177" s="1268">
        <v>13618.06</v>
      </c>
      <c r="L177" s="1267"/>
      <c r="M177" s="1268">
        <v>8226.77</v>
      </c>
      <c r="N177" s="1267"/>
      <c r="O177" s="1268">
        <v>8188.76</v>
      </c>
      <c r="P177" s="1267"/>
      <c r="Q177" s="1268">
        <v>7973.32</v>
      </c>
      <c r="R177" s="1267"/>
      <c r="S177" s="1268">
        <v>8222.4699999999993</v>
      </c>
      <c r="T177" s="1267"/>
      <c r="U177" s="1268">
        <v>13655.55</v>
      </c>
      <c r="V177" s="1267"/>
      <c r="W177" s="1268">
        <v>14128.19</v>
      </c>
      <c r="X177" s="1267"/>
      <c r="Y177" s="1268">
        <v>14121.05</v>
      </c>
      <c r="Z177" s="1267"/>
      <c r="AA177" s="1268">
        <v>13973.86</v>
      </c>
      <c r="AB177" s="1267"/>
      <c r="AC177" s="1268">
        <v>13305.72</v>
      </c>
      <c r="AD177" s="1267"/>
      <c r="AE177" s="1268">
        <f t="shared" ref="AE177:AE212" si="24">AC177+AA177+Y177+W177+U177+S177+Q177+O177+M177+K177+I177+G177</f>
        <v>128804.74</v>
      </c>
      <c r="AF177" s="1269">
        <f t="shared" ref="AF177:AF212" si="25">IF(AE$45=0,0,AE177/AE$45)</f>
        <v>3.8900203072426122E-2</v>
      </c>
      <c r="AG177" s="1270"/>
    </row>
    <row r="178" spans="1:33" outlineLevel="1">
      <c r="A178" s="1264">
        <v>70020</v>
      </c>
      <c r="B178" s="1264" t="s">
        <v>40</v>
      </c>
      <c r="C178" s="1265"/>
      <c r="D178" s="1261"/>
      <c r="E178" s="1266"/>
      <c r="F178" s="1267"/>
      <c r="G178" s="1268">
        <v>5234.1099999999997</v>
      </c>
      <c r="H178" s="1267"/>
      <c r="I178" s="1268">
        <v>5949.66</v>
      </c>
      <c r="J178" s="1267"/>
      <c r="K178" s="1268">
        <v>5261.21</v>
      </c>
      <c r="L178" s="1267"/>
      <c r="M178" s="1268">
        <v>6066.69</v>
      </c>
      <c r="N178" s="1267"/>
      <c r="O178" s="1268">
        <v>5113.6400000000003</v>
      </c>
      <c r="P178" s="1267"/>
      <c r="Q178" s="1268">
        <v>5381.27</v>
      </c>
      <c r="R178" s="1267"/>
      <c r="S178" s="1268">
        <v>5212.75</v>
      </c>
      <c r="T178" s="1267"/>
      <c r="U178" s="1268">
        <v>5350.63</v>
      </c>
      <c r="V178" s="1267"/>
      <c r="W178" s="1268">
        <v>5606.05</v>
      </c>
      <c r="X178" s="1267"/>
      <c r="Y178" s="1268">
        <v>5484.13</v>
      </c>
      <c r="Z178" s="1267"/>
      <c r="AA178" s="1268">
        <v>4491.66</v>
      </c>
      <c r="AB178" s="1267"/>
      <c r="AC178" s="1268">
        <v>6002.93</v>
      </c>
      <c r="AD178" s="1267"/>
      <c r="AE178" s="1268">
        <f t="shared" si="24"/>
        <v>65154.729999999996</v>
      </c>
      <c r="AF178" s="1269">
        <f t="shared" si="25"/>
        <v>1.9677321099589144E-2</v>
      </c>
      <c r="AG178" s="1270"/>
    </row>
    <row r="179" spans="1:33" outlineLevel="1">
      <c r="A179" s="1264">
        <v>70025</v>
      </c>
      <c r="B179" s="1264" t="s">
        <v>41</v>
      </c>
      <c r="C179" s="1265"/>
      <c r="D179" s="1261"/>
      <c r="E179" s="1266"/>
      <c r="F179" s="1267"/>
      <c r="G179" s="1268">
        <v>-128.77000000000001</v>
      </c>
      <c r="H179" s="1267"/>
      <c r="I179" s="1268">
        <v>3.65</v>
      </c>
      <c r="J179" s="1267"/>
      <c r="K179" s="1268">
        <v>1.64</v>
      </c>
      <c r="L179" s="1267"/>
      <c r="M179" s="1268">
        <v>4.9800000000000004</v>
      </c>
      <c r="N179" s="1267"/>
      <c r="O179" s="1268">
        <v>195.24</v>
      </c>
      <c r="P179" s="1267"/>
      <c r="Q179" s="1268">
        <v>0.11</v>
      </c>
      <c r="R179" s="1267"/>
      <c r="S179" s="1268">
        <v>333.17</v>
      </c>
      <c r="T179" s="1267"/>
      <c r="U179" s="1268">
        <v>185.22</v>
      </c>
      <c r="V179" s="1267"/>
      <c r="W179" s="1268">
        <v>100.77</v>
      </c>
      <c r="X179" s="1267"/>
      <c r="Y179" s="1268">
        <v>24.49</v>
      </c>
      <c r="Z179" s="1267"/>
      <c r="AA179" s="1268">
        <v>12.68</v>
      </c>
      <c r="AB179" s="1267"/>
      <c r="AC179" s="1268">
        <v>15.35</v>
      </c>
      <c r="AD179" s="1267"/>
      <c r="AE179" s="1268">
        <f t="shared" si="24"/>
        <v>748.53000000000009</v>
      </c>
      <c r="AF179" s="1269">
        <f t="shared" si="25"/>
        <v>2.2606286853886839E-4</v>
      </c>
      <c r="AG179" s="1270"/>
    </row>
    <row r="180" spans="1:33" outlineLevel="1">
      <c r="A180" s="1264">
        <v>70036</v>
      </c>
      <c r="B180" s="1264" t="s">
        <v>43</v>
      </c>
      <c r="C180" s="1265"/>
      <c r="D180" s="1261"/>
      <c r="E180" s="1266"/>
      <c r="F180" s="1267"/>
      <c r="G180" s="1268">
        <v>0</v>
      </c>
      <c r="H180" s="1267"/>
      <c r="I180" s="1268">
        <v>133</v>
      </c>
      <c r="J180" s="1267"/>
      <c r="K180" s="1268">
        <v>0</v>
      </c>
      <c r="L180" s="1267"/>
      <c r="M180" s="1268">
        <v>133</v>
      </c>
      <c r="N180" s="1267"/>
      <c r="O180" s="1268">
        <v>0</v>
      </c>
      <c r="P180" s="1267"/>
      <c r="Q180" s="1268">
        <v>0</v>
      </c>
      <c r="R180" s="1267"/>
      <c r="S180" s="1268">
        <v>0</v>
      </c>
      <c r="T180" s="1267"/>
      <c r="U180" s="1268">
        <v>0</v>
      </c>
      <c r="V180" s="1267"/>
      <c r="W180" s="1268">
        <v>133</v>
      </c>
      <c r="X180" s="1267"/>
      <c r="Y180" s="1268">
        <v>0</v>
      </c>
      <c r="Z180" s="1267"/>
      <c r="AA180" s="1268">
        <v>0</v>
      </c>
      <c r="AB180" s="1267"/>
      <c r="AC180" s="1268">
        <v>0</v>
      </c>
      <c r="AD180" s="1267"/>
      <c r="AE180" s="1268">
        <f t="shared" si="24"/>
        <v>399</v>
      </c>
      <c r="AF180" s="1269">
        <f t="shared" si="25"/>
        <v>1.2050162925601977E-4</v>
      </c>
      <c r="AG180" s="1270"/>
    </row>
    <row r="181" spans="1:33" outlineLevel="1">
      <c r="A181" s="1264">
        <v>70050</v>
      </c>
      <c r="B181" s="1264" t="s">
        <v>168</v>
      </c>
      <c r="C181" s="1265"/>
      <c r="D181" s="1261"/>
      <c r="E181" s="1266"/>
      <c r="F181" s="1267"/>
      <c r="G181" s="1268">
        <v>731.75</v>
      </c>
      <c r="H181" s="1267"/>
      <c r="I181" s="1268">
        <v>1107.3</v>
      </c>
      <c r="J181" s="1267"/>
      <c r="K181" s="1268">
        <v>1573.99</v>
      </c>
      <c r="L181" s="1267"/>
      <c r="M181" s="1268">
        <v>1104.74</v>
      </c>
      <c r="N181" s="1267"/>
      <c r="O181" s="1268">
        <v>1069.98</v>
      </c>
      <c r="P181" s="1267"/>
      <c r="Q181" s="1268">
        <v>1019.64</v>
      </c>
      <c r="R181" s="1267"/>
      <c r="S181" s="1268">
        <v>1415.83</v>
      </c>
      <c r="T181" s="1267"/>
      <c r="U181" s="1268">
        <v>1426.8</v>
      </c>
      <c r="V181" s="1267"/>
      <c r="W181" s="1268">
        <v>1437.68</v>
      </c>
      <c r="X181" s="1267"/>
      <c r="Y181" s="1268">
        <v>1459.97</v>
      </c>
      <c r="Z181" s="1267"/>
      <c r="AA181" s="1268">
        <v>1437.15</v>
      </c>
      <c r="AB181" s="1267"/>
      <c r="AC181" s="1268">
        <v>1684.47</v>
      </c>
      <c r="AD181" s="1267"/>
      <c r="AE181" s="1268">
        <f t="shared" si="24"/>
        <v>15469.3</v>
      </c>
      <c r="AF181" s="1269">
        <f t="shared" si="25"/>
        <v>4.6718693068925985E-3</v>
      </c>
      <c r="AG181" s="1270"/>
    </row>
    <row r="182" spans="1:33" outlineLevel="1">
      <c r="A182" s="1264">
        <v>70060</v>
      </c>
      <c r="B182" s="1264" t="s">
        <v>125</v>
      </c>
      <c r="C182" s="1265"/>
      <c r="D182" s="1261"/>
      <c r="E182" s="1266"/>
      <c r="F182" s="1267"/>
      <c r="G182" s="1268">
        <v>2268.0700000000002</v>
      </c>
      <c r="H182" s="1267"/>
      <c r="I182" s="1268">
        <v>2675.76</v>
      </c>
      <c r="J182" s="1267"/>
      <c r="K182" s="1268">
        <v>3458.67</v>
      </c>
      <c r="L182" s="1267"/>
      <c r="M182" s="1268">
        <v>2598.8200000000002</v>
      </c>
      <c r="N182" s="1267"/>
      <c r="O182" s="1268">
        <v>2670.95</v>
      </c>
      <c r="P182" s="1267"/>
      <c r="Q182" s="1268">
        <v>2674.64</v>
      </c>
      <c r="R182" s="1267"/>
      <c r="S182" s="1268">
        <v>1749.86</v>
      </c>
      <c r="T182" s="1267"/>
      <c r="U182" s="1268">
        <v>3528.2</v>
      </c>
      <c r="V182" s="1267"/>
      <c r="W182" s="1268">
        <v>3370.35</v>
      </c>
      <c r="X182" s="1267"/>
      <c r="Y182" s="1268">
        <v>3415.19</v>
      </c>
      <c r="Z182" s="1267"/>
      <c r="AA182" s="1268">
        <v>3411.08</v>
      </c>
      <c r="AB182" s="1267"/>
      <c r="AC182" s="1268">
        <v>3908.17</v>
      </c>
      <c r="AD182" s="1267"/>
      <c r="AE182" s="1268">
        <f t="shared" si="24"/>
        <v>35729.760000000002</v>
      </c>
      <c r="AF182" s="1269">
        <f t="shared" si="25"/>
        <v>1.0790712513600415E-2</v>
      </c>
      <c r="AG182" s="1270"/>
    </row>
    <row r="183" spans="1:33" outlineLevel="1">
      <c r="A183" s="1264">
        <v>70065</v>
      </c>
      <c r="B183" s="1264" t="s">
        <v>37</v>
      </c>
      <c r="C183" s="1265"/>
      <c r="D183" s="1261"/>
      <c r="E183" s="1266"/>
      <c r="F183" s="1267"/>
      <c r="G183" s="1268">
        <v>379.78</v>
      </c>
      <c r="H183" s="1267"/>
      <c r="I183" s="1268">
        <v>486.52</v>
      </c>
      <c r="J183" s="1267"/>
      <c r="K183" s="1268">
        <v>370.82</v>
      </c>
      <c r="L183" s="1267"/>
      <c r="M183" s="1268">
        <v>441.02</v>
      </c>
      <c r="N183" s="1267"/>
      <c r="O183" s="1268">
        <v>669.03</v>
      </c>
      <c r="P183" s="1267"/>
      <c r="Q183" s="1268">
        <v>129.97</v>
      </c>
      <c r="R183" s="1267"/>
      <c r="S183" s="1268">
        <v>73.650000000000006</v>
      </c>
      <c r="T183" s="1267"/>
      <c r="U183" s="1268">
        <v>421.54</v>
      </c>
      <c r="V183" s="1267"/>
      <c r="W183" s="1268">
        <v>657.58</v>
      </c>
      <c r="X183" s="1267"/>
      <c r="Y183" s="1268">
        <v>506.22</v>
      </c>
      <c r="Z183" s="1267"/>
      <c r="AA183" s="1268">
        <v>748.38</v>
      </c>
      <c r="AB183" s="1267"/>
      <c r="AC183" s="1268">
        <v>62.64</v>
      </c>
      <c r="AD183" s="1267"/>
      <c r="AE183" s="1268">
        <f t="shared" si="24"/>
        <v>4947.1500000000005</v>
      </c>
      <c r="AF183" s="1269">
        <f t="shared" si="25"/>
        <v>1.4940842986814996E-3</v>
      </c>
      <c r="AG183" s="1270"/>
    </row>
    <row r="184" spans="1:33" outlineLevel="1">
      <c r="A184" s="1264">
        <v>70070</v>
      </c>
      <c r="B184" s="1264" t="s">
        <v>38</v>
      </c>
      <c r="C184" s="1265"/>
      <c r="D184" s="1261"/>
      <c r="E184" s="1266"/>
      <c r="F184" s="1267"/>
      <c r="G184" s="1268">
        <v>0</v>
      </c>
      <c r="H184" s="1267"/>
      <c r="I184" s="1268">
        <v>11.45</v>
      </c>
      <c r="J184" s="1267"/>
      <c r="K184" s="1268">
        <v>1.03</v>
      </c>
      <c r="L184" s="1267"/>
      <c r="M184" s="1268">
        <v>9.6199999999999992</v>
      </c>
      <c r="N184" s="1267"/>
      <c r="O184" s="1268">
        <v>10.78</v>
      </c>
      <c r="P184" s="1267"/>
      <c r="Q184" s="1268">
        <v>796.56</v>
      </c>
      <c r="R184" s="1267"/>
      <c r="S184" s="1268">
        <v>1963.38</v>
      </c>
      <c r="T184" s="1267"/>
      <c r="U184" s="1268">
        <v>-0.65</v>
      </c>
      <c r="V184" s="1267"/>
      <c r="W184" s="1268">
        <v>-1.39</v>
      </c>
      <c r="X184" s="1267"/>
      <c r="Y184" s="1268">
        <v>327.60000000000002</v>
      </c>
      <c r="Z184" s="1267"/>
      <c r="AA184" s="1268">
        <v>-93.35</v>
      </c>
      <c r="AB184" s="1267"/>
      <c r="AC184" s="1268">
        <v>1.07</v>
      </c>
      <c r="AD184" s="1267"/>
      <c r="AE184" s="1268">
        <f t="shared" si="24"/>
        <v>3026.1000000000004</v>
      </c>
      <c r="AF184" s="1269">
        <f t="shared" si="25"/>
        <v>9.1390972504170795E-4</v>
      </c>
      <c r="AG184" s="1270"/>
    </row>
    <row r="185" spans="1:33" outlineLevel="1">
      <c r="A185" s="1264">
        <v>70095</v>
      </c>
      <c r="B185" s="1264" t="s">
        <v>132</v>
      </c>
      <c r="C185" s="1265"/>
      <c r="D185" s="1261"/>
      <c r="E185" s="1266"/>
      <c r="F185" s="1267"/>
      <c r="G185" s="1268">
        <v>0</v>
      </c>
      <c r="H185" s="1267"/>
      <c r="I185" s="1268">
        <v>763.89</v>
      </c>
      <c r="J185" s="1267"/>
      <c r="K185" s="1268">
        <v>7.99</v>
      </c>
      <c r="L185" s="1267"/>
      <c r="M185" s="1268">
        <v>0</v>
      </c>
      <c r="N185" s="1267"/>
      <c r="O185" s="1268">
        <v>176.99</v>
      </c>
      <c r="P185" s="1267"/>
      <c r="Q185" s="1268">
        <v>4522.01</v>
      </c>
      <c r="R185" s="1267"/>
      <c r="S185" s="1268">
        <v>984.14</v>
      </c>
      <c r="T185" s="1267"/>
      <c r="U185" s="1268">
        <v>0</v>
      </c>
      <c r="V185" s="1267"/>
      <c r="W185" s="1268">
        <v>356.01</v>
      </c>
      <c r="X185" s="1267"/>
      <c r="Y185" s="1268">
        <v>482.35</v>
      </c>
      <c r="Z185" s="1267"/>
      <c r="AA185" s="1268">
        <v>1260.1199999999999</v>
      </c>
      <c r="AB185" s="1267"/>
      <c r="AC185" s="1268">
        <v>182.31</v>
      </c>
      <c r="AD185" s="1267"/>
      <c r="AE185" s="1268">
        <f t="shared" si="24"/>
        <v>8735.81</v>
      </c>
      <c r="AF185" s="1269">
        <f t="shared" si="25"/>
        <v>2.6382940798772682E-3</v>
      </c>
      <c r="AG185" s="1270"/>
    </row>
    <row r="186" spans="1:33" outlineLevel="1">
      <c r="A186" s="1264">
        <v>70105</v>
      </c>
      <c r="B186" s="1264" t="s">
        <v>134</v>
      </c>
      <c r="C186" s="1265"/>
      <c r="D186" s="1261"/>
      <c r="E186" s="1266"/>
      <c r="F186" s="1267"/>
      <c r="G186" s="1268">
        <v>206.22</v>
      </c>
      <c r="H186" s="1267"/>
      <c r="I186" s="1268">
        <v>206.22</v>
      </c>
      <c r="J186" s="1267"/>
      <c r="K186" s="1268">
        <v>206.22</v>
      </c>
      <c r="L186" s="1267"/>
      <c r="M186" s="1268">
        <v>206.22</v>
      </c>
      <c r="N186" s="1267"/>
      <c r="O186" s="1268">
        <v>206.22</v>
      </c>
      <c r="P186" s="1267"/>
      <c r="Q186" s="1268">
        <v>206.22</v>
      </c>
      <c r="R186" s="1267"/>
      <c r="S186" s="1268">
        <v>206.22</v>
      </c>
      <c r="T186" s="1267"/>
      <c r="U186" s="1268">
        <v>206.22</v>
      </c>
      <c r="V186" s="1267"/>
      <c r="W186" s="1268">
        <v>-469.45</v>
      </c>
      <c r="X186" s="1267"/>
      <c r="Y186" s="1268">
        <v>0</v>
      </c>
      <c r="Z186" s="1267"/>
      <c r="AA186" s="1268">
        <v>0</v>
      </c>
      <c r="AB186" s="1267"/>
      <c r="AC186" s="1268">
        <v>0</v>
      </c>
      <c r="AD186" s="1267"/>
      <c r="AE186" s="1268">
        <f t="shared" si="24"/>
        <v>1180.31</v>
      </c>
      <c r="AF186" s="1269">
        <f t="shared" si="25"/>
        <v>3.5646435595782633E-4</v>
      </c>
      <c r="AG186" s="1270"/>
    </row>
    <row r="187" spans="1:33" outlineLevel="1">
      <c r="A187" s="1264">
        <v>70110</v>
      </c>
      <c r="B187" s="1264" t="s">
        <v>135</v>
      </c>
      <c r="C187" s="1265"/>
      <c r="D187" s="1261"/>
      <c r="E187" s="1266"/>
      <c r="F187" s="1267"/>
      <c r="G187" s="1268">
        <v>200</v>
      </c>
      <c r="H187" s="1267"/>
      <c r="I187" s="1268">
        <v>0</v>
      </c>
      <c r="J187" s="1267"/>
      <c r="K187" s="1268">
        <v>750</v>
      </c>
      <c r="L187" s="1267"/>
      <c r="M187" s="1268">
        <v>200</v>
      </c>
      <c r="N187" s="1267"/>
      <c r="O187" s="1268">
        <v>275</v>
      </c>
      <c r="P187" s="1267"/>
      <c r="Q187" s="1268">
        <v>0</v>
      </c>
      <c r="R187" s="1267"/>
      <c r="S187" s="1268">
        <v>0</v>
      </c>
      <c r="T187" s="1267"/>
      <c r="U187" s="1268">
        <v>200</v>
      </c>
      <c r="V187" s="1267"/>
      <c r="W187" s="1268">
        <v>85</v>
      </c>
      <c r="X187" s="1267"/>
      <c r="Y187" s="1268">
        <v>0</v>
      </c>
      <c r="Z187" s="1267"/>
      <c r="AA187" s="1268">
        <v>0</v>
      </c>
      <c r="AB187" s="1267"/>
      <c r="AC187" s="1268">
        <v>550</v>
      </c>
      <c r="AD187" s="1267"/>
      <c r="AE187" s="1268">
        <f t="shared" si="24"/>
        <v>2260</v>
      </c>
      <c r="AF187" s="1269">
        <f t="shared" si="25"/>
        <v>6.8254055668823233E-4</v>
      </c>
      <c r="AG187" s="1270"/>
    </row>
    <row r="188" spans="1:33" outlineLevel="1">
      <c r="A188" s="1264">
        <v>70116</v>
      </c>
      <c r="B188" s="1264" t="s">
        <v>246</v>
      </c>
      <c r="C188" s="1265"/>
      <c r="D188" s="1261"/>
      <c r="E188" s="1266"/>
      <c r="F188" s="1267"/>
      <c r="G188" s="1268">
        <v>184.05</v>
      </c>
      <c r="H188" s="1267"/>
      <c r="I188" s="1268">
        <v>177.36</v>
      </c>
      <c r="J188" s="1267"/>
      <c r="K188" s="1268">
        <v>181.89</v>
      </c>
      <c r="L188" s="1267"/>
      <c r="M188" s="1268">
        <v>274.19</v>
      </c>
      <c r="N188" s="1267"/>
      <c r="O188" s="1268">
        <v>192.71</v>
      </c>
      <c r="P188" s="1267"/>
      <c r="Q188" s="1268">
        <v>187.3</v>
      </c>
      <c r="R188" s="1267"/>
      <c r="S188" s="1268">
        <v>241.97</v>
      </c>
      <c r="T188" s="1267"/>
      <c r="U188" s="1268">
        <v>297.87</v>
      </c>
      <c r="V188" s="1267"/>
      <c r="W188" s="1268">
        <v>442.82</v>
      </c>
      <c r="X188" s="1267"/>
      <c r="Y188" s="1268">
        <v>294.29000000000002</v>
      </c>
      <c r="Z188" s="1267"/>
      <c r="AA188" s="1268">
        <v>293.81</v>
      </c>
      <c r="AB188" s="1267"/>
      <c r="AC188" s="1268">
        <v>304.92</v>
      </c>
      <c r="AD188" s="1267"/>
      <c r="AE188" s="1268">
        <f t="shared" si="24"/>
        <v>3073.1800000000003</v>
      </c>
      <c r="AF188" s="1269">
        <f t="shared" si="25"/>
        <v>9.281283132757265E-4</v>
      </c>
      <c r="AG188" s="1270"/>
    </row>
    <row r="189" spans="1:33" outlineLevel="1">
      <c r="A189" s="1264">
        <v>70147</v>
      </c>
      <c r="B189" s="1264" t="s">
        <v>113</v>
      </c>
      <c r="C189" s="1265"/>
      <c r="D189" s="1261"/>
      <c r="E189" s="1266"/>
      <c r="F189" s="1267"/>
      <c r="G189" s="1268">
        <v>0</v>
      </c>
      <c r="H189" s="1267"/>
      <c r="I189" s="1268">
        <v>0</v>
      </c>
      <c r="J189" s="1267"/>
      <c r="K189" s="1268">
        <v>0</v>
      </c>
      <c r="L189" s="1267"/>
      <c r="M189" s="1268">
        <v>0</v>
      </c>
      <c r="N189" s="1267"/>
      <c r="O189" s="1268">
        <v>0</v>
      </c>
      <c r="P189" s="1267"/>
      <c r="Q189" s="1268">
        <v>0</v>
      </c>
      <c r="R189" s="1267"/>
      <c r="S189" s="1268">
        <v>0</v>
      </c>
      <c r="T189" s="1267"/>
      <c r="U189" s="1268">
        <v>0</v>
      </c>
      <c r="V189" s="1267"/>
      <c r="W189" s="1268">
        <v>183.21</v>
      </c>
      <c r="X189" s="1267"/>
      <c r="Y189" s="1268">
        <v>0</v>
      </c>
      <c r="Z189" s="1267"/>
      <c r="AA189" s="1268">
        <v>0</v>
      </c>
      <c r="AB189" s="1267"/>
      <c r="AC189" s="1268">
        <v>0</v>
      </c>
      <c r="AD189" s="1267"/>
      <c r="AE189" s="1268">
        <f t="shared" si="24"/>
        <v>183.21</v>
      </c>
      <c r="AF189" s="1269">
        <f t="shared" si="25"/>
        <v>5.5331086456128785E-5</v>
      </c>
      <c r="AG189" s="1270"/>
    </row>
    <row r="190" spans="1:33" outlineLevel="1">
      <c r="A190" s="1264">
        <v>70148</v>
      </c>
      <c r="B190" s="1264" t="s">
        <v>63</v>
      </c>
      <c r="C190" s="1265"/>
      <c r="D190" s="1261"/>
      <c r="E190" s="1266"/>
      <c r="F190" s="1267"/>
      <c r="G190" s="1268">
        <v>1679.08</v>
      </c>
      <c r="H190" s="1267"/>
      <c r="I190" s="1268">
        <v>1206.3699999999999</v>
      </c>
      <c r="J190" s="1267"/>
      <c r="K190" s="1268">
        <v>791.62</v>
      </c>
      <c r="L190" s="1267"/>
      <c r="M190" s="1268">
        <v>1263.2</v>
      </c>
      <c r="N190" s="1267"/>
      <c r="O190" s="1268">
        <v>1007.75</v>
      </c>
      <c r="P190" s="1267"/>
      <c r="Q190" s="1268">
        <v>665.73</v>
      </c>
      <c r="R190" s="1267"/>
      <c r="S190" s="1268">
        <v>581.08000000000004</v>
      </c>
      <c r="T190" s="1267"/>
      <c r="U190" s="1268">
        <v>1256.51</v>
      </c>
      <c r="V190" s="1267"/>
      <c r="W190" s="1268">
        <v>646.07000000000005</v>
      </c>
      <c r="X190" s="1267"/>
      <c r="Y190" s="1268">
        <v>571.78</v>
      </c>
      <c r="Z190" s="1267"/>
      <c r="AA190" s="1268">
        <v>776.33</v>
      </c>
      <c r="AB190" s="1267"/>
      <c r="AC190" s="1268">
        <v>811.44</v>
      </c>
      <c r="AD190" s="1267"/>
      <c r="AE190" s="1268">
        <f t="shared" si="24"/>
        <v>11256.960000000001</v>
      </c>
      <c r="AF190" s="1269">
        <f t="shared" si="25"/>
        <v>3.3997043119544973E-3</v>
      </c>
      <c r="AG190" s="1270"/>
    </row>
    <row r="191" spans="1:33" outlineLevel="1">
      <c r="A191" s="1264">
        <v>70150</v>
      </c>
      <c r="B191" s="1264" t="s">
        <v>122</v>
      </c>
      <c r="C191" s="1265"/>
      <c r="D191" s="1261"/>
      <c r="E191" s="1266"/>
      <c r="F191" s="1267"/>
      <c r="G191" s="1268">
        <v>1891.3</v>
      </c>
      <c r="H191" s="1267"/>
      <c r="I191" s="1268">
        <v>2080.16</v>
      </c>
      <c r="J191" s="1267"/>
      <c r="K191" s="1268">
        <v>1548.54</v>
      </c>
      <c r="L191" s="1267"/>
      <c r="M191" s="1268">
        <v>760.19</v>
      </c>
      <c r="N191" s="1267"/>
      <c r="O191" s="1268">
        <v>128.88</v>
      </c>
      <c r="P191" s="1267"/>
      <c r="Q191" s="1268">
        <v>479.42</v>
      </c>
      <c r="R191" s="1267"/>
      <c r="S191" s="1268">
        <v>493.26</v>
      </c>
      <c r="T191" s="1267"/>
      <c r="U191" s="1268">
        <v>442.28</v>
      </c>
      <c r="V191" s="1267"/>
      <c r="W191" s="1268">
        <v>1680.86</v>
      </c>
      <c r="X191" s="1267"/>
      <c r="Y191" s="1268">
        <v>1500</v>
      </c>
      <c r="Z191" s="1267"/>
      <c r="AA191" s="1268">
        <v>3922.91</v>
      </c>
      <c r="AB191" s="1267"/>
      <c r="AC191" s="1268">
        <v>2454.7800000000002</v>
      </c>
      <c r="AD191" s="1267"/>
      <c r="AE191" s="1268">
        <f t="shared" si="24"/>
        <v>17382.580000000002</v>
      </c>
      <c r="AF191" s="1269">
        <f t="shared" si="25"/>
        <v>5.2496972698574049E-3</v>
      </c>
      <c r="AG191" s="1270"/>
    </row>
    <row r="192" spans="1:33" outlineLevel="1">
      <c r="A192" s="1264">
        <v>70165</v>
      </c>
      <c r="B192" s="1264" t="s">
        <v>56</v>
      </c>
      <c r="C192" s="1265"/>
      <c r="D192" s="1261"/>
      <c r="E192" s="1266"/>
      <c r="F192" s="1267"/>
      <c r="G192" s="1268">
        <v>753.26</v>
      </c>
      <c r="H192" s="1267"/>
      <c r="I192" s="1268">
        <v>1601.43</v>
      </c>
      <c r="J192" s="1267"/>
      <c r="K192" s="1268">
        <v>1001.99</v>
      </c>
      <c r="L192" s="1267"/>
      <c r="M192" s="1268">
        <v>1010.42</v>
      </c>
      <c r="N192" s="1267"/>
      <c r="O192" s="1268">
        <v>6122.47</v>
      </c>
      <c r="P192" s="1267"/>
      <c r="Q192" s="1268">
        <v>1786.8</v>
      </c>
      <c r="R192" s="1267"/>
      <c r="S192" s="1268">
        <v>1783.4</v>
      </c>
      <c r="T192" s="1267"/>
      <c r="U192" s="1268">
        <v>1788.37</v>
      </c>
      <c r="V192" s="1267"/>
      <c r="W192" s="1268">
        <v>1787.34</v>
      </c>
      <c r="X192" s="1267"/>
      <c r="Y192" s="1268">
        <v>1801.84</v>
      </c>
      <c r="Z192" s="1267"/>
      <c r="AA192" s="1268">
        <v>1487.78</v>
      </c>
      <c r="AB192" s="1267"/>
      <c r="AC192" s="1268">
        <v>1541.13</v>
      </c>
      <c r="AD192" s="1267"/>
      <c r="AE192" s="1268">
        <f t="shared" si="24"/>
        <v>22466.229999999996</v>
      </c>
      <c r="AF192" s="1269">
        <f t="shared" si="25"/>
        <v>6.7850058101264878E-3</v>
      </c>
      <c r="AG192" s="1270"/>
    </row>
    <row r="193" spans="1:33" outlineLevel="1">
      <c r="A193" s="1264">
        <v>70167</v>
      </c>
      <c r="B193" s="1264" t="s">
        <v>282</v>
      </c>
      <c r="C193" s="1265"/>
      <c r="D193" s="1261"/>
      <c r="E193" s="1266"/>
      <c r="F193" s="1267"/>
      <c r="G193" s="1268">
        <v>110.44</v>
      </c>
      <c r="H193" s="1267"/>
      <c r="I193" s="1268">
        <v>110.52</v>
      </c>
      <c r="J193" s="1267"/>
      <c r="K193" s="1268">
        <v>110.5</v>
      </c>
      <c r="L193" s="1267"/>
      <c r="M193" s="1268">
        <v>260.63</v>
      </c>
      <c r="N193" s="1267"/>
      <c r="O193" s="1268">
        <v>252.5</v>
      </c>
      <c r="P193" s="1267"/>
      <c r="Q193" s="1268">
        <v>117.19</v>
      </c>
      <c r="R193" s="1267"/>
      <c r="S193" s="1268">
        <v>111.64</v>
      </c>
      <c r="T193" s="1267"/>
      <c r="U193" s="1268">
        <v>111.64</v>
      </c>
      <c r="V193" s="1267"/>
      <c r="W193" s="1268">
        <v>111.64</v>
      </c>
      <c r="X193" s="1267"/>
      <c r="Y193" s="1268">
        <v>111.38</v>
      </c>
      <c r="Z193" s="1267"/>
      <c r="AA193" s="1268">
        <v>111.82</v>
      </c>
      <c r="AB193" s="1267"/>
      <c r="AC193" s="1268">
        <v>111.82</v>
      </c>
      <c r="AD193" s="1267"/>
      <c r="AE193" s="1268">
        <f t="shared" si="24"/>
        <v>1631.7199999999998</v>
      </c>
      <c r="AF193" s="1269">
        <f t="shared" si="25"/>
        <v>4.9279428192890368E-4</v>
      </c>
      <c r="AG193" s="1270"/>
    </row>
    <row r="194" spans="1:33" outlineLevel="1">
      <c r="A194" s="1264">
        <v>70175</v>
      </c>
      <c r="B194" s="1264" t="s">
        <v>57</v>
      </c>
      <c r="C194" s="1265"/>
      <c r="D194" s="1261"/>
      <c r="E194" s="1266"/>
      <c r="F194" s="1267"/>
      <c r="G194" s="1268">
        <v>213.21</v>
      </c>
      <c r="H194" s="1267"/>
      <c r="I194" s="1268">
        <v>20.47</v>
      </c>
      <c r="J194" s="1267"/>
      <c r="K194" s="1268">
        <v>25.07</v>
      </c>
      <c r="L194" s="1267"/>
      <c r="M194" s="1268">
        <v>217.74</v>
      </c>
      <c r="N194" s="1267"/>
      <c r="O194" s="1268">
        <v>36.07</v>
      </c>
      <c r="P194" s="1267"/>
      <c r="Q194" s="1268">
        <v>20.47</v>
      </c>
      <c r="R194" s="1267"/>
      <c r="S194" s="1268">
        <v>238.82</v>
      </c>
      <c r="T194" s="1267"/>
      <c r="U194" s="1268">
        <v>106.53</v>
      </c>
      <c r="V194" s="1267"/>
      <c r="W194" s="1268">
        <v>21.37</v>
      </c>
      <c r="X194" s="1267"/>
      <c r="Y194" s="1268">
        <v>218.64</v>
      </c>
      <c r="Z194" s="1267"/>
      <c r="AA194" s="1268">
        <v>26.43</v>
      </c>
      <c r="AB194" s="1267"/>
      <c r="AC194" s="1268">
        <v>21.37</v>
      </c>
      <c r="AD194" s="1267"/>
      <c r="AE194" s="1268">
        <f t="shared" si="24"/>
        <v>1166.1900000000003</v>
      </c>
      <c r="AF194" s="1269">
        <f t="shared" si="25"/>
        <v>3.5219998752400434E-4</v>
      </c>
      <c r="AG194" s="1270"/>
    </row>
    <row r="195" spans="1:33" outlineLevel="1">
      <c r="A195" s="1264">
        <v>70185</v>
      </c>
      <c r="B195" s="1264" t="s">
        <v>112</v>
      </c>
      <c r="C195" s="1265"/>
      <c r="D195" s="1261"/>
      <c r="E195" s="1266"/>
      <c r="F195" s="1267"/>
      <c r="G195" s="1268">
        <v>25.25</v>
      </c>
      <c r="H195" s="1267"/>
      <c r="I195" s="1268">
        <v>0</v>
      </c>
      <c r="J195" s="1267"/>
      <c r="K195" s="1268">
        <v>0</v>
      </c>
      <c r="L195" s="1267"/>
      <c r="M195" s="1268">
        <v>0.98</v>
      </c>
      <c r="N195" s="1267"/>
      <c r="O195" s="1268">
        <v>7.6</v>
      </c>
      <c r="P195" s="1267"/>
      <c r="Q195" s="1268">
        <v>0</v>
      </c>
      <c r="R195" s="1267"/>
      <c r="S195" s="1268">
        <v>0</v>
      </c>
      <c r="T195" s="1267"/>
      <c r="U195" s="1268">
        <v>144</v>
      </c>
      <c r="V195" s="1267"/>
      <c r="W195" s="1268">
        <v>24.06</v>
      </c>
      <c r="X195" s="1267"/>
      <c r="Y195" s="1268">
        <v>19.68</v>
      </c>
      <c r="Z195" s="1267"/>
      <c r="AA195" s="1268">
        <v>27.04</v>
      </c>
      <c r="AB195" s="1267"/>
      <c r="AC195" s="1268">
        <v>26</v>
      </c>
      <c r="AD195" s="1267"/>
      <c r="AE195" s="1268">
        <f t="shared" si="24"/>
        <v>274.61</v>
      </c>
      <c r="AF195" s="1269">
        <f t="shared" si="25"/>
        <v>8.2934717819537821E-5</v>
      </c>
      <c r="AG195" s="1270"/>
    </row>
    <row r="196" spans="1:33" outlineLevel="1">
      <c r="A196" s="1264">
        <v>70195</v>
      </c>
      <c r="B196" s="1264" t="s">
        <v>283</v>
      </c>
      <c r="C196" s="1265"/>
      <c r="D196" s="1261"/>
      <c r="E196" s="1266"/>
      <c r="F196" s="1267"/>
      <c r="G196" s="1268">
        <v>91.2</v>
      </c>
      <c r="H196" s="1267"/>
      <c r="I196" s="1268">
        <v>196.73</v>
      </c>
      <c r="J196" s="1267"/>
      <c r="K196" s="1268">
        <v>91.2</v>
      </c>
      <c r="L196" s="1267"/>
      <c r="M196" s="1268">
        <v>91.2</v>
      </c>
      <c r="N196" s="1267"/>
      <c r="O196" s="1268">
        <v>91.2</v>
      </c>
      <c r="P196" s="1267"/>
      <c r="Q196" s="1268">
        <v>197.92</v>
      </c>
      <c r="R196" s="1267"/>
      <c r="S196" s="1268">
        <v>0</v>
      </c>
      <c r="T196" s="1267"/>
      <c r="U196" s="1268">
        <v>91.2</v>
      </c>
      <c r="V196" s="1267"/>
      <c r="W196" s="1268">
        <v>182.4</v>
      </c>
      <c r="X196" s="1267"/>
      <c r="Y196" s="1268">
        <v>1579.98</v>
      </c>
      <c r="Z196" s="1267"/>
      <c r="AA196" s="1268">
        <v>391.2</v>
      </c>
      <c r="AB196" s="1267"/>
      <c r="AC196" s="1268">
        <v>74.61</v>
      </c>
      <c r="AD196" s="1267"/>
      <c r="AE196" s="1268">
        <f t="shared" si="24"/>
        <v>3078.8399999999992</v>
      </c>
      <c r="AF196" s="1269">
        <f t="shared" si="25"/>
        <v>9.2983768475840556E-4</v>
      </c>
      <c r="AG196" s="1270"/>
    </row>
    <row r="197" spans="1:33" outlineLevel="1">
      <c r="A197" s="1264">
        <v>70200</v>
      </c>
      <c r="B197" s="1264" t="s">
        <v>59</v>
      </c>
      <c r="C197" s="1265"/>
      <c r="D197" s="1261"/>
      <c r="E197" s="1266"/>
      <c r="F197" s="1267"/>
      <c r="G197" s="1268">
        <v>0</v>
      </c>
      <c r="H197" s="1267"/>
      <c r="I197" s="1268">
        <v>0</v>
      </c>
      <c r="J197" s="1267"/>
      <c r="K197" s="1268">
        <v>0</v>
      </c>
      <c r="L197" s="1267"/>
      <c r="M197" s="1268">
        <v>316.39999999999998</v>
      </c>
      <c r="N197" s="1267"/>
      <c r="O197" s="1268">
        <v>0</v>
      </c>
      <c r="P197" s="1267"/>
      <c r="Q197" s="1268">
        <v>199.2</v>
      </c>
      <c r="R197" s="1267"/>
      <c r="S197" s="1268">
        <v>50</v>
      </c>
      <c r="T197" s="1267"/>
      <c r="U197" s="1268">
        <v>0</v>
      </c>
      <c r="V197" s="1267"/>
      <c r="W197" s="1268">
        <v>100</v>
      </c>
      <c r="X197" s="1267"/>
      <c r="Y197" s="1268">
        <v>0</v>
      </c>
      <c r="Z197" s="1267"/>
      <c r="AA197" s="1268">
        <v>0</v>
      </c>
      <c r="AB197" s="1267"/>
      <c r="AC197" s="1268">
        <v>270</v>
      </c>
      <c r="AD197" s="1267"/>
      <c r="AE197" s="1268">
        <f t="shared" si="24"/>
        <v>935.6</v>
      </c>
      <c r="AF197" s="1269">
        <f t="shared" si="25"/>
        <v>2.8255971010509299E-4</v>
      </c>
      <c r="AG197" s="1270"/>
    </row>
    <row r="198" spans="1:33" outlineLevel="1">
      <c r="A198" s="1264">
        <v>70201</v>
      </c>
      <c r="B198" s="1264" t="s">
        <v>139</v>
      </c>
      <c r="C198" s="1265"/>
      <c r="D198" s="1261"/>
      <c r="E198" s="1266"/>
      <c r="F198" s="1267"/>
      <c r="G198" s="1268">
        <v>112.73</v>
      </c>
      <c r="H198" s="1267"/>
      <c r="I198" s="1268">
        <v>0</v>
      </c>
      <c r="J198" s="1267"/>
      <c r="K198" s="1268">
        <v>21.27</v>
      </c>
      <c r="L198" s="1267"/>
      <c r="M198" s="1268">
        <v>0</v>
      </c>
      <c r="N198" s="1267"/>
      <c r="O198" s="1268">
        <v>40.25</v>
      </c>
      <c r="P198" s="1267"/>
      <c r="Q198" s="1268">
        <v>0</v>
      </c>
      <c r="R198" s="1267"/>
      <c r="S198" s="1268">
        <v>0</v>
      </c>
      <c r="T198" s="1267"/>
      <c r="U198" s="1268">
        <v>0</v>
      </c>
      <c r="V198" s="1267"/>
      <c r="W198" s="1268">
        <v>385.41</v>
      </c>
      <c r="X198" s="1267"/>
      <c r="Y198" s="1268">
        <v>124.55</v>
      </c>
      <c r="Z198" s="1267"/>
      <c r="AA198" s="1268">
        <v>0</v>
      </c>
      <c r="AB198" s="1267"/>
      <c r="AC198" s="1268">
        <v>146.11000000000001</v>
      </c>
      <c r="AD198" s="1267"/>
      <c r="AE198" s="1268">
        <f t="shared" si="24"/>
        <v>830.32</v>
      </c>
      <c r="AF198" s="1269">
        <f t="shared" si="25"/>
        <v>2.5076419249087307E-4</v>
      </c>
      <c r="AG198" s="1270"/>
    </row>
    <row r="199" spans="1:33" outlineLevel="1">
      <c r="A199" s="1264">
        <v>70202</v>
      </c>
      <c r="B199" s="1264" t="s">
        <v>284</v>
      </c>
      <c r="C199" s="1265"/>
      <c r="D199" s="1261"/>
      <c r="E199" s="1266"/>
      <c r="F199" s="1267"/>
      <c r="G199" s="1268">
        <v>500</v>
      </c>
      <c r="H199" s="1267"/>
      <c r="I199" s="1268">
        <v>-207.14</v>
      </c>
      <c r="J199" s="1267"/>
      <c r="K199" s="1268">
        <v>341.4</v>
      </c>
      <c r="L199" s="1267"/>
      <c r="M199" s="1268">
        <v>827.88</v>
      </c>
      <c r="N199" s="1267"/>
      <c r="O199" s="1268">
        <v>0</v>
      </c>
      <c r="P199" s="1267"/>
      <c r="Q199" s="1268">
        <v>1364.2</v>
      </c>
      <c r="R199" s="1267"/>
      <c r="S199" s="1268">
        <v>302.89999999999998</v>
      </c>
      <c r="T199" s="1267"/>
      <c r="U199" s="1268">
        <v>422.8</v>
      </c>
      <c r="V199" s="1267"/>
      <c r="W199" s="1268">
        <v>530.99</v>
      </c>
      <c r="X199" s="1267"/>
      <c r="Y199" s="1268">
        <v>529.08000000000004</v>
      </c>
      <c r="Z199" s="1267"/>
      <c r="AA199" s="1268">
        <v>0</v>
      </c>
      <c r="AB199" s="1267"/>
      <c r="AC199" s="1268">
        <v>408</v>
      </c>
      <c r="AD199" s="1267"/>
      <c r="AE199" s="1268">
        <f t="shared" si="24"/>
        <v>5020.1099999999997</v>
      </c>
      <c r="AF199" s="1269">
        <f t="shared" si="25"/>
        <v>1.5161188823168857E-3</v>
      </c>
      <c r="AG199" s="1270"/>
    </row>
    <row r="200" spans="1:33" outlineLevel="1">
      <c r="A200" s="1264">
        <v>70203</v>
      </c>
      <c r="B200" s="1264" t="s">
        <v>141</v>
      </c>
      <c r="C200" s="1265"/>
      <c r="D200" s="1261"/>
      <c r="E200" s="1266"/>
      <c r="F200" s="1267"/>
      <c r="G200" s="1268">
        <v>454.64</v>
      </c>
      <c r="H200" s="1267"/>
      <c r="I200" s="1268">
        <v>0</v>
      </c>
      <c r="J200" s="1267"/>
      <c r="K200" s="1268">
        <v>0</v>
      </c>
      <c r="L200" s="1267"/>
      <c r="M200" s="1268">
        <v>0</v>
      </c>
      <c r="N200" s="1267"/>
      <c r="O200" s="1268">
        <v>0</v>
      </c>
      <c r="P200" s="1267"/>
      <c r="Q200" s="1268">
        <v>0</v>
      </c>
      <c r="R200" s="1267"/>
      <c r="S200" s="1268">
        <v>0</v>
      </c>
      <c r="T200" s="1267"/>
      <c r="U200" s="1268">
        <v>0</v>
      </c>
      <c r="V200" s="1267"/>
      <c r="W200" s="1268">
        <v>0</v>
      </c>
      <c r="X200" s="1267"/>
      <c r="Y200" s="1268">
        <v>121.5</v>
      </c>
      <c r="Z200" s="1267"/>
      <c r="AA200" s="1268">
        <v>0</v>
      </c>
      <c r="AB200" s="1267"/>
      <c r="AC200" s="1268">
        <v>0</v>
      </c>
      <c r="AD200" s="1267"/>
      <c r="AE200" s="1268">
        <f t="shared" si="24"/>
        <v>576.14</v>
      </c>
      <c r="AF200" s="1269">
        <f t="shared" si="25"/>
        <v>1.7399952050015848E-4</v>
      </c>
      <c r="AG200" s="1270"/>
    </row>
    <row r="201" spans="1:33" outlineLevel="1">
      <c r="A201" s="1264">
        <v>70205</v>
      </c>
      <c r="B201" s="1264" t="s">
        <v>285</v>
      </c>
      <c r="C201" s="1265"/>
      <c r="D201" s="1261"/>
      <c r="E201" s="1266"/>
      <c r="F201" s="1267"/>
      <c r="G201" s="1268">
        <v>390.55</v>
      </c>
      <c r="H201" s="1267"/>
      <c r="I201" s="1268">
        <v>197.95</v>
      </c>
      <c r="J201" s="1267"/>
      <c r="K201" s="1268">
        <v>434.42</v>
      </c>
      <c r="L201" s="1267"/>
      <c r="M201" s="1268">
        <v>764.72</v>
      </c>
      <c r="N201" s="1267"/>
      <c r="O201" s="1268">
        <v>1178.6099999999999</v>
      </c>
      <c r="P201" s="1267"/>
      <c r="Q201" s="1268">
        <v>1227.83</v>
      </c>
      <c r="R201" s="1267"/>
      <c r="S201" s="1268">
        <v>416.28</v>
      </c>
      <c r="T201" s="1267"/>
      <c r="U201" s="1268">
        <v>498.09</v>
      </c>
      <c r="V201" s="1267"/>
      <c r="W201" s="1268">
        <v>1769.74</v>
      </c>
      <c r="X201" s="1267"/>
      <c r="Y201" s="1268">
        <v>1493.8</v>
      </c>
      <c r="Z201" s="1267"/>
      <c r="AA201" s="1268">
        <v>749.54</v>
      </c>
      <c r="AB201" s="1267"/>
      <c r="AC201" s="1268">
        <v>572.79999999999995</v>
      </c>
      <c r="AD201" s="1267"/>
      <c r="AE201" s="1268">
        <f t="shared" si="24"/>
        <v>9694.33</v>
      </c>
      <c r="AF201" s="1269">
        <f t="shared" si="25"/>
        <v>2.9277758384599253E-3</v>
      </c>
      <c r="AG201" s="1270"/>
    </row>
    <row r="202" spans="1:33" outlineLevel="1">
      <c r="A202" s="1264">
        <v>70206</v>
      </c>
      <c r="B202" s="1264" t="s">
        <v>143</v>
      </c>
      <c r="C202" s="1265"/>
      <c r="D202" s="1261"/>
      <c r="E202" s="1266"/>
      <c r="F202" s="1267"/>
      <c r="G202" s="1268">
        <v>175</v>
      </c>
      <c r="H202" s="1267"/>
      <c r="I202" s="1268">
        <v>25.92</v>
      </c>
      <c r="J202" s="1267"/>
      <c r="K202" s="1268">
        <v>96.26</v>
      </c>
      <c r="L202" s="1267"/>
      <c r="M202" s="1268">
        <v>45.9</v>
      </c>
      <c r="N202" s="1267"/>
      <c r="O202" s="1268">
        <v>0</v>
      </c>
      <c r="P202" s="1267"/>
      <c r="Q202" s="1268">
        <v>197.81</v>
      </c>
      <c r="R202" s="1267"/>
      <c r="S202" s="1268">
        <v>2.34</v>
      </c>
      <c r="T202" s="1267"/>
      <c r="U202" s="1268">
        <v>52.68</v>
      </c>
      <c r="V202" s="1267"/>
      <c r="W202" s="1268">
        <v>463.01</v>
      </c>
      <c r="X202" s="1267"/>
      <c r="Y202" s="1268">
        <v>121.04</v>
      </c>
      <c r="Z202" s="1267"/>
      <c r="AA202" s="1268">
        <v>37.71</v>
      </c>
      <c r="AB202" s="1267"/>
      <c r="AC202" s="1268">
        <v>0</v>
      </c>
      <c r="AD202" s="1267"/>
      <c r="AE202" s="1268">
        <f t="shared" si="24"/>
        <v>1217.6699999999998</v>
      </c>
      <c r="AF202" s="1269">
        <f t="shared" si="25"/>
        <v>3.6774741577989367E-4</v>
      </c>
      <c r="AG202" s="1270"/>
    </row>
    <row r="203" spans="1:33" outlineLevel="1">
      <c r="A203" s="1264">
        <v>70207</v>
      </c>
      <c r="B203" s="1264" t="s">
        <v>144</v>
      </c>
      <c r="C203" s="1265"/>
      <c r="D203" s="1261"/>
      <c r="E203" s="1266"/>
      <c r="F203" s="1267"/>
      <c r="G203" s="1268">
        <v>0</v>
      </c>
      <c r="H203" s="1267"/>
      <c r="I203" s="1268">
        <v>0</v>
      </c>
      <c r="J203" s="1267"/>
      <c r="K203" s="1268">
        <v>34.15</v>
      </c>
      <c r="L203" s="1267"/>
      <c r="M203" s="1268">
        <v>0</v>
      </c>
      <c r="N203" s="1267"/>
      <c r="O203" s="1268">
        <v>0</v>
      </c>
      <c r="P203" s="1267"/>
      <c r="Q203" s="1268">
        <v>0</v>
      </c>
      <c r="R203" s="1267"/>
      <c r="S203" s="1268">
        <v>0</v>
      </c>
      <c r="T203" s="1267"/>
      <c r="U203" s="1268">
        <v>0</v>
      </c>
      <c r="V203" s="1267"/>
      <c r="W203" s="1268">
        <v>0</v>
      </c>
      <c r="X203" s="1267"/>
      <c r="Y203" s="1268">
        <v>0</v>
      </c>
      <c r="Z203" s="1267"/>
      <c r="AA203" s="1268">
        <v>0</v>
      </c>
      <c r="AB203" s="1267"/>
      <c r="AC203" s="1268">
        <v>0</v>
      </c>
      <c r="AD203" s="1267"/>
      <c r="AE203" s="1268">
        <f t="shared" si="24"/>
        <v>34.15</v>
      </c>
      <c r="AF203" s="1269">
        <f t="shared" si="25"/>
        <v>1.0313610624293421E-5</v>
      </c>
      <c r="AG203" s="1270"/>
    </row>
    <row r="204" spans="1:33" outlineLevel="1">
      <c r="A204" s="1264">
        <v>70210</v>
      </c>
      <c r="B204" s="1264" t="s">
        <v>111</v>
      </c>
      <c r="C204" s="1265"/>
      <c r="D204" s="1261"/>
      <c r="E204" s="1266"/>
      <c r="F204" s="1267"/>
      <c r="G204" s="1268">
        <v>387.5</v>
      </c>
      <c r="H204" s="1267"/>
      <c r="I204" s="1268">
        <v>471.42</v>
      </c>
      <c r="J204" s="1267"/>
      <c r="K204" s="1268">
        <v>465.96</v>
      </c>
      <c r="L204" s="1267"/>
      <c r="M204" s="1268">
        <v>373.35</v>
      </c>
      <c r="N204" s="1267"/>
      <c r="O204" s="1268">
        <v>423.97</v>
      </c>
      <c r="P204" s="1267"/>
      <c r="Q204" s="1268">
        <v>815.74</v>
      </c>
      <c r="R204" s="1267"/>
      <c r="S204" s="1268">
        <v>685.68</v>
      </c>
      <c r="T204" s="1267"/>
      <c r="U204" s="1268">
        <v>1035</v>
      </c>
      <c r="V204" s="1267"/>
      <c r="W204" s="1268">
        <v>470.77</v>
      </c>
      <c r="X204" s="1267"/>
      <c r="Y204" s="1268">
        <v>1286.8699999999999</v>
      </c>
      <c r="Z204" s="1267"/>
      <c r="AA204" s="1268">
        <v>602.98</v>
      </c>
      <c r="AB204" s="1267"/>
      <c r="AC204" s="1268">
        <v>554.22</v>
      </c>
      <c r="AD204" s="1267"/>
      <c r="AE204" s="1268">
        <f t="shared" si="24"/>
        <v>7573.46</v>
      </c>
      <c r="AF204" s="1269">
        <f t="shared" si="25"/>
        <v>2.2872538072814426E-3</v>
      </c>
      <c r="AG204" s="1270"/>
    </row>
    <row r="205" spans="1:33" outlineLevel="1">
      <c r="A205" s="1264">
        <v>70214</v>
      </c>
      <c r="B205" s="1264" t="s">
        <v>145</v>
      </c>
      <c r="C205" s="1265"/>
      <c r="D205" s="1261"/>
      <c r="E205" s="1266"/>
      <c r="F205" s="1267"/>
      <c r="G205" s="1268">
        <v>539.1</v>
      </c>
      <c r="H205" s="1267"/>
      <c r="I205" s="1268">
        <v>434.69</v>
      </c>
      <c r="J205" s="1267"/>
      <c r="K205" s="1268">
        <v>542.48</v>
      </c>
      <c r="L205" s="1267"/>
      <c r="M205" s="1268">
        <v>496.11</v>
      </c>
      <c r="N205" s="1267"/>
      <c r="O205" s="1268">
        <v>634.57000000000005</v>
      </c>
      <c r="P205" s="1267"/>
      <c r="Q205" s="1268">
        <v>503.18</v>
      </c>
      <c r="R205" s="1267"/>
      <c r="S205" s="1268">
        <v>711.11</v>
      </c>
      <c r="T205" s="1267"/>
      <c r="U205" s="1268">
        <v>549.48</v>
      </c>
      <c r="V205" s="1267"/>
      <c r="W205" s="1268">
        <v>683.32</v>
      </c>
      <c r="X205" s="1267"/>
      <c r="Y205" s="1268">
        <v>635.54</v>
      </c>
      <c r="Z205" s="1267"/>
      <c r="AA205" s="1268">
        <v>665.08</v>
      </c>
      <c r="AB205" s="1267"/>
      <c r="AC205" s="1268">
        <v>622.59</v>
      </c>
      <c r="AD205" s="1267"/>
      <c r="AE205" s="1268">
        <f t="shared" si="24"/>
        <v>7017.2499999999991</v>
      </c>
      <c r="AF205" s="1269">
        <f t="shared" si="25"/>
        <v>2.1192733280621669E-3</v>
      </c>
      <c r="AG205" s="1270"/>
    </row>
    <row r="206" spans="1:33" outlineLevel="1">
      <c r="A206" s="1264">
        <v>70231</v>
      </c>
      <c r="B206" s="1264" t="s">
        <v>146</v>
      </c>
      <c r="C206" s="1265"/>
      <c r="D206" s="1261"/>
      <c r="E206" s="1266"/>
      <c r="F206" s="1267"/>
      <c r="G206" s="1268">
        <v>23.9</v>
      </c>
      <c r="H206" s="1267"/>
      <c r="I206" s="1268">
        <v>37.5</v>
      </c>
      <c r="J206" s="1267"/>
      <c r="K206" s="1268">
        <v>0</v>
      </c>
      <c r="L206" s="1267"/>
      <c r="M206" s="1268">
        <v>0</v>
      </c>
      <c r="N206" s="1267"/>
      <c r="O206" s="1268">
        <v>0</v>
      </c>
      <c r="P206" s="1267"/>
      <c r="Q206" s="1268">
        <v>0</v>
      </c>
      <c r="R206" s="1267"/>
      <c r="S206" s="1268">
        <v>0</v>
      </c>
      <c r="T206" s="1267"/>
      <c r="U206" s="1268">
        <v>0</v>
      </c>
      <c r="V206" s="1267"/>
      <c r="W206" s="1268">
        <v>0</v>
      </c>
      <c r="X206" s="1267"/>
      <c r="Y206" s="1268">
        <v>0</v>
      </c>
      <c r="Z206" s="1267"/>
      <c r="AA206" s="1268">
        <v>0</v>
      </c>
      <c r="AB206" s="1267"/>
      <c r="AC206" s="1268">
        <v>0</v>
      </c>
      <c r="AD206" s="1267"/>
      <c r="AE206" s="1268">
        <f t="shared" si="24"/>
        <v>61.4</v>
      </c>
      <c r="AF206" s="1269">
        <f t="shared" si="25"/>
        <v>1.8543358487016577E-5</v>
      </c>
      <c r="AG206" s="1270"/>
    </row>
    <row r="207" spans="1:33" outlineLevel="1">
      <c r="A207" s="1264">
        <v>70245</v>
      </c>
      <c r="B207" s="1264" t="s">
        <v>286</v>
      </c>
      <c r="C207" s="1265"/>
      <c r="D207" s="1261"/>
      <c r="E207" s="1266"/>
      <c r="F207" s="1267"/>
      <c r="G207" s="1268">
        <v>49.7</v>
      </c>
      <c r="H207" s="1267"/>
      <c r="I207" s="1268">
        <v>49.7</v>
      </c>
      <c r="J207" s="1267"/>
      <c r="K207" s="1268">
        <v>0</v>
      </c>
      <c r="L207" s="1267"/>
      <c r="M207" s="1268">
        <v>0</v>
      </c>
      <c r="N207" s="1267"/>
      <c r="O207" s="1268">
        <v>0</v>
      </c>
      <c r="P207" s="1267"/>
      <c r="Q207" s="1268">
        <v>0</v>
      </c>
      <c r="R207" s="1267"/>
      <c r="S207" s="1268">
        <v>0</v>
      </c>
      <c r="T207" s="1267"/>
      <c r="U207" s="1268">
        <v>0</v>
      </c>
      <c r="V207" s="1267"/>
      <c r="W207" s="1268">
        <v>0</v>
      </c>
      <c r="X207" s="1267"/>
      <c r="Y207" s="1268">
        <v>0</v>
      </c>
      <c r="Z207" s="1267"/>
      <c r="AA207" s="1268">
        <v>0</v>
      </c>
      <c r="AB207" s="1267"/>
      <c r="AC207" s="1268">
        <v>0</v>
      </c>
      <c r="AD207" s="1267"/>
      <c r="AE207" s="1268">
        <f t="shared" si="24"/>
        <v>99.4</v>
      </c>
      <c r="AF207" s="1269">
        <f t="shared" si="25"/>
        <v>3.0019704130447035E-5</v>
      </c>
      <c r="AG207" s="1270"/>
    </row>
    <row r="208" spans="1:33" outlineLevel="1">
      <c r="A208" s="1264">
        <v>70255</v>
      </c>
      <c r="B208" s="1264" t="s">
        <v>77</v>
      </c>
      <c r="C208" s="1265"/>
      <c r="D208" s="1261"/>
      <c r="E208" s="1266"/>
      <c r="F208" s="1267"/>
      <c r="G208" s="1268">
        <v>32.090000000000003</v>
      </c>
      <c r="H208" s="1267"/>
      <c r="I208" s="1268">
        <v>57.22</v>
      </c>
      <c r="J208" s="1267"/>
      <c r="K208" s="1268">
        <v>69.84</v>
      </c>
      <c r="L208" s="1267"/>
      <c r="M208" s="1268">
        <v>64.37</v>
      </c>
      <c r="N208" s="1267"/>
      <c r="O208" s="1268">
        <v>14.48</v>
      </c>
      <c r="P208" s="1267"/>
      <c r="Q208" s="1268">
        <v>11.44</v>
      </c>
      <c r="R208" s="1267"/>
      <c r="S208" s="1268">
        <v>24.12</v>
      </c>
      <c r="T208" s="1267"/>
      <c r="U208" s="1268">
        <v>0</v>
      </c>
      <c r="V208" s="1267"/>
      <c r="W208" s="1268">
        <v>2.75</v>
      </c>
      <c r="X208" s="1267"/>
      <c r="Y208" s="1268">
        <v>24.68</v>
      </c>
      <c r="Z208" s="1267"/>
      <c r="AA208" s="1268">
        <v>0</v>
      </c>
      <c r="AB208" s="1267"/>
      <c r="AC208" s="1268">
        <v>639.34</v>
      </c>
      <c r="AD208" s="1267"/>
      <c r="AE208" s="1268">
        <f t="shared" si="24"/>
        <v>940.33000000000015</v>
      </c>
      <c r="AF208" s="1269">
        <f t="shared" si="25"/>
        <v>2.8398821312860428E-4</v>
      </c>
      <c r="AG208" s="1270"/>
    </row>
    <row r="209" spans="1:33" outlineLevel="1">
      <c r="A209" s="1264">
        <v>70300</v>
      </c>
      <c r="B209" s="1264" t="s">
        <v>116</v>
      </c>
      <c r="C209" s="1265"/>
      <c r="D209" s="1261"/>
      <c r="E209" s="1266"/>
      <c r="F209" s="1267"/>
      <c r="G209" s="1268">
        <v>1420.19</v>
      </c>
      <c r="H209" s="1267"/>
      <c r="I209" s="1268">
        <v>1420.19</v>
      </c>
      <c r="J209" s="1267"/>
      <c r="K209" s="1268">
        <v>1420.19</v>
      </c>
      <c r="L209" s="1267"/>
      <c r="M209" s="1268">
        <v>1420.19</v>
      </c>
      <c r="N209" s="1267"/>
      <c r="O209" s="1268">
        <v>1420.19</v>
      </c>
      <c r="P209" s="1267"/>
      <c r="Q209" s="1268">
        <v>1420.19</v>
      </c>
      <c r="R209" s="1267"/>
      <c r="S209" s="1268">
        <v>1420.19</v>
      </c>
      <c r="T209" s="1267"/>
      <c r="U209" s="1268">
        <v>1420.19</v>
      </c>
      <c r="V209" s="1267"/>
      <c r="W209" s="1268">
        <v>1420.19</v>
      </c>
      <c r="X209" s="1267"/>
      <c r="Y209" s="1268">
        <v>1420.19</v>
      </c>
      <c r="Z209" s="1267"/>
      <c r="AA209" s="1268">
        <v>1420.19</v>
      </c>
      <c r="AB209" s="1267"/>
      <c r="AC209" s="1268">
        <v>1446.76</v>
      </c>
      <c r="AD209" s="1267"/>
      <c r="AE209" s="1268">
        <f t="shared" si="24"/>
        <v>17068.850000000002</v>
      </c>
      <c r="AF209" s="1269">
        <f t="shared" si="25"/>
        <v>5.154947956207051E-3</v>
      </c>
      <c r="AG209" s="1270"/>
    </row>
    <row r="210" spans="1:33" outlineLevel="1">
      <c r="A210" s="1264">
        <v>70310</v>
      </c>
      <c r="B210" s="1264" t="s">
        <v>128</v>
      </c>
      <c r="C210" s="1265"/>
      <c r="D210" s="1261"/>
      <c r="E210" s="1266"/>
      <c r="F210" s="1267"/>
      <c r="G210" s="1268">
        <v>2815.05</v>
      </c>
      <c r="H210" s="1267"/>
      <c r="I210" s="1268">
        <v>58.42</v>
      </c>
      <c r="J210" s="1267"/>
      <c r="K210" s="1268">
        <v>1022.18</v>
      </c>
      <c r="L210" s="1267"/>
      <c r="M210" s="1268">
        <v>-929.81</v>
      </c>
      <c r="N210" s="1267"/>
      <c r="O210" s="1268">
        <v>-67.77</v>
      </c>
      <c r="P210" s="1267"/>
      <c r="Q210" s="1268">
        <v>567.46</v>
      </c>
      <c r="R210" s="1267"/>
      <c r="S210" s="1268">
        <v>152.26</v>
      </c>
      <c r="T210" s="1267"/>
      <c r="U210" s="1268">
        <v>2520.92</v>
      </c>
      <c r="V210" s="1267"/>
      <c r="W210" s="1268">
        <v>936.05</v>
      </c>
      <c r="X210" s="1267"/>
      <c r="Y210" s="1268">
        <v>4051.54</v>
      </c>
      <c r="Z210" s="1267"/>
      <c r="AA210" s="1268">
        <v>1167.55</v>
      </c>
      <c r="AB210" s="1267"/>
      <c r="AC210" s="1268">
        <v>1782.85</v>
      </c>
      <c r="AD210" s="1267"/>
      <c r="AE210" s="1268">
        <f t="shared" si="24"/>
        <v>14076.7</v>
      </c>
      <c r="AF210" s="1269">
        <f t="shared" si="25"/>
        <v>4.2512914399704602E-3</v>
      </c>
      <c r="AG210" s="1270"/>
    </row>
    <row r="211" spans="1:33" outlineLevel="1">
      <c r="A211" s="1264">
        <v>70320</v>
      </c>
      <c r="B211" s="1264" t="s">
        <v>118</v>
      </c>
      <c r="C211" s="1265"/>
      <c r="D211" s="1261"/>
      <c r="E211" s="1266"/>
      <c r="F211" s="1267"/>
      <c r="G211" s="1268">
        <v>552.41999999999996</v>
      </c>
      <c r="H211" s="1267"/>
      <c r="I211" s="1268">
        <v>33.659999999999997</v>
      </c>
      <c r="J211" s="1267"/>
      <c r="K211" s="1268">
        <v>85.25</v>
      </c>
      <c r="L211" s="1267"/>
      <c r="M211" s="1268">
        <v>274.82</v>
      </c>
      <c r="N211" s="1267"/>
      <c r="O211" s="1268">
        <v>140.87</v>
      </c>
      <c r="P211" s="1267"/>
      <c r="Q211" s="1268">
        <v>78.099999999999994</v>
      </c>
      <c r="R211" s="1267"/>
      <c r="S211" s="1268">
        <v>220</v>
      </c>
      <c r="T211" s="1267"/>
      <c r="U211" s="1268">
        <v>16.25</v>
      </c>
      <c r="V211" s="1267"/>
      <c r="W211" s="1268">
        <v>257.02</v>
      </c>
      <c r="X211" s="1267"/>
      <c r="Y211" s="1268">
        <v>123</v>
      </c>
      <c r="Z211" s="1267"/>
      <c r="AA211" s="1268">
        <v>95</v>
      </c>
      <c r="AB211" s="1267"/>
      <c r="AC211" s="1268">
        <v>136.04</v>
      </c>
      <c r="AD211" s="1267"/>
      <c r="AE211" s="1268">
        <f t="shared" si="24"/>
        <v>2012.4299999999998</v>
      </c>
      <c r="AF211" s="1269">
        <f t="shared" si="25"/>
        <v>6.0777216482128284E-4</v>
      </c>
      <c r="AG211" s="1270"/>
    </row>
    <row r="212" spans="1:33" outlineLevel="1">
      <c r="A212" s="1264">
        <v>70336</v>
      </c>
      <c r="B212" s="1264" t="s">
        <v>148</v>
      </c>
      <c r="C212" s="1265"/>
      <c r="D212" s="1261"/>
      <c r="E212" s="1266"/>
      <c r="F212" s="1267"/>
      <c r="G212" s="1268">
        <v>108.77</v>
      </c>
      <c r="H212" s="1267"/>
      <c r="I212" s="1268">
        <v>111.9</v>
      </c>
      <c r="J212" s="1267"/>
      <c r="K212" s="1268">
        <v>0</v>
      </c>
      <c r="L212" s="1267"/>
      <c r="M212" s="1268">
        <v>147.97</v>
      </c>
      <c r="N212" s="1267"/>
      <c r="O212" s="1268">
        <v>68.98</v>
      </c>
      <c r="P212" s="1267"/>
      <c r="Q212" s="1268">
        <v>153.66</v>
      </c>
      <c r="R212" s="1267"/>
      <c r="S212" s="1268">
        <v>0</v>
      </c>
      <c r="T212" s="1267"/>
      <c r="U212" s="1268">
        <v>62.04</v>
      </c>
      <c r="V212" s="1267"/>
      <c r="W212" s="1268">
        <v>50.95</v>
      </c>
      <c r="X212" s="1267"/>
      <c r="Y212" s="1268">
        <v>53.63</v>
      </c>
      <c r="Z212" s="1267"/>
      <c r="AA212" s="1268">
        <v>63.03</v>
      </c>
      <c r="AB212" s="1267"/>
      <c r="AC212" s="1268">
        <v>71.58</v>
      </c>
      <c r="AD212" s="1267"/>
      <c r="AE212" s="1268">
        <f t="shared" si="24"/>
        <v>892.51</v>
      </c>
      <c r="AF212" s="1269">
        <f t="shared" si="25"/>
        <v>2.6954613816363462E-4</v>
      </c>
      <c r="AG212" s="1270"/>
    </row>
    <row r="213" spans="1:33" s="1266" customFormat="1" ht="5.0999999999999996" customHeight="1" outlineLevel="1">
      <c r="A213" s="1265"/>
      <c r="B213" s="1265"/>
      <c r="C213" s="1265"/>
      <c r="D213" s="1265"/>
      <c r="G213" s="581"/>
      <c r="H213" s="579"/>
      <c r="I213" s="581"/>
      <c r="J213" s="579"/>
      <c r="K213" s="581"/>
      <c r="L213" s="579"/>
      <c r="M213" s="581"/>
      <c r="N213" s="579"/>
      <c r="O213" s="581"/>
      <c r="P213" s="579"/>
      <c r="Q213" s="581"/>
      <c r="R213" s="579"/>
      <c r="S213" s="581"/>
      <c r="T213" s="579"/>
      <c r="U213" s="581"/>
      <c r="V213" s="579"/>
      <c r="W213" s="581"/>
      <c r="X213" s="579"/>
      <c r="Y213" s="581"/>
      <c r="Z213" s="579"/>
      <c r="AA213" s="581"/>
      <c r="AB213" s="579"/>
      <c r="AC213" s="581"/>
      <c r="AD213" s="579"/>
      <c r="AE213" s="581"/>
      <c r="AF213" s="577"/>
      <c r="AG213" s="1272"/>
    </row>
    <row r="214" spans="1:33" s="1266" customFormat="1" ht="15">
      <c r="C214" s="1265" t="s">
        <v>287</v>
      </c>
      <c r="G214" s="578">
        <f>SUM(G176:G213)</f>
        <v>26505.109999999993</v>
      </c>
      <c r="H214" s="579"/>
      <c r="I214" s="578">
        <f>SUM(I176:I213)</f>
        <v>27708.389999999996</v>
      </c>
      <c r="J214" s="579"/>
      <c r="K214" s="578">
        <f>SUM(K176:K213)</f>
        <v>33533.839999999997</v>
      </c>
      <c r="L214" s="579"/>
      <c r="M214" s="578">
        <f>SUM(M176:M213)</f>
        <v>26672.31</v>
      </c>
      <c r="N214" s="579"/>
      <c r="O214" s="578">
        <f>SUM(O176:O213)</f>
        <v>30269.919999999998</v>
      </c>
      <c r="P214" s="579"/>
      <c r="Q214" s="578">
        <f>SUM(Q176:Q213)</f>
        <v>32697.38</v>
      </c>
      <c r="R214" s="579"/>
      <c r="S214" s="578">
        <f>SUM(S176:S213)</f>
        <v>27596.52</v>
      </c>
      <c r="T214" s="579"/>
      <c r="U214" s="578">
        <f>SUM(U176:U213)</f>
        <v>35789.359999999993</v>
      </c>
      <c r="V214" s="579"/>
      <c r="W214" s="578">
        <f>SUM(W176:W213)</f>
        <v>37553.760000000002</v>
      </c>
      <c r="X214" s="579"/>
      <c r="Y214" s="578">
        <f>SUM(Y176:Y213)</f>
        <v>41904.010000000009</v>
      </c>
      <c r="Z214" s="579"/>
      <c r="AA214" s="578">
        <f>SUM(AA176:AA213)</f>
        <v>37079.98000000001</v>
      </c>
      <c r="AB214" s="579"/>
      <c r="AC214" s="578">
        <f>SUM(AC176:AC213)</f>
        <v>37709.01999999999</v>
      </c>
      <c r="AD214" s="579"/>
      <c r="AE214" s="578">
        <f>SUM(AE176:AE213)</f>
        <v>395019.60000000009</v>
      </c>
      <c r="AF214" s="1269">
        <f>IF(AE$45=0,0,AE214/AE$45)</f>
        <v>0.11929951225078005</v>
      </c>
      <c r="AG214" s="1272"/>
    </row>
    <row r="215" spans="1:33" s="1266" customFormat="1" ht="15" outlineLevel="1">
      <c r="G215" s="580"/>
      <c r="H215" s="579"/>
      <c r="I215" s="580"/>
      <c r="J215" s="579"/>
      <c r="K215" s="580"/>
      <c r="L215" s="579"/>
      <c r="M215" s="580"/>
      <c r="N215" s="579"/>
      <c r="O215" s="580"/>
      <c r="P215" s="579"/>
      <c r="Q215" s="580"/>
      <c r="R215" s="579"/>
      <c r="S215" s="580"/>
      <c r="T215" s="579"/>
      <c r="U215" s="580"/>
      <c r="V215" s="579"/>
      <c r="W215" s="580"/>
      <c r="X215" s="579"/>
      <c r="Y215" s="580"/>
      <c r="Z215" s="579"/>
      <c r="AA215" s="580"/>
      <c r="AB215" s="579"/>
      <c r="AC215" s="580"/>
      <c r="AD215" s="579"/>
      <c r="AE215" s="580"/>
      <c r="AF215" s="577"/>
      <c r="AG215" s="1272"/>
    </row>
    <row r="216" spans="1:33" outlineLevel="1">
      <c r="A216" s="1264">
        <v>70149</v>
      </c>
      <c r="B216" s="1264" t="s">
        <v>289</v>
      </c>
      <c r="C216" s="1265"/>
      <c r="D216" s="1261"/>
      <c r="E216" s="1266"/>
      <c r="F216" s="1267"/>
      <c r="G216" s="1268">
        <v>5156.95</v>
      </c>
      <c r="H216" s="1267"/>
      <c r="I216" s="1268">
        <v>5459.53</v>
      </c>
      <c r="J216" s="1267"/>
      <c r="K216" s="1268">
        <v>5772.45</v>
      </c>
      <c r="L216" s="1267"/>
      <c r="M216" s="1268">
        <v>5552.78</v>
      </c>
      <c r="N216" s="1267"/>
      <c r="O216" s="1268">
        <v>5922.57</v>
      </c>
      <c r="P216" s="1267"/>
      <c r="Q216" s="1268">
        <v>6429.82</v>
      </c>
      <c r="R216" s="1267"/>
      <c r="S216" s="1268">
        <v>6560.71</v>
      </c>
      <c r="T216" s="1267"/>
      <c r="U216" s="1268">
        <v>6951.94</v>
      </c>
      <c r="V216" s="1267"/>
      <c r="W216" s="1268">
        <v>6491.47</v>
      </c>
      <c r="X216" s="1267"/>
      <c r="Y216" s="1268">
        <v>6306.37</v>
      </c>
      <c r="Z216" s="1267"/>
      <c r="AA216" s="1268">
        <v>6143.77</v>
      </c>
      <c r="AB216" s="1267"/>
      <c r="AC216" s="1268">
        <v>7943.56</v>
      </c>
      <c r="AD216" s="1267"/>
      <c r="AE216" s="1268">
        <f>AC216+AA216+Y216+W216+U216+S216+Q216+O216+M216+K216+I216+G216</f>
        <v>74691.92</v>
      </c>
      <c r="AF216" s="1269">
        <f>IF(AE$45=0,0,AE216/AE$45)</f>
        <v>2.2557639228722528E-2</v>
      </c>
      <c r="AG216" s="1270"/>
    </row>
    <row r="217" spans="1:33" s="1266" customFormat="1" ht="5.0999999999999996" customHeight="1" outlineLevel="1">
      <c r="A217" s="1265"/>
      <c r="B217" s="1265"/>
      <c r="C217" s="1265"/>
      <c r="D217" s="1265"/>
      <c r="G217" s="581"/>
      <c r="H217" s="579"/>
      <c r="I217" s="581"/>
      <c r="J217" s="579"/>
      <c r="K217" s="581"/>
      <c r="L217" s="579"/>
      <c r="M217" s="581"/>
      <c r="N217" s="579"/>
      <c r="O217" s="581"/>
      <c r="P217" s="579"/>
      <c r="Q217" s="581"/>
      <c r="R217" s="579"/>
      <c r="S217" s="581"/>
      <c r="T217" s="579"/>
      <c r="U217" s="581"/>
      <c r="V217" s="579"/>
      <c r="W217" s="581"/>
      <c r="X217" s="579"/>
      <c r="Y217" s="581"/>
      <c r="Z217" s="579"/>
      <c r="AA217" s="581"/>
      <c r="AB217" s="579"/>
      <c r="AC217" s="581"/>
      <c r="AD217" s="579"/>
      <c r="AE217" s="581"/>
      <c r="AF217" s="577"/>
      <c r="AG217" s="1272"/>
    </row>
    <row r="218" spans="1:33" s="1266" customFormat="1" ht="15">
      <c r="C218" s="1264" t="s">
        <v>290</v>
      </c>
      <c r="G218" s="578">
        <f>SUM(G215:G217)</f>
        <v>5156.95</v>
      </c>
      <c r="H218" s="579"/>
      <c r="I218" s="578">
        <f>SUM(I215:I217)</f>
        <v>5459.53</v>
      </c>
      <c r="J218" s="579"/>
      <c r="K218" s="578">
        <f>SUM(K215:K217)</f>
        <v>5772.45</v>
      </c>
      <c r="L218" s="579"/>
      <c r="M218" s="578">
        <f>SUM(M215:M217)</f>
        <v>5552.78</v>
      </c>
      <c r="N218" s="579"/>
      <c r="O218" s="578">
        <f>SUM(O215:O217)</f>
        <v>5922.57</v>
      </c>
      <c r="P218" s="579"/>
      <c r="Q218" s="578">
        <f>SUM(Q215:Q217)</f>
        <v>6429.82</v>
      </c>
      <c r="R218" s="579"/>
      <c r="S218" s="578">
        <f>SUM(S215:S217)</f>
        <v>6560.71</v>
      </c>
      <c r="T218" s="579"/>
      <c r="U218" s="578">
        <f>SUM(U215:U217)</f>
        <v>6951.94</v>
      </c>
      <c r="V218" s="579"/>
      <c r="W218" s="578">
        <f>SUM(W215:W217)</f>
        <v>6491.47</v>
      </c>
      <c r="X218" s="579"/>
      <c r="Y218" s="578">
        <f>SUM(Y215:Y217)</f>
        <v>6306.37</v>
      </c>
      <c r="Z218" s="579"/>
      <c r="AA218" s="578">
        <f>SUM(AA215:AA217)</f>
        <v>6143.77</v>
      </c>
      <c r="AB218" s="579"/>
      <c r="AC218" s="578">
        <f>SUM(AC215:AC217)</f>
        <v>7943.56</v>
      </c>
      <c r="AD218" s="579"/>
      <c r="AE218" s="578">
        <f>SUM(AE215:AE217)</f>
        <v>74691.92</v>
      </c>
      <c r="AF218" s="1269">
        <f>IF(AE$45=0,0,AE218/AE$45)</f>
        <v>2.2557639228722528E-2</v>
      </c>
      <c r="AG218" s="1272"/>
    </row>
    <row r="219" spans="1:33" s="1266" customFormat="1" ht="7.5" customHeight="1">
      <c r="G219" s="580"/>
      <c r="H219" s="579"/>
      <c r="I219" s="580"/>
      <c r="J219" s="579"/>
      <c r="K219" s="580"/>
      <c r="L219" s="579"/>
      <c r="M219" s="580"/>
      <c r="N219" s="579"/>
      <c r="O219" s="580"/>
      <c r="P219" s="579"/>
      <c r="Q219" s="580"/>
      <c r="R219" s="579"/>
      <c r="S219" s="580"/>
      <c r="T219" s="579"/>
      <c r="U219" s="580"/>
      <c r="V219" s="579"/>
      <c r="W219" s="580"/>
      <c r="X219" s="579"/>
      <c r="Y219" s="580"/>
      <c r="Z219" s="579"/>
      <c r="AA219" s="580"/>
      <c r="AB219" s="579"/>
      <c r="AC219" s="580"/>
      <c r="AD219" s="579"/>
      <c r="AE219" s="580"/>
      <c r="AF219" s="577"/>
      <c r="AG219" s="1272"/>
    </row>
    <row r="220" spans="1:33" s="1266" customFormat="1" ht="15">
      <c r="B220" s="582" t="s">
        <v>291</v>
      </c>
      <c r="G220" s="150">
        <f>+G174+G214+G218</f>
        <v>31762.059999999994</v>
      </c>
      <c r="H220" s="579"/>
      <c r="I220" s="150">
        <f>+I174+I214+I218</f>
        <v>33167.919999999998</v>
      </c>
      <c r="J220" s="579"/>
      <c r="K220" s="150">
        <f>+K174+K214+K218</f>
        <v>39406.289999999994</v>
      </c>
      <c r="L220" s="579"/>
      <c r="M220" s="150">
        <f>+M174+M214+M218</f>
        <v>32329.09</v>
      </c>
      <c r="N220" s="579"/>
      <c r="O220" s="150">
        <f>+O174+O214+O218</f>
        <v>37078.49</v>
      </c>
      <c r="P220" s="579"/>
      <c r="Q220" s="150">
        <f>+Q174+Q214+Q218</f>
        <v>39127.199999999997</v>
      </c>
      <c r="R220" s="579"/>
      <c r="S220" s="150">
        <f>+S174+S214+S218</f>
        <v>34157.230000000003</v>
      </c>
      <c r="T220" s="579"/>
      <c r="U220" s="150">
        <f>+U174+U214+U218</f>
        <v>43115.799999999996</v>
      </c>
      <c r="V220" s="579"/>
      <c r="W220" s="150">
        <f>+W174+W214+W218</f>
        <v>44045.23</v>
      </c>
      <c r="X220" s="579"/>
      <c r="Y220" s="150">
        <f>+Y174+Y214+Y218</f>
        <v>48310.380000000012</v>
      </c>
      <c r="Z220" s="579"/>
      <c r="AA220" s="150">
        <f>+AA174+AA214+AA218</f>
        <v>43723.750000000015</v>
      </c>
      <c r="AB220" s="579"/>
      <c r="AC220" s="150">
        <f>+AC174+AC214+AC218</f>
        <v>45764.079999999987</v>
      </c>
      <c r="AD220" s="579"/>
      <c r="AE220" s="150">
        <f>+AE174+AE214+AE218</f>
        <v>471987.52000000008</v>
      </c>
      <c r="AF220" s="1269">
        <f>IF(AE$45=0,0,AE220/AE$45)</f>
        <v>0.14254452418172489</v>
      </c>
      <c r="AG220" s="1272"/>
    </row>
    <row r="221" spans="1:33" s="1266" customFormat="1" ht="7.5" customHeight="1">
      <c r="G221" s="580"/>
      <c r="H221" s="579"/>
      <c r="I221" s="580"/>
      <c r="J221" s="579"/>
      <c r="K221" s="580"/>
      <c r="L221" s="579"/>
      <c r="M221" s="580"/>
      <c r="N221" s="579"/>
      <c r="O221" s="580"/>
      <c r="P221" s="579"/>
      <c r="Q221" s="580"/>
      <c r="R221" s="579"/>
      <c r="S221" s="580"/>
      <c r="T221" s="579"/>
      <c r="U221" s="580"/>
      <c r="V221" s="579"/>
      <c r="W221" s="580"/>
      <c r="X221" s="579"/>
      <c r="Y221" s="580"/>
      <c r="Z221" s="579"/>
      <c r="AA221" s="580"/>
      <c r="AB221" s="579"/>
      <c r="AC221" s="580"/>
      <c r="AD221" s="579"/>
      <c r="AE221" s="580"/>
      <c r="AF221" s="577"/>
      <c r="AG221" s="1272"/>
    </row>
    <row r="222" spans="1:33" s="1266" customFormat="1" ht="7.5" customHeight="1">
      <c r="A222" s="156"/>
      <c r="B222" s="156"/>
      <c r="C222" s="156"/>
      <c r="D222" s="156"/>
      <c r="E222" s="156"/>
      <c r="F222" s="156"/>
      <c r="G222" s="154"/>
      <c r="H222" s="579"/>
      <c r="I222" s="154"/>
      <c r="J222" s="579"/>
      <c r="K222" s="154"/>
      <c r="L222" s="579"/>
      <c r="M222" s="154"/>
      <c r="N222" s="579"/>
      <c r="O222" s="154"/>
      <c r="P222" s="579"/>
      <c r="Q222" s="154"/>
      <c r="R222" s="579"/>
      <c r="S222" s="154"/>
      <c r="T222" s="579"/>
      <c r="U222" s="154"/>
      <c r="V222" s="579"/>
      <c r="W222" s="154"/>
      <c r="X222" s="579"/>
      <c r="Y222" s="154"/>
      <c r="Z222" s="579"/>
      <c r="AA222" s="154"/>
      <c r="AB222" s="579"/>
      <c r="AC222" s="154"/>
      <c r="AD222" s="579"/>
      <c r="AE222" s="154"/>
      <c r="AF222" s="577"/>
      <c r="AG222" s="1272"/>
    </row>
    <row r="223" spans="1:33" s="1266" customFormat="1" ht="15">
      <c r="B223" s="157" t="s">
        <v>292</v>
      </c>
      <c r="C223" s="158"/>
      <c r="D223" s="158"/>
      <c r="E223" s="158"/>
      <c r="F223" s="158"/>
      <c r="G223" s="159">
        <f>+G169-G220</f>
        <v>29844.610000000004</v>
      </c>
      <c r="H223" s="160"/>
      <c r="I223" s="159">
        <f>+I169-I220</f>
        <v>-14361.060000000012</v>
      </c>
      <c r="J223" s="161"/>
      <c r="K223" s="159">
        <f>+K169-K220</f>
        <v>26045.979999999952</v>
      </c>
      <c r="L223" s="161"/>
      <c r="M223" s="159">
        <f>+M169-M220</f>
        <v>44734.39</v>
      </c>
      <c r="N223" s="160"/>
      <c r="O223" s="159">
        <f>+O169-O220</f>
        <v>16377.429999999971</v>
      </c>
      <c r="P223" s="161"/>
      <c r="Q223" s="159">
        <f>+Q169-Q220</f>
        <v>55212.799999999945</v>
      </c>
      <c r="R223" s="161"/>
      <c r="S223" s="159">
        <f>+S169-S220</f>
        <v>40991.159999999967</v>
      </c>
      <c r="T223" s="160"/>
      <c r="U223" s="159">
        <f>+U169-U220</f>
        <v>41876.949999999975</v>
      </c>
      <c r="V223" s="161"/>
      <c r="W223" s="159">
        <f>+W169-W220</f>
        <v>43019.939999999981</v>
      </c>
      <c r="X223" s="161"/>
      <c r="Y223" s="159">
        <f>+Y169-Y220</f>
        <v>18940.949999999903</v>
      </c>
      <c r="Z223" s="160"/>
      <c r="AA223" s="159">
        <f>+AA169-AA220</f>
        <v>44123.699999999983</v>
      </c>
      <c r="AB223" s="161"/>
      <c r="AC223" s="159">
        <f>+AC169-AC220</f>
        <v>22481.160000000076</v>
      </c>
      <c r="AD223" s="161"/>
      <c r="AE223" s="159">
        <f>+AE169-AE220</f>
        <v>369288.00999999925</v>
      </c>
      <c r="AF223" s="1269">
        <f>IF(AE$45=0,0,AE223/AE$45)</f>
        <v>0.11152833801933142</v>
      </c>
      <c r="AG223" s="162"/>
    </row>
    <row r="224" spans="1:33" s="1266" customFormat="1" ht="6.75" customHeight="1">
      <c r="A224" s="164"/>
      <c r="B224" s="164"/>
      <c r="C224" s="164"/>
      <c r="D224" s="164"/>
      <c r="E224" s="164"/>
      <c r="F224" s="164"/>
      <c r="G224" s="165"/>
      <c r="H224" s="164"/>
      <c r="I224" s="165"/>
      <c r="J224" s="164"/>
      <c r="K224" s="165"/>
      <c r="L224" s="164"/>
      <c r="M224" s="165"/>
      <c r="N224" s="164"/>
      <c r="O224" s="165"/>
      <c r="P224" s="164"/>
      <c r="Q224" s="165"/>
      <c r="R224" s="164"/>
      <c r="S224" s="165"/>
      <c r="T224" s="164"/>
      <c r="U224" s="165"/>
      <c r="V224" s="164"/>
      <c r="W224" s="165"/>
      <c r="X224" s="164"/>
      <c r="Y224" s="165"/>
      <c r="Z224" s="164"/>
      <c r="AA224" s="165"/>
      <c r="AB224" s="164"/>
      <c r="AC224" s="165"/>
      <c r="AD224" s="164"/>
      <c r="AE224" s="165"/>
      <c r="AF224" s="166"/>
      <c r="AG224" s="1272"/>
    </row>
    <row r="225" spans="1:33" s="1266" customFormat="1" ht="15">
      <c r="B225" s="167" t="s">
        <v>293</v>
      </c>
      <c r="C225" s="168"/>
      <c r="D225" s="168"/>
      <c r="E225" s="168"/>
      <c r="F225" s="168"/>
      <c r="G225" s="169">
        <f>G223 +G161+SUMIF($A:$A,52141,G:G)+SUMIF($A:$A,52142,G:G)+SUMIF($A:$A,52143,G:G)+SUMIF($A:$A,55142,G:G)+SUMIF($A:$A,56142,G:G)+SUMIF($A:$A,70142,G:G)</f>
        <v>47546.83</v>
      </c>
      <c r="H225" s="168"/>
      <c r="I225" s="169">
        <f>I223 +I161+SUMIF($A:$A,52141,I:I)+SUMIF($A:$A,52142,I:I)+SUMIF($A:$A,52143,I:I)+SUMIF($A:$A,55142,I:I)+SUMIF($A:$A,56142,I:I)+SUMIF($A:$A,70142,I:I)</f>
        <v>35518.959999999992</v>
      </c>
      <c r="J225" s="168"/>
      <c r="K225" s="169">
        <f>K223 +K161+SUMIF($A:$A,52141,K:K)+SUMIF($A:$A,52142,K:K)+SUMIF($A:$A,52143,K:K)+SUMIF($A:$A,55142,K:K)+SUMIF($A:$A,56142,K:K)+SUMIF($A:$A,70142,K:K)</f>
        <v>44160.669999999955</v>
      </c>
      <c r="L225" s="168"/>
      <c r="M225" s="169">
        <f>M223 +M161+SUMIF($A:$A,52141,M:M)+SUMIF($A:$A,52142,M:M)+SUMIF($A:$A,52143,M:M)+SUMIF($A:$A,55142,M:M)+SUMIF($A:$A,56142,M:M)+SUMIF($A:$A,70142,M:M)</f>
        <v>58543.929999999993</v>
      </c>
      <c r="N225" s="168"/>
      <c r="O225" s="169">
        <f>O223 +O161+SUMIF($A:$A,52141,O:O)+SUMIF($A:$A,52142,O:O)+SUMIF($A:$A,52143,O:O)+SUMIF($A:$A,55142,O:O)+SUMIF($A:$A,56142,O:O)+SUMIF($A:$A,70142,O:O)</f>
        <v>56723.589999999967</v>
      </c>
      <c r="P225" s="168"/>
      <c r="Q225" s="169">
        <f>Q223 +Q161+SUMIF($A:$A,52141,Q:Q)+SUMIF($A:$A,52142,Q:Q)+SUMIF($A:$A,52143,Q:Q)+SUMIF($A:$A,55142,Q:Q)+SUMIF($A:$A,56142,Q:Q)+SUMIF($A:$A,70142,Q:Q)</f>
        <v>66929.109999999942</v>
      </c>
      <c r="R225" s="168"/>
      <c r="S225" s="169">
        <f>S223 +S161+SUMIF($A:$A,52141,S:S)+SUMIF($A:$A,52142,S:S)+SUMIF($A:$A,52143,S:S)+SUMIF($A:$A,55142,S:S)+SUMIF($A:$A,56142,S:S)+SUMIF($A:$A,70142,S:S)</f>
        <v>64284.979999999967</v>
      </c>
      <c r="T225" s="168"/>
      <c r="U225" s="169">
        <f>U223 +U161+SUMIF($A:$A,52141,U:U)+SUMIF($A:$A,52142,U:U)+SUMIF($A:$A,52143,U:U)+SUMIF($A:$A,55142,U:U)+SUMIF($A:$A,56142,U:U)+SUMIF($A:$A,70142,U:U)</f>
        <v>59222.419999999976</v>
      </c>
      <c r="V225" s="168"/>
      <c r="W225" s="169">
        <f>W223 +W161+SUMIF($A:$A,52141,W:W)+SUMIF($A:$A,52142,W:W)+SUMIF($A:$A,52143,W:W)+SUMIF($A:$A,55142,W:W)+SUMIF($A:$A,56142,W:W)+SUMIF($A:$A,70142,W:W)</f>
        <v>60989.939999999988</v>
      </c>
      <c r="X225" s="168"/>
      <c r="Y225" s="169">
        <f>Y223 +Y161+SUMIF($A:$A,52141,Y:Y)+SUMIF($A:$A,52142,Y:Y)+SUMIF($A:$A,52143,Y:Y)+SUMIF($A:$A,55142,Y:Y)+SUMIF($A:$A,56142,Y:Y)+SUMIF($A:$A,70142,Y:Y)</f>
        <v>39391.789999999906</v>
      </c>
      <c r="Z225" s="168"/>
      <c r="AA225" s="169">
        <f>AA223 +AA161+SUMIF($A:$A,52141,AA:AA)+SUMIF($A:$A,52142,AA:AA)+SUMIF($A:$A,52143,AA:AA)+SUMIF($A:$A,55142,AA:AA)+SUMIF($A:$A,56142,AA:AA)+SUMIF($A:$A,70142,AA:AA)</f>
        <v>61589.669999999984</v>
      </c>
      <c r="AB225" s="168"/>
      <c r="AC225" s="169">
        <f>AC223 +AC161+SUMIF($A:$A,52141,AC:AC)+SUMIF($A:$A,52142,AC:AC)+SUMIF($A:$A,52143,AC:AC)+SUMIF($A:$A,55142,AC:AC)+SUMIF($A:$A,56142,AC:AC)+SUMIF($A:$A,70142,AC:AC)</f>
        <v>41588.32000000008</v>
      </c>
      <c r="AD225" s="168"/>
      <c r="AE225" s="169">
        <f>AE223 +AE161+SUMIF($A:$A,52141,AE:AE)+SUMIF($A:$A,52142,AE:AE)+SUMIF($A:$A,52143,AE:AE)+SUMIF($A:$A,55142,AE:AE)+SUMIF($A:$A,56142,AE:AE)+SUMIF($A:$A,70142,AE:AE)</f>
        <v>636490.20999999926</v>
      </c>
      <c r="AF225" s="1269">
        <f>IF(AE$45=0,0,AE225/AE$45)</f>
        <v>0.19222583285841124</v>
      </c>
      <c r="AG225" s="162"/>
    </row>
    <row r="226" spans="1:33" s="1266" customFormat="1" ht="6.75" customHeight="1">
      <c r="G226" s="580"/>
      <c r="H226" s="580"/>
      <c r="I226" s="580"/>
      <c r="J226" s="580"/>
      <c r="K226" s="580"/>
      <c r="L226" s="580"/>
      <c r="M226" s="580"/>
      <c r="N226" s="580"/>
      <c r="O226" s="580"/>
      <c r="P226" s="580"/>
      <c r="Q226" s="580"/>
      <c r="R226" s="580"/>
      <c r="S226" s="580"/>
      <c r="T226" s="580"/>
      <c r="U226" s="580"/>
      <c r="V226" s="580"/>
      <c r="W226" s="580"/>
      <c r="X226" s="580"/>
      <c r="Y226" s="580"/>
      <c r="Z226" s="580"/>
      <c r="AA226" s="580"/>
      <c r="AB226" s="580"/>
      <c r="AC226" s="580"/>
      <c r="AD226" s="580"/>
      <c r="AE226" s="580"/>
      <c r="AF226" s="166"/>
      <c r="AG226" s="1272"/>
    </row>
    <row r="227" spans="1:33" outlineLevel="1">
      <c r="A227" s="1264">
        <v>51260</v>
      </c>
      <c r="B227" s="1264" t="s">
        <v>295</v>
      </c>
      <c r="C227" s="1265"/>
      <c r="D227" s="1261"/>
      <c r="E227" s="1266"/>
      <c r="F227" s="1267"/>
      <c r="G227" s="1268">
        <v>13124.66</v>
      </c>
      <c r="H227" s="1267"/>
      <c r="I227" s="1268">
        <v>13903.52</v>
      </c>
      <c r="J227" s="1267"/>
      <c r="K227" s="1268">
        <v>13514.02</v>
      </c>
      <c r="L227" s="1267"/>
      <c r="M227" s="1268">
        <v>13514.1</v>
      </c>
      <c r="N227" s="1267"/>
      <c r="O227" s="1268">
        <v>13514.09</v>
      </c>
      <c r="P227" s="1267"/>
      <c r="Q227" s="1268">
        <v>13514.01</v>
      </c>
      <c r="R227" s="1267"/>
      <c r="S227" s="1268">
        <v>11901.89</v>
      </c>
      <c r="T227" s="1267"/>
      <c r="U227" s="1268">
        <v>11901.9</v>
      </c>
      <c r="V227" s="1267"/>
      <c r="W227" s="1268">
        <v>11901.88</v>
      </c>
      <c r="X227" s="1267"/>
      <c r="Y227" s="1268">
        <v>13293.44</v>
      </c>
      <c r="Z227" s="1267"/>
      <c r="AA227" s="1268">
        <v>13450.27</v>
      </c>
      <c r="AB227" s="1267"/>
      <c r="AC227" s="1268">
        <v>13447.44</v>
      </c>
      <c r="AD227" s="1267"/>
      <c r="AE227" s="1268">
        <f t="shared" ref="AE227:AE230" si="26">AC227+AA227+Y227+W227+U227+S227+Q227+O227+M227+K227+I227+G227</f>
        <v>156981.22</v>
      </c>
      <c r="AF227" s="1269">
        <f t="shared" ref="AF227:AF230" si="27">IF(AE$45=0,0,AE227/AE$45)</f>
        <v>4.7409756322299941E-2</v>
      </c>
      <c r="AG227" s="1270"/>
    </row>
    <row r="228" spans="1:33" outlineLevel="1">
      <c r="A228" s="1264">
        <v>54260</v>
      </c>
      <c r="B228" s="1264" t="s">
        <v>295</v>
      </c>
      <c r="C228" s="1265"/>
      <c r="D228" s="1261"/>
      <c r="E228" s="1266"/>
      <c r="F228" s="1267"/>
      <c r="G228" s="1268">
        <v>2948.95</v>
      </c>
      <c r="H228" s="1267"/>
      <c r="I228" s="1268">
        <v>2948.85</v>
      </c>
      <c r="J228" s="1267"/>
      <c r="K228" s="1268">
        <v>3036.88</v>
      </c>
      <c r="L228" s="1267"/>
      <c r="M228" s="1268">
        <v>3014</v>
      </c>
      <c r="N228" s="1267"/>
      <c r="O228" s="1268">
        <v>3014.09</v>
      </c>
      <c r="P228" s="1267"/>
      <c r="Q228" s="1268">
        <v>3175.42</v>
      </c>
      <c r="R228" s="1267"/>
      <c r="S228" s="1268">
        <v>3158.55</v>
      </c>
      <c r="T228" s="1267"/>
      <c r="U228" s="1268">
        <v>3266.11</v>
      </c>
      <c r="V228" s="1267"/>
      <c r="W228" s="1268">
        <v>3176.19</v>
      </c>
      <c r="X228" s="1267"/>
      <c r="Y228" s="1268">
        <v>3176.19</v>
      </c>
      <c r="Z228" s="1267"/>
      <c r="AA228" s="1268">
        <v>3298.17</v>
      </c>
      <c r="AB228" s="1267"/>
      <c r="AC228" s="1268">
        <v>3366.02</v>
      </c>
      <c r="AD228" s="1267"/>
      <c r="AE228" s="1268">
        <f t="shared" si="26"/>
        <v>37579.42</v>
      </c>
      <c r="AF228" s="1269">
        <f t="shared" si="27"/>
        <v>1.134932665788535E-2</v>
      </c>
      <c r="AG228" s="1270"/>
    </row>
    <row r="229" spans="1:33" outlineLevel="1">
      <c r="A229" s="1264">
        <v>57260</v>
      </c>
      <c r="B229" s="1264" t="s">
        <v>295</v>
      </c>
      <c r="C229" s="1265"/>
      <c r="D229" s="1261"/>
      <c r="E229" s="1266"/>
      <c r="F229" s="1267"/>
      <c r="G229" s="1268">
        <v>2096.89</v>
      </c>
      <c r="H229" s="1267"/>
      <c r="I229" s="1268">
        <v>2096.89</v>
      </c>
      <c r="J229" s="1267"/>
      <c r="K229" s="1268">
        <v>2096.88</v>
      </c>
      <c r="L229" s="1267"/>
      <c r="M229" s="1268">
        <v>2096.87</v>
      </c>
      <c r="N229" s="1267"/>
      <c r="O229" s="1268">
        <v>2096.88</v>
      </c>
      <c r="P229" s="1267"/>
      <c r="Q229" s="1268">
        <v>2096.86</v>
      </c>
      <c r="R229" s="1267"/>
      <c r="S229" s="1268">
        <v>2096.88</v>
      </c>
      <c r="T229" s="1267"/>
      <c r="U229" s="1268">
        <v>2096.9</v>
      </c>
      <c r="V229" s="1267"/>
      <c r="W229" s="1268">
        <v>2096.87</v>
      </c>
      <c r="X229" s="1267"/>
      <c r="Y229" s="1268">
        <v>2096.88</v>
      </c>
      <c r="Z229" s="1267"/>
      <c r="AA229" s="1268">
        <v>2096.87</v>
      </c>
      <c r="AB229" s="1267"/>
      <c r="AC229" s="1268">
        <v>2096.86</v>
      </c>
      <c r="AD229" s="1267"/>
      <c r="AE229" s="1268">
        <f t="shared" si="26"/>
        <v>25162.53</v>
      </c>
      <c r="AF229" s="1269">
        <f t="shared" si="27"/>
        <v>7.5993129353470554E-3</v>
      </c>
      <c r="AG229" s="1270"/>
    </row>
    <row r="230" spans="1:33" outlineLevel="1">
      <c r="A230" s="1264">
        <v>70260</v>
      </c>
      <c r="B230" s="1264" t="s">
        <v>295</v>
      </c>
      <c r="C230" s="1265"/>
      <c r="D230" s="1261"/>
      <c r="E230" s="1266"/>
      <c r="F230" s="1267"/>
      <c r="G230" s="1268">
        <v>673.16</v>
      </c>
      <c r="H230" s="1267"/>
      <c r="I230" s="1268">
        <v>688.8</v>
      </c>
      <c r="J230" s="1267"/>
      <c r="K230" s="1268">
        <v>688.8</v>
      </c>
      <c r="L230" s="1267"/>
      <c r="M230" s="1268">
        <v>688.77</v>
      </c>
      <c r="N230" s="1267"/>
      <c r="O230" s="1268">
        <v>688.8</v>
      </c>
      <c r="P230" s="1267"/>
      <c r="Q230" s="1268">
        <v>135.80000000000001</v>
      </c>
      <c r="R230" s="1267"/>
      <c r="S230" s="1268">
        <v>170.63</v>
      </c>
      <c r="T230" s="1267"/>
      <c r="U230" s="1268">
        <v>170.64</v>
      </c>
      <c r="V230" s="1267"/>
      <c r="W230" s="1268">
        <v>170.63</v>
      </c>
      <c r="X230" s="1267"/>
      <c r="Y230" s="1268">
        <v>170.64</v>
      </c>
      <c r="Z230" s="1267"/>
      <c r="AA230" s="1268">
        <v>140.72999999999999</v>
      </c>
      <c r="AB230" s="1267"/>
      <c r="AC230" s="1268">
        <v>140.72999999999999</v>
      </c>
      <c r="AD230" s="1267"/>
      <c r="AE230" s="1268">
        <f t="shared" si="26"/>
        <v>4528.13</v>
      </c>
      <c r="AF230" s="1269">
        <f t="shared" si="27"/>
        <v>1.367536447325967E-3</v>
      </c>
      <c r="AG230" s="1270"/>
    </row>
    <row r="231" spans="1:33" s="1266" customFormat="1" ht="5.0999999999999996" customHeight="1" outlineLevel="1">
      <c r="A231" s="1265"/>
      <c r="B231" s="1265"/>
      <c r="C231" s="1265"/>
      <c r="D231" s="1265"/>
      <c r="G231" s="581"/>
      <c r="H231" s="580"/>
      <c r="I231" s="581"/>
      <c r="J231" s="580"/>
      <c r="K231" s="581"/>
      <c r="L231" s="580"/>
      <c r="M231" s="581"/>
      <c r="N231" s="580"/>
      <c r="O231" s="581"/>
      <c r="P231" s="580"/>
      <c r="Q231" s="581"/>
      <c r="R231" s="580"/>
      <c r="S231" s="581"/>
      <c r="T231" s="580"/>
      <c r="U231" s="581"/>
      <c r="V231" s="580"/>
      <c r="W231" s="581"/>
      <c r="X231" s="580"/>
      <c r="Y231" s="581"/>
      <c r="Z231" s="580"/>
      <c r="AA231" s="581"/>
      <c r="AB231" s="580"/>
      <c r="AC231" s="581"/>
      <c r="AD231" s="580"/>
      <c r="AE231" s="581"/>
      <c r="AF231" s="166"/>
      <c r="AG231" s="1272"/>
    </row>
    <row r="232" spans="1:33" s="1266" customFormat="1" ht="15">
      <c r="C232" s="1265" t="s">
        <v>295</v>
      </c>
      <c r="G232" s="578">
        <f>SUM(G227:G231)</f>
        <v>18843.66</v>
      </c>
      <c r="H232" s="580"/>
      <c r="I232" s="578">
        <f>SUM(I227:I231)</f>
        <v>19638.059999999998</v>
      </c>
      <c r="J232" s="580"/>
      <c r="K232" s="578">
        <f>SUM(K227:K231)</f>
        <v>19336.580000000002</v>
      </c>
      <c r="L232" s="170">
        <f>IF(K$39=0,0,K232/K$39)</f>
        <v>0</v>
      </c>
      <c r="M232" s="578">
        <f>SUM(M227:M231)</f>
        <v>19313.739999999998</v>
      </c>
      <c r="N232" s="580"/>
      <c r="O232" s="578">
        <f>SUM(O227:O231)</f>
        <v>19313.86</v>
      </c>
      <c r="P232" s="580"/>
      <c r="Q232" s="578">
        <f>SUM(Q227:Q231)</f>
        <v>18922.09</v>
      </c>
      <c r="R232" s="170">
        <f>IF(Q$39=0,0,Q232/Q$39)</f>
        <v>0</v>
      </c>
      <c r="S232" s="578">
        <f>SUM(S227:S231)</f>
        <v>17327.95</v>
      </c>
      <c r="T232" s="580"/>
      <c r="U232" s="578">
        <f>SUM(U227:U231)</f>
        <v>17435.55</v>
      </c>
      <c r="V232" s="580"/>
      <c r="W232" s="578">
        <f>SUM(W227:W231)</f>
        <v>17345.57</v>
      </c>
      <c r="X232" s="170">
        <f>IF(W$39=0,0,W232/W$39)</f>
        <v>0</v>
      </c>
      <c r="Y232" s="578">
        <f>SUM(Y227:Y231)</f>
        <v>18737.150000000001</v>
      </c>
      <c r="Z232" s="580"/>
      <c r="AA232" s="578">
        <f>SUM(AA227:AA231)</f>
        <v>18986.04</v>
      </c>
      <c r="AB232" s="580"/>
      <c r="AC232" s="578">
        <f>SUM(AC227:AC231)</f>
        <v>19051.05</v>
      </c>
      <c r="AD232" s="170">
        <f>IF(AC$39=0,0,AC232/AC$39)</f>
        <v>0</v>
      </c>
      <c r="AE232" s="578">
        <f>SUM(G232,I232,K232,M232,O232,Q232,S232,U232,W232,Y232,AA232,AC232)</f>
        <v>224251.3</v>
      </c>
      <c r="AF232" s="1269">
        <f>IF(AE$45=0,0,AE232/AE$45)</f>
        <v>6.7725932362858315E-2</v>
      </c>
      <c r="AG232" s="1272"/>
    </row>
    <row r="233" spans="1:33" s="1266" customFormat="1" ht="15" outlineLevel="1">
      <c r="C233" s="1265"/>
      <c r="G233" s="580"/>
      <c r="H233" s="580"/>
      <c r="I233" s="580"/>
      <c r="J233" s="580"/>
      <c r="K233" s="580"/>
      <c r="L233" s="166"/>
      <c r="M233" s="580"/>
      <c r="N233" s="580"/>
      <c r="O233" s="580"/>
      <c r="P233" s="580"/>
      <c r="Q233" s="580"/>
      <c r="R233" s="166"/>
      <c r="S233" s="580"/>
      <c r="T233" s="580"/>
      <c r="U233" s="580"/>
      <c r="V233" s="580"/>
      <c r="W233" s="580"/>
      <c r="X233" s="166"/>
      <c r="Y233" s="580"/>
      <c r="Z233" s="580"/>
      <c r="AA233" s="580"/>
      <c r="AB233" s="580"/>
      <c r="AC233" s="580"/>
      <c r="AD233" s="166"/>
      <c r="AE233" s="580"/>
      <c r="AF233" s="166"/>
      <c r="AG233" s="1272"/>
    </row>
    <row r="234" spans="1:33" outlineLevel="1">
      <c r="A234" s="1264"/>
      <c r="B234" s="1264"/>
      <c r="C234" s="1265"/>
      <c r="D234" s="1261"/>
      <c r="E234" s="1266"/>
      <c r="F234" s="1267"/>
      <c r="G234" s="1268"/>
      <c r="H234" s="1267"/>
      <c r="I234" s="1268"/>
      <c r="J234" s="1267"/>
      <c r="K234" s="1268"/>
      <c r="L234" s="1267"/>
      <c r="M234" s="1268"/>
      <c r="N234" s="1267"/>
      <c r="O234" s="1268"/>
      <c r="P234" s="1267"/>
      <c r="Q234" s="1268"/>
      <c r="R234" s="1267"/>
      <c r="S234" s="1268"/>
      <c r="T234" s="1267"/>
      <c r="U234" s="1268"/>
      <c r="V234" s="1267"/>
      <c r="W234" s="1268"/>
      <c r="X234" s="1267"/>
      <c r="Y234" s="1268"/>
      <c r="Z234" s="1267"/>
      <c r="AA234" s="1268"/>
      <c r="AB234" s="1267"/>
      <c r="AC234" s="1268"/>
      <c r="AD234" s="1267"/>
      <c r="AE234" s="1268">
        <f>AC234+AA234+Y234+W234+U234+S234+Q234+O234+M234+K234+I234+G234</f>
        <v>0</v>
      </c>
      <c r="AF234" s="1269">
        <f>IF(AE$45=0,0,AE234/AE$45)</f>
        <v>0</v>
      </c>
      <c r="AG234" s="1270"/>
    </row>
    <row r="235" spans="1:33" s="1266" customFormat="1" ht="5.0999999999999996" customHeight="1" outlineLevel="1">
      <c r="A235" s="1265"/>
      <c r="B235" s="1265"/>
      <c r="C235" s="1265"/>
      <c r="D235" s="1265"/>
      <c r="G235" s="581"/>
      <c r="H235" s="580"/>
      <c r="I235" s="581"/>
      <c r="J235" s="580"/>
      <c r="K235" s="581"/>
      <c r="L235" s="166"/>
      <c r="M235" s="581"/>
      <c r="N235" s="580"/>
      <c r="O235" s="581"/>
      <c r="P235" s="580"/>
      <c r="Q235" s="581"/>
      <c r="R235" s="166"/>
      <c r="S235" s="581"/>
      <c r="T235" s="580"/>
      <c r="U235" s="581"/>
      <c r="V235" s="580"/>
      <c r="W235" s="581"/>
      <c r="X235" s="166"/>
      <c r="Y235" s="581"/>
      <c r="Z235" s="580"/>
      <c r="AA235" s="581"/>
      <c r="AB235" s="580"/>
      <c r="AC235" s="581"/>
      <c r="AD235" s="166"/>
      <c r="AE235" s="581"/>
      <c r="AF235" s="166"/>
      <c r="AG235" s="1272"/>
    </row>
    <row r="236" spans="1:33" s="1266" customFormat="1" ht="15">
      <c r="C236" s="1264" t="s">
        <v>297</v>
      </c>
      <c r="G236" s="578">
        <f>SUM(G234:G235)</f>
        <v>0</v>
      </c>
      <c r="H236" s="580"/>
      <c r="I236" s="578">
        <f>SUM(I234:I235)</f>
        <v>0</v>
      </c>
      <c r="J236" s="580"/>
      <c r="K236" s="578">
        <f>SUM(K234:K235)</f>
        <v>0</v>
      </c>
      <c r="L236" s="170">
        <f>IF(K$39=0,0,K236/K$39)</f>
        <v>0</v>
      </c>
      <c r="M236" s="578">
        <f>SUM(M234:M235)</f>
        <v>0</v>
      </c>
      <c r="N236" s="580"/>
      <c r="O236" s="578">
        <f>SUM(O234:O235)</f>
        <v>0</v>
      </c>
      <c r="P236" s="580"/>
      <c r="Q236" s="578">
        <f>SUM(Q234:Q235)</f>
        <v>0</v>
      </c>
      <c r="R236" s="170">
        <f>IF(Q$39=0,0,Q236/Q$39)</f>
        <v>0</v>
      </c>
      <c r="S236" s="578">
        <f>SUM(S234:S235)</f>
        <v>0</v>
      </c>
      <c r="T236" s="580"/>
      <c r="U236" s="578">
        <f>SUM(U234:U235)</f>
        <v>0</v>
      </c>
      <c r="V236" s="580"/>
      <c r="W236" s="578">
        <f>SUM(W234:W235)</f>
        <v>0</v>
      </c>
      <c r="X236" s="170">
        <f>IF(W$39=0,0,W236/W$39)</f>
        <v>0</v>
      </c>
      <c r="Y236" s="578">
        <f>SUM(Y234:Y235)</f>
        <v>0</v>
      </c>
      <c r="Z236" s="580"/>
      <c r="AA236" s="578">
        <f>SUM(AA234:AA235)</f>
        <v>0</v>
      </c>
      <c r="AB236" s="580"/>
      <c r="AC236" s="578">
        <f>SUM(AC234:AC235)</f>
        <v>0</v>
      </c>
      <c r="AD236" s="170">
        <f>IF(AC$39=0,0,AC236/AC$39)</f>
        <v>0</v>
      </c>
      <c r="AE236" s="578">
        <f>SUM(G236,I236,K236)</f>
        <v>0</v>
      </c>
      <c r="AF236" s="1269">
        <f>IF(AE$45=0,0,AE236/AE$45)</f>
        <v>0</v>
      </c>
      <c r="AG236" s="1272"/>
    </row>
    <row r="237" spans="1:33" s="1266" customFormat="1" ht="15" outlineLevel="1">
      <c r="G237" s="580"/>
      <c r="H237" s="580"/>
      <c r="I237" s="580"/>
      <c r="J237" s="580"/>
      <c r="K237" s="580"/>
      <c r="L237" s="166"/>
      <c r="M237" s="580"/>
      <c r="N237" s="580"/>
      <c r="O237" s="580"/>
      <c r="P237" s="580"/>
      <c r="Q237" s="580"/>
      <c r="R237" s="166"/>
      <c r="S237" s="580"/>
      <c r="T237" s="580"/>
      <c r="U237" s="580"/>
      <c r="V237" s="580"/>
      <c r="W237" s="580"/>
      <c r="X237" s="166"/>
      <c r="Y237" s="580"/>
      <c r="Z237" s="580"/>
      <c r="AA237" s="580"/>
      <c r="AB237" s="580"/>
      <c r="AC237" s="580"/>
      <c r="AD237" s="166"/>
      <c r="AE237" s="580"/>
      <c r="AF237" s="166"/>
      <c r="AG237" s="1272"/>
    </row>
    <row r="238" spans="1:33" outlineLevel="1">
      <c r="A238" s="1264">
        <v>70269</v>
      </c>
      <c r="B238" s="1264" t="s">
        <v>299</v>
      </c>
      <c r="C238" s="1265"/>
      <c r="D238" s="1261"/>
      <c r="E238" s="1266"/>
      <c r="F238" s="1267"/>
      <c r="G238" s="1268">
        <v>651.71</v>
      </c>
      <c r="H238" s="1267"/>
      <c r="I238" s="1268">
        <v>651.71</v>
      </c>
      <c r="J238" s="1267"/>
      <c r="K238" s="1268">
        <v>651.71</v>
      </c>
      <c r="L238" s="1267"/>
      <c r="M238" s="1268">
        <v>651.70000000000005</v>
      </c>
      <c r="N238" s="1267"/>
      <c r="O238" s="1268">
        <v>651.72</v>
      </c>
      <c r="P238" s="1267"/>
      <c r="Q238" s="1268">
        <v>651.71</v>
      </c>
      <c r="R238" s="1267"/>
      <c r="S238" s="1268">
        <v>651.70000000000005</v>
      </c>
      <c r="T238" s="1267"/>
      <c r="U238" s="1268">
        <v>638.87</v>
      </c>
      <c r="V238" s="1267"/>
      <c r="W238" s="1268">
        <v>638.88</v>
      </c>
      <c r="X238" s="1267"/>
      <c r="Y238" s="1268">
        <v>638.88</v>
      </c>
      <c r="Z238" s="1267"/>
      <c r="AA238" s="1268">
        <v>638.87</v>
      </c>
      <c r="AB238" s="1267"/>
      <c r="AC238" s="1268">
        <v>638.87</v>
      </c>
      <c r="AD238" s="1267"/>
      <c r="AE238" s="1268">
        <f>AC238+AA238+Y238+W238+U238+S238+Q238+O238+M238+K238+I238+G238</f>
        <v>7756.33</v>
      </c>
      <c r="AF238" s="1269">
        <f>IF(AE$45=0,0,AE238/AE$45)</f>
        <v>2.3424822106449723E-3</v>
      </c>
      <c r="AG238" s="1270"/>
    </row>
    <row r="239" spans="1:33" s="1266" customFormat="1" ht="5.0999999999999996" customHeight="1" outlineLevel="1">
      <c r="A239" s="1265"/>
      <c r="B239" s="1265"/>
      <c r="C239" s="1265"/>
      <c r="D239" s="1265"/>
      <c r="G239" s="581"/>
      <c r="H239" s="580"/>
      <c r="I239" s="581"/>
      <c r="J239" s="580"/>
      <c r="K239" s="581"/>
      <c r="L239" s="166"/>
      <c r="M239" s="581"/>
      <c r="N239" s="580"/>
      <c r="O239" s="581"/>
      <c r="P239" s="580"/>
      <c r="Q239" s="581"/>
      <c r="R239" s="166"/>
      <c r="S239" s="581"/>
      <c r="T239" s="580"/>
      <c r="U239" s="581"/>
      <c r="V239" s="580"/>
      <c r="W239" s="581"/>
      <c r="X239" s="166"/>
      <c r="Y239" s="581"/>
      <c r="Z239" s="580"/>
      <c r="AA239" s="581"/>
      <c r="AB239" s="580"/>
      <c r="AC239" s="581"/>
      <c r="AD239" s="166"/>
      <c r="AE239" s="581"/>
      <c r="AF239" s="166"/>
      <c r="AG239" s="1272"/>
    </row>
    <row r="240" spans="1:33" s="1266" customFormat="1" ht="15">
      <c r="C240" s="1265" t="s">
        <v>300</v>
      </c>
      <c r="G240" s="578">
        <f>SUM(G238:G239)</f>
        <v>651.71</v>
      </c>
      <c r="H240" s="580"/>
      <c r="I240" s="578">
        <f>SUM(I238:I239)</f>
        <v>651.71</v>
      </c>
      <c r="J240" s="580"/>
      <c r="K240" s="578">
        <f>SUM(K238:K239)</f>
        <v>651.71</v>
      </c>
      <c r="L240" s="170">
        <f>IF(K$39=0,0,K240/K$39)</f>
        <v>0</v>
      </c>
      <c r="M240" s="578">
        <f>SUM(M238:M239)</f>
        <v>651.70000000000005</v>
      </c>
      <c r="N240" s="580"/>
      <c r="O240" s="578">
        <f>SUM(O238:O239)</f>
        <v>651.72</v>
      </c>
      <c r="P240" s="580"/>
      <c r="Q240" s="578">
        <f>SUM(Q238:Q239)</f>
        <v>651.71</v>
      </c>
      <c r="R240" s="170">
        <f>IF(Q$39=0,0,Q240/Q$39)</f>
        <v>0</v>
      </c>
      <c r="S240" s="578">
        <f>SUM(S238:S239)</f>
        <v>651.70000000000005</v>
      </c>
      <c r="T240" s="580"/>
      <c r="U240" s="578">
        <f>SUM(U238:U239)</f>
        <v>638.87</v>
      </c>
      <c r="V240" s="580"/>
      <c r="W240" s="578">
        <f>SUM(W238:W239)</f>
        <v>638.88</v>
      </c>
      <c r="X240" s="170">
        <f>IF(W$39=0,0,W240/W$39)</f>
        <v>0</v>
      </c>
      <c r="Y240" s="578">
        <f>SUM(Y238:Y239)</f>
        <v>638.88</v>
      </c>
      <c r="Z240" s="580"/>
      <c r="AA240" s="578">
        <f>SUM(AA238:AA239)</f>
        <v>638.87</v>
      </c>
      <c r="AB240" s="580"/>
      <c r="AC240" s="578">
        <f>SUM(AC238:AC239)</f>
        <v>638.87</v>
      </c>
      <c r="AD240" s="170">
        <f>IF(AC$39=0,0,AC240/AC$39)</f>
        <v>0</v>
      </c>
      <c r="AE240" s="578">
        <f>SUM(G240,I240,K240,M240,O240,Q240,S240,U240,W240,Y240,AA240,AC240)</f>
        <v>7756.33</v>
      </c>
      <c r="AF240" s="1269">
        <f>IF(AE$45=0,0,AE240/AE$45)</f>
        <v>2.3424822106449723E-3</v>
      </c>
      <c r="AG240" s="1272"/>
    </row>
    <row r="241" spans="1:33" s="1266" customFormat="1" ht="6.75" customHeight="1">
      <c r="G241" s="580"/>
      <c r="H241" s="580"/>
      <c r="I241" s="580"/>
      <c r="J241" s="580"/>
      <c r="K241" s="580"/>
      <c r="L241" s="166"/>
      <c r="M241" s="580"/>
      <c r="N241" s="580"/>
      <c r="O241" s="580"/>
      <c r="P241" s="580"/>
      <c r="Q241" s="580"/>
      <c r="R241" s="166"/>
      <c r="S241" s="580"/>
      <c r="T241" s="580"/>
      <c r="U241" s="580"/>
      <c r="V241" s="580"/>
      <c r="W241" s="580"/>
      <c r="X241" s="166"/>
      <c r="Y241" s="580"/>
      <c r="Z241" s="580"/>
      <c r="AA241" s="580"/>
      <c r="AB241" s="580"/>
      <c r="AC241" s="580"/>
      <c r="AD241" s="166"/>
      <c r="AE241" s="580"/>
      <c r="AF241" s="166"/>
      <c r="AG241" s="1272"/>
    </row>
    <row r="242" spans="1:33" s="1266" customFormat="1" ht="15">
      <c r="B242" s="582" t="s">
        <v>301</v>
      </c>
      <c r="G242" s="150">
        <f>+G232+G236+G240</f>
        <v>19495.37</v>
      </c>
      <c r="H242" s="580"/>
      <c r="I242" s="150">
        <f>+I232+I236+I240</f>
        <v>20289.769999999997</v>
      </c>
      <c r="J242" s="580"/>
      <c r="K242" s="150">
        <f>+K232+K236+K240</f>
        <v>19988.29</v>
      </c>
      <c r="L242" s="170">
        <f>IF(K$39=0,0,K242/K$39)</f>
        <v>0</v>
      </c>
      <c r="M242" s="150">
        <f>+M232+M236+M240</f>
        <v>19965.439999999999</v>
      </c>
      <c r="N242" s="580"/>
      <c r="O242" s="150">
        <f>+O232+O236+O240</f>
        <v>19965.580000000002</v>
      </c>
      <c r="P242" s="580"/>
      <c r="Q242" s="150">
        <f>+Q232+Q236+Q240</f>
        <v>19573.8</v>
      </c>
      <c r="R242" s="170">
        <f>IF(Q$39=0,0,Q242/Q$39)</f>
        <v>0</v>
      </c>
      <c r="S242" s="150">
        <f>+S232+S236+S240</f>
        <v>17979.650000000001</v>
      </c>
      <c r="T242" s="580"/>
      <c r="U242" s="150">
        <f>+U232+U236+U240</f>
        <v>18074.419999999998</v>
      </c>
      <c r="V242" s="580"/>
      <c r="W242" s="150">
        <f>+W232+W236+W240</f>
        <v>17984.45</v>
      </c>
      <c r="X242" s="170">
        <f>IF(W$39=0,0,W242/W$39)</f>
        <v>0</v>
      </c>
      <c r="Y242" s="150">
        <f>+Y232+Y236+Y240</f>
        <v>19376.030000000002</v>
      </c>
      <c r="Z242" s="580"/>
      <c r="AA242" s="150">
        <f>+AA232+AA236+AA240</f>
        <v>19624.91</v>
      </c>
      <c r="AB242" s="580"/>
      <c r="AC242" s="150">
        <f>+AC232+AC236+AC240</f>
        <v>19689.919999999998</v>
      </c>
      <c r="AD242" s="170">
        <f>IF(AC$39=0,0,AC242/AC$39)</f>
        <v>0</v>
      </c>
      <c r="AE242" s="150">
        <f>+AE232+AE236+AE240</f>
        <v>232007.62999999998</v>
      </c>
      <c r="AF242" s="1269">
        <f>IF(AE$45=0,0,AE242/AE$45)</f>
        <v>7.0068414573503282E-2</v>
      </c>
      <c r="AG242" s="1272"/>
    </row>
    <row r="243" spans="1:33" s="1266" customFormat="1" ht="6.75" customHeight="1">
      <c r="G243" s="580"/>
      <c r="H243" s="580"/>
      <c r="I243" s="580"/>
      <c r="J243" s="580"/>
      <c r="K243" s="580"/>
      <c r="L243" s="166"/>
      <c r="M243" s="580"/>
      <c r="N243" s="580"/>
      <c r="O243" s="580"/>
      <c r="P243" s="580"/>
      <c r="Q243" s="580"/>
      <c r="R243" s="166"/>
      <c r="S243" s="580"/>
      <c r="T243" s="580"/>
      <c r="U243" s="580"/>
      <c r="V243" s="580"/>
      <c r="W243" s="580"/>
      <c r="X243" s="166"/>
      <c r="Y243" s="580"/>
      <c r="Z243" s="580"/>
      <c r="AA243" s="580"/>
      <c r="AB243" s="580"/>
      <c r="AC243" s="580"/>
      <c r="AD243" s="166"/>
      <c r="AE243" s="580"/>
      <c r="AF243" s="166"/>
      <c r="AG243" s="1272"/>
    </row>
    <row r="244" spans="1:33" s="1266" customFormat="1" ht="15">
      <c r="B244" s="152" t="s">
        <v>302</v>
      </c>
      <c r="G244" s="150">
        <f>+G223-G242</f>
        <v>10349.240000000005</v>
      </c>
      <c r="H244" s="580"/>
      <c r="I244" s="150">
        <f>+I223-I242</f>
        <v>-34650.830000000009</v>
      </c>
      <c r="J244" s="580"/>
      <c r="K244" s="150">
        <f>+K223-K242</f>
        <v>6057.6899999999514</v>
      </c>
      <c r="L244" s="170">
        <f>IF(K$39=0,0,K244/K$39)</f>
        <v>0</v>
      </c>
      <c r="M244" s="150">
        <f>+M223-M242</f>
        <v>24768.95</v>
      </c>
      <c r="N244" s="580"/>
      <c r="O244" s="150">
        <f>+O223-O242</f>
        <v>-3588.1500000000306</v>
      </c>
      <c r="P244" s="580"/>
      <c r="Q244" s="150">
        <f>+Q223-Q242</f>
        <v>35638.999999999942</v>
      </c>
      <c r="R244" s="170">
        <f>IF(Q$39=0,0,Q244/Q$39)</f>
        <v>0</v>
      </c>
      <c r="S244" s="150">
        <f>+S223-S242</f>
        <v>23011.509999999966</v>
      </c>
      <c r="T244" s="580"/>
      <c r="U244" s="150">
        <f>+U223-U242</f>
        <v>23802.529999999977</v>
      </c>
      <c r="V244" s="580"/>
      <c r="W244" s="150">
        <f>+W223-W242</f>
        <v>25035.48999999998</v>
      </c>
      <c r="X244" s="170">
        <f>IF(W$39=0,0,W244/W$39)</f>
        <v>0</v>
      </c>
      <c r="Y244" s="150">
        <f>+Y223-Y242</f>
        <v>-435.08000000009997</v>
      </c>
      <c r="Z244" s="580"/>
      <c r="AA244" s="150">
        <f>+AA223-AA242</f>
        <v>24498.789999999983</v>
      </c>
      <c r="AB244" s="580"/>
      <c r="AC244" s="150">
        <f>+AC223-AC242</f>
        <v>2791.240000000078</v>
      </c>
      <c r="AD244" s="170">
        <f>IF(AC$39=0,0,AC244/AC$39)</f>
        <v>0</v>
      </c>
      <c r="AE244" s="150">
        <f>+AE223-AE242</f>
        <v>137280.37999999928</v>
      </c>
      <c r="AF244" s="1269">
        <f>IF(AE$45=0,0,AE244/AE$45)</f>
        <v>4.1459923445828134E-2</v>
      </c>
      <c r="AG244" s="1272"/>
    </row>
    <row r="245" spans="1:33" s="1266" customFormat="1" ht="6.75" customHeight="1">
      <c r="G245" s="580"/>
      <c r="H245" s="580"/>
      <c r="I245" s="580"/>
      <c r="J245" s="580"/>
      <c r="K245" s="580"/>
      <c r="L245" s="166"/>
      <c r="M245" s="580"/>
      <c r="N245" s="580"/>
      <c r="O245" s="580"/>
      <c r="P245" s="580"/>
      <c r="Q245" s="580"/>
      <c r="R245" s="166"/>
      <c r="S245" s="580"/>
      <c r="T245" s="580"/>
      <c r="U245" s="580"/>
      <c r="V245" s="580"/>
      <c r="W245" s="580"/>
      <c r="X245" s="166"/>
      <c r="Y245" s="580"/>
      <c r="Z245" s="580"/>
      <c r="AA245" s="580"/>
      <c r="AB245" s="580"/>
      <c r="AC245" s="580"/>
      <c r="AD245" s="166"/>
      <c r="AE245" s="580"/>
      <c r="AF245" s="166"/>
      <c r="AG245" s="1272"/>
    </row>
    <row r="246" spans="1:33" outlineLevel="1">
      <c r="A246" s="1264"/>
      <c r="B246" s="1264"/>
      <c r="C246" s="1265"/>
      <c r="D246" s="1261"/>
      <c r="E246" s="1266"/>
      <c r="F246" s="1267"/>
      <c r="G246" s="1268"/>
      <c r="H246" s="1267"/>
      <c r="I246" s="1268"/>
      <c r="J246" s="1267"/>
      <c r="K246" s="1268"/>
      <c r="L246" s="1267"/>
      <c r="M246" s="1268"/>
      <c r="N246" s="1267"/>
      <c r="O246" s="1268"/>
      <c r="P246" s="1267"/>
      <c r="Q246" s="1268"/>
      <c r="R246" s="1267"/>
      <c r="S246" s="1268"/>
      <c r="T246" s="1267"/>
      <c r="U246" s="1268"/>
      <c r="V246" s="1267"/>
      <c r="W246" s="1268"/>
      <c r="X246" s="1267"/>
      <c r="Y246" s="1268"/>
      <c r="Z246" s="1267"/>
      <c r="AA246" s="1268"/>
      <c r="AB246" s="1267"/>
      <c r="AC246" s="1268"/>
      <c r="AD246" s="1267"/>
      <c r="AE246" s="1268">
        <f>AC246+AA246+Y246+W246+U246+S246+Q246+O246+M246+K246+I246+G246</f>
        <v>0</v>
      </c>
      <c r="AF246" s="1269">
        <f>IF(AE$45=0,0,AE246/AE$45)</f>
        <v>0</v>
      </c>
      <c r="AG246" s="1270"/>
    </row>
    <row r="247" spans="1:33" s="1266" customFormat="1" ht="5.0999999999999996" customHeight="1" outlineLevel="1">
      <c r="A247" s="1265"/>
      <c r="B247" s="1265"/>
      <c r="C247" s="1265"/>
      <c r="D247" s="1265"/>
      <c r="G247" s="581"/>
      <c r="H247" s="580"/>
      <c r="I247" s="581"/>
      <c r="J247" s="580"/>
      <c r="K247" s="581"/>
      <c r="L247" s="166"/>
      <c r="M247" s="581"/>
      <c r="N247" s="580"/>
      <c r="O247" s="581"/>
      <c r="P247" s="580"/>
      <c r="Q247" s="581"/>
      <c r="R247" s="166"/>
      <c r="S247" s="581"/>
      <c r="T247" s="580"/>
      <c r="U247" s="581"/>
      <c r="V247" s="580"/>
      <c r="W247" s="581"/>
      <c r="X247" s="166"/>
      <c r="Y247" s="581"/>
      <c r="Z247" s="580"/>
      <c r="AA247" s="581"/>
      <c r="AB247" s="580"/>
      <c r="AC247" s="581"/>
      <c r="AD247" s="166"/>
      <c r="AE247" s="581"/>
      <c r="AF247" s="166"/>
      <c r="AG247" s="1272"/>
    </row>
    <row r="248" spans="1:33" s="1266" customFormat="1" ht="15">
      <c r="C248" s="1265" t="s">
        <v>304</v>
      </c>
      <c r="G248" s="578">
        <f>SUM(G246:G247)</f>
        <v>0</v>
      </c>
      <c r="H248" s="580"/>
      <c r="I248" s="578">
        <f>SUM(I246:I247)</f>
        <v>0</v>
      </c>
      <c r="J248" s="580"/>
      <c r="K248" s="578">
        <f>SUM(K246:K247)</f>
        <v>0</v>
      </c>
      <c r="L248" s="170">
        <f>IF(K$39=0,0,K248/K$39)</f>
        <v>0</v>
      </c>
      <c r="M248" s="578">
        <f>SUM(M246:M247)</f>
        <v>0</v>
      </c>
      <c r="N248" s="580"/>
      <c r="O248" s="578">
        <f>SUM(O246:O247)</f>
        <v>0</v>
      </c>
      <c r="P248" s="580"/>
      <c r="Q248" s="578">
        <f>SUM(Q246:Q247)</f>
        <v>0</v>
      </c>
      <c r="R248" s="170">
        <f>IF(Q$39=0,0,Q248/Q$39)</f>
        <v>0</v>
      </c>
      <c r="S248" s="578">
        <f>SUM(S246:S247)</f>
        <v>0</v>
      </c>
      <c r="T248" s="580"/>
      <c r="U248" s="578">
        <f>SUM(U246:U247)</f>
        <v>0</v>
      </c>
      <c r="V248" s="580"/>
      <c r="W248" s="578">
        <f>SUM(W246:W247)</f>
        <v>0</v>
      </c>
      <c r="X248" s="170">
        <f>IF(W$39=0,0,W248/W$39)</f>
        <v>0</v>
      </c>
      <c r="Y248" s="578">
        <f>SUM(Y246:Y247)</f>
        <v>0</v>
      </c>
      <c r="Z248" s="580"/>
      <c r="AA248" s="578">
        <f>SUM(AA246:AA247)</f>
        <v>0</v>
      </c>
      <c r="AB248" s="580"/>
      <c r="AC248" s="578">
        <f>SUM(AC246:AC247)</f>
        <v>0</v>
      </c>
      <c r="AD248" s="170">
        <f>IF(AC$39=0,0,AC248/AC$39)</f>
        <v>0</v>
      </c>
      <c r="AE248" s="578">
        <f>SUM(AE246:AE247)</f>
        <v>0</v>
      </c>
      <c r="AF248" s="1269">
        <f>IF(AE$45=0,0,AE248/AE$45)</f>
        <v>0</v>
      </c>
      <c r="AG248" s="1272"/>
    </row>
    <row r="249" spans="1:33" s="1266" customFormat="1" ht="15" outlineLevel="1">
      <c r="G249" s="580"/>
      <c r="H249" s="580"/>
      <c r="I249" s="580"/>
      <c r="J249" s="580"/>
      <c r="K249" s="580"/>
      <c r="L249" s="166"/>
      <c r="M249" s="580"/>
      <c r="N249" s="580"/>
      <c r="O249" s="580"/>
      <c r="P249" s="580"/>
      <c r="Q249" s="580"/>
      <c r="R249" s="166"/>
      <c r="S249" s="580"/>
      <c r="T249" s="580"/>
      <c r="U249" s="580"/>
      <c r="V249" s="580"/>
      <c r="W249" s="580"/>
      <c r="X249" s="166"/>
      <c r="Y249" s="580"/>
      <c r="Z249" s="580"/>
      <c r="AA249" s="580"/>
      <c r="AB249" s="580"/>
      <c r="AC249" s="580"/>
      <c r="AD249" s="166"/>
      <c r="AE249" s="580"/>
      <c r="AF249" s="166"/>
      <c r="AG249" s="1272"/>
    </row>
    <row r="250" spans="1:33" outlineLevel="1">
      <c r="A250" s="1264"/>
      <c r="B250" s="1264"/>
      <c r="C250" s="1265"/>
      <c r="D250" s="1261"/>
      <c r="E250" s="1266"/>
      <c r="F250" s="1267"/>
      <c r="G250" s="1268"/>
      <c r="H250" s="1267"/>
      <c r="I250" s="1268"/>
      <c r="J250" s="1267"/>
      <c r="K250" s="1268"/>
      <c r="L250" s="1267"/>
      <c r="M250" s="1268"/>
      <c r="N250" s="1267"/>
      <c r="O250" s="1268"/>
      <c r="P250" s="1267"/>
      <c r="Q250" s="1268"/>
      <c r="R250" s="1267"/>
      <c r="S250" s="1268"/>
      <c r="T250" s="1267"/>
      <c r="U250" s="1268"/>
      <c r="V250" s="1267"/>
      <c r="W250" s="1268"/>
      <c r="X250" s="1267"/>
      <c r="Y250" s="1268"/>
      <c r="Z250" s="1267"/>
      <c r="AA250" s="1268"/>
      <c r="AB250" s="1267"/>
      <c r="AC250" s="1268"/>
      <c r="AD250" s="1267"/>
      <c r="AE250" s="1268">
        <f>AC250+AA250+Y250+W250+U250+S250+Q250+O250+M250+K250+I250+G250</f>
        <v>0</v>
      </c>
      <c r="AF250" s="1269">
        <f>IF(AE$45=0,0,AE250/AE$45)</f>
        <v>0</v>
      </c>
      <c r="AG250" s="1270"/>
    </row>
    <row r="251" spans="1:33" s="1266" customFormat="1" ht="5.0999999999999996" customHeight="1" outlineLevel="1">
      <c r="A251" s="1265"/>
      <c r="B251" s="1265"/>
      <c r="C251" s="1265"/>
      <c r="D251" s="1265"/>
      <c r="G251" s="581"/>
      <c r="H251" s="580"/>
      <c r="I251" s="581"/>
      <c r="J251" s="580"/>
      <c r="K251" s="581"/>
      <c r="L251" s="166"/>
      <c r="M251" s="581"/>
      <c r="N251" s="580"/>
      <c r="O251" s="581"/>
      <c r="P251" s="580"/>
      <c r="Q251" s="581"/>
      <c r="R251" s="166"/>
      <c r="S251" s="581"/>
      <c r="T251" s="580"/>
      <c r="U251" s="581"/>
      <c r="V251" s="580"/>
      <c r="W251" s="581"/>
      <c r="X251" s="166"/>
      <c r="Y251" s="581"/>
      <c r="Z251" s="580"/>
      <c r="AA251" s="581"/>
      <c r="AB251" s="580"/>
      <c r="AC251" s="581"/>
      <c r="AD251" s="166"/>
      <c r="AE251" s="581"/>
      <c r="AF251" s="166"/>
      <c r="AG251" s="1272"/>
    </row>
    <row r="252" spans="1:33" s="1266" customFormat="1" ht="15">
      <c r="C252" s="1264" t="s">
        <v>306</v>
      </c>
      <c r="G252" s="578">
        <f>SUM(G250:G251)</f>
        <v>0</v>
      </c>
      <c r="H252" s="580"/>
      <c r="I252" s="578">
        <f>SUM(I250:I251)</f>
        <v>0</v>
      </c>
      <c r="J252" s="580"/>
      <c r="K252" s="578">
        <f>SUM(K250:K251)</f>
        <v>0</v>
      </c>
      <c r="L252" s="170">
        <f>IF(K$39=0,0,K252/K$39)</f>
        <v>0</v>
      </c>
      <c r="M252" s="578">
        <f>SUM(M250:M251)</f>
        <v>0</v>
      </c>
      <c r="N252" s="580"/>
      <c r="O252" s="578">
        <f>SUM(O250:O251)</f>
        <v>0</v>
      </c>
      <c r="P252" s="580"/>
      <c r="Q252" s="578">
        <f>SUM(Q250:Q251)</f>
        <v>0</v>
      </c>
      <c r="R252" s="170">
        <f>IF(Q$39=0,0,Q252/Q$39)</f>
        <v>0</v>
      </c>
      <c r="S252" s="578">
        <f>SUM(S250:S251)</f>
        <v>0</v>
      </c>
      <c r="T252" s="580"/>
      <c r="U252" s="578">
        <f>SUM(U250:U251)</f>
        <v>0</v>
      </c>
      <c r="V252" s="580"/>
      <c r="W252" s="578">
        <f>SUM(W250:W251)</f>
        <v>0</v>
      </c>
      <c r="X252" s="170">
        <f>IF(W$39=0,0,W252/W$39)</f>
        <v>0</v>
      </c>
      <c r="Y252" s="578">
        <f>SUM(Y250:Y251)</f>
        <v>0</v>
      </c>
      <c r="Z252" s="580"/>
      <c r="AA252" s="578">
        <f>SUM(AA250:AA251)</f>
        <v>0</v>
      </c>
      <c r="AB252" s="580"/>
      <c r="AC252" s="578">
        <f>SUM(AC250:AC251)</f>
        <v>0</v>
      </c>
      <c r="AD252" s="170">
        <f>IF(AC$39=0,0,AC252/AC$39)</f>
        <v>0</v>
      </c>
      <c r="AE252" s="578">
        <f>SUM(AE250:AE251)</f>
        <v>0</v>
      </c>
      <c r="AF252" s="1269">
        <f>IF(AE$45=0,0,AE252/AE$45)</f>
        <v>0</v>
      </c>
      <c r="AG252" s="1272"/>
    </row>
    <row r="253" spans="1:33" s="1266" customFormat="1" ht="15" outlineLevel="1">
      <c r="G253" s="580"/>
      <c r="H253" s="580"/>
      <c r="I253" s="580"/>
      <c r="J253" s="580"/>
      <c r="K253" s="580"/>
      <c r="L253" s="166"/>
      <c r="M253" s="580"/>
      <c r="N253" s="580"/>
      <c r="O253" s="580"/>
      <c r="P253" s="580"/>
      <c r="Q253" s="580"/>
      <c r="R253" s="166"/>
      <c r="S253" s="580"/>
      <c r="T253" s="580"/>
      <c r="U253" s="580"/>
      <c r="V253" s="580"/>
      <c r="W253" s="580"/>
      <c r="X253" s="166"/>
      <c r="Y253" s="580"/>
      <c r="Z253" s="580"/>
      <c r="AA253" s="580"/>
      <c r="AB253" s="580"/>
      <c r="AC253" s="580"/>
      <c r="AD253" s="166"/>
      <c r="AE253" s="580"/>
      <c r="AF253" s="166"/>
      <c r="AG253" s="1272"/>
    </row>
    <row r="254" spans="1:33" outlineLevel="1">
      <c r="A254" s="1264"/>
      <c r="B254" s="1264"/>
      <c r="C254" s="1265"/>
      <c r="D254" s="1261"/>
      <c r="E254" s="1266"/>
      <c r="F254" s="1267"/>
      <c r="G254" s="1268"/>
      <c r="H254" s="1267"/>
      <c r="I254" s="1268"/>
      <c r="J254" s="1267"/>
      <c r="K254" s="1268"/>
      <c r="L254" s="1267"/>
      <c r="M254" s="1268"/>
      <c r="N254" s="1267"/>
      <c r="O254" s="1268"/>
      <c r="P254" s="1267"/>
      <c r="Q254" s="1268"/>
      <c r="R254" s="1267"/>
      <c r="S254" s="1268"/>
      <c r="T254" s="1267"/>
      <c r="U254" s="1268"/>
      <c r="V254" s="1267"/>
      <c r="W254" s="1268"/>
      <c r="X254" s="1267"/>
      <c r="Y254" s="1268"/>
      <c r="Z254" s="1267"/>
      <c r="AA254" s="1268"/>
      <c r="AB254" s="1267"/>
      <c r="AC254" s="1268"/>
      <c r="AD254" s="1267"/>
      <c r="AE254" s="1268">
        <f>AC254+AA254+Y254+W254+U254+S254+Q254+O254+M254+K254+I254+G254</f>
        <v>0</v>
      </c>
      <c r="AF254" s="1269">
        <f>IF(AE$45=0,0,AE254/AE$45)</f>
        <v>0</v>
      </c>
      <c r="AG254" s="1270"/>
    </row>
    <row r="255" spans="1:33" s="1266" customFormat="1" ht="5.0999999999999996" customHeight="1" outlineLevel="1">
      <c r="A255" s="1265"/>
      <c r="B255" s="1265"/>
      <c r="C255" s="1265"/>
      <c r="D255" s="1265"/>
      <c r="G255" s="581"/>
      <c r="H255" s="580"/>
      <c r="I255" s="581"/>
      <c r="J255" s="580"/>
      <c r="K255" s="581"/>
      <c r="L255" s="166"/>
      <c r="M255" s="581"/>
      <c r="N255" s="580"/>
      <c r="O255" s="581"/>
      <c r="P255" s="580"/>
      <c r="Q255" s="581"/>
      <c r="R255" s="166"/>
      <c r="S255" s="581"/>
      <c r="T255" s="580"/>
      <c r="U255" s="581"/>
      <c r="V255" s="580"/>
      <c r="W255" s="581"/>
      <c r="X255" s="166"/>
      <c r="Y255" s="581"/>
      <c r="Z255" s="580"/>
      <c r="AA255" s="581"/>
      <c r="AB255" s="580"/>
      <c r="AC255" s="581"/>
      <c r="AD255" s="166"/>
      <c r="AE255" s="581"/>
      <c r="AF255" s="166"/>
      <c r="AG255" s="1272"/>
    </row>
    <row r="256" spans="1:33" s="1266" customFormat="1" ht="15">
      <c r="C256" s="1265" t="s">
        <v>308</v>
      </c>
      <c r="G256" s="578">
        <f>SUM(G254:G255)</f>
        <v>0</v>
      </c>
      <c r="H256" s="580"/>
      <c r="I256" s="578">
        <f>SUM(I254:I255)</f>
        <v>0</v>
      </c>
      <c r="J256" s="580"/>
      <c r="K256" s="578">
        <f>SUM(K254:K255)</f>
        <v>0</v>
      </c>
      <c r="L256" s="170">
        <f>IF(K$39=0,0,K256/K$39)</f>
        <v>0</v>
      </c>
      <c r="M256" s="578">
        <f>SUM(M254:M255)</f>
        <v>0</v>
      </c>
      <c r="N256" s="580"/>
      <c r="O256" s="578">
        <f>SUM(O254:O255)</f>
        <v>0</v>
      </c>
      <c r="P256" s="580"/>
      <c r="Q256" s="578">
        <f>SUM(Q254:Q255)</f>
        <v>0</v>
      </c>
      <c r="R256" s="170">
        <f>IF(Q$39=0,0,Q256/Q$39)</f>
        <v>0</v>
      </c>
      <c r="S256" s="578">
        <f>SUM(S254:S255)</f>
        <v>0</v>
      </c>
      <c r="T256" s="580"/>
      <c r="U256" s="578">
        <f>SUM(U254:U255)</f>
        <v>0</v>
      </c>
      <c r="V256" s="580"/>
      <c r="W256" s="578">
        <f>SUM(W254:W255)</f>
        <v>0</v>
      </c>
      <c r="X256" s="170">
        <f>IF(W$39=0,0,W256/W$39)</f>
        <v>0</v>
      </c>
      <c r="Y256" s="578">
        <f>SUM(Y254:Y255)</f>
        <v>0</v>
      </c>
      <c r="Z256" s="580"/>
      <c r="AA256" s="578">
        <f>SUM(AA254:AA255)</f>
        <v>0</v>
      </c>
      <c r="AB256" s="580"/>
      <c r="AC256" s="578">
        <f>SUM(AC254:AC255)</f>
        <v>0</v>
      </c>
      <c r="AD256" s="170">
        <f>IF(AC$39=0,0,AC256/AC$39)</f>
        <v>0</v>
      </c>
      <c r="AE256" s="578">
        <f>SUM(AE254:AE255)</f>
        <v>0</v>
      </c>
      <c r="AF256" s="1269">
        <f>IF(AE$45=0,0,AE256/AE$45)</f>
        <v>0</v>
      </c>
      <c r="AG256" s="1272"/>
    </row>
    <row r="257" spans="1:33" s="1266" customFormat="1" ht="6.75" customHeight="1">
      <c r="G257" s="580"/>
      <c r="H257" s="580"/>
      <c r="I257" s="580"/>
      <c r="J257" s="580"/>
      <c r="K257" s="580"/>
      <c r="L257" s="166"/>
      <c r="M257" s="580"/>
      <c r="N257" s="580"/>
      <c r="O257" s="580"/>
      <c r="P257" s="580"/>
      <c r="Q257" s="580"/>
      <c r="R257" s="166"/>
      <c r="S257" s="580"/>
      <c r="T257" s="580"/>
      <c r="U257" s="580"/>
      <c r="V257" s="580"/>
      <c r="W257" s="580"/>
      <c r="X257" s="166"/>
      <c r="Y257" s="580"/>
      <c r="Z257" s="580"/>
      <c r="AA257" s="580"/>
      <c r="AB257" s="580"/>
      <c r="AC257" s="580"/>
      <c r="AD257" s="166"/>
      <c r="AE257" s="580"/>
      <c r="AF257" s="166"/>
      <c r="AG257" s="1272"/>
    </row>
    <row r="258" spans="1:33" s="1266" customFormat="1" ht="15">
      <c r="B258" s="582" t="s">
        <v>309</v>
      </c>
      <c r="G258" s="150">
        <f>+G244-G248-G252-G256</f>
        <v>10349.240000000005</v>
      </c>
      <c r="H258" s="580"/>
      <c r="I258" s="150">
        <f>+I244-I248-I252-I256</f>
        <v>-34650.830000000009</v>
      </c>
      <c r="J258" s="580"/>
      <c r="K258" s="150">
        <f>+K244-K248-K252-K256</f>
        <v>6057.6899999999514</v>
      </c>
      <c r="L258" s="170">
        <f>IF(K$39=0,0,K258/K$39)</f>
        <v>0</v>
      </c>
      <c r="M258" s="150">
        <f>+M244-M248-M252-M256</f>
        <v>24768.95</v>
      </c>
      <c r="N258" s="580"/>
      <c r="O258" s="150">
        <f>+O244-O248-O252-O256</f>
        <v>-3588.1500000000306</v>
      </c>
      <c r="P258" s="580"/>
      <c r="Q258" s="150">
        <f>+Q244-Q248-Q252-Q256</f>
        <v>35638.999999999942</v>
      </c>
      <c r="R258" s="170">
        <f>IF(Q$39=0,0,Q258/Q$39)</f>
        <v>0</v>
      </c>
      <c r="S258" s="150">
        <f>+S244-S248-S252-S256</f>
        <v>23011.509999999966</v>
      </c>
      <c r="T258" s="580"/>
      <c r="U258" s="150">
        <f>+U244-U248-U252-U256</f>
        <v>23802.529999999977</v>
      </c>
      <c r="V258" s="580"/>
      <c r="W258" s="150">
        <f>+W244-W248-W252-W256</f>
        <v>25035.48999999998</v>
      </c>
      <c r="X258" s="170">
        <f>IF(W$39=0,0,W258/W$39)</f>
        <v>0</v>
      </c>
      <c r="Y258" s="150">
        <f>+Y244-Y248-Y252-Y256</f>
        <v>-435.08000000009997</v>
      </c>
      <c r="Z258" s="580"/>
      <c r="AA258" s="150">
        <f>+AA244-AA248-AA252-AA256</f>
        <v>24498.789999999983</v>
      </c>
      <c r="AB258" s="580"/>
      <c r="AC258" s="150">
        <f>+AC244-AC248-AC252-AC256</f>
        <v>2791.240000000078</v>
      </c>
      <c r="AD258" s="170">
        <f>IF(AC$39=0,0,AC258/AC$39)</f>
        <v>0</v>
      </c>
      <c r="AE258" s="150">
        <f>+AE244-AE248-AE252-AE256</f>
        <v>137280.37999999928</v>
      </c>
      <c r="AF258" s="1269">
        <f>IF(AE$45=0,0,AE258/AE$45)</f>
        <v>4.1459923445828134E-2</v>
      </c>
      <c r="AG258" s="1272"/>
    </row>
    <row r="259" spans="1:33" s="1266" customFormat="1" ht="6.75" customHeight="1">
      <c r="G259" s="580"/>
      <c r="H259" s="580"/>
      <c r="I259" s="580"/>
      <c r="J259" s="580"/>
      <c r="K259" s="580"/>
      <c r="L259" s="166"/>
      <c r="M259" s="580"/>
      <c r="N259" s="580"/>
      <c r="O259" s="580"/>
      <c r="P259" s="580"/>
      <c r="Q259" s="580"/>
      <c r="R259" s="166"/>
      <c r="S259" s="580"/>
      <c r="T259" s="580"/>
      <c r="U259" s="580"/>
      <c r="V259" s="580"/>
      <c r="W259" s="580"/>
      <c r="X259" s="166"/>
      <c r="Y259" s="580"/>
      <c r="Z259" s="580"/>
      <c r="AA259" s="580"/>
      <c r="AB259" s="580"/>
      <c r="AC259" s="580"/>
      <c r="AD259" s="166"/>
      <c r="AE259" s="580"/>
      <c r="AF259" s="166"/>
      <c r="AG259" s="1272"/>
    </row>
    <row r="260" spans="1:33" outlineLevel="1">
      <c r="A260" s="1264"/>
      <c r="B260" s="1264"/>
      <c r="C260" s="1265"/>
      <c r="D260" s="1261"/>
      <c r="E260" s="1266"/>
      <c r="F260" s="1267"/>
      <c r="G260" s="1268"/>
      <c r="H260" s="1267"/>
      <c r="I260" s="1268"/>
      <c r="J260" s="1267"/>
      <c r="K260" s="1268"/>
      <c r="L260" s="1267"/>
      <c r="M260" s="1268"/>
      <c r="N260" s="1267"/>
      <c r="O260" s="1268"/>
      <c r="P260" s="1267"/>
      <c r="Q260" s="1268"/>
      <c r="R260" s="1267"/>
      <c r="S260" s="1268"/>
      <c r="T260" s="1267"/>
      <c r="U260" s="1268"/>
      <c r="V260" s="1267"/>
      <c r="W260" s="1268"/>
      <c r="X260" s="1267"/>
      <c r="Y260" s="1268"/>
      <c r="Z260" s="1267"/>
      <c r="AA260" s="1268"/>
      <c r="AB260" s="1267"/>
      <c r="AC260" s="1268"/>
      <c r="AD260" s="1267"/>
      <c r="AE260" s="1268">
        <f>AC260+AA260+Y260+W260+U260+S260+Q260+O260+M260+K260+I260+G260</f>
        <v>0</v>
      </c>
      <c r="AF260" s="1269">
        <f>IF(AE$45=0,0,AE260/AE$45)</f>
        <v>0</v>
      </c>
      <c r="AG260" s="1270"/>
    </row>
    <row r="261" spans="1:33" s="1266" customFormat="1" ht="5.0999999999999996" customHeight="1" outlineLevel="1">
      <c r="A261" s="1265"/>
      <c r="B261" s="1265"/>
      <c r="C261" s="1265"/>
      <c r="D261" s="1265"/>
      <c r="G261" s="581"/>
      <c r="H261" s="580"/>
      <c r="I261" s="581"/>
      <c r="J261" s="580"/>
      <c r="K261" s="581"/>
      <c r="L261" s="166"/>
      <c r="M261" s="581"/>
      <c r="N261" s="580"/>
      <c r="O261" s="581"/>
      <c r="P261" s="580"/>
      <c r="Q261" s="581"/>
      <c r="R261" s="166"/>
      <c r="S261" s="581"/>
      <c r="T261" s="580"/>
      <c r="U261" s="581"/>
      <c r="V261" s="580"/>
      <c r="W261" s="581"/>
      <c r="X261" s="166"/>
      <c r="Y261" s="581"/>
      <c r="Z261" s="580"/>
      <c r="AA261" s="581"/>
      <c r="AB261" s="580"/>
      <c r="AC261" s="581"/>
      <c r="AD261" s="166"/>
      <c r="AE261" s="581"/>
      <c r="AF261" s="166"/>
      <c r="AG261" s="1272"/>
    </row>
    <row r="262" spans="1:33" s="1266" customFormat="1" ht="15">
      <c r="C262" s="1264" t="s">
        <v>311</v>
      </c>
      <c r="G262" s="578">
        <f>SUM(G260:G261)</f>
        <v>0</v>
      </c>
      <c r="H262" s="580"/>
      <c r="I262" s="578">
        <f>SUM(I260:I261)</f>
        <v>0</v>
      </c>
      <c r="J262" s="580"/>
      <c r="K262" s="578">
        <f>SUM(K260:K261)</f>
        <v>0</v>
      </c>
      <c r="L262" s="170">
        <f>IF(K$39=0,0,K262/K$39)</f>
        <v>0</v>
      </c>
      <c r="M262" s="578">
        <f>SUM(M260:M261)</f>
        <v>0</v>
      </c>
      <c r="N262" s="580"/>
      <c r="O262" s="578">
        <f>SUM(O260:O261)</f>
        <v>0</v>
      </c>
      <c r="P262" s="580"/>
      <c r="Q262" s="578">
        <f>SUM(Q260:Q261)</f>
        <v>0</v>
      </c>
      <c r="R262" s="170">
        <f>IF(Q$39=0,0,Q262/Q$39)</f>
        <v>0</v>
      </c>
      <c r="S262" s="578">
        <f>SUM(S260:S261)</f>
        <v>0</v>
      </c>
      <c r="T262" s="580"/>
      <c r="U262" s="578">
        <f>SUM(U260:U261)</f>
        <v>0</v>
      </c>
      <c r="V262" s="580"/>
      <c r="W262" s="578">
        <f>SUM(W260:W261)</f>
        <v>0</v>
      </c>
      <c r="X262" s="170">
        <f>IF(W$39=0,0,W262/W$39)</f>
        <v>0</v>
      </c>
      <c r="Y262" s="578">
        <f>SUM(Y260:Y261)</f>
        <v>0</v>
      </c>
      <c r="Z262" s="580"/>
      <c r="AA262" s="578">
        <f>SUM(AA260:AA261)</f>
        <v>0</v>
      </c>
      <c r="AB262" s="580"/>
      <c r="AC262" s="578">
        <f>SUM(AC260:AC261)</f>
        <v>0</v>
      </c>
      <c r="AD262" s="170">
        <f>IF(AC$39=0,0,AC262/AC$39)</f>
        <v>0</v>
      </c>
      <c r="AE262" s="578">
        <f>SUM(AE260:AE261)</f>
        <v>0</v>
      </c>
      <c r="AF262" s="1269">
        <f>IF(AE$45=0,0,AE262/AE$45)</f>
        <v>0</v>
      </c>
      <c r="AG262" s="1272"/>
    </row>
    <row r="263" spans="1:33" s="1266" customFormat="1" ht="6.75" customHeight="1">
      <c r="G263" s="580"/>
      <c r="H263" s="580"/>
      <c r="I263" s="580"/>
      <c r="J263" s="580"/>
      <c r="K263" s="580"/>
      <c r="L263" s="166"/>
      <c r="M263" s="580"/>
      <c r="N263" s="580"/>
      <c r="O263" s="580"/>
      <c r="P263" s="580"/>
      <c r="Q263" s="580"/>
      <c r="R263" s="166"/>
      <c r="S263" s="580"/>
      <c r="T263" s="580"/>
      <c r="U263" s="580"/>
      <c r="V263" s="580"/>
      <c r="W263" s="580"/>
      <c r="X263" s="166"/>
      <c r="Y263" s="580"/>
      <c r="Z263" s="580"/>
      <c r="AA263" s="580"/>
      <c r="AB263" s="580"/>
      <c r="AC263" s="580"/>
      <c r="AD263" s="166"/>
      <c r="AE263" s="580"/>
      <c r="AF263" s="166"/>
      <c r="AG263" s="1272"/>
    </row>
    <row r="264" spans="1:33" s="1266" customFormat="1" ht="15">
      <c r="B264" s="582" t="s">
        <v>312</v>
      </c>
      <c r="G264" s="150">
        <f>+G258-G262</f>
        <v>10349.240000000005</v>
      </c>
      <c r="H264" s="580"/>
      <c r="I264" s="150">
        <f>+I258-I262</f>
        <v>-34650.830000000009</v>
      </c>
      <c r="J264" s="580"/>
      <c r="K264" s="150">
        <f>+K258-K262</f>
        <v>6057.6899999999514</v>
      </c>
      <c r="L264" s="170">
        <f>IF(K$39=0,0,K264/K$39)</f>
        <v>0</v>
      </c>
      <c r="M264" s="150">
        <f>+M258-M262</f>
        <v>24768.95</v>
      </c>
      <c r="N264" s="580"/>
      <c r="O264" s="150">
        <f>+O258-O262</f>
        <v>-3588.1500000000306</v>
      </c>
      <c r="P264" s="580"/>
      <c r="Q264" s="150">
        <f>+Q258-Q262</f>
        <v>35638.999999999942</v>
      </c>
      <c r="R264" s="170">
        <f>IF(Q$39=0,0,Q264/Q$39)</f>
        <v>0</v>
      </c>
      <c r="S264" s="150">
        <f>+S258-S262</f>
        <v>23011.509999999966</v>
      </c>
      <c r="T264" s="580"/>
      <c r="U264" s="150">
        <f>+U258-U262</f>
        <v>23802.529999999977</v>
      </c>
      <c r="V264" s="580"/>
      <c r="W264" s="150">
        <f>+W258-W262</f>
        <v>25035.48999999998</v>
      </c>
      <c r="X264" s="170">
        <f>IF(W$39=0,0,W264/W$39)</f>
        <v>0</v>
      </c>
      <c r="Y264" s="150">
        <f>+Y258-Y262</f>
        <v>-435.08000000009997</v>
      </c>
      <c r="Z264" s="580"/>
      <c r="AA264" s="150">
        <f>+AA258-AA262</f>
        <v>24498.789999999983</v>
      </c>
      <c r="AB264" s="580"/>
      <c r="AC264" s="150">
        <f>+AC258-AC262</f>
        <v>2791.240000000078</v>
      </c>
      <c r="AD264" s="170">
        <f>IF(AC$39=0,0,AC264/AC$39)</f>
        <v>0</v>
      </c>
      <c r="AE264" s="150">
        <f>+AE258-AE262</f>
        <v>137280.37999999928</v>
      </c>
      <c r="AF264" s="1269">
        <f>IF(AE$45=0,0,AE264/AE$45)</f>
        <v>4.1459923445828134E-2</v>
      </c>
      <c r="AG264" s="1272"/>
    </row>
    <row r="265" spans="1:33" ht="6.75" customHeight="1">
      <c r="G265" s="1262"/>
      <c r="H265" s="1262"/>
      <c r="I265" s="1262"/>
      <c r="J265" s="1262"/>
      <c r="K265" s="1262"/>
      <c r="L265" s="166"/>
      <c r="M265" s="1262"/>
      <c r="N265" s="1262"/>
      <c r="O265" s="1262"/>
      <c r="P265" s="1262"/>
      <c r="Q265" s="1262"/>
      <c r="R265" s="166"/>
      <c r="S265" s="1262"/>
      <c r="T265" s="1262"/>
      <c r="U265" s="1262"/>
      <c r="V265" s="1262"/>
      <c r="W265" s="1262"/>
      <c r="X265" s="166"/>
      <c r="Y265" s="1262"/>
      <c r="Z265" s="1262"/>
      <c r="AA265" s="1262"/>
      <c r="AB265" s="1262"/>
      <c r="AC265" s="1262"/>
      <c r="AD265" s="166"/>
      <c r="AE265" s="1262"/>
      <c r="AF265" s="166"/>
      <c r="AG265" s="1272"/>
    </row>
    <row r="266" spans="1:33" outlineLevel="1">
      <c r="A266" s="1264"/>
      <c r="B266" s="1264"/>
      <c r="C266" s="1265"/>
      <c r="D266" s="1261"/>
      <c r="E266" s="1266"/>
      <c r="F266" s="1267"/>
      <c r="G266" s="1268"/>
      <c r="H266" s="1267"/>
      <c r="I266" s="1268"/>
      <c r="J266" s="1267"/>
      <c r="K266" s="1268"/>
      <c r="L266" s="1267"/>
      <c r="M266" s="1268"/>
      <c r="N266" s="1267"/>
      <c r="O266" s="1268"/>
      <c r="P266" s="1267"/>
      <c r="Q266" s="1268"/>
      <c r="R266" s="1267"/>
      <c r="S266" s="1268"/>
      <c r="T266" s="1267"/>
      <c r="U266" s="1268"/>
      <c r="V266" s="1267"/>
      <c r="W266" s="1268"/>
      <c r="X266" s="1267"/>
      <c r="Y266" s="1268"/>
      <c r="Z266" s="1267"/>
      <c r="AA266" s="1268"/>
      <c r="AB266" s="1267"/>
      <c r="AC266" s="1268"/>
      <c r="AD266" s="1267"/>
      <c r="AE266" s="1268">
        <f>AC266+AA266+Y266+W266+U266+S266+Q266+O266+M266+K266+I266+G266</f>
        <v>0</v>
      </c>
      <c r="AF266" s="1269">
        <f>IF(AE$45=0,0,AE266/AE$45)</f>
        <v>0</v>
      </c>
      <c r="AG266" s="1270"/>
    </row>
    <row r="267" spans="1:33" s="1266" customFormat="1" ht="5.0999999999999996" customHeight="1" outlineLevel="1">
      <c r="A267" s="1265"/>
      <c r="B267" s="1265"/>
      <c r="C267" s="1265"/>
      <c r="D267" s="1265"/>
      <c r="G267" s="581"/>
      <c r="H267" s="580"/>
      <c r="I267" s="581"/>
      <c r="J267" s="580"/>
      <c r="K267" s="581"/>
      <c r="L267" s="166"/>
      <c r="M267" s="581"/>
      <c r="N267" s="580"/>
      <c r="O267" s="581"/>
      <c r="P267" s="580"/>
      <c r="Q267" s="581"/>
      <c r="R267" s="166"/>
      <c r="S267" s="581"/>
      <c r="T267" s="580"/>
      <c r="U267" s="581"/>
      <c r="V267" s="580"/>
      <c r="W267" s="581"/>
      <c r="X267" s="166"/>
      <c r="Y267" s="581"/>
      <c r="Z267" s="580"/>
      <c r="AA267" s="581"/>
      <c r="AB267" s="580"/>
      <c r="AC267" s="581"/>
      <c r="AD267" s="166"/>
      <c r="AE267" s="581"/>
      <c r="AF267" s="166"/>
      <c r="AG267" s="1272"/>
    </row>
    <row r="268" spans="1:33" s="1266" customFormat="1" ht="15">
      <c r="C268" s="1264" t="s">
        <v>314</v>
      </c>
      <c r="G268" s="578">
        <f>SUM(G266:G267)</f>
        <v>0</v>
      </c>
      <c r="H268" s="580"/>
      <c r="I268" s="578">
        <f>SUM(I266:I267)</f>
        <v>0</v>
      </c>
      <c r="J268" s="580"/>
      <c r="K268" s="578">
        <f>SUM(K266:K267)</f>
        <v>0</v>
      </c>
      <c r="L268" s="170">
        <f>IF(K$39=0,0,K268/K$39)</f>
        <v>0</v>
      </c>
      <c r="M268" s="578">
        <f>SUM(M266:M267)</f>
        <v>0</v>
      </c>
      <c r="N268" s="580"/>
      <c r="O268" s="578">
        <f>SUM(O266:O267)</f>
        <v>0</v>
      </c>
      <c r="P268" s="580"/>
      <c r="Q268" s="578">
        <f>SUM(Q266:Q267)</f>
        <v>0</v>
      </c>
      <c r="R268" s="170">
        <f>IF(Q$39=0,0,Q268/Q$39)</f>
        <v>0</v>
      </c>
      <c r="S268" s="578">
        <f>SUM(S266:S267)</f>
        <v>0</v>
      </c>
      <c r="T268" s="580"/>
      <c r="U268" s="578">
        <f>SUM(U266:U267)</f>
        <v>0</v>
      </c>
      <c r="V268" s="580"/>
      <c r="W268" s="578">
        <f>SUM(W266:W267)</f>
        <v>0</v>
      </c>
      <c r="X268" s="170">
        <f>IF(W$39=0,0,W268/W$39)</f>
        <v>0</v>
      </c>
      <c r="Y268" s="578">
        <f>SUM(Y266:Y267)</f>
        <v>0</v>
      </c>
      <c r="Z268" s="580"/>
      <c r="AA268" s="578">
        <f>SUM(AA266:AA267)</f>
        <v>0</v>
      </c>
      <c r="AB268" s="580"/>
      <c r="AC268" s="578">
        <f>SUM(AC266:AC267)</f>
        <v>0</v>
      </c>
      <c r="AD268" s="170">
        <f>IF(AC$39=0,0,AC268/AC$39)</f>
        <v>0</v>
      </c>
      <c r="AE268" s="578">
        <f>SUM(AE266:AE267)</f>
        <v>0</v>
      </c>
      <c r="AF268" s="1269">
        <f>IF(AE$45=0,0,AE268/AE$45)</f>
        <v>0</v>
      </c>
      <c r="AG268" s="1272"/>
    </row>
    <row r="269" spans="1:33" s="1266" customFormat="1" ht="6.75" customHeight="1">
      <c r="G269" s="580"/>
      <c r="H269" s="580"/>
      <c r="I269" s="580"/>
      <c r="J269" s="580"/>
      <c r="K269" s="580"/>
      <c r="L269" s="166"/>
      <c r="M269" s="580"/>
      <c r="N269" s="580"/>
      <c r="O269" s="580"/>
      <c r="P269" s="580"/>
      <c r="Q269" s="580"/>
      <c r="R269" s="166"/>
      <c r="S269" s="580"/>
      <c r="T269" s="580"/>
      <c r="U269" s="580"/>
      <c r="V269" s="580"/>
      <c r="W269" s="580"/>
      <c r="X269" s="166"/>
      <c r="Y269" s="580"/>
      <c r="Z269" s="580"/>
      <c r="AA269" s="580"/>
      <c r="AB269" s="580"/>
      <c r="AC269" s="580"/>
      <c r="AD269" s="166"/>
      <c r="AE269" s="580"/>
      <c r="AF269" s="166"/>
      <c r="AG269" s="1272"/>
    </row>
    <row r="270" spans="1:33" s="1266" customFormat="1" ht="15">
      <c r="B270" s="582" t="s">
        <v>315</v>
      </c>
      <c r="G270" s="150">
        <f>+G264-G268</f>
        <v>10349.240000000005</v>
      </c>
      <c r="H270" s="580"/>
      <c r="I270" s="150">
        <f>+I264-I268</f>
        <v>-34650.830000000009</v>
      </c>
      <c r="J270" s="580"/>
      <c r="K270" s="150">
        <f>+K264-K268</f>
        <v>6057.6899999999514</v>
      </c>
      <c r="L270" s="170">
        <f>IF(K$39=0,0,K270/K$39)</f>
        <v>0</v>
      </c>
      <c r="M270" s="150">
        <f>+M264-M268</f>
        <v>24768.95</v>
      </c>
      <c r="N270" s="580"/>
      <c r="O270" s="150">
        <f>+O264-O268</f>
        <v>-3588.1500000000306</v>
      </c>
      <c r="P270" s="580"/>
      <c r="Q270" s="150">
        <f>+Q264-Q268</f>
        <v>35638.999999999942</v>
      </c>
      <c r="R270" s="170">
        <f>IF(Q$39=0,0,Q270/Q$39)</f>
        <v>0</v>
      </c>
      <c r="S270" s="150">
        <f>+S264-S268</f>
        <v>23011.509999999966</v>
      </c>
      <c r="T270" s="580"/>
      <c r="U270" s="150">
        <f>+U264-U268</f>
        <v>23802.529999999977</v>
      </c>
      <c r="V270" s="580"/>
      <c r="W270" s="150">
        <f>+W264-W268</f>
        <v>25035.48999999998</v>
      </c>
      <c r="X270" s="170">
        <f>IF(W$39=0,0,W270/W$39)</f>
        <v>0</v>
      </c>
      <c r="Y270" s="150">
        <f>+Y264-Y268</f>
        <v>-435.08000000009997</v>
      </c>
      <c r="Z270" s="580"/>
      <c r="AA270" s="150">
        <f>+AA264-AA268</f>
        <v>24498.789999999983</v>
      </c>
      <c r="AB270" s="580"/>
      <c r="AC270" s="150">
        <f>+AC264-AC268</f>
        <v>2791.240000000078</v>
      </c>
      <c r="AD270" s="170">
        <f>IF(AC$39=0,0,AC270/AC$39)</f>
        <v>0</v>
      </c>
      <c r="AE270" s="150">
        <f>+AE264-AE268</f>
        <v>137280.37999999928</v>
      </c>
      <c r="AF270" s="1269">
        <f>IF(AE$45=0,0,AE270/AE$45)</f>
        <v>4.1459923445828134E-2</v>
      </c>
      <c r="AG270" s="1272"/>
    </row>
    <row r="271" spans="1:33" s="1266" customFormat="1" ht="6.75" customHeight="1">
      <c r="G271" s="580"/>
      <c r="H271" s="580"/>
      <c r="I271" s="580"/>
      <c r="J271" s="580"/>
      <c r="K271" s="580"/>
      <c r="L271" s="166"/>
      <c r="M271" s="580"/>
      <c r="N271" s="580"/>
      <c r="O271" s="580"/>
      <c r="P271" s="580"/>
      <c r="Q271" s="580"/>
      <c r="R271" s="166"/>
      <c r="S271" s="580"/>
      <c r="T271" s="580"/>
      <c r="U271" s="580"/>
      <c r="V271" s="580"/>
      <c r="W271" s="580"/>
      <c r="X271" s="166"/>
      <c r="Y271" s="580"/>
      <c r="Z271" s="580"/>
      <c r="AA271" s="580"/>
      <c r="AB271" s="580"/>
      <c r="AC271" s="580"/>
      <c r="AD271" s="166"/>
      <c r="AE271" s="580"/>
      <c r="AF271" s="166"/>
      <c r="AG271" s="1272"/>
    </row>
    <row r="272" spans="1:33" outlineLevel="1">
      <c r="A272" s="1264"/>
      <c r="B272" s="1264"/>
      <c r="C272" s="1265"/>
      <c r="D272" s="1261"/>
      <c r="E272" s="1266"/>
      <c r="F272" s="1267"/>
      <c r="G272" s="1268"/>
      <c r="H272" s="1267"/>
      <c r="I272" s="1268"/>
      <c r="J272" s="1267"/>
      <c r="K272" s="1268"/>
      <c r="L272" s="1267"/>
      <c r="M272" s="1268"/>
      <c r="N272" s="1267"/>
      <c r="O272" s="1268"/>
      <c r="P272" s="1267"/>
      <c r="Q272" s="1268"/>
      <c r="R272" s="1267"/>
      <c r="S272" s="1268"/>
      <c r="T272" s="1267"/>
      <c r="U272" s="1268"/>
      <c r="V272" s="1267"/>
      <c r="W272" s="1268"/>
      <c r="X272" s="1267"/>
      <c r="Y272" s="1268"/>
      <c r="Z272" s="1267"/>
      <c r="AA272" s="1268"/>
      <c r="AB272" s="1267"/>
      <c r="AC272" s="1268"/>
      <c r="AD272" s="1267"/>
      <c r="AE272" s="1268">
        <f>AC272+AA272+Y272+W272+U272+S272+Q272+O272+M272+K272+I272+G272</f>
        <v>0</v>
      </c>
      <c r="AF272" s="1269">
        <f>IF(AE$45=0,0,AE272/AE$45)</f>
        <v>0</v>
      </c>
      <c r="AG272" s="1270"/>
    </row>
    <row r="273" spans="1:33" s="1266" customFormat="1" ht="5.0999999999999996" customHeight="1" outlineLevel="1">
      <c r="A273" s="1265"/>
      <c r="B273" s="1265"/>
      <c r="C273" s="1265"/>
      <c r="D273" s="1265"/>
      <c r="G273" s="581"/>
      <c r="H273" s="580"/>
      <c r="I273" s="581"/>
      <c r="J273" s="580"/>
      <c r="K273" s="581"/>
      <c r="L273" s="166"/>
      <c r="M273" s="581"/>
      <c r="N273" s="580"/>
      <c r="O273" s="581"/>
      <c r="P273" s="580"/>
      <c r="Q273" s="581"/>
      <c r="R273" s="166"/>
      <c r="S273" s="581"/>
      <c r="T273" s="580"/>
      <c r="U273" s="581"/>
      <c r="V273" s="580"/>
      <c r="W273" s="581"/>
      <c r="X273" s="166"/>
      <c r="Y273" s="581"/>
      <c r="Z273" s="580"/>
      <c r="AA273" s="581"/>
      <c r="AB273" s="580"/>
      <c r="AC273" s="581"/>
      <c r="AD273" s="166"/>
      <c r="AE273" s="581"/>
      <c r="AF273" s="166"/>
      <c r="AG273" s="1272"/>
    </row>
    <row r="274" spans="1:33" s="1266" customFormat="1" ht="15">
      <c r="C274" s="1264" t="s">
        <v>317</v>
      </c>
      <c r="G274" s="578">
        <f>SUM(G272:G273)</f>
        <v>0</v>
      </c>
      <c r="H274" s="580"/>
      <c r="I274" s="578">
        <f>SUM(I272:I273)</f>
        <v>0</v>
      </c>
      <c r="J274" s="580"/>
      <c r="K274" s="578">
        <f>SUM(K272:K273)</f>
        <v>0</v>
      </c>
      <c r="L274" s="170">
        <f>IF(K$39=0,0,K274/K$39)</f>
        <v>0</v>
      </c>
      <c r="M274" s="578">
        <f>SUM(M272:M273)</f>
        <v>0</v>
      </c>
      <c r="N274" s="580"/>
      <c r="O274" s="578">
        <f>SUM(O272:O273)</f>
        <v>0</v>
      </c>
      <c r="P274" s="580"/>
      <c r="Q274" s="578">
        <f>SUM(Q272:Q273)</f>
        <v>0</v>
      </c>
      <c r="R274" s="170">
        <f>IF(Q$39=0,0,Q274/Q$39)</f>
        <v>0</v>
      </c>
      <c r="S274" s="578">
        <f>SUM(S272:S273)</f>
        <v>0</v>
      </c>
      <c r="T274" s="580"/>
      <c r="U274" s="578">
        <f>SUM(U272:U273)</f>
        <v>0</v>
      </c>
      <c r="V274" s="580"/>
      <c r="W274" s="578">
        <f>SUM(W272:W273)</f>
        <v>0</v>
      </c>
      <c r="X274" s="170">
        <f>IF(W$39=0,0,W274/W$39)</f>
        <v>0</v>
      </c>
      <c r="Y274" s="578">
        <f>SUM(Y272:Y273)</f>
        <v>0</v>
      </c>
      <c r="Z274" s="580"/>
      <c r="AA274" s="578">
        <f>SUM(AA272:AA273)</f>
        <v>0</v>
      </c>
      <c r="AB274" s="580"/>
      <c r="AC274" s="578">
        <f>SUM(AC272:AC273)</f>
        <v>0</v>
      </c>
      <c r="AD274" s="170">
        <f>IF(AC$39=0,0,AC274/AC$39)</f>
        <v>0</v>
      </c>
      <c r="AE274" s="578">
        <f>SUM(AE272:AE273)</f>
        <v>0</v>
      </c>
      <c r="AF274" s="1269">
        <f>IF(AE$45=0,0,AE274/AE$45)</f>
        <v>0</v>
      </c>
      <c r="AG274" s="1272"/>
    </row>
    <row r="275" spans="1:33" s="1266" customFormat="1" ht="6.75" customHeight="1">
      <c r="G275" s="580"/>
      <c r="H275" s="580"/>
      <c r="I275" s="580"/>
      <c r="J275" s="580"/>
      <c r="K275" s="580"/>
      <c r="L275" s="166"/>
      <c r="M275" s="580"/>
      <c r="N275" s="580"/>
      <c r="O275" s="580"/>
      <c r="P275" s="580"/>
      <c r="Q275" s="580"/>
      <c r="R275" s="166"/>
      <c r="S275" s="580"/>
      <c r="T275" s="580"/>
      <c r="U275" s="580"/>
      <c r="V275" s="580"/>
      <c r="W275" s="580"/>
      <c r="X275" s="166"/>
      <c r="Y275" s="580"/>
      <c r="Z275" s="580"/>
      <c r="AA275" s="580"/>
      <c r="AB275" s="580"/>
      <c r="AC275" s="580"/>
      <c r="AD275" s="166"/>
      <c r="AE275" s="580"/>
      <c r="AF275" s="166"/>
      <c r="AG275" s="1272"/>
    </row>
    <row r="276" spans="1:33" s="1266" customFormat="1" ht="15.75" thickBot="1">
      <c r="B276" s="582" t="s">
        <v>318</v>
      </c>
      <c r="G276" s="171">
        <f>+G270-G274</f>
        <v>10349.240000000005</v>
      </c>
      <c r="H276" s="580"/>
      <c r="I276" s="171">
        <f>+I270-I274</f>
        <v>-34650.830000000009</v>
      </c>
      <c r="J276" s="580"/>
      <c r="K276" s="171">
        <f>+K270-K274</f>
        <v>6057.6899999999514</v>
      </c>
      <c r="L276" s="170">
        <f>IF(K$39=0,0,K276/K$39)</f>
        <v>0</v>
      </c>
      <c r="M276" s="171">
        <f>+M270-M274</f>
        <v>24768.95</v>
      </c>
      <c r="N276" s="580"/>
      <c r="O276" s="171">
        <f>+O270-O274</f>
        <v>-3588.1500000000306</v>
      </c>
      <c r="P276" s="580"/>
      <c r="Q276" s="171">
        <f>+Q270-Q274</f>
        <v>35638.999999999942</v>
      </c>
      <c r="R276" s="170">
        <f>IF(Q$39=0,0,Q276/Q$39)</f>
        <v>0</v>
      </c>
      <c r="S276" s="171">
        <f>+S270-S274</f>
        <v>23011.509999999966</v>
      </c>
      <c r="T276" s="580"/>
      <c r="U276" s="171">
        <f>+U270-U274</f>
        <v>23802.529999999977</v>
      </c>
      <c r="V276" s="580"/>
      <c r="W276" s="171">
        <f>+W270-W274</f>
        <v>25035.48999999998</v>
      </c>
      <c r="X276" s="170">
        <f>IF(W$39=0,0,W276/W$39)</f>
        <v>0</v>
      </c>
      <c r="Y276" s="171">
        <f>+Y270-Y274</f>
        <v>-435.08000000009997</v>
      </c>
      <c r="Z276" s="580"/>
      <c r="AA276" s="171">
        <f>+AA270-AA274</f>
        <v>24498.789999999983</v>
      </c>
      <c r="AB276" s="580"/>
      <c r="AC276" s="171">
        <f>+AC270-AC274</f>
        <v>2791.240000000078</v>
      </c>
      <c r="AD276" s="170">
        <f>IF(AC$39=0,0,AC276/AC$39)</f>
        <v>0</v>
      </c>
      <c r="AE276" s="171">
        <f>+AE270-AE274</f>
        <v>137280.37999999928</v>
      </c>
      <c r="AF276" s="1269">
        <f>IF(AE$45=0,0,AE276/AE$45)</f>
        <v>4.1459923445828134E-2</v>
      </c>
      <c r="AG276" s="1272"/>
    </row>
    <row r="277" spans="1:33" s="583" customFormat="1" ht="15.75" thickTop="1">
      <c r="A277" s="1266"/>
      <c r="B277" s="1266"/>
      <c r="C277" s="1264"/>
      <c r="D277" s="1266"/>
      <c r="E277" s="1259"/>
      <c r="F277" s="1259"/>
      <c r="H277" s="1259"/>
      <c r="J277" s="1272"/>
      <c r="L277" s="1272"/>
      <c r="N277" s="1259"/>
      <c r="P277" s="1272"/>
      <c r="R277" s="1272"/>
      <c r="T277" s="1259"/>
      <c r="V277" s="1272"/>
      <c r="X277" s="1272"/>
      <c r="Z277" s="1259"/>
      <c r="AB277" s="1272"/>
      <c r="AD277" s="1272"/>
      <c r="AG277" s="1259"/>
    </row>
    <row r="278" spans="1:33" s="1193" customFormat="1" ht="15" outlineLevel="1"/>
    <row r="279" spans="1:33" ht="6" customHeight="1" outlineLevel="1">
      <c r="G279" s="581"/>
      <c r="H279" s="580"/>
      <c r="I279" s="581"/>
      <c r="J279" s="580"/>
      <c r="K279" s="581"/>
      <c r="L279" s="166"/>
      <c r="M279" s="581"/>
      <c r="N279" s="580"/>
      <c r="O279" s="581"/>
      <c r="P279" s="580"/>
      <c r="Q279" s="581"/>
      <c r="R279" s="166"/>
      <c r="S279" s="581"/>
      <c r="T279" s="580"/>
      <c r="U279" s="581"/>
      <c r="V279" s="580"/>
      <c r="W279" s="581"/>
      <c r="X279" s="166"/>
      <c r="Y279" s="581"/>
      <c r="Z279" s="580"/>
      <c r="AA279" s="581"/>
      <c r="AB279" s="580"/>
      <c r="AC279" s="581"/>
      <c r="AD279" s="166"/>
      <c r="AE279" s="581"/>
    </row>
    <row r="280" spans="1:33" s="1262" customFormat="1">
      <c r="B280" s="1262" t="s">
        <v>320</v>
      </c>
      <c r="G280" s="174">
        <f>SUM(G278:G279)</f>
        <v>0</v>
      </c>
      <c r="H280" s="175"/>
      <c r="I280" s="174">
        <f>SUM(I278:I279)</f>
        <v>0</v>
      </c>
      <c r="J280" s="175"/>
      <c r="K280" s="174">
        <f>SUM(K278:K279)</f>
        <v>0</v>
      </c>
      <c r="L280" s="176"/>
      <c r="M280" s="174">
        <f>SUM(M278:M279)</f>
        <v>0</v>
      </c>
      <c r="N280" s="175"/>
      <c r="O280" s="174">
        <f>SUM(O278:O279)</f>
        <v>0</v>
      </c>
      <c r="P280" s="175"/>
      <c r="Q280" s="174">
        <f>SUM(Q278:Q279)</f>
        <v>0</v>
      </c>
      <c r="R280" s="176"/>
      <c r="S280" s="174">
        <f>SUM(S278:S279)</f>
        <v>0</v>
      </c>
      <c r="T280" s="175"/>
      <c r="U280" s="174">
        <f>SUM(U278:U279)</f>
        <v>0</v>
      </c>
      <c r="V280" s="175"/>
      <c r="W280" s="174">
        <f>SUM(W278:W279)</f>
        <v>0</v>
      </c>
      <c r="X280" s="176"/>
      <c r="Y280" s="174">
        <f>SUM(Y278:Y279)</f>
        <v>0</v>
      </c>
      <c r="Z280" s="175"/>
      <c r="AA280" s="174">
        <f>SUM(AA278:AA279)</f>
        <v>0</v>
      </c>
      <c r="AB280" s="175"/>
      <c r="AC280" s="174">
        <f>SUM(AC278:AC279)</f>
        <v>0</v>
      </c>
      <c r="AD280" s="176"/>
      <c r="AE280" s="174">
        <f>SUM(AE278:AE279)</f>
        <v>0</v>
      </c>
    </row>
    <row r="281" spans="1:33">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row>
    <row r="282" spans="1:33" ht="15">
      <c r="A282" s="1265"/>
      <c r="B282" s="1265"/>
      <c r="C282" s="1265"/>
      <c r="D282" s="1265"/>
      <c r="J282" s="1272"/>
      <c r="L282" s="1272"/>
      <c r="P282" s="1272"/>
      <c r="R282" s="1272"/>
      <c r="V282" s="1272"/>
      <c r="X282" s="1272"/>
      <c r="AB282" s="1272"/>
      <c r="AD282" s="1272"/>
    </row>
    <row r="283" spans="1:33" ht="15.75">
      <c r="A283" s="1266"/>
      <c r="B283" s="1266"/>
      <c r="C283" s="1265"/>
      <c r="D283" s="1266"/>
      <c r="J283" s="1272"/>
      <c r="L283" s="1272"/>
      <c r="P283" s="1272"/>
      <c r="R283" s="1272"/>
      <c r="V283" s="1272"/>
      <c r="X283" s="1272"/>
      <c r="AB283" s="1272"/>
      <c r="AC283" s="177" t="s">
        <v>321</v>
      </c>
      <c r="AD283" s="1279"/>
      <c r="AE283" s="584">
        <f>SUM(G276:AC276)-AE276</f>
        <v>4.6566128730773926E-10</v>
      </c>
    </row>
    <row r="284" spans="1:33" s="583" customFormat="1" ht="15">
      <c r="A284" s="1266"/>
      <c r="B284" s="1266"/>
      <c r="C284" s="1266"/>
      <c r="D284" s="1266"/>
      <c r="E284" s="1259"/>
      <c r="F284" s="1259"/>
      <c r="H284" s="1259"/>
      <c r="J284" s="1272"/>
      <c r="L284" s="1272"/>
      <c r="N284" s="1259"/>
      <c r="P284" s="1272"/>
      <c r="R284" s="1272"/>
      <c r="T284" s="1259"/>
      <c r="V284" s="1272"/>
      <c r="X284" s="1272"/>
      <c r="Z284" s="1259"/>
      <c r="AB284" s="1272"/>
      <c r="AD284" s="1272"/>
      <c r="AF284" s="1259"/>
      <c r="AG284" s="1259"/>
    </row>
    <row r="285" spans="1:33" s="583" customFormat="1" ht="15">
      <c r="A285" s="1278"/>
      <c r="B285" s="1278"/>
      <c r="C285" s="1278"/>
      <c r="D285" s="1278"/>
      <c r="E285" s="1259"/>
      <c r="F285" s="1259"/>
      <c r="H285" s="1259"/>
      <c r="J285" s="1272"/>
      <c r="L285" s="1272"/>
      <c r="N285" s="1259"/>
      <c r="P285" s="1272"/>
      <c r="R285" s="1272"/>
      <c r="S285" s="583">
        <f>S45-S276</f>
        <v>270442.15000000002</v>
      </c>
      <c r="T285" s="583">
        <f>T45-T276</f>
        <v>0</v>
      </c>
      <c r="U285" s="583">
        <f>U45-U276</f>
        <v>268098.71000000002</v>
      </c>
      <c r="V285" s="1272"/>
      <c r="W285" s="583">
        <f>W45-W276</f>
        <v>269017.43</v>
      </c>
      <c r="X285" s="1272"/>
      <c r="Y285" s="583">
        <f>Y45-Y276</f>
        <v>276549.03999999998</v>
      </c>
      <c r="Z285" s="1259"/>
      <c r="AA285" s="583">
        <f>AA45-AA276</f>
        <v>244048.76</v>
      </c>
      <c r="AB285" s="1272"/>
      <c r="AC285" s="583">
        <f>AC45-AC276</f>
        <v>261612.77</v>
      </c>
      <c r="AD285" s="1272"/>
      <c r="AE285" s="583">
        <f>AE45-AE276</f>
        <v>3173878.1700000004</v>
      </c>
      <c r="AG285" s="1259"/>
    </row>
    <row r="286" spans="1:33" s="583" customFormat="1" ht="15">
      <c r="A286" s="1265"/>
      <c r="B286" s="1265"/>
      <c r="C286" s="1265"/>
      <c r="D286" s="1265"/>
      <c r="E286" s="1259"/>
      <c r="F286" s="1259"/>
      <c r="H286" s="1259"/>
      <c r="J286" s="1272"/>
      <c r="L286" s="1272"/>
      <c r="N286" s="1259"/>
      <c r="P286" s="1272"/>
      <c r="R286" s="1272"/>
      <c r="S286" s="180">
        <f>S285/S45</f>
        <v>0.92158383712099567</v>
      </c>
      <c r="T286" s="180" t="e">
        <f>T285/T45</f>
        <v>#DIV/0!</v>
      </c>
      <c r="U286" s="180">
        <f>U285/U45</f>
        <v>0.91845690686343107</v>
      </c>
      <c r="V286" s="1272"/>
      <c r="W286" s="180">
        <f>W285/W45</f>
        <v>0.91486059720134727</v>
      </c>
      <c r="X286" s="1272"/>
      <c r="Y286" s="180">
        <f>Y285/Y45</f>
        <v>1.0015757261965317</v>
      </c>
      <c r="Z286" s="1259"/>
      <c r="AA286" s="180">
        <f>AA285/AA45</f>
        <v>0.90877299010920043</v>
      </c>
      <c r="AB286" s="1272"/>
      <c r="AC286" s="180">
        <f>AC285/AC45</f>
        <v>0.98944327659780928</v>
      </c>
      <c r="AD286" s="1272"/>
      <c r="AE286" s="180">
        <f>AE285/AE45</f>
        <v>0.95854007655417184</v>
      </c>
      <c r="AG286" s="1259"/>
    </row>
    <row r="287" spans="1:33" s="583" customFormat="1" ht="15">
      <c r="A287" s="1266"/>
      <c r="B287" s="1266"/>
      <c r="C287" s="1264"/>
      <c r="D287" s="1266"/>
      <c r="E287" s="1259"/>
      <c r="F287" s="1259"/>
      <c r="H287" s="1259"/>
      <c r="J287" s="1272"/>
      <c r="L287" s="1272"/>
      <c r="N287" s="1259"/>
      <c r="P287" s="1272"/>
      <c r="R287" s="1272"/>
      <c r="T287" s="1259"/>
      <c r="V287" s="1272"/>
      <c r="X287" s="1272"/>
      <c r="Z287" s="1259"/>
      <c r="AB287" s="1272"/>
      <c r="AD287" s="1272"/>
      <c r="AG287" s="1259"/>
    </row>
    <row r="288" spans="1:33" s="583" customFormat="1" ht="15">
      <c r="A288" s="1266"/>
      <c r="B288" s="1266"/>
      <c r="C288" s="1266"/>
      <c r="D288" s="1266"/>
      <c r="E288" s="1259"/>
      <c r="F288" s="1259"/>
      <c r="H288" s="1259"/>
      <c r="J288" s="1272"/>
      <c r="L288" s="1272"/>
      <c r="N288" s="1259"/>
      <c r="P288" s="1272"/>
      <c r="R288" s="1272"/>
      <c r="T288" s="1259"/>
      <c r="V288" s="1272"/>
      <c r="X288" s="1272"/>
      <c r="Z288" s="1259"/>
      <c r="AB288" s="1272"/>
      <c r="AD288" s="1272"/>
      <c r="AG288" s="1259"/>
    </row>
    <row r="289" spans="1:33" s="583" customFormat="1" ht="15">
      <c r="A289" s="1278"/>
      <c r="B289" s="1278"/>
      <c r="C289" s="1278"/>
      <c r="D289" s="1278"/>
      <c r="E289" s="1259"/>
      <c r="F289" s="1259"/>
      <c r="H289" s="1259"/>
      <c r="J289" s="1272"/>
      <c r="L289" s="1272"/>
      <c r="N289" s="1259"/>
      <c r="P289" s="1272"/>
      <c r="R289" s="1272"/>
      <c r="T289" s="1259"/>
      <c r="V289" s="1272"/>
      <c r="X289" s="1272"/>
      <c r="Z289" s="1259"/>
      <c r="AB289" s="1272"/>
      <c r="AD289" s="1272"/>
      <c r="AG289" s="1259"/>
    </row>
    <row r="290" spans="1:33" s="583" customFormat="1" ht="15">
      <c r="A290" s="1265"/>
      <c r="B290" s="1265"/>
      <c r="C290" s="1265"/>
      <c r="D290" s="1265"/>
      <c r="E290" s="1259"/>
      <c r="F290" s="1259"/>
      <c r="H290" s="1259"/>
      <c r="J290" s="1272"/>
      <c r="L290" s="1272"/>
      <c r="N290" s="1259"/>
      <c r="P290" s="1272"/>
      <c r="R290" s="1272"/>
      <c r="T290" s="1259"/>
      <c r="V290" s="1272"/>
      <c r="X290" s="1272"/>
      <c r="Z290" s="1259"/>
      <c r="AB290" s="1272"/>
      <c r="AD290" s="1272"/>
      <c r="AG290" s="1259"/>
    </row>
    <row r="291" spans="1:33" s="583" customFormat="1" ht="15">
      <c r="A291" s="1266"/>
      <c r="B291" s="1266"/>
      <c r="C291" s="1265"/>
      <c r="D291" s="1266"/>
      <c r="E291" s="1259"/>
      <c r="F291" s="1259"/>
      <c r="H291" s="1259"/>
      <c r="J291" s="1272"/>
      <c r="L291" s="1272"/>
      <c r="N291" s="1259"/>
      <c r="P291" s="1272"/>
      <c r="R291" s="1272"/>
      <c r="T291" s="1259"/>
      <c r="V291" s="1272"/>
      <c r="X291" s="1272"/>
      <c r="Z291" s="1259"/>
      <c r="AB291" s="1272"/>
      <c r="AD291" s="1272"/>
      <c r="AG291" s="1259"/>
    </row>
    <row r="292" spans="1:33" s="583" customFormat="1" ht="15">
      <c r="A292" s="1266"/>
      <c r="B292" s="1266"/>
      <c r="C292" s="1266"/>
      <c r="D292" s="1266"/>
      <c r="E292" s="1259"/>
      <c r="F292" s="1259"/>
      <c r="H292" s="1259"/>
      <c r="J292" s="1272"/>
      <c r="L292" s="1272"/>
      <c r="N292" s="1259"/>
      <c r="P292" s="1272"/>
      <c r="R292" s="1272"/>
      <c r="T292" s="1259"/>
      <c r="V292" s="1272"/>
      <c r="X292" s="1272"/>
      <c r="Z292" s="1259"/>
      <c r="AB292" s="1272"/>
      <c r="AD292" s="1272"/>
      <c r="AG292" s="1259"/>
    </row>
    <row r="293" spans="1:33" s="583" customFormat="1" ht="15">
      <c r="A293" s="1266"/>
      <c r="B293" s="582"/>
      <c r="C293" s="1266"/>
      <c r="D293" s="1266"/>
      <c r="E293" s="1259"/>
      <c r="F293" s="1259"/>
      <c r="H293" s="1259"/>
      <c r="J293" s="1272"/>
      <c r="L293" s="1272"/>
      <c r="N293" s="1259"/>
      <c r="P293" s="1272"/>
      <c r="R293" s="1272"/>
      <c r="T293" s="1259"/>
      <c r="V293" s="1272"/>
      <c r="X293" s="1272"/>
      <c r="Z293" s="1259"/>
      <c r="AB293" s="1272"/>
      <c r="AD293" s="1272"/>
      <c r="AG293" s="1259"/>
    </row>
    <row r="294" spans="1:33" s="583" customFormat="1" ht="15">
      <c r="A294" s="1266"/>
      <c r="B294" s="1266"/>
      <c r="C294" s="1266"/>
      <c r="D294" s="1266"/>
      <c r="E294" s="1259"/>
      <c r="F294" s="1259"/>
      <c r="H294" s="1259"/>
      <c r="J294" s="1272"/>
      <c r="L294" s="1272"/>
      <c r="N294" s="1259"/>
      <c r="P294" s="1272"/>
      <c r="R294" s="1272"/>
      <c r="T294" s="1259"/>
      <c r="V294" s="1272"/>
      <c r="X294" s="1272"/>
      <c r="Z294" s="1259"/>
      <c r="AB294" s="1272"/>
      <c r="AD294" s="1272"/>
      <c r="AG294" s="1259"/>
    </row>
    <row r="295" spans="1:33" s="583" customFormat="1" ht="15">
      <c r="A295" s="1278"/>
      <c r="B295" s="1278"/>
      <c r="C295" s="1278"/>
      <c r="D295" s="1278"/>
      <c r="E295" s="1259"/>
      <c r="F295" s="1259"/>
      <c r="H295" s="1259"/>
      <c r="J295" s="1272"/>
      <c r="L295" s="1272"/>
      <c r="N295" s="1259"/>
      <c r="P295" s="1272"/>
      <c r="R295" s="1272"/>
      <c r="T295" s="1259"/>
      <c r="V295" s="1272"/>
      <c r="X295" s="1272"/>
      <c r="Z295" s="1259"/>
      <c r="AB295" s="1272"/>
      <c r="AD295" s="1272"/>
      <c r="AG295" s="1259"/>
    </row>
    <row r="296" spans="1:33" s="583" customFormat="1" ht="15">
      <c r="A296" s="1265"/>
      <c r="B296" s="1265"/>
      <c r="C296" s="1265"/>
      <c r="D296" s="1265"/>
      <c r="E296" s="1259"/>
      <c r="F296" s="1259"/>
      <c r="H296" s="1259"/>
      <c r="J296" s="1272"/>
      <c r="L296" s="1272"/>
      <c r="N296" s="1259"/>
      <c r="P296" s="1272"/>
      <c r="R296" s="1272"/>
      <c r="T296" s="1259"/>
      <c r="V296" s="1272"/>
      <c r="X296" s="1272"/>
      <c r="Z296" s="1259"/>
      <c r="AB296" s="1272"/>
      <c r="AD296" s="1272"/>
      <c r="AG296" s="1259"/>
    </row>
    <row r="297" spans="1:33" s="583" customFormat="1" ht="15">
      <c r="A297" s="1266"/>
      <c r="B297" s="1266"/>
      <c r="C297" s="1264"/>
      <c r="D297" s="1266"/>
      <c r="E297" s="1259"/>
      <c r="F297" s="1259"/>
      <c r="H297" s="1259"/>
      <c r="J297" s="1272"/>
      <c r="L297" s="1272"/>
      <c r="N297" s="1259"/>
      <c r="P297" s="1272"/>
      <c r="R297" s="1272"/>
      <c r="T297" s="1259"/>
      <c r="V297" s="1272"/>
      <c r="X297" s="1272"/>
      <c r="Z297" s="1259"/>
      <c r="AB297" s="1272"/>
      <c r="AD297" s="1272"/>
      <c r="AG297" s="1259"/>
    </row>
    <row r="298" spans="1:33" s="583" customFormat="1" ht="15">
      <c r="A298" s="1266"/>
      <c r="B298" s="1266"/>
      <c r="C298" s="1266"/>
      <c r="D298" s="1266"/>
      <c r="E298" s="1259"/>
      <c r="F298" s="1259"/>
      <c r="H298" s="1259"/>
      <c r="J298" s="1272"/>
      <c r="L298" s="1272"/>
      <c r="N298" s="1259"/>
      <c r="P298" s="1272"/>
      <c r="R298" s="1272"/>
      <c r="T298" s="1259"/>
      <c r="V298" s="1272"/>
      <c r="X298" s="1272"/>
      <c r="Z298" s="1259"/>
      <c r="AB298" s="1272"/>
      <c r="AD298" s="1272"/>
      <c r="AG298" s="1259"/>
    </row>
    <row r="299" spans="1:33" s="583" customFormat="1" ht="15">
      <c r="A299" s="1266"/>
      <c r="B299" s="582"/>
      <c r="C299" s="1266"/>
      <c r="D299" s="1266"/>
      <c r="E299" s="1259"/>
      <c r="F299" s="1259"/>
      <c r="H299" s="1259"/>
      <c r="J299" s="1272"/>
      <c r="L299" s="1272"/>
      <c r="N299" s="1259"/>
      <c r="P299" s="1272"/>
      <c r="R299" s="1272"/>
      <c r="T299" s="1259"/>
      <c r="V299" s="1272"/>
      <c r="X299" s="1272"/>
      <c r="Z299" s="1259"/>
      <c r="AB299" s="1272"/>
      <c r="AD299" s="1272"/>
      <c r="AG299" s="1259"/>
    </row>
    <row r="300" spans="1:33" s="583" customFormat="1" ht="15">
      <c r="A300" s="1259"/>
      <c r="B300" s="1259"/>
      <c r="C300" s="1259"/>
      <c r="D300" s="1259"/>
      <c r="E300" s="1259"/>
      <c r="F300" s="1259"/>
      <c r="H300" s="1259"/>
      <c r="J300" s="1272"/>
      <c r="L300" s="1272"/>
      <c r="N300" s="1259"/>
      <c r="P300" s="1272"/>
      <c r="R300" s="1272"/>
      <c r="T300" s="1259"/>
      <c r="V300" s="1272"/>
      <c r="X300" s="1272"/>
      <c r="Z300" s="1259"/>
      <c r="AB300" s="1272"/>
      <c r="AD300" s="1272"/>
      <c r="AG300" s="1259"/>
    </row>
    <row r="301" spans="1:33" s="583" customFormat="1" ht="15">
      <c r="A301" s="1278"/>
      <c r="B301" s="1278"/>
      <c r="C301" s="1278"/>
      <c r="D301" s="1278"/>
      <c r="E301" s="1259"/>
      <c r="F301" s="1259"/>
      <c r="H301" s="1259"/>
      <c r="J301" s="1272"/>
      <c r="L301" s="1272"/>
      <c r="N301" s="1259"/>
      <c r="P301" s="1272"/>
      <c r="R301" s="1272"/>
      <c r="T301" s="1259"/>
      <c r="V301" s="1272"/>
      <c r="X301" s="1272"/>
      <c r="Z301" s="1259"/>
      <c r="AB301" s="1272"/>
      <c r="AD301" s="1272"/>
      <c r="AG301" s="1259"/>
    </row>
    <row r="302" spans="1:33" s="583" customFormat="1" ht="15">
      <c r="A302" s="1265"/>
      <c r="B302" s="1265"/>
      <c r="C302" s="1265"/>
      <c r="D302" s="1265"/>
      <c r="E302" s="1259"/>
      <c r="F302" s="1259"/>
      <c r="H302" s="1259"/>
      <c r="J302" s="1272"/>
      <c r="L302" s="1272"/>
      <c r="N302" s="1259"/>
      <c r="P302" s="1272"/>
      <c r="R302" s="1272"/>
      <c r="T302" s="1259"/>
      <c r="V302" s="1272"/>
      <c r="X302" s="1272"/>
      <c r="Z302" s="1259"/>
      <c r="AB302" s="1272"/>
      <c r="AD302" s="1272"/>
      <c r="AG302" s="1259"/>
    </row>
    <row r="303" spans="1:33" s="583" customFormat="1" ht="15">
      <c r="A303" s="1266"/>
      <c r="B303" s="1266"/>
      <c r="C303" s="1264"/>
      <c r="D303" s="1266"/>
      <c r="E303" s="1259"/>
      <c r="F303" s="1259"/>
      <c r="H303" s="1259"/>
      <c r="J303" s="1272"/>
      <c r="L303" s="1272"/>
      <c r="N303" s="1259"/>
      <c r="P303" s="1272"/>
      <c r="R303" s="1272"/>
      <c r="T303" s="1259"/>
      <c r="V303" s="1272"/>
      <c r="X303" s="1272"/>
      <c r="Z303" s="1259"/>
      <c r="AB303" s="1272"/>
      <c r="AD303" s="1272"/>
      <c r="AG303" s="1259"/>
    </row>
    <row r="304" spans="1:33" s="583" customFormat="1" ht="15">
      <c r="A304" s="1266"/>
      <c r="B304" s="1266"/>
      <c r="C304" s="1266"/>
      <c r="D304" s="1266"/>
      <c r="E304" s="1259"/>
      <c r="F304" s="1259"/>
      <c r="H304" s="1259"/>
      <c r="J304" s="1272"/>
      <c r="L304" s="1272"/>
      <c r="N304" s="1259"/>
      <c r="P304" s="1272"/>
      <c r="R304" s="1272"/>
      <c r="T304" s="1259"/>
      <c r="V304" s="1272"/>
      <c r="X304" s="1272"/>
      <c r="Z304" s="1259"/>
      <c r="AB304" s="1272"/>
      <c r="AD304" s="1272"/>
      <c r="AG304" s="1259"/>
    </row>
    <row r="305" spans="1:33" s="583" customFormat="1" ht="15">
      <c r="A305" s="1266"/>
      <c r="B305" s="582"/>
      <c r="C305" s="1266"/>
      <c r="D305" s="1266"/>
      <c r="E305" s="1259"/>
      <c r="F305" s="1259"/>
      <c r="H305" s="1259"/>
      <c r="J305" s="1272"/>
      <c r="L305" s="1272"/>
      <c r="N305" s="1259"/>
      <c r="P305" s="1272"/>
      <c r="R305" s="1272"/>
      <c r="T305" s="1259"/>
      <c r="V305" s="1272"/>
      <c r="X305" s="1272"/>
      <c r="Z305" s="1259"/>
      <c r="AB305" s="1272"/>
      <c r="AD305" s="1272"/>
      <c r="AG305" s="1259"/>
    </row>
    <row r="306" spans="1:33" s="583" customFormat="1" ht="15">
      <c r="A306" s="1266"/>
      <c r="B306" s="1266"/>
      <c r="C306" s="1266"/>
      <c r="D306" s="1266"/>
      <c r="E306" s="1259"/>
      <c r="F306" s="1259"/>
      <c r="H306" s="1259"/>
      <c r="J306" s="1272"/>
      <c r="L306" s="1272"/>
      <c r="N306" s="1259"/>
      <c r="P306" s="1272"/>
      <c r="R306" s="1272"/>
      <c r="T306" s="1259"/>
      <c r="V306" s="1272"/>
      <c r="X306" s="1272"/>
      <c r="Z306" s="1259"/>
      <c r="AB306" s="1272"/>
      <c r="AD306" s="1272"/>
      <c r="AG306" s="1259"/>
    </row>
    <row r="307" spans="1:33" s="583" customFormat="1" ht="15">
      <c r="A307" s="564"/>
      <c r="B307" s="564"/>
      <c r="C307" s="564"/>
      <c r="D307" s="564"/>
      <c r="E307" s="1259"/>
      <c r="F307" s="1259"/>
      <c r="H307" s="1259"/>
      <c r="J307" s="1272"/>
      <c r="L307" s="1272"/>
      <c r="N307" s="1259"/>
      <c r="P307" s="1272"/>
      <c r="R307" s="1272"/>
      <c r="T307" s="1259"/>
      <c r="V307" s="1272"/>
      <c r="X307" s="1272"/>
      <c r="Z307" s="1259"/>
      <c r="AB307" s="1272"/>
      <c r="AD307" s="1272"/>
      <c r="AG307" s="1259"/>
    </row>
    <row r="308" spans="1:33" s="583" customFormat="1" ht="15">
      <c r="A308" s="1265"/>
      <c r="B308" s="1265"/>
      <c r="C308" s="1265"/>
      <c r="D308" s="1265"/>
      <c r="E308" s="1259"/>
      <c r="F308" s="1259"/>
      <c r="H308" s="1259"/>
      <c r="J308" s="1272"/>
      <c r="L308" s="1272"/>
      <c r="N308" s="1259"/>
      <c r="P308" s="1272"/>
      <c r="R308" s="1272"/>
      <c r="T308" s="1259"/>
      <c r="V308" s="1272"/>
      <c r="X308" s="1272"/>
      <c r="Z308" s="1259"/>
      <c r="AB308" s="1272"/>
      <c r="AD308" s="1272"/>
      <c r="AG308" s="1259"/>
    </row>
    <row r="309" spans="1:33" s="583" customFormat="1" ht="15">
      <c r="A309" s="1266"/>
      <c r="B309" s="1266"/>
      <c r="C309" s="1264"/>
      <c r="D309" s="1266"/>
      <c r="E309" s="1259"/>
      <c r="F309" s="1259"/>
      <c r="H309" s="1259"/>
      <c r="J309" s="1272"/>
      <c r="L309" s="1272"/>
      <c r="N309" s="1259"/>
      <c r="P309" s="1272"/>
      <c r="R309" s="1272"/>
      <c r="T309" s="1259"/>
      <c r="V309" s="1272"/>
      <c r="X309" s="1272"/>
      <c r="Z309" s="1259"/>
      <c r="AB309" s="1272"/>
      <c r="AD309" s="1272"/>
      <c r="AG309" s="1259"/>
    </row>
    <row r="310" spans="1:33" s="583" customFormat="1" ht="15">
      <c r="A310" s="1266"/>
      <c r="B310" s="1266"/>
      <c r="C310" s="1266"/>
      <c r="D310" s="1266"/>
      <c r="E310" s="1259"/>
      <c r="F310" s="1259"/>
      <c r="H310" s="1259"/>
      <c r="J310" s="1272"/>
      <c r="L310" s="1272"/>
      <c r="N310" s="1259"/>
      <c r="P310" s="1272"/>
      <c r="R310" s="1272"/>
      <c r="T310" s="1259"/>
      <c r="V310" s="1272"/>
      <c r="X310" s="1272"/>
      <c r="Z310" s="1259"/>
      <c r="AB310" s="1272"/>
      <c r="AD310" s="1272"/>
      <c r="AG310" s="1259"/>
    </row>
    <row r="311" spans="1:33" s="583" customFormat="1" ht="15">
      <c r="A311" s="1266"/>
      <c r="B311" s="582"/>
      <c r="C311" s="1266"/>
      <c r="D311" s="1266"/>
      <c r="E311" s="1259"/>
      <c r="F311" s="1259"/>
      <c r="H311" s="1259"/>
      <c r="J311" s="1272"/>
      <c r="L311" s="1272"/>
      <c r="N311" s="1259"/>
      <c r="P311" s="1272"/>
      <c r="R311" s="1272"/>
      <c r="T311" s="1259"/>
      <c r="V311" s="1272"/>
      <c r="X311" s="1272"/>
      <c r="Z311" s="1259"/>
      <c r="AB311" s="1272"/>
      <c r="AD311" s="1272"/>
      <c r="AG311" s="1259"/>
    </row>
    <row r="312" spans="1:33" s="583" customFormat="1" ht="15">
      <c r="A312" s="1259"/>
      <c r="B312" s="1259"/>
      <c r="C312" s="1259"/>
      <c r="D312" s="1259"/>
      <c r="E312" s="1259"/>
      <c r="F312" s="1259"/>
      <c r="H312" s="1259"/>
      <c r="J312" s="1272"/>
      <c r="L312" s="1272"/>
      <c r="N312" s="1259"/>
      <c r="P312" s="1272"/>
      <c r="R312" s="1272"/>
      <c r="T312" s="1259"/>
      <c r="V312" s="1272"/>
      <c r="X312" s="1272"/>
      <c r="Z312" s="1259"/>
      <c r="AB312" s="1272"/>
      <c r="AD312" s="1272"/>
      <c r="AG312" s="1259"/>
    </row>
    <row r="313" spans="1:33" s="583" customFormat="1" ht="15">
      <c r="A313" s="1259"/>
      <c r="B313" s="1259"/>
      <c r="C313" s="1259"/>
      <c r="D313" s="1259"/>
      <c r="E313" s="1259"/>
      <c r="F313" s="1259"/>
      <c r="H313" s="1259"/>
      <c r="J313" s="1272"/>
      <c r="L313" s="1272"/>
      <c r="N313" s="1259"/>
      <c r="P313" s="1272"/>
      <c r="R313" s="1272"/>
      <c r="T313" s="1259"/>
      <c r="V313" s="1272"/>
      <c r="X313" s="1272"/>
      <c r="Z313" s="1259"/>
      <c r="AB313" s="1272"/>
      <c r="AD313" s="1272"/>
      <c r="AG313" s="1259"/>
    </row>
    <row r="314" spans="1:33" s="583" customFormat="1" ht="15">
      <c r="A314" s="1259"/>
      <c r="B314" s="1259"/>
      <c r="C314" s="1259"/>
      <c r="D314" s="1259"/>
      <c r="E314" s="1259"/>
      <c r="F314" s="1259"/>
      <c r="H314" s="1259"/>
      <c r="J314" s="1272"/>
      <c r="L314" s="1272"/>
      <c r="N314" s="1259"/>
      <c r="P314" s="1272"/>
      <c r="R314" s="1272"/>
      <c r="T314" s="1259"/>
      <c r="V314" s="1272"/>
      <c r="X314" s="1272"/>
      <c r="Z314" s="1259"/>
      <c r="AB314" s="1272"/>
      <c r="AD314" s="1272"/>
      <c r="AG314" s="1259"/>
    </row>
    <row r="315" spans="1:33" s="583" customFormat="1" ht="15">
      <c r="A315" s="1259"/>
      <c r="B315" s="1259"/>
      <c r="C315" s="1259"/>
      <c r="D315" s="1259"/>
      <c r="E315" s="1259"/>
      <c r="F315" s="1259"/>
      <c r="H315" s="1259"/>
      <c r="J315" s="1272"/>
      <c r="L315" s="1272"/>
      <c r="N315" s="1259"/>
      <c r="P315" s="1272"/>
      <c r="R315" s="1272"/>
      <c r="T315" s="1259"/>
      <c r="V315" s="1272"/>
      <c r="X315" s="1272"/>
      <c r="Z315" s="1259"/>
      <c r="AB315" s="1272"/>
      <c r="AD315" s="1272"/>
      <c r="AG315" s="1259"/>
    </row>
    <row r="316" spans="1:33" s="583" customFormat="1" ht="15">
      <c r="A316" s="1259"/>
      <c r="B316" s="1259"/>
      <c r="C316" s="1259"/>
      <c r="D316" s="1259"/>
      <c r="E316" s="1259"/>
      <c r="F316" s="1259"/>
      <c r="H316" s="1259"/>
      <c r="J316" s="1272"/>
      <c r="L316" s="1272"/>
      <c r="N316" s="1259"/>
      <c r="P316" s="1272"/>
      <c r="R316" s="1272"/>
      <c r="T316" s="1259"/>
      <c r="V316" s="1272"/>
      <c r="X316" s="1272"/>
      <c r="Z316" s="1259"/>
      <c r="AB316" s="1272"/>
      <c r="AD316" s="1272"/>
      <c r="AG316" s="1259"/>
    </row>
    <row r="317" spans="1:33" s="583" customFormat="1" ht="15">
      <c r="A317" s="1259"/>
      <c r="B317" s="1259"/>
      <c r="C317" s="1259"/>
      <c r="D317" s="1259"/>
      <c r="E317" s="1259"/>
      <c r="F317" s="1259"/>
      <c r="H317" s="1259"/>
      <c r="J317" s="1272"/>
      <c r="L317" s="1272"/>
      <c r="N317" s="1259"/>
      <c r="P317" s="1272"/>
      <c r="R317" s="1272"/>
      <c r="T317" s="1259"/>
      <c r="V317" s="1272"/>
      <c r="X317" s="1272"/>
      <c r="Z317" s="1259"/>
      <c r="AB317" s="1272"/>
      <c r="AD317" s="1272"/>
      <c r="AG317" s="1259"/>
    </row>
    <row r="318" spans="1:33" s="583" customFormat="1" ht="15">
      <c r="A318" s="1259"/>
      <c r="B318" s="1259"/>
      <c r="C318" s="1259"/>
      <c r="D318" s="1259"/>
      <c r="E318" s="1259"/>
      <c r="F318" s="1259"/>
      <c r="H318" s="1259"/>
      <c r="J318" s="1272"/>
      <c r="L318" s="1272"/>
      <c r="N318" s="1259"/>
      <c r="P318" s="1272"/>
      <c r="R318" s="1272"/>
      <c r="T318" s="1259"/>
      <c r="V318" s="1272"/>
      <c r="X318" s="1272"/>
      <c r="Z318" s="1259"/>
      <c r="AB318" s="1272"/>
      <c r="AD318" s="1272"/>
      <c r="AG318" s="1259"/>
    </row>
    <row r="319" spans="1:33" s="583" customFormat="1" ht="15">
      <c r="A319" s="1259"/>
      <c r="B319" s="1259"/>
      <c r="C319" s="1259"/>
      <c r="D319" s="1259"/>
      <c r="E319" s="1259"/>
      <c r="F319" s="1259"/>
      <c r="H319" s="1259"/>
      <c r="J319" s="1272"/>
      <c r="L319" s="1272"/>
      <c r="N319" s="1259"/>
      <c r="P319" s="1272"/>
      <c r="R319" s="1272"/>
      <c r="T319" s="1259"/>
      <c r="V319" s="1272"/>
      <c r="X319" s="1272"/>
      <c r="Z319" s="1259"/>
      <c r="AB319" s="1272"/>
      <c r="AD319" s="1272"/>
      <c r="AG319" s="1259"/>
    </row>
    <row r="320" spans="1:33" s="583" customFormat="1" ht="15">
      <c r="A320" s="1259"/>
      <c r="B320" s="1259"/>
      <c r="C320" s="1259"/>
      <c r="D320" s="1259"/>
      <c r="E320" s="1259"/>
      <c r="F320" s="1259"/>
      <c r="H320" s="1259"/>
      <c r="J320" s="1272"/>
      <c r="L320" s="1272"/>
      <c r="N320" s="1259"/>
      <c r="P320" s="1272"/>
      <c r="R320" s="1272"/>
      <c r="T320" s="1259"/>
      <c r="V320" s="1272"/>
      <c r="X320" s="1272"/>
      <c r="Z320" s="1259"/>
      <c r="AB320" s="1272"/>
      <c r="AD320" s="1272"/>
      <c r="AG320" s="1259"/>
    </row>
    <row r="321" spans="1:33" s="583" customFormat="1" ht="15">
      <c r="A321" s="1259"/>
      <c r="B321" s="1259"/>
      <c r="C321" s="1259"/>
      <c r="D321" s="1259"/>
      <c r="E321" s="1259"/>
      <c r="F321" s="1259"/>
      <c r="H321" s="1259"/>
      <c r="J321" s="1272"/>
      <c r="L321" s="1272"/>
      <c r="N321" s="1259"/>
      <c r="P321" s="1272"/>
      <c r="R321" s="1272"/>
      <c r="T321" s="1259"/>
      <c r="V321" s="1272"/>
      <c r="X321" s="1272"/>
      <c r="Z321" s="1259"/>
      <c r="AB321" s="1272"/>
      <c r="AD321" s="1272"/>
      <c r="AG321" s="1259"/>
    </row>
    <row r="322" spans="1:33" s="583" customFormat="1" ht="15">
      <c r="A322" s="1259"/>
      <c r="B322" s="1259"/>
      <c r="C322" s="1259"/>
      <c r="D322" s="1259"/>
      <c r="E322" s="1259"/>
      <c r="F322" s="1259"/>
      <c r="H322" s="1259"/>
      <c r="J322" s="1272"/>
      <c r="L322" s="1272"/>
      <c r="N322" s="1259"/>
      <c r="P322" s="1272"/>
      <c r="R322" s="1272"/>
      <c r="T322" s="1259"/>
      <c r="V322" s="1272"/>
      <c r="X322" s="1272"/>
      <c r="Z322" s="1259"/>
      <c r="AB322" s="1272"/>
      <c r="AD322" s="1272"/>
      <c r="AG322" s="1259"/>
    </row>
    <row r="323" spans="1:33" s="583" customFormat="1" ht="15">
      <c r="A323" s="1259"/>
      <c r="B323" s="1259"/>
      <c r="C323" s="1259"/>
      <c r="D323" s="1259"/>
      <c r="E323" s="1259"/>
      <c r="F323" s="1259"/>
      <c r="H323" s="1259"/>
      <c r="J323" s="1272"/>
      <c r="L323" s="1272"/>
      <c r="N323" s="1259"/>
      <c r="P323" s="1272"/>
      <c r="R323" s="1272"/>
      <c r="T323" s="1259"/>
      <c r="V323" s="1272"/>
      <c r="X323" s="1272"/>
      <c r="Z323" s="1259"/>
      <c r="AB323" s="1272"/>
      <c r="AD323" s="1272"/>
      <c r="AG323" s="1259"/>
    </row>
    <row r="324" spans="1:33" s="583" customFormat="1" ht="15">
      <c r="A324" s="1259"/>
      <c r="B324" s="1259"/>
      <c r="C324" s="1259"/>
      <c r="D324" s="1259"/>
      <c r="E324" s="1259"/>
      <c r="F324" s="1259"/>
      <c r="H324" s="1259"/>
      <c r="J324" s="1272"/>
      <c r="L324" s="1272"/>
      <c r="N324" s="1259"/>
      <c r="P324" s="1272"/>
      <c r="R324" s="1272"/>
      <c r="T324" s="1259"/>
      <c r="V324" s="1272"/>
      <c r="X324" s="1272"/>
      <c r="Z324" s="1259"/>
      <c r="AB324" s="1272"/>
      <c r="AD324" s="1272"/>
      <c r="AG324" s="1259"/>
    </row>
    <row r="325" spans="1:33" s="583" customFormat="1" ht="15">
      <c r="A325" s="1259"/>
      <c r="B325" s="1259"/>
      <c r="C325" s="1259"/>
      <c r="D325" s="1259"/>
      <c r="E325" s="1259"/>
      <c r="F325" s="1259"/>
      <c r="H325" s="1259"/>
      <c r="J325" s="1272"/>
      <c r="L325" s="1272"/>
      <c r="N325" s="1259"/>
      <c r="P325" s="1272"/>
      <c r="R325" s="1272"/>
      <c r="T325" s="1259"/>
      <c r="V325" s="1272"/>
      <c r="X325" s="1272"/>
      <c r="Z325" s="1259"/>
      <c r="AB325" s="1272"/>
      <c r="AD325" s="1272"/>
      <c r="AG325" s="1259"/>
    </row>
    <row r="326" spans="1:33" s="583" customFormat="1" ht="15">
      <c r="A326" s="1259"/>
      <c r="B326" s="1259"/>
      <c r="C326" s="1259"/>
      <c r="D326" s="1259"/>
      <c r="E326" s="1259"/>
      <c r="F326" s="1259"/>
      <c r="H326" s="1259"/>
      <c r="J326" s="1272"/>
      <c r="L326" s="1272"/>
      <c r="N326" s="1259"/>
      <c r="P326" s="1272"/>
      <c r="R326" s="1272"/>
      <c r="T326" s="1259"/>
      <c r="V326" s="1272"/>
      <c r="X326" s="1272"/>
      <c r="Z326" s="1259"/>
      <c r="AB326" s="1272"/>
      <c r="AD326" s="1272"/>
      <c r="AG326" s="1259"/>
    </row>
    <row r="327" spans="1:33" s="583" customFormat="1" ht="15">
      <c r="A327" s="1259"/>
      <c r="B327" s="1259"/>
      <c r="C327" s="1259"/>
      <c r="D327" s="1259"/>
      <c r="E327" s="1259"/>
      <c r="F327" s="1259"/>
      <c r="H327" s="1259"/>
      <c r="J327" s="1272"/>
      <c r="L327" s="1272"/>
      <c r="N327" s="1259"/>
      <c r="P327" s="1272"/>
      <c r="R327" s="1272"/>
      <c r="T327" s="1259"/>
      <c r="V327" s="1272"/>
      <c r="X327" s="1272"/>
      <c r="Z327" s="1259"/>
      <c r="AB327" s="1272"/>
      <c r="AD327" s="1272"/>
      <c r="AG327" s="1259"/>
    </row>
    <row r="328" spans="1:33" s="583" customFormat="1" ht="15">
      <c r="A328" s="1259"/>
      <c r="B328" s="1259"/>
      <c r="C328" s="1259"/>
      <c r="D328" s="1259"/>
      <c r="E328" s="1259"/>
      <c r="F328" s="1259"/>
      <c r="H328" s="1259"/>
      <c r="J328" s="1272"/>
      <c r="L328" s="1272"/>
      <c r="N328" s="1259"/>
      <c r="P328" s="1272"/>
      <c r="R328" s="1272"/>
      <c r="T328" s="1259"/>
      <c r="V328" s="1272"/>
      <c r="X328" s="1272"/>
      <c r="Z328" s="1259"/>
      <c r="AB328" s="1272"/>
      <c r="AD328" s="1272"/>
      <c r="AG328" s="1259"/>
    </row>
    <row r="329" spans="1:33" s="583" customFormat="1" ht="15">
      <c r="A329" s="1259"/>
      <c r="B329" s="1259"/>
      <c r="C329" s="1259"/>
      <c r="D329" s="1259"/>
      <c r="E329" s="1259"/>
      <c r="F329" s="1259"/>
      <c r="H329" s="1259"/>
      <c r="J329" s="1272"/>
      <c r="L329" s="1272"/>
      <c r="N329" s="1259"/>
      <c r="P329" s="1272"/>
      <c r="R329" s="1272"/>
      <c r="T329" s="1259"/>
      <c r="V329" s="1272"/>
      <c r="X329" s="1272"/>
      <c r="Z329" s="1259"/>
      <c r="AB329" s="1272"/>
      <c r="AD329" s="1272"/>
      <c r="AG329" s="1259"/>
    </row>
    <row r="330" spans="1:33" s="583" customFormat="1" ht="15">
      <c r="A330" s="1259"/>
      <c r="B330" s="1259"/>
      <c r="C330" s="1259"/>
      <c r="D330" s="1259"/>
      <c r="E330" s="1259"/>
      <c r="F330" s="1259"/>
      <c r="H330" s="1259"/>
      <c r="J330" s="1272"/>
      <c r="L330" s="1272"/>
      <c r="N330" s="1259"/>
      <c r="P330" s="1272"/>
      <c r="R330" s="1272"/>
      <c r="T330" s="1259"/>
      <c r="V330" s="1272"/>
      <c r="X330" s="1272"/>
      <c r="Z330" s="1259"/>
      <c r="AB330" s="1272"/>
      <c r="AD330" s="1272"/>
      <c r="AG330" s="1259"/>
    </row>
    <row r="331" spans="1:33" s="583" customFormat="1" ht="15">
      <c r="A331" s="1259"/>
      <c r="B331" s="1259"/>
      <c r="C331" s="1259"/>
      <c r="D331" s="1259"/>
      <c r="E331" s="1259"/>
      <c r="F331" s="1259"/>
      <c r="H331" s="1259"/>
      <c r="J331" s="1272"/>
      <c r="L331" s="1272"/>
      <c r="N331" s="1259"/>
      <c r="P331" s="1272"/>
      <c r="R331" s="1272"/>
      <c r="T331" s="1259"/>
      <c r="V331" s="1272"/>
      <c r="X331" s="1272"/>
      <c r="Z331" s="1259"/>
      <c r="AB331" s="1272"/>
      <c r="AD331" s="1272"/>
      <c r="AG331" s="1259"/>
    </row>
    <row r="332" spans="1:33" s="583" customFormat="1" ht="15">
      <c r="A332" s="1259"/>
      <c r="B332" s="1259"/>
      <c r="C332" s="1259"/>
      <c r="D332" s="1259"/>
      <c r="E332" s="1259"/>
      <c r="F332" s="1259"/>
      <c r="H332" s="1259"/>
      <c r="J332" s="1272"/>
      <c r="L332" s="1272"/>
      <c r="N332" s="1259"/>
      <c r="P332" s="1272"/>
      <c r="R332" s="1272"/>
      <c r="T332" s="1259"/>
      <c r="V332" s="1272"/>
      <c r="X332" s="1272"/>
      <c r="Z332" s="1259"/>
      <c r="AB332" s="1272"/>
      <c r="AD332" s="1272"/>
      <c r="AG332" s="1259"/>
    </row>
    <row r="333" spans="1:33" s="583" customFormat="1" ht="15">
      <c r="A333" s="1259"/>
      <c r="B333" s="1259"/>
      <c r="C333" s="1259"/>
      <c r="D333" s="1259"/>
      <c r="E333" s="1259"/>
      <c r="F333" s="1259"/>
      <c r="H333" s="1259"/>
      <c r="J333" s="1272"/>
      <c r="L333" s="1272"/>
      <c r="N333" s="1259"/>
      <c r="P333" s="1272"/>
      <c r="R333" s="1272"/>
      <c r="T333" s="1259"/>
      <c r="V333" s="1272"/>
      <c r="X333" s="1272"/>
      <c r="Z333" s="1259"/>
      <c r="AB333" s="1272"/>
      <c r="AD333" s="1272"/>
      <c r="AG333" s="1259"/>
    </row>
    <row r="334" spans="1:33" s="583" customFormat="1" ht="15">
      <c r="A334" s="1259"/>
      <c r="B334" s="1259"/>
      <c r="C334" s="1259"/>
      <c r="D334" s="1259"/>
      <c r="E334" s="1259"/>
      <c r="F334" s="1259"/>
      <c r="H334" s="1259"/>
      <c r="J334" s="1272"/>
      <c r="L334" s="1272"/>
      <c r="N334" s="1259"/>
      <c r="P334" s="1272"/>
      <c r="R334" s="1272"/>
      <c r="T334" s="1259"/>
      <c r="V334" s="1272"/>
      <c r="X334" s="1272"/>
      <c r="Z334" s="1259"/>
      <c r="AB334" s="1272"/>
      <c r="AD334" s="1272"/>
      <c r="AG334" s="1259"/>
    </row>
    <row r="335" spans="1:33" s="583" customFormat="1" ht="15">
      <c r="A335" s="1259"/>
      <c r="B335" s="1259"/>
      <c r="C335" s="1259"/>
      <c r="D335" s="1259"/>
      <c r="E335" s="1259"/>
      <c r="F335" s="1259"/>
      <c r="H335" s="1259"/>
      <c r="J335" s="1272"/>
      <c r="L335" s="1272"/>
      <c r="N335" s="1259"/>
      <c r="P335" s="1272"/>
      <c r="R335" s="1272"/>
      <c r="T335" s="1259"/>
      <c r="V335" s="1272"/>
      <c r="X335" s="1272"/>
      <c r="Z335" s="1259"/>
      <c r="AB335" s="1272"/>
      <c r="AD335" s="1272"/>
      <c r="AG335" s="1259"/>
    </row>
    <row r="336" spans="1:33" s="583" customFormat="1" ht="15">
      <c r="A336" s="1259"/>
      <c r="B336" s="1259"/>
      <c r="C336" s="1259"/>
      <c r="D336" s="1259"/>
      <c r="E336" s="1259"/>
      <c r="F336" s="1259"/>
      <c r="H336" s="1259"/>
      <c r="J336" s="1272"/>
      <c r="L336" s="1272"/>
      <c r="N336" s="1259"/>
      <c r="P336" s="1272"/>
      <c r="R336" s="1272"/>
      <c r="T336" s="1259"/>
      <c r="V336" s="1272"/>
      <c r="X336" s="1272"/>
      <c r="Z336" s="1259"/>
      <c r="AB336" s="1272"/>
      <c r="AD336" s="1272"/>
      <c r="AG336" s="1259"/>
    </row>
    <row r="337" spans="1:33" s="583" customFormat="1" ht="15">
      <c r="A337" s="1259"/>
      <c r="B337" s="1259"/>
      <c r="C337" s="1259"/>
      <c r="D337" s="1259"/>
      <c r="E337" s="1259"/>
      <c r="F337" s="1259"/>
      <c r="H337" s="1259"/>
      <c r="J337" s="1272"/>
      <c r="L337" s="1272"/>
      <c r="N337" s="1259"/>
      <c r="P337" s="1272"/>
      <c r="R337" s="1272"/>
      <c r="T337" s="1259"/>
      <c r="V337" s="1272"/>
      <c r="X337" s="1272"/>
      <c r="Z337" s="1259"/>
      <c r="AB337" s="1272"/>
      <c r="AD337" s="1272"/>
      <c r="AG337" s="1259"/>
    </row>
    <row r="338" spans="1:33" s="583" customFormat="1" ht="15">
      <c r="A338" s="1259"/>
      <c r="B338" s="1259"/>
      <c r="C338" s="1259"/>
      <c r="D338" s="1259"/>
      <c r="E338" s="1259"/>
      <c r="F338" s="1259"/>
      <c r="H338" s="1259"/>
      <c r="J338" s="1272"/>
      <c r="L338" s="1272"/>
      <c r="N338" s="1259"/>
      <c r="P338" s="1272"/>
      <c r="R338" s="1272"/>
      <c r="T338" s="1259"/>
      <c r="V338" s="1272"/>
      <c r="X338" s="1272"/>
      <c r="Z338" s="1259"/>
      <c r="AB338" s="1272"/>
      <c r="AD338" s="1272"/>
      <c r="AG338" s="1259"/>
    </row>
    <row r="339" spans="1:33" s="583" customFormat="1" ht="15">
      <c r="A339" s="1259"/>
      <c r="B339" s="1259"/>
      <c r="C339" s="1259"/>
      <c r="D339" s="1259"/>
      <c r="E339" s="1259"/>
      <c r="F339" s="1259"/>
      <c r="H339" s="1259"/>
      <c r="J339" s="1272"/>
      <c r="L339" s="1272"/>
      <c r="N339" s="1259"/>
      <c r="P339" s="1272"/>
      <c r="R339" s="1272"/>
      <c r="T339" s="1259"/>
      <c r="V339" s="1272"/>
      <c r="X339" s="1272"/>
      <c r="Z339" s="1259"/>
      <c r="AB339" s="1272"/>
      <c r="AD339" s="1272"/>
      <c r="AG339" s="1259"/>
    </row>
    <row r="340" spans="1:33" s="583" customFormat="1" ht="15">
      <c r="A340" s="1259"/>
      <c r="B340" s="1259"/>
      <c r="C340" s="1259"/>
      <c r="D340" s="1259"/>
      <c r="E340" s="1259"/>
      <c r="F340" s="1259"/>
      <c r="H340" s="1259"/>
      <c r="J340" s="1272"/>
      <c r="L340" s="1272"/>
      <c r="N340" s="1259"/>
      <c r="P340" s="1272"/>
      <c r="R340" s="1272"/>
      <c r="T340" s="1259"/>
      <c r="V340" s="1272"/>
      <c r="X340" s="1272"/>
      <c r="Z340" s="1259"/>
      <c r="AB340" s="1272"/>
      <c r="AD340" s="1272"/>
      <c r="AG340" s="1259"/>
    </row>
    <row r="341" spans="1:33" s="583" customFormat="1" ht="15">
      <c r="A341" s="1259"/>
      <c r="B341" s="1259"/>
      <c r="C341" s="1259"/>
      <c r="D341" s="1259"/>
      <c r="E341" s="1259"/>
      <c r="F341" s="1259"/>
      <c r="H341" s="1259"/>
      <c r="J341" s="1272"/>
      <c r="L341" s="1272"/>
      <c r="N341" s="1259"/>
      <c r="P341" s="1272"/>
      <c r="R341" s="1272"/>
      <c r="T341" s="1259"/>
      <c r="V341" s="1272"/>
      <c r="X341" s="1272"/>
      <c r="Z341" s="1259"/>
      <c r="AB341" s="1272"/>
      <c r="AD341" s="1272"/>
      <c r="AG341" s="1259"/>
    </row>
    <row r="342" spans="1:33" s="583" customFormat="1" ht="15">
      <c r="A342" s="1259"/>
      <c r="B342" s="1259"/>
      <c r="C342" s="1259"/>
      <c r="D342" s="1259"/>
      <c r="E342" s="1259"/>
      <c r="F342" s="1259"/>
      <c r="H342" s="1259"/>
      <c r="J342" s="1272"/>
      <c r="L342" s="1272"/>
      <c r="N342" s="1259"/>
      <c r="P342" s="1272"/>
      <c r="R342" s="1272"/>
      <c r="T342" s="1259"/>
      <c r="V342" s="1272"/>
      <c r="X342" s="1272"/>
      <c r="Z342" s="1259"/>
      <c r="AB342" s="1272"/>
      <c r="AD342" s="1272"/>
      <c r="AG342" s="1259"/>
    </row>
    <row r="343" spans="1:33" s="583" customFormat="1" ht="15">
      <c r="A343" s="1259"/>
      <c r="B343" s="1259"/>
      <c r="C343" s="1259"/>
      <c r="D343" s="1259"/>
      <c r="E343" s="1259"/>
      <c r="F343" s="1259"/>
      <c r="H343" s="1259"/>
      <c r="J343" s="1272"/>
      <c r="L343" s="1272"/>
      <c r="N343" s="1259"/>
      <c r="P343" s="1272"/>
      <c r="R343" s="1272"/>
      <c r="T343" s="1259"/>
      <c r="V343" s="1272"/>
      <c r="X343" s="1272"/>
      <c r="Z343" s="1259"/>
      <c r="AB343" s="1272"/>
      <c r="AD343" s="1272"/>
      <c r="AG343" s="1259"/>
    </row>
    <row r="344" spans="1:33" s="583" customFormat="1" ht="15">
      <c r="A344" s="1259"/>
      <c r="B344" s="1259"/>
      <c r="C344" s="1259"/>
      <c r="D344" s="1259"/>
      <c r="E344" s="1259"/>
      <c r="F344" s="1259"/>
      <c r="H344" s="1259"/>
      <c r="J344" s="1272"/>
      <c r="L344" s="1272"/>
      <c r="N344" s="1259"/>
      <c r="P344" s="1272"/>
      <c r="R344" s="1272"/>
      <c r="T344" s="1259"/>
      <c r="V344" s="1272"/>
      <c r="X344" s="1272"/>
      <c r="Z344" s="1259"/>
      <c r="AB344" s="1272"/>
      <c r="AD344" s="1272"/>
      <c r="AG344" s="1259"/>
    </row>
    <row r="345" spans="1:33" s="583" customFormat="1" ht="15">
      <c r="A345" s="1259"/>
      <c r="B345" s="1259"/>
      <c r="C345" s="1259"/>
      <c r="D345" s="1259"/>
      <c r="E345" s="1259"/>
      <c r="F345" s="1259"/>
      <c r="H345" s="1259"/>
      <c r="J345" s="1272"/>
      <c r="L345" s="1272"/>
      <c r="N345" s="1259"/>
      <c r="P345" s="1272"/>
      <c r="R345" s="1272"/>
      <c r="T345" s="1259"/>
      <c r="V345" s="1272"/>
      <c r="X345" s="1272"/>
      <c r="Z345" s="1259"/>
      <c r="AB345" s="1272"/>
      <c r="AD345" s="1272"/>
      <c r="AG345" s="1259"/>
    </row>
    <row r="346" spans="1:33" s="583" customFormat="1" ht="15">
      <c r="A346" s="1259"/>
      <c r="B346" s="1259"/>
      <c r="C346" s="1259"/>
      <c r="D346" s="1259"/>
      <c r="E346" s="1259"/>
      <c r="F346" s="1259"/>
      <c r="H346" s="1259"/>
      <c r="J346" s="1272"/>
      <c r="L346" s="1272"/>
      <c r="N346" s="1259"/>
      <c r="P346" s="1272"/>
      <c r="R346" s="1272"/>
      <c r="T346" s="1259"/>
      <c r="V346" s="1272"/>
      <c r="X346" s="1272"/>
      <c r="Z346" s="1259"/>
      <c r="AB346" s="1272"/>
      <c r="AD346" s="1272"/>
      <c r="AG346" s="1259"/>
    </row>
    <row r="347" spans="1:33" s="583" customFormat="1" ht="15">
      <c r="A347" s="1259"/>
      <c r="B347" s="1259"/>
      <c r="C347" s="1259"/>
      <c r="D347" s="1259"/>
      <c r="E347" s="1259"/>
      <c r="F347" s="1259"/>
      <c r="H347" s="1259"/>
      <c r="J347" s="1272"/>
      <c r="L347" s="1272"/>
      <c r="N347" s="1259"/>
      <c r="P347" s="1272"/>
      <c r="R347" s="1272"/>
      <c r="T347" s="1259"/>
      <c r="V347" s="1272"/>
      <c r="X347" s="1272"/>
      <c r="Z347" s="1259"/>
      <c r="AB347" s="1272"/>
      <c r="AD347" s="1272"/>
      <c r="AG347" s="1259"/>
    </row>
    <row r="348" spans="1:33" s="583" customFormat="1" ht="15">
      <c r="A348" s="1259"/>
      <c r="B348" s="1259"/>
      <c r="C348" s="1259"/>
      <c r="D348" s="1259"/>
      <c r="E348" s="1259"/>
      <c r="F348" s="1259"/>
      <c r="H348" s="1259"/>
      <c r="J348" s="1272"/>
      <c r="L348" s="1272"/>
      <c r="N348" s="1259"/>
      <c r="P348" s="1272"/>
      <c r="R348" s="1272"/>
      <c r="T348" s="1259"/>
      <c r="V348" s="1272"/>
      <c r="X348" s="1272"/>
      <c r="Z348" s="1259"/>
      <c r="AB348" s="1272"/>
      <c r="AD348" s="1272"/>
      <c r="AG348" s="1259"/>
    </row>
    <row r="349" spans="1:33" s="583" customFormat="1" ht="15">
      <c r="A349" s="1259"/>
      <c r="B349" s="1259"/>
      <c r="C349" s="1259"/>
      <c r="D349" s="1259"/>
      <c r="E349" s="1259"/>
      <c r="F349" s="1259"/>
      <c r="H349" s="1259"/>
      <c r="J349" s="1272"/>
      <c r="L349" s="1272"/>
      <c r="N349" s="1259"/>
      <c r="P349" s="1272"/>
      <c r="R349" s="1272"/>
      <c r="T349" s="1259"/>
      <c r="V349" s="1272"/>
      <c r="X349" s="1272"/>
      <c r="Z349" s="1259"/>
      <c r="AB349" s="1272"/>
      <c r="AD349" s="1272"/>
      <c r="AG349" s="1259"/>
    </row>
    <row r="350" spans="1:33" s="583" customFormat="1" ht="15">
      <c r="A350" s="1259"/>
      <c r="B350" s="1259"/>
      <c r="C350" s="1259"/>
      <c r="D350" s="1259"/>
      <c r="E350" s="1259"/>
      <c r="F350" s="1259"/>
      <c r="H350" s="1259"/>
      <c r="J350" s="1272"/>
      <c r="L350" s="1272"/>
      <c r="N350" s="1259"/>
      <c r="P350" s="1272"/>
      <c r="R350" s="1272"/>
      <c r="T350" s="1259"/>
      <c r="V350" s="1272"/>
      <c r="X350" s="1272"/>
      <c r="Z350" s="1259"/>
      <c r="AB350" s="1272"/>
      <c r="AD350" s="1272"/>
      <c r="AG350" s="1259"/>
    </row>
    <row r="351" spans="1:33" s="583" customFormat="1" ht="15">
      <c r="A351" s="1259"/>
      <c r="B351" s="1259"/>
      <c r="C351" s="1259"/>
      <c r="D351" s="1259"/>
      <c r="E351" s="1259"/>
      <c r="F351" s="1259"/>
      <c r="H351" s="1259"/>
      <c r="J351" s="1272"/>
      <c r="L351" s="1272"/>
      <c r="N351" s="1259"/>
      <c r="P351" s="1272"/>
      <c r="R351" s="1272"/>
      <c r="T351" s="1259"/>
      <c r="V351" s="1272"/>
      <c r="X351" s="1272"/>
      <c r="Z351" s="1259"/>
      <c r="AB351" s="1272"/>
      <c r="AD351" s="1272"/>
      <c r="AG351" s="1259"/>
    </row>
    <row r="352" spans="1:33" s="583" customFormat="1" ht="15">
      <c r="A352" s="1259"/>
      <c r="B352" s="1259"/>
      <c r="C352" s="1259"/>
      <c r="D352" s="1259"/>
      <c r="E352" s="1259"/>
      <c r="F352" s="1259"/>
      <c r="H352" s="1259"/>
      <c r="J352" s="1272"/>
      <c r="L352" s="1272"/>
      <c r="N352" s="1259"/>
      <c r="P352" s="1272"/>
      <c r="R352" s="1272"/>
      <c r="T352" s="1259"/>
      <c r="V352" s="1272"/>
      <c r="X352" s="1272"/>
      <c r="Z352" s="1259"/>
      <c r="AB352" s="1272"/>
      <c r="AD352" s="1272"/>
      <c r="AG352" s="1259"/>
    </row>
    <row r="353" spans="1:33" s="583" customFormat="1" ht="15">
      <c r="A353" s="1259"/>
      <c r="B353" s="1259"/>
      <c r="C353" s="1259"/>
      <c r="D353" s="1259"/>
      <c r="E353" s="1259"/>
      <c r="F353" s="1259"/>
      <c r="H353" s="1259"/>
      <c r="J353" s="1272"/>
      <c r="L353" s="1272"/>
      <c r="N353" s="1259"/>
      <c r="P353" s="1272"/>
      <c r="R353" s="1272"/>
      <c r="T353" s="1259"/>
      <c r="V353" s="1272"/>
      <c r="X353" s="1272"/>
      <c r="Z353" s="1259"/>
      <c r="AB353" s="1272"/>
      <c r="AD353" s="1272"/>
      <c r="AG353" s="1259"/>
    </row>
    <row r="354" spans="1:33" s="583" customFormat="1" ht="15">
      <c r="A354" s="1259"/>
      <c r="B354" s="1259"/>
      <c r="C354" s="1259"/>
      <c r="D354" s="1259"/>
      <c r="E354" s="1259"/>
      <c r="F354" s="1259"/>
      <c r="H354" s="1259"/>
      <c r="J354" s="1272"/>
      <c r="L354" s="1272"/>
      <c r="N354" s="1259"/>
      <c r="P354" s="1272"/>
      <c r="R354" s="1272"/>
      <c r="T354" s="1259"/>
      <c r="V354" s="1272"/>
      <c r="X354" s="1272"/>
      <c r="Z354" s="1259"/>
      <c r="AB354" s="1272"/>
      <c r="AD354" s="1272"/>
      <c r="AG354" s="1259"/>
    </row>
    <row r="355" spans="1:33" s="583" customFormat="1" ht="15">
      <c r="A355" s="1259"/>
      <c r="B355" s="1259"/>
      <c r="C355" s="1259"/>
      <c r="D355" s="1259"/>
      <c r="E355" s="1259"/>
      <c r="F355" s="1259"/>
      <c r="H355" s="1259"/>
      <c r="J355" s="1272"/>
      <c r="L355" s="1272"/>
      <c r="N355" s="1259"/>
      <c r="P355" s="1272"/>
      <c r="R355" s="1272"/>
      <c r="T355" s="1259"/>
      <c r="V355" s="1272"/>
      <c r="X355" s="1272"/>
      <c r="Z355" s="1259"/>
      <c r="AB355" s="1272"/>
      <c r="AD355" s="1272"/>
      <c r="AG355" s="1259"/>
    </row>
    <row r="356" spans="1:33" s="583" customFormat="1" ht="15">
      <c r="A356" s="1259"/>
      <c r="B356" s="1259"/>
      <c r="C356" s="1259"/>
      <c r="D356" s="1259"/>
      <c r="E356" s="1259"/>
      <c r="F356" s="1259"/>
      <c r="H356" s="1259"/>
      <c r="J356" s="1272"/>
      <c r="L356" s="1272"/>
      <c r="N356" s="1259"/>
      <c r="P356" s="1272"/>
      <c r="R356" s="1272"/>
      <c r="T356" s="1259"/>
      <c r="V356" s="1272"/>
      <c r="X356" s="1272"/>
      <c r="Z356" s="1259"/>
      <c r="AB356" s="1272"/>
      <c r="AD356" s="1272"/>
      <c r="AG356" s="1259"/>
    </row>
    <row r="357" spans="1:33" s="583" customFormat="1" ht="15">
      <c r="A357" s="1259"/>
      <c r="B357" s="1259"/>
      <c r="C357" s="1259"/>
      <c r="D357" s="1259"/>
      <c r="E357" s="1259"/>
      <c r="F357" s="1259"/>
      <c r="H357" s="1259"/>
      <c r="J357" s="1272"/>
      <c r="L357" s="1272"/>
      <c r="N357" s="1259"/>
      <c r="P357" s="1272"/>
      <c r="R357" s="1272"/>
      <c r="T357" s="1259"/>
      <c r="V357" s="1272"/>
      <c r="X357" s="1272"/>
      <c r="Z357" s="1259"/>
      <c r="AB357" s="1272"/>
      <c r="AD357" s="1272"/>
      <c r="AG357" s="1259"/>
    </row>
    <row r="358" spans="1:33" s="583" customFormat="1" ht="15">
      <c r="A358" s="1259"/>
      <c r="B358" s="1259"/>
      <c r="C358" s="1259"/>
      <c r="D358" s="1259"/>
      <c r="E358" s="1259"/>
      <c r="F358" s="1259"/>
      <c r="H358" s="1259"/>
      <c r="J358" s="1272"/>
      <c r="L358" s="1272"/>
      <c r="N358" s="1259"/>
      <c r="P358" s="1272"/>
      <c r="R358" s="1272"/>
      <c r="T358" s="1259"/>
      <c r="V358" s="1272"/>
      <c r="X358" s="1272"/>
      <c r="Z358" s="1259"/>
      <c r="AB358" s="1272"/>
      <c r="AD358" s="1272"/>
      <c r="AG358" s="1259"/>
    </row>
    <row r="359" spans="1:33" s="583" customFormat="1" ht="15">
      <c r="A359" s="1259"/>
      <c r="B359" s="1259"/>
      <c r="C359" s="1259"/>
      <c r="D359" s="1259"/>
      <c r="E359" s="1259"/>
      <c r="F359" s="1259"/>
      <c r="H359" s="1259"/>
      <c r="J359" s="1272"/>
      <c r="L359" s="1272"/>
      <c r="N359" s="1259"/>
      <c r="P359" s="1272"/>
      <c r="R359" s="1272"/>
      <c r="T359" s="1259"/>
      <c r="V359" s="1272"/>
      <c r="X359" s="1272"/>
      <c r="Z359" s="1259"/>
      <c r="AB359" s="1272"/>
      <c r="AD359" s="1272"/>
      <c r="AG359" s="1259"/>
    </row>
    <row r="360" spans="1:33" s="583" customFormat="1" ht="15">
      <c r="A360" s="1259"/>
      <c r="B360" s="1259"/>
      <c r="C360" s="1259"/>
      <c r="D360" s="1259"/>
      <c r="E360" s="1259"/>
      <c r="F360" s="1259"/>
      <c r="H360" s="1259"/>
      <c r="J360" s="1272"/>
      <c r="L360" s="1272"/>
      <c r="N360" s="1259"/>
      <c r="P360" s="1272"/>
      <c r="R360" s="1272"/>
      <c r="T360" s="1259"/>
      <c r="V360" s="1272"/>
      <c r="X360" s="1272"/>
      <c r="Z360" s="1259"/>
      <c r="AB360" s="1272"/>
      <c r="AD360" s="1272"/>
      <c r="AG360" s="1259"/>
    </row>
    <row r="361" spans="1:33" s="583" customFormat="1" ht="15">
      <c r="A361" s="1259"/>
      <c r="B361" s="1259"/>
      <c r="C361" s="1259"/>
      <c r="D361" s="1259"/>
      <c r="E361" s="1259"/>
      <c r="F361" s="1259"/>
      <c r="H361" s="1259"/>
      <c r="J361" s="1272"/>
      <c r="L361" s="1272"/>
      <c r="N361" s="1259"/>
      <c r="P361" s="1272"/>
      <c r="R361" s="1272"/>
      <c r="T361" s="1259"/>
      <c r="V361" s="1272"/>
      <c r="X361" s="1272"/>
      <c r="Z361" s="1259"/>
      <c r="AB361" s="1272"/>
      <c r="AD361" s="1272"/>
      <c r="AG361" s="1259"/>
    </row>
    <row r="362" spans="1:33" s="583" customFormat="1" ht="15">
      <c r="A362" s="1259"/>
      <c r="B362" s="1259"/>
      <c r="C362" s="1259"/>
      <c r="D362" s="1259"/>
      <c r="E362" s="1259"/>
      <c r="F362" s="1259"/>
      <c r="H362" s="1259"/>
      <c r="J362" s="1272"/>
      <c r="L362" s="1272"/>
      <c r="N362" s="1259"/>
      <c r="P362" s="1272"/>
      <c r="R362" s="1272"/>
      <c r="T362" s="1259"/>
      <c r="V362" s="1272"/>
      <c r="X362" s="1272"/>
      <c r="Z362" s="1259"/>
      <c r="AB362" s="1272"/>
      <c r="AD362" s="1272"/>
      <c r="AG362" s="1259"/>
    </row>
    <row r="363" spans="1:33" s="583" customFormat="1" ht="15">
      <c r="A363" s="1259"/>
      <c r="B363" s="1259"/>
      <c r="C363" s="1259"/>
      <c r="D363" s="1259"/>
      <c r="E363" s="1259"/>
      <c r="F363" s="1259"/>
      <c r="H363" s="1259"/>
      <c r="J363" s="1272"/>
      <c r="L363" s="1272"/>
      <c r="N363" s="1259"/>
      <c r="P363" s="1272"/>
      <c r="R363" s="1272"/>
      <c r="T363" s="1259"/>
      <c r="V363" s="1272"/>
      <c r="X363" s="1272"/>
      <c r="Z363" s="1259"/>
      <c r="AB363" s="1272"/>
      <c r="AD363" s="1272"/>
      <c r="AG363" s="1259"/>
    </row>
    <row r="364" spans="1:33" s="583" customFormat="1" ht="15">
      <c r="A364" s="1259"/>
      <c r="B364" s="1259"/>
      <c r="C364" s="1259"/>
      <c r="D364" s="1259"/>
      <c r="E364" s="1259"/>
      <c r="F364" s="1259"/>
      <c r="H364" s="1259"/>
      <c r="J364" s="1272"/>
      <c r="L364" s="1272"/>
      <c r="N364" s="1259"/>
      <c r="P364" s="1272"/>
      <c r="R364" s="1272"/>
      <c r="T364" s="1259"/>
      <c r="V364" s="1272"/>
      <c r="X364" s="1272"/>
      <c r="Z364" s="1259"/>
      <c r="AB364" s="1272"/>
      <c r="AD364" s="1272"/>
      <c r="AG364" s="1259"/>
    </row>
    <row r="365" spans="1:33" s="583" customFormat="1" ht="15">
      <c r="A365" s="1259"/>
      <c r="B365" s="1259"/>
      <c r="C365" s="1259"/>
      <c r="D365" s="1259"/>
      <c r="E365" s="1259"/>
      <c r="F365" s="1259"/>
      <c r="H365" s="1259"/>
      <c r="J365" s="1272"/>
      <c r="L365" s="1272"/>
      <c r="N365" s="1259"/>
      <c r="P365" s="1272"/>
      <c r="R365" s="1272"/>
      <c r="T365" s="1259"/>
      <c r="V365" s="1272"/>
      <c r="X365" s="1272"/>
      <c r="Z365" s="1259"/>
      <c r="AB365" s="1272"/>
      <c r="AD365" s="1272"/>
      <c r="AG365" s="1259"/>
    </row>
    <row r="366" spans="1:33" s="583" customFormat="1" ht="15">
      <c r="A366" s="1259"/>
      <c r="B366" s="1259"/>
      <c r="C366" s="1259"/>
      <c r="D366" s="1259"/>
      <c r="E366" s="1259"/>
      <c r="F366" s="1259"/>
      <c r="H366" s="1259"/>
      <c r="J366" s="1272"/>
      <c r="L366" s="1272"/>
      <c r="N366" s="1259"/>
      <c r="P366" s="1272"/>
      <c r="R366" s="1272"/>
      <c r="T366" s="1259"/>
      <c r="V366" s="1272"/>
      <c r="X366" s="1272"/>
      <c r="Z366" s="1259"/>
      <c r="AB366" s="1272"/>
      <c r="AD366" s="1272"/>
      <c r="AG366" s="1259"/>
    </row>
    <row r="367" spans="1:33" s="583" customFormat="1" ht="15">
      <c r="A367" s="1259"/>
      <c r="B367" s="1259"/>
      <c r="C367" s="1259"/>
      <c r="D367" s="1259"/>
      <c r="E367" s="1259"/>
      <c r="F367" s="1259"/>
      <c r="H367" s="1259"/>
      <c r="J367" s="1272"/>
      <c r="L367" s="1272"/>
      <c r="N367" s="1259"/>
      <c r="P367" s="1272"/>
      <c r="R367" s="1272"/>
      <c r="T367" s="1259"/>
      <c r="V367" s="1272"/>
      <c r="X367" s="1272"/>
      <c r="Z367" s="1259"/>
      <c r="AB367" s="1272"/>
      <c r="AD367" s="1272"/>
      <c r="AG367" s="1259"/>
    </row>
    <row r="368" spans="1:33" s="583" customFormat="1" ht="15">
      <c r="A368" s="1259"/>
      <c r="B368" s="1259"/>
      <c r="C368" s="1259"/>
      <c r="D368" s="1259"/>
      <c r="E368" s="1259"/>
      <c r="F368" s="1259"/>
      <c r="H368" s="1259"/>
      <c r="J368" s="1272"/>
      <c r="L368" s="1272"/>
      <c r="N368" s="1259"/>
      <c r="P368" s="1272"/>
      <c r="R368" s="1272"/>
      <c r="T368" s="1259"/>
      <c r="V368" s="1272"/>
      <c r="X368" s="1272"/>
      <c r="Z368" s="1259"/>
      <c r="AB368" s="1272"/>
      <c r="AD368" s="1272"/>
      <c r="AG368" s="1259"/>
    </row>
    <row r="369" spans="1:33" s="583" customFormat="1" ht="15">
      <c r="A369" s="1259"/>
      <c r="B369" s="1259"/>
      <c r="C369" s="1259"/>
      <c r="D369" s="1259"/>
      <c r="E369" s="1259"/>
      <c r="F369" s="1259"/>
      <c r="H369" s="1259"/>
      <c r="J369" s="1272"/>
      <c r="L369" s="1272"/>
      <c r="N369" s="1259"/>
      <c r="P369" s="1272"/>
      <c r="R369" s="1272"/>
      <c r="T369" s="1259"/>
      <c r="V369" s="1272"/>
      <c r="X369" s="1272"/>
      <c r="Z369" s="1259"/>
      <c r="AB369" s="1272"/>
      <c r="AD369" s="1272"/>
      <c r="AG369" s="1259"/>
    </row>
    <row r="370" spans="1:33" s="583" customFormat="1" ht="15">
      <c r="A370" s="1259"/>
      <c r="B370" s="1259"/>
      <c r="C370" s="1259"/>
      <c r="D370" s="1259"/>
      <c r="E370" s="1259"/>
      <c r="F370" s="1259"/>
      <c r="H370" s="1259"/>
      <c r="J370" s="1272"/>
      <c r="L370" s="1272"/>
      <c r="N370" s="1259"/>
      <c r="P370" s="1272"/>
      <c r="R370" s="1272"/>
      <c r="T370" s="1259"/>
      <c r="V370" s="1272"/>
      <c r="X370" s="1272"/>
      <c r="Z370" s="1259"/>
      <c r="AB370" s="1272"/>
      <c r="AD370" s="1272"/>
      <c r="AG370" s="1259"/>
    </row>
    <row r="371" spans="1:33" s="583" customFormat="1" ht="15">
      <c r="A371" s="1259"/>
      <c r="B371" s="1259"/>
      <c r="C371" s="1259"/>
      <c r="D371" s="1259"/>
      <c r="E371" s="1259"/>
      <c r="F371" s="1259"/>
      <c r="H371" s="1259"/>
      <c r="J371" s="1272"/>
      <c r="L371" s="1272"/>
      <c r="N371" s="1259"/>
      <c r="P371" s="1272"/>
      <c r="R371" s="1272"/>
      <c r="T371" s="1259"/>
      <c r="V371" s="1272"/>
      <c r="X371" s="1272"/>
      <c r="Z371" s="1259"/>
      <c r="AB371" s="1272"/>
      <c r="AD371" s="1272"/>
      <c r="AG371" s="1259"/>
    </row>
    <row r="372" spans="1:33" s="583" customFormat="1" ht="15">
      <c r="A372" s="1259"/>
      <c r="B372" s="1259"/>
      <c r="C372" s="1259"/>
      <c r="D372" s="1259"/>
      <c r="E372" s="1259"/>
      <c r="F372" s="1259"/>
      <c r="H372" s="1259"/>
      <c r="J372" s="1272"/>
      <c r="L372" s="1272"/>
      <c r="N372" s="1259"/>
      <c r="P372" s="1272"/>
      <c r="R372" s="1272"/>
      <c r="T372" s="1259"/>
      <c r="V372" s="1272"/>
      <c r="X372" s="1272"/>
      <c r="Z372" s="1259"/>
      <c r="AB372" s="1272"/>
      <c r="AD372" s="1272"/>
      <c r="AG372" s="1259"/>
    </row>
    <row r="373" spans="1:33" s="583" customFormat="1" ht="15">
      <c r="A373" s="1259"/>
      <c r="B373" s="1259"/>
      <c r="C373" s="1259"/>
      <c r="D373" s="1259"/>
      <c r="E373" s="1259"/>
      <c r="F373" s="1259"/>
      <c r="H373" s="1259"/>
      <c r="J373" s="1272"/>
      <c r="L373" s="1272"/>
      <c r="N373" s="1259"/>
      <c r="P373" s="1272"/>
      <c r="R373" s="1272"/>
      <c r="T373" s="1259"/>
      <c r="V373" s="1272"/>
      <c r="X373" s="1272"/>
      <c r="Z373" s="1259"/>
      <c r="AB373" s="1272"/>
      <c r="AD373" s="1272"/>
      <c r="AG373" s="1259"/>
    </row>
    <row r="374" spans="1:33" s="583" customFormat="1" ht="15">
      <c r="A374" s="1259"/>
      <c r="B374" s="1259"/>
      <c r="C374" s="1259"/>
      <c r="D374" s="1259"/>
      <c r="E374" s="1259"/>
      <c r="F374" s="1259"/>
      <c r="H374" s="1259"/>
      <c r="J374" s="1272"/>
      <c r="L374" s="1272"/>
      <c r="N374" s="1259"/>
      <c r="P374" s="1272"/>
      <c r="R374" s="1272"/>
      <c r="T374" s="1259"/>
      <c r="V374" s="1272"/>
      <c r="X374" s="1272"/>
      <c r="Z374" s="1259"/>
      <c r="AB374" s="1272"/>
      <c r="AD374" s="1272"/>
      <c r="AG374" s="1259"/>
    </row>
    <row r="375" spans="1:33" s="583" customFormat="1" ht="15">
      <c r="A375" s="1259"/>
      <c r="B375" s="1259"/>
      <c r="C375" s="1259"/>
      <c r="D375" s="1259"/>
      <c r="E375" s="1259"/>
      <c r="F375" s="1259"/>
      <c r="H375" s="1259"/>
      <c r="J375" s="1272"/>
      <c r="L375" s="1272"/>
      <c r="N375" s="1259"/>
      <c r="P375" s="1272"/>
      <c r="R375" s="1272"/>
      <c r="T375" s="1259"/>
      <c r="V375" s="1272"/>
      <c r="X375" s="1272"/>
      <c r="Z375" s="1259"/>
      <c r="AB375" s="1272"/>
      <c r="AD375" s="1272"/>
      <c r="AG375" s="1259"/>
    </row>
    <row r="376" spans="1:33" s="583" customFormat="1" ht="15">
      <c r="A376" s="1259"/>
      <c r="B376" s="1259"/>
      <c r="C376" s="1259"/>
      <c r="D376" s="1259"/>
      <c r="E376" s="1259"/>
      <c r="F376" s="1259"/>
      <c r="H376" s="1259"/>
      <c r="J376" s="1272"/>
      <c r="L376" s="1272"/>
      <c r="N376" s="1259"/>
      <c r="P376" s="1272"/>
      <c r="R376" s="1272"/>
      <c r="T376" s="1259"/>
      <c r="V376" s="1272"/>
      <c r="X376" s="1272"/>
      <c r="Z376" s="1259"/>
      <c r="AB376" s="1272"/>
      <c r="AD376" s="1272"/>
      <c r="AG376" s="1259"/>
    </row>
    <row r="377" spans="1:33" s="583" customFormat="1" ht="15">
      <c r="A377" s="1259"/>
      <c r="B377" s="1259"/>
      <c r="C377" s="1259"/>
      <c r="D377" s="1259"/>
      <c r="E377" s="1259"/>
      <c r="F377" s="1259"/>
      <c r="H377" s="1259"/>
      <c r="J377" s="1272"/>
      <c r="L377" s="1272"/>
      <c r="N377" s="1259"/>
      <c r="P377" s="1272"/>
      <c r="R377" s="1272"/>
      <c r="T377" s="1259"/>
      <c r="V377" s="1272"/>
      <c r="X377" s="1272"/>
      <c r="Z377" s="1259"/>
      <c r="AB377" s="1272"/>
      <c r="AD377" s="1272"/>
      <c r="AG377" s="1259"/>
    </row>
    <row r="378" spans="1:33" s="583" customFormat="1" ht="15">
      <c r="A378" s="1259"/>
      <c r="B378" s="1259"/>
      <c r="C378" s="1259"/>
      <c r="D378" s="1259"/>
      <c r="E378" s="1259"/>
      <c r="F378" s="1259"/>
      <c r="H378" s="1259"/>
      <c r="J378" s="1272"/>
      <c r="L378" s="1272"/>
      <c r="N378" s="1259"/>
      <c r="P378" s="1272"/>
      <c r="R378" s="1272"/>
      <c r="T378" s="1259"/>
      <c r="V378" s="1272"/>
      <c r="X378" s="1272"/>
      <c r="Z378" s="1259"/>
      <c r="AB378" s="1272"/>
      <c r="AD378" s="1272"/>
      <c r="AG378" s="1259"/>
    </row>
    <row r="379" spans="1:33" s="583" customFormat="1" ht="15">
      <c r="A379" s="1259"/>
      <c r="B379" s="1259"/>
      <c r="C379" s="1259"/>
      <c r="D379" s="1259"/>
      <c r="E379" s="1259"/>
      <c r="F379" s="1259"/>
      <c r="H379" s="1259"/>
      <c r="J379" s="1272"/>
      <c r="L379" s="1272"/>
      <c r="N379" s="1259"/>
      <c r="P379" s="1272"/>
      <c r="R379" s="1272"/>
      <c r="T379" s="1259"/>
      <c r="V379" s="1272"/>
      <c r="X379" s="1272"/>
      <c r="Z379" s="1259"/>
      <c r="AB379" s="1272"/>
      <c r="AD379" s="1272"/>
      <c r="AG379" s="1259"/>
    </row>
    <row r="380" spans="1:33" s="583" customFormat="1" ht="15">
      <c r="A380" s="1259"/>
      <c r="B380" s="1259"/>
      <c r="C380" s="1259"/>
      <c r="D380" s="1259"/>
      <c r="E380" s="1259"/>
      <c r="F380" s="1259"/>
      <c r="H380" s="1259"/>
      <c r="J380" s="1272"/>
      <c r="L380" s="1272"/>
      <c r="N380" s="1259"/>
      <c r="P380" s="1272"/>
      <c r="R380" s="1272"/>
      <c r="T380" s="1259"/>
      <c r="V380" s="1272"/>
      <c r="X380" s="1272"/>
      <c r="Z380" s="1259"/>
      <c r="AB380" s="1272"/>
      <c r="AD380" s="1272"/>
      <c r="AG380" s="1259"/>
    </row>
    <row r="381" spans="1:33" s="583" customFormat="1" ht="15">
      <c r="A381" s="1259"/>
      <c r="B381" s="1259"/>
      <c r="C381" s="1259"/>
      <c r="D381" s="1259"/>
      <c r="E381" s="1259"/>
      <c r="F381" s="1259"/>
      <c r="H381" s="1259"/>
      <c r="J381" s="1272"/>
      <c r="L381" s="1272"/>
      <c r="N381" s="1259"/>
      <c r="P381" s="1272"/>
      <c r="R381" s="1272"/>
      <c r="T381" s="1259"/>
      <c r="V381" s="1272"/>
      <c r="X381" s="1272"/>
      <c r="Z381" s="1259"/>
      <c r="AB381" s="1272"/>
      <c r="AD381" s="1272"/>
      <c r="AG381" s="1259"/>
    </row>
    <row r="382" spans="1:33" s="583" customFormat="1" ht="15">
      <c r="A382" s="1259"/>
      <c r="B382" s="1259"/>
      <c r="C382" s="1259"/>
      <c r="D382" s="1259"/>
      <c r="E382" s="1259"/>
      <c r="F382" s="1259"/>
      <c r="H382" s="1259"/>
      <c r="J382" s="1272"/>
      <c r="L382" s="1272"/>
      <c r="N382" s="1259"/>
      <c r="P382" s="1272"/>
      <c r="R382" s="1272"/>
      <c r="T382" s="1259"/>
      <c r="V382" s="1272"/>
      <c r="X382" s="1272"/>
      <c r="Z382" s="1259"/>
      <c r="AB382" s="1272"/>
      <c r="AD382" s="1272"/>
      <c r="AG382" s="1259"/>
    </row>
    <row r="383" spans="1:33" s="583" customFormat="1" ht="15">
      <c r="A383" s="1259"/>
      <c r="B383" s="1259"/>
      <c r="C383" s="1259"/>
      <c r="D383" s="1259"/>
      <c r="E383" s="1259"/>
      <c r="F383" s="1259"/>
      <c r="H383" s="1259"/>
      <c r="J383" s="1272"/>
      <c r="L383" s="1272"/>
      <c r="N383" s="1259"/>
      <c r="P383" s="1272"/>
      <c r="R383" s="1272"/>
      <c r="T383" s="1259"/>
      <c r="V383" s="1272"/>
      <c r="X383" s="1272"/>
      <c r="Z383" s="1259"/>
      <c r="AB383" s="1272"/>
      <c r="AD383" s="1272"/>
      <c r="AG383" s="1259"/>
    </row>
    <row r="384" spans="1:33" s="583" customFormat="1" ht="15">
      <c r="A384" s="1259"/>
      <c r="B384" s="1259"/>
      <c r="C384" s="1259"/>
      <c r="D384" s="1259"/>
      <c r="E384" s="1259"/>
      <c r="F384" s="1259"/>
      <c r="H384" s="1259"/>
      <c r="J384" s="1272"/>
      <c r="L384" s="1272"/>
      <c r="N384" s="1259"/>
      <c r="P384" s="1272"/>
      <c r="R384" s="1272"/>
      <c r="T384" s="1259"/>
      <c r="V384" s="1272"/>
      <c r="X384" s="1272"/>
      <c r="Z384" s="1259"/>
      <c r="AB384" s="1272"/>
      <c r="AD384" s="1272"/>
      <c r="AG384" s="1259"/>
    </row>
    <row r="385" spans="1:33" s="583" customFormat="1" ht="15">
      <c r="A385" s="1259"/>
      <c r="B385" s="1259"/>
      <c r="C385" s="1259"/>
      <c r="D385" s="1259"/>
      <c r="E385" s="1259"/>
      <c r="F385" s="1259"/>
      <c r="H385" s="1259"/>
      <c r="J385" s="1272"/>
      <c r="L385" s="1272"/>
      <c r="N385" s="1259"/>
      <c r="P385" s="1272"/>
      <c r="R385" s="1272"/>
      <c r="T385" s="1259"/>
      <c r="V385" s="1272"/>
      <c r="X385" s="1272"/>
      <c r="Z385" s="1259"/>
      <c r="AB385" s="1272"/>
      <c r="AD385" s="1272"/>
      <c r="AG385" s="1259"/>
    </row>
    <row r="386" spans="1:33" s="583" customFormat="1" ht="15">
      <c r="A386" s="1259"/>
      <c r="B386" s="1259"/>
      <c r="C386" s="1259"/>
      <c r="D386" s="1259"/>
      <c r="E386" s="1259"/>
      <c r="F386" s="1259"/>
      <c r="H386" s="1259"/>
      <c r="J386" s="1272"/>
      <c r="L386" s="1272"/>
      <c r="N386" s="1259"/>
      <c r="P386" s="1272"/>
      <c r="R386" s="1272"/>
      <c r="T386" s="1259"/>
      <c r="V386" s="1272"/>
      <c r="X386" s="1272"/>
      <c r="Z386" s="1259"/>
      <c r="AB386" s="1272"/>
      <c r="AD386" s="1272"/>
      <c r="AG386" s="1259"/>
    </row>
    <row r="387" spans="1:33" s="583" customFormat="1" ht="15">
      <c r="A387" s="1259"/>
      <c r="B387" s="1259"/>
      <c r="C387" s="1259"/>
      <c r="D387" s="1259"/>
      <c r="E387" s="1259"/>
      <c r="F387" s="1259"/>
      <c r="H387" s="1259"/>
      <c r="J387" s="1272"/>
      <c r="L387" s="1272"/>
      <c r="N387" s="1259"/>
      <c r="P387" s="1272"/>
      <c r="R387" s="1272"/>
      <c r="T387" s="1259"/>
      <c r="V387" s="1272"/>
      <c r="X387" s="1272"/>
      <c r="Z387" s="1259"/>
      <c r="AB387" s="1272"/>
      <c r="AD387" s="1272"/>
      <c r="AG387" s="1259"/>
    </row>
    <row r="388" spans="1:33" s="583" customFormat="1" ht="15">
      <c r="A388" s="1259"/>
      <c r="B388" s="1259"/>
      <c r="C388" s="1259"/>
      <c r="D388" s="1259"/>
      <c r="E388" s="1259"/>
      <c r="F388" s="1259"/>
      <c r="H388" s="1259"/>
      <c r="J388" s="1272"/>
      <c r="L388" s="1272"/>
      <c r="N388" s="1259"/>
      <c r="P388" s="1272"/>
      <c r="R388" s="1272"/>
      <c r="T388" s="1259"/>
      <c r="V388" s="1272"/>
      <c r="X388" s="1272"/>
      <c r="Z388" s="1259"/>
      <c r="AB388" s="1272"/>
      <c r="AD388" s="1272"/>
      <c r="AG388" s="1259"/>
    </row>
    <row r="389" spans="1:33" s="583" customFormat="1" ht="15">
      <c r="A389" s="1259"/>
      <c r="B389" s="1259"/>
      <c r="C389" s="1259"/>
      <c r="D389" s="1259"/>
      <c r="E389" s="1259"/>
      <c r="F389" s="1259"/>
      <c r="H389" s="1259"/>
      <c r="J389" s="1272"/>
      <c r="L389" s="1272"/>
      <c r="N389" s="1259"/>
      <c r="P389" s="1272"/>
      <c r="R389" s="1272"/>
      <c r="T389" s="1259"/>
      <c r="V389" s="1272"/>
      <c r="X389" s="1272"/>
      <c r="Z389" s="1259"/>
      <c r="AB389" s="1272"/>
      <c r="AD389" s="1272"/>
      <c r="AG389" s="1259"/>
    </row>
    <row r="390" spans="1:33" s="583" customFormat="1" ht="15">
      <c r="A390" s="1259"/>
      <c r="B390" s="1259"/>
      <c r="C390" s="1259"/>
      <c r="D390" s="1259"/>
      <c r="E390" s="1259"/>
      <c r="F390" s="1259"/>
      <c r="H390" s="1259"/>
      <c r="J390" s="1272"/>
      <c r="L390" s="1272"/>
      <c r="N390" s="1259"/>
      <c r="P390" s="1272"/>
      <c r="R390" s="1272"/>
      <c r="T390" s="1259"/>
      <c r="V390" s="1272"/>
      <c r="X390" s="1272"/>
      <c r="Z390" s="1259"/>
      <c r="AB390" s="1272"/>
      <c r="AD390" s="1272"/>
      <c r="AG390" s="1259"/>
    </row>
    <row r="391" spans="1:33" s="583" customFormat="1" ht="15">
      <c r="A391" s="1259"/>
      <c r="B391" s="1259"/>
      <c r="C391" s="1259"/>
      <c r="D391" s="1259"/>
      <c r="E391" s="1259"/>
      <c r="F391" s="1259"/>
      <c r="H391" s="1259"/>
      <c r="J391" s="1272"/>
      <c r="L391" s="1272"/>
      <c r="N391" s="1259"/>
      <c r="P391" s="1272"/>
      <c r="R391" s="1272"/>
      <c r="T391" s="1259"/>
      <c r="V391" s="1272"/>
      <c r="X391" s="1272"/>
      <c r="Z391" s="1259"/>
      <c r="AB391" s="1272"/>
      <c r="AD391" s="1272"/>
      <c r="AG391" s="1259"/>
    </row>
    <row r="392" spans="1:33" s="583" customFormat="1" ht="15">
      <c r="A392" s="1259"/>
      <c r="B392" s="1259"/>
      <c r="C392" s="1259"/>
      <c r="D392" s="1259"/>
      <c r="E392" s="1259"/>
      <c r="F392" s="1259"/>
      <c r="H392" s="1259"/>
      <c r="J392" s="1272"/>
      <c r="L392" s="1272"/>
      <c r="N392" s="1259"/>
      <c r="P392" s="1272"/>
      <c r="R392" s="1272"/>
      <c r="T392" s="1259"/>
      <c r="V392" s="1272"/>
      <c r="X392" s="1272"/>
      <c r="Z392" s="1259"/>
      <c r="AB392" s="1272"/>
      <c r="AD392" s="1272"/>
      <c r="AG392" s="1259"/>
    </row>
    <row r="393" spans="1:33" s="583" customFormat="1" ht="15">
      <c r="A393" s="1259"/>
      <c r="B393" s="1259"/>
      <c r="C393" s="1259"/>
      <c r="D393" s="1259"/>
      <c r="E393" s="1259"/>
      <c r="F393" s="1259"/>
      <c r="H393" s="1259"/>
      <c r="J393" s="1272"/>
      <c r="L393" s="1272"/>
      <c r="N393" s="1259"/>
      <c r="P393" s="1272"/>
      <c r="R393" s="1272"/>
      <c r="T393" s="1259"/>
      <c r="V393" s="1272"/>
      <c r="X393" s="1272"/>
      <c r="Z393" s="1259"/>
      <c r="AB393" s="1272"/>
      <c r="AD393" s="1272"/>
      <c r="AG393" s="1259"/>
    </row>
    <row r="394" spans="1:33" s="583" customFormat="1" ht="15">
      <c r="A394" s="1259"/>
      <c r="B394" s="1259"/>
      <c r="C394" s="1259"/>
      <c r="D394" s="1259"/>
      <c r="E394" s="1259"/>
      <c r="F394" s="1259"/>
      <c r="H394" s="1259"/>
      <c r="J394" s="1272"/>
      <c r="L394" s="1272"/>
      <c r="N394" s="1259"/>
      <c r="P394" s="1272"/>
      <c r="R394" s="1272"/>
      <c r="T394" s="1259"/>
      <c r="V394" s="1272"/>
      <c r="X394" s="1272"/>
      <c r="Z394" s="1259"/>
      <c r="AB394" s="1272"/>
      <c r="AD394" s="1272"/>
      <c r="AG394" s="1259"/>
    </row>
    <row r="395" spans="1:33" s="583" customFormat="1" ht="15">
      <c r="A395" s="1259"/>
      <c r="B395" s="1259"/>
      <c r="C395" s="1259"/>
      <c r="D395" s="1259"/>
      <c r="E395" s="1259"/>
      <c r="F395" s="1259"/>
      <c r="H395" s="1259"/>
      <c r="J395" s="1272"/>
      <c r="L395" s="1272"/>
      <c r="N395" s="1259"/>
      <c r="P395" s="1272"/>
      <c r="R395" s="1272"/>
      <c r="T395" s="1259"/>
      <c r="V395" s="1272"/>
      <c r="X395" s="1272"/>
      <c r="Z395" s="1259"/>
      <c r="AB395" s="1272"/>
      <c r="AD395" s="1272"/>
      <c r="AG395" s="1259"/>
    </row>
    <row r="396" spans="1:33" s="583" customFormat="1" ht="15">
      <c r="A396" s="1259"/>
      <c r="B396" s="1259"/>
      <c r="C396" s="1259"/>
      <c r="D396" s="1259"/>
      <c r="E396" s="1259"/>
      <c r="F396" s="1259"/>
      <c r="H396" s="1259"/>
      <c r="J396" s="1272"/>
      <c r="L396" s="1272"/>
      <c r="N396" s="1259"/>
      <c r="P396" s="1272"/>
      <c r="R396" s="1272"/>
      <c r="T396" s="1259"/>
      <c r="V396" s="1272"/>
      <c r="X396" s="1272"/>
      <c r="Z396" s="1259"/>
      <c r="AB396" s="1272"/>
      <c r="AD396" s="1272"/>
      <c r="AG396" s="1259"/>
    </row>
    <row r="397" spans="1:33" s="583" customFormat="1" ht="15">
      <c r="A397" s="1259"/>
      <c r="B397" s="1259"/>
      <c r="C397" s="1259"/>
      <c r="D397" s="1259"/>
      <c r="E397" s="1259"/>
      <c r="F397" s="1259"/>
      <c r="H397" s="1259"/>
      <c r="J397" s="1272"/>
      <c r="L397" s="1272"/>
      <c r="N397" s="1259"/>
      <c r="P397" s="1272"/>
      <c r="R397" s="1272"/>
      <c r="T397" s="1259"/>
      <c r="V397" s="1272"/>
      <c r="X397" s="1272"/>
      <c r="Z397" s="1259"/>
      <c r="AB397" s="1272"/>
      <c r="AD397" s="1272"/>
      <c r="AG397" s="1259"/>
    </row>
    <row r="398" spans="1:33" s="583" customFormat="1" ht="15">
      <c r="A398" s="1259"/>
      <c r="B398" s="1259"/>
      <c r="C398" s="1259"/>
      <c r="D398" s="1259"/>
      <c r="E398" s="1259"/>
      <c r="F398" s="1259"/>
      <c r="H398" s="1259"/>
      <c r="J398" s="1272"/>
      <c r="L398" s="1272"/>
      <c r="N398" s="1259"/>
      <c r="P398" s="1272"/>
      <c r="R398" s="1272"/>
      <c r="T398" s="1259"/>
      <c r="V398" s="1272"/>
      <c r="X398" s="1272"/>
      <c r="Z398" s="1259"/>
      <c r="AB398" s="1272"/>
      <c r="AD398" s="1272"/>
      <c r="AG398" s="1259"/>
    </row>
    <row r="399" spans="1:33" s="583" customFormat="1" ht="15">
      <c r="A399" s="1259"/>
      <c r="B399" s="1259"/>
      <c r="C399" s="1259"/>
      <c r="D399" s="1259"/>
      <c r="E399" s="1259"/>
      <c r="F399" s="1259"/>
      <c r="H399" s="1259"/>
      <c r="J399" s="1272"/>
      <c r="L399" s="1272"/>
      <c r="N399" s="1259"/>
      <c r="P399" s="1272"/>
      <c r="R399" s="1272"/>
      <c r="T399" s="1259"/>
      <c r="V399" s="1272"/>
      <c r="X399" s="1272"/>
      <c r="Z399" s="1259"/>
      <c r="AB399" s="1272"/>
      <c r="AD399" s="1272"/>
      <c r="AG399" s="1259"/>
    </row>
    <row r="400" spans="1:33" s="583" customFormat="1" ht="15">
      <c r="A400" s="1259"/>
      <c r="B400" s="1259"/>
      <c r="C400" s="1259"/>
      <c r="D400" s="1259"/>
      <c r="E400" s="1259"/>
      <c r="F400" s="1259"/>
      <c r="H400" s="1259"/>
      <c r="J400" s="1272"/>
      <c r="L400" s="1272"/>
      <c r="N400" s="1259"/>
      <c r="P400" s="1272"/>
      <c r="R400" s="1272"/>
      <c r="T400" s="1259"/>
      <c r="V400" s="1272"/>
      <c r="X400" s="1272"/>
      <c r="Z400" s="1259"/>
      <c r="AB400" s="1272"/>
      <c r="AD400" s="1272"/>
      <c r="AG400" s="1259"/>
    </row>
    <row r="401" spans="1:33" s="583" customFormat="1" ht="15">
      <c r="A401" s="1259"/>
      <c r="B401" s="1259"/>
      <c r="C401" s="1259"/>
      <c r="D401" s="1259"/>
      <c r="E401" s="1259"/>
      <c r="F401" s="1259"/>
      <c r="H401" s="1259"/>
      <c r="J401" s="1272"/>
      <c r="L401" s="1272"/>
      <c r="N401" s="1259"/>
      <c r="P401" s="1272"/>
      <c r="R401" s="1272"/>
      <c r="T401" s="1259"/>
      <c r="V401" s="1272"/>
      <c r="X401" s="1272"/>
      <c r="Z401" s="1259"/>
      <c r="AB401" s="1272"/>
      <c r="AD401" s="1272"/>
      <c r="AG401" s="1259"/>
    </row>
    <row r="402" spans="1:33" s="583" customFormat="1" ht="15">
      <c r="A402" s="1259"/>
      <c r="B402" s="1259"/>
      <c r="C402" s="1259"/>
      <c r="D402" s="1259"/>
      <c r="E402" s="1259"/>
      <c r="F402" s="1259"/>
      <c r="H402" s="1259"/>
      <c r="J402" s="1272"/>
      <c r="L402" s="1272"/>
      <c r="N402" s="1259"/>
      <c r="P402" s="1272"/>
      <c r="R402" s="1272"/>
      <c r="T402" s="1259"/>
      <c r="V402" s="1272"/>
      <c r="X402" s="1272"/>
      <c r="Z402" s="1259"/>
      <c r="AB402" s="1272"/>
      <c r="AD402" s="1272"/>
      <c r="AG402" s="1259"/>
    </row>
    <row r="403" spans="1:33" s="583" customFormat="1" ht="15">
      <c r="A403" s="1259"/>
      <c r="B403" s="1259"/>
      <c r="C403" s="1259"/>
      <c r="D403" s="1259"/>
      <c r="E403" s="1259"/>
      <c r="F403" s="1259"/>
      <c r="H403" s="1259"/>
      <c r="J403" s="1272"/>
      <c r="L403" s="1272"/>
      <c r="N403" s="1259"/>
      <c r="P403" s="1272"/>
      <c r="R403" s="1272"/>
      <c r="T403" s="1259"/>
      <c r="V403" s="1272"/>
      <c r="X403" s="1272"/>
      <c r="Z403" s="1259"/>
      <c r="AB403" s="1272"/>
      <c r="AD403" s="1272"/>
      <c r="AG403" s="1259"/>
    </row>
    <row r="404" spans="1:33" s="583" customFormat="1" ht="15">
      <c r="A404" s="1259"/>
      <c r="B404" s="1259"/>
      <c r="C404" s="1259"/>
      <c r="D404" s="1259"/>
      <c r="E404" s="1259"/>
      <c r="F404" s="1259"/>
      <c r="H404" s="1259"/>
      <c r="J404" s="1272"/>
      <c r="L404" s="1272"/>
      <c r="N404" s="1259"/>
      <c r="P404" s="1272"/>
      <c r="R404" s="1272"/>
      <c r="T404" s="1259"/>
      <c r="V404" s="1272"/>
      <c r="X404" s="1272"/>
      <c r="Z404" s="1259"/>
      <c r="AB404" s="1272"/>
      <c r="AD404" s="1272"/>
      <c r="AG404" s="1259"/>
    </row>
    <row r="405" spans="1:33" s="583" customFormat="1" ht="15">
      <c r="A405" s="1259"/>
      <c r="B405" s="1259"/>
      <c r="C405" s="1259"/>
      <c r="D405" s="1259"/>
      <c r="E405" s="1259"/>
      <c r="F405" s="1259"/>
      <c r="H405" s="1259"/>
      <c r="J405" s="1272"/>
      <c r="L405" s="1272"/>
      <c r="N405" s="1259"/>
      <c r="P405" s="1272"/>
      <c r="R405" s="1272"/>
      <c r="T405" s="1259"/>
      <c r="V405" s="1272"/>
      <c r="X405" s="1272"/>
      <c r="Z405" s="1259"/>
      <c r="AB405" s="1272"/>
      <c r="AD405" s="1272"/>
      <c r="AG405" s="1259"/>
    </row>
    <row r="406" spans="1:33" s="583" customFormat="1" ht="15">
      <c r="A406" s="1259"/>
      <c r="B406" s="1259"/>
      <c r="C406" s="1259"/>
      <c r="D406" s="1259"/>
      <c r="E406" s="1259"/>
      <c r="F406" s="1259"/>
      <c r="H406" s="1259"/>
      <c r="J406" s="1272"/>
      <c r="L406" s="1272"/>
      <c r="N406" s="1259"/>
      <c r="P406" s="1272"/>
      <c r="R406" s="1272"/>
      <c r="T406" s="1259"/>
      <c r="V406" s="1272"/>
      <c r="X406" s="1272"/>
      <c r="Z406" s="1259"/>
      <c r="AB406" s="1272"/>
      <c r="AD406" s="1272"/>
      <c r="AG406" s="1259"/>
    </row>
    <row r="407" spans="1:33" s="583" customFormat="1" ht="15">
      <c r="A407" s="1259"/>
      <c r="B407" s="1259"/>
      <c r="C407" s="1259"/>
      <c r="D407" s="1259"/>
      <c r="E407" s="1259"/>
      <c r="F407" s="1259"/>
      <c r="H407" s="1259"/>
      <c r="J407" s="1272"/>
      <c r="L407" s="1272"/>
      <c r="N407" s="1259"/>
      <c r="P407" s="1272"/>
      <c r="R407" s="1272"/>
      <c r="T407" s="1259"/>
      <c r="V407" s="1272"/>
      <c r="X407" s="1272"/>
      <c r="Z407" s="1259"/>
      <c r="AB407" s="1272"/>
      <c r="AD407" s="1272"/>
      <c r="AG407" s="1259"/>
    </row>
    <row r="408" spans="1:33" s="583" customFormat="1" ht="15">
      <c r="A408" s="1259"/>
      <c r="B408" s="1259"/>
      <c r="C408" s="1259"/>
      <c r="D408" s="1259"/>
      <c r="E408" s="1259"/>
      <c r="F408" s="1259"/>
      <c r="H408" s="1259"/>
      <c r="J408" s="1272"/>
      <c r="L408" s="1272"/>
      <c r="N408" s="1259"/>
      <c r="P408" s="1272"/>
      <c r="R408" s="1272"/>
      <c r="T408" s="1259"/>
      <c r="V408" s="1272"/>
      <c r="X408" s="1272"/>
      <c r="Z408" s="1259"/>
      <c r="AB408" s="1272"/>
      <c r="AD408" s="1272"/>
      <c r="AG408" s="1259"/>
    </row>
    <row r="409" spans="1:33" s="583" customFormat="1" ht="15">
      <c r="A409" s="1259"/>
      <c r="B409" s="1259"/>
      <c r="C409" s="1259"/>
      <c r="D409" s="1259"/>
      <c r="E409" s="1259"/>
      <c r="F409" s="1259"/>
      <c r="H409" s="1259"/>
      <c r="J409" s="1272"/>
      <c r="L409" s="1272"/>
      <c r="N409" s="1259"/>
      <c r="P409" s="1272"/>
      <c r="R409" s="1272"/>
      <c r="T409" s="1259"/>
      <c r="V409" s="1272"/>
      <c r="X409" s="1272"/>
      <c r="Z409" s="1259"/>
      <c r="AB409" s="1272"/>
      <c r="AD409" s="1272"/>
      <c r="AG409" s="1259"/>
    </row>
    <row r="410" spans="1:33" s="583" customFormat="1" ht="15">
      <c r="A410" s="1259"/>
      <c r="B410" s="1259"/>
      <c r="C410" s="1259"/>
      <c r="D410" s="1259"/>
      <c r="E410" s="1259"/>
      <c r="F410" s="1259"/>
      <c r="H410" s="1259"/>
      <c r="J410" s="1272"/>
      <c r="L410" s="1272"/>
      <c r="N410" s="1259"/>
      <c r="P410" s="1272"/>
      <c r="R410" s="1272"/>
      <c r="T410" s="1259"/>
      <c r="V410" s="1272"/>
      <c r="X410" s="1272"/>
      <c r="Z410" s="1259"/>
      <c r="AB410" s="1272"/>
      <c r="AD410" s="1272"/>
      <c r="AG410" s="1259"/>
    </row>
    <row r="411" spans="1:33" s="583" customFormat="1" ht="15">
      <c r="A411" s="1259"/>
      <c r="B411" s="1259"/>
      <c r="C411" s="1259"/>
      <c r="D411" s="1259"/>
      <c r="E411" s="1259"/>
      <c r="F411" s="1259"/>
      <c r="H411" s="1259"/>
      <c r="J411" s="1272"/>
      <c r="L411" s="1272"/>
      <c r="N411" s="1259"/>
      <c r="P411" s="1272"/>
      <c r="R411" s="1272"/>
      <c r="T411" s="1259"/>
      <c r="V411" s="1272"/>
      <c r="X411" s="1272"/>
      <c r="Z411" s="1259"/>
      <c r="AB411" s="1272"/>
      <c r="AD411" s="1272"/>
      <c r="AG411" s="1259"/>
    </row>
    <row r="412" spans="1:33" s="583" customFormat="1" ht="15">
      <c r="A412" s="1259"/>
      <c r="B412" s="1259"/>
      <c r="C412" s="1259"/>
      <c r="D412" s="1259"/>
      <c r="E412" s="1259"/>
      <c r="F412" s="1259"/>
      <c r="H412" s="1259"/>
      <c r="J412" s="1272"/>
      <c r="L412" s="1272"/>
      <c r="N412" s="1259"/>
      <c r="P412" s="1272"/>
      <c r="R412" s="1272"/>
      <c r="T412" s="1259"/>
      <c r="V412" s="1272"/>
      <c r="X412" s="1272"/>
      <c r="Z412" s="1259"/>
      <c r="AB412" s="1272"/>
      <c r="AD412" s="1272"/>
      <c r="AG412" s="1259"/>
    </row>
    <row r="413" spans="1:33" s="583" customFormat="1" ht="15">
      <c r="A413" s="1259"/>
      <c r="B413" s="1259"/>
      <c r="C413" s="1259"/>
      <c r="D413" s="1259"/>
      <c r="E413" s="1259"/>
      <c r="F413" s="1259"/>
      <c r="H413" s="1259"/>
      <c r="J413" s="1272"/>
      <c r="L413" s="1272"/>
      <c r="N413" s="1259"/>
      <c r="P413" s="1272"/>
      <c r="R413" s="1272"/>
      <c r="T413" s="1259"/>
      <c r="V413" s="1272"/>
      <c r="X413" s="1272"/>
      <c r="Z413" s="1259"/>
      <c r="AB413" s="1272"/>
      <c r="AD413" s="1272"/>
      <c r="AG413" s="1259"/>
    </row>
    <row r="414" spans="1:33" s="583" customFormat="1" ht="15">
      <c r="A414" s="1259"/>
      <c r="B414" s="1259"/>
      <c r="C414" s="1259"/>
      <c r="D414" s="1259"/>
      <c r="E414" s="1259"/>
      <c r="F414" s="1259"/>
      <c r="H414" s="1259"/>
      <c r="J414" s="1272"/>
      <c r="L414" s="1272"/>
      <c r="N414" s="1259"/>
      <c r="P414" s="1272"/>
      <c r="R414" s="1272"/>
      <c r="T414" s="1259"/>
      <c r="V414" s="1272"/>
      <c r="X414" s="1272"/>
      <c r="Z414" s="1259"/>
      <c r="AB414" s="1272"/>
      <c r="AD414" s="1272"/>
      <c r="AG414" s="1259"/>
    </row>
    <row r="415" spans="1:33" s="583" customFormat="1" ht="15">
      <c r="A415" s="1259"/>
      <c r="B415" s="1259"/>
      <c r="C415" s="1259"/>
      <c r="D415" s="1259"/>
      <c r="E415" s="1259"/>
      <c r="F415" s="1259"/>
      <c r="H415" s="1259"/>
      <c r="J415" s="1272"/>
      <c r="L415" s="1272"/>
      <c r="N415" s="1259"/>
      <c r="P415" s="1272"/>
      <c r="R415" s="1272"/>
      <c r="T415" s="1259"/>
      <c r="V415" s="1272"/>
      <c r="X415" s="1272"/>
      <c r="Z415" s="1259"/>
      <c r="AB415" s="1272"/>
      <c r="AD415" s="1272"/>
      <c r="AG415" s="1259"/>
    </row>
    <row r="416" spans="1:33" s="583" customFormat="1" ht="15">
      <c r="A416" s="1259"/>
      <c r="B416" s="1259"/>
      <c r="C416" s="1259"/>
      <c r="D416" s="1259"/>
      <c r="E416" s="1259"/>
      <c r="F416" s="1259"/>
      <c r="H416" s="1259"/>
      <c r="J416" s="1272"/>
      <c r="L416" s="1272"/>
      <c r="N416" s="1259"/>
      <c r="P416" s="1272"/>
      <c r="R416" s="1272"/>
      <c r="T416" s="1259"/>
      <c r="V416" s="1272"/>
      <c r="X416" s="1272"/>
      <c r="Z416" s="1259"/>
      <c r="AB416" s="1272"/>
      <c r="AD416" s="1272"/>
      <c r="AG416" s="1259"/>
    </row>
    <row r="417" spans="1:33" s="583" customFormat="1" ht="15">
      <c r="A417" s="1259"/>
      <c r="B417" s="1259"/>
      <c r="C417" s="1259"/>
      <c r="D417" s="1259"/>
      <c r="E417" s="1259"/>
      <c r="F417" s="1259"/>
      <c r="H417" s="1259"/>
      <c r="J417" s="1272"/>
      <c r="L417" s="1272"/>
      <c r="N417" s="1259"/>
      <c r="P417" s="1272"/>
      <c r="R417" s="1272"/>
      <c r="T417" s="1259"/>
      <c r="V417" s="1272"/>
      <c r="X417" s="1272"/>
      <c r="Z417" s="1259"/>
      <c r="AB417" s="1272"/>
      <c r="AD417" s="1272"/>
      <c r="AG417" s="1259"/>
    </row>
    <row r="418" spans="1:33" s="583" customFormat="1" ht="15">
      <c r="A418" s="1259"/>
      <c r="B418" s="1259"/>
      <c r="C418" s="1259"/>
      <c r="D418" s="1259"/>
      <c r="E418" s="1259"/>
      <c r="F418" s="1259"/>
      <c r="H418" s="1259"/>
      <c r="J418" s="1272"/>
      <c r="L418" s="1272"/>
      <c r="N418" s="1259"/>
      <c r="P418" s="1272"/>
      <c r="R418" s="1272"/>
      <c r="T418" s="1259"/>
      <c r="V418" s="1272"/>
      <c r="X418" s="1272"/>
      <c r="Z418" s="1259"/>
      <c r="AB418" s="1272"/>
      <c r="AD418" s="1272"/>
      <c r="AG418" s="1259"/>
    </row>
    <row r="419" spans="1:33" s="583" customFormat="1" ht="15">
      <c r="A419" s="1259"/>
      <c r="B419" s="1259"/>
      <c r="C419" s="1259"/>
      <c r="D419" s="1259"/>
      <c r="E419" s="1259"/>
      <c r="F419" s="1259"/>
      <c r="H419" s="1259"/>
      <c r="J419" s="1272"/>
      <c r="L419" s="1272"/>
      <c r="N419" s="1259"/>
      <c r="P419" s="1272"/>
      <c r="R419" s="1272"/>
      <c r="T419" s="1259"/>
      <c r="V419" s="1272"/>
      <c r="X419" s="1272"/>
      <c r="Z419" s="1259"/>
      <c r="AB419" s="1272"/>
      <c r="AD419" s="1272"/>
      <c r="AG419" s="1259"/>
    </row>
    <row r="420" spans="1:33" s="583" customFormat="1" ht="15">
      <c r="A420" s="1259"/>
      <c r="B420" s="1259"/>
      <c r="C420" s="1259"/>
      <c r="D420" s="1259"/>
      <c r="E420" s="1259"/>
      <c r="F420" s="1259"/>
      <c r="H420" s="1259"/>
      <c r="J420" s="1272"/>
      <c r="L420" s="1272"/>
      <c r="N420" s="1259"/>
      <c r="P420" s="1272"/>
      <c r="R420" s="1272"/>
      <c r="T420" s="1259"/>
      <c r="V420" s="1272"/>
      <c r="X420" s="1272"/>
      <c r="Z420" s="1259"/>
      <c r="AB420" s="1272"/>
      <c r="AD420" s="1272"/>
      <c r="AG420" s="1259"/>
    </row>
    <row r="421" spans="1:33" s="583" customFormat="1" ht="15">
      <c r="A421" s="1259"/>
      <c r="B421" s="1259"/>
      <c r="C421" s="1259"/>
      <c r="D421" s="1259"/>
      <c r="E421" s="1259"/>
      <c r="F421" s="1259"/>
      <c r="H421" s="1259"/>
      <c r="J421" s="1272"/>
      <c r="L421" s="1272"/>
      <c r="N421" s="1259"/>
      <c r="P421" s="1272"/>
      <c r="R421" s="1272"/>
      <c r="T421" s="1259"/>
      <c r="V421" s="1272"/>
      <c r="X421" s="1272"/>
      <c r="Z421" s="1259"/>
      <c r="AB421" s="1272"/>
      <c r="AD421" s="1272"/>
      <c r="AG421" s="1259"/>
    </row>
    <row r="422" spans="1:33" s="583" customFormat="1" ht="15">
      <c r="A422" s="1259"/>
      <c r="B422" s="1259"/>
      <c r="C422" s="1259"/>
      <c r="D422" s="1259"/>
      <c r="E422" s="1259"/>
      <c r="F422" s="1259"/>
      <c r="H422" s="1259"/>
      <c r="J422" s="1272"/>
      <c r="L422" s="1272"/>
      <c r="N422" s="1259"/>
      <c r="P422" s="1272"/>
      <c r="R422" s="1272"/>
      <c r="T422" s="1259"/>
      <c r="V422" s="1272"/>
      <c r="X422" s="1272"/>
      <c r="Z422" s="1259"/>
      <c r="AB422" s="1272"/>
      <c r="AD422" s="1272"/>
      <c r="AG422" s="1259"/>
    </row>
    <row r="423" spans="1:33" s="583" customFormat="1" ht="15">
      <c r="A423" s="1259"/>
      <c r="B423" s="1259"/>
      <c r="C423" s="1259"/>
      <c r="D423" s="1259"/>
      <c r="E423" s="1259"/>
      <c r="F423" s="1259"/>
      <c r="H423" s="1259"/>
      <c r="J423" s="1272"/>
      <c r="L423" s="1272"/>
      <c r="N423" s="1259"/>
      <c r="P423" s="1272"/>
      <c r="R423" s="1272"/>
      <c r="T423" s="1259"/>
      <c r="V423" s="1272"/>
      <c r="X423" s="1272"/>
      <c r="Z423" s="1259"/>
      <c r="AB423" s="1272"/>
      <c r="AD423" s="1272"/>
      <c r="AG423" s="1259"/>
    </row>
    <row r="424" spans="1:33" s="583" customFormat="1" ht="15">
      <c r="A424" s="1259"/>
      <c r="B424" s="1259"/>
      <c r="C424" s="1259"/>
      <c r="D424" s="1259"/>
      <c r="E424" s="1259"/>
      <c r="F424" s="1259"/>
      <c r="H424" s="1259"/>
      <c r="J424" s="1272"/>
      <c r="L424" s="1272"/>
      <c r="N424" s="1259"/>
      <c r="P424" s="1272"/>
      <c r="R424" s="1272"/>
      <c r="T424" s="1259"/>
      <c r="V424" s="1272"/>
      <c r="X424" s="1272"/>
      <c r="Z424" s="1259"/>
      <c r="AB424" s="1272"/>
      <c r="AD424" s="1272"/>
      <c r="AG424" s="1259"/>
    </row>
    <row r="425" spans="1:33" s="583" customFormat="1" ht="15">
      <c r="A425" s="1259"/>
      <c r="B425" s="1259"/>
      <c r="C425" s="1259"/>
      <c r="D425" s="1259"/>
      <c r="E425" s="1259"/>
      <c r="F425" s="1259"/>
      <c r="H425" s="1259"/>
      <c r="J425" s="1272"/>
      <c r="L425" s="1272"/>
      <c r="N425" s="1259"/>
      <c r="P425" s="1272"/>
      <c r="R425" s="1272"/>
      <c r="T425" s="1259"/>
      <c r="V425" s="1272"/>
      <c r="X425" s="1272"/>
      <c r="Z425" s="1259"/>
      <c r="AB425" s="1272"/>
      <c r="AD425" s="1272"/>
      <c r="AG425" s="1259"/>
    </row>
    <row r="426" spans="1:33" s="583" customFormat="1" ht="15">
      <c r="A426" s="1259"/>
      <c r="B426" s="1259"/>
      <c r="C426" s="1259"/>
      <c r="D426" s="1259"/>
      <c r="E426" s="1259"/>
      <c r="F426" s="1259"/>
      <c r="H426" s="1259"/>
      <c r="J426" s="1272"/>
      <c r="L426" s="1272"/>
      <c r="N426" s="1259"/>
      <c r="P426" s="1272"/>
      <c r="R426" s="1272"/>
      <c r="T426" s="1259"/>
      <c r="V426" s="1272"/>
      <c r="X426" s="1272"/>
      <c r="Z426" s="1259"/>
      <c r="AB426" s="1272"/>
      <c r="AD426" s="1272"/>
      <c r="AG426" s="1259"/>
    </row>
    <row r="427" spans="1:33" s="583" customFormat="1" ht="15">
      <c r="A427" s="1259"/>
      <c r="B427" s="1259"/>
      <c r="C427" s="1259"/>
      <c r="D427" s="1259"/>
      <c r="E427" s="1259"/>
      <c r="F427" s="1259"/>
      <c r="H427" s="1259"/>
      <c r="J427" s="1272"/>
      <c r="L427" s="1272"/>
      <c r="N427" s="1259"/>
      <c r="P427" s="1272"/>
      <c r="R427" s="1272"/>
      <c r="T427" s="1259"/>
      <c r="V427" s="1272"/>
      <c r="X427" s="1272"/>
      <c r="Z427" s="1259"/>
      <c r="AB427" s="1272"/>
      <c r="AD427" s="1272"/>
      <c r="AG427" s="1259"/>
    </row>
    <row r="428" spans="1:33" s="583" customFormat="1" ht="15">
      <c r="A428" s="1259"/>
      <c r="B428" s="1259"/>
      <c r="C428" s="1259"/>
      <c r="D428" s="1259"/>
      <c r="E428" s="1259"/>
      <c r="F428" s="1259"/>
      <c r="H428" s="1259"/>
      <c r="J428" s="1272"/>
      <c r="L428" s="1272"/>
      <c r="N428" s="1259"/>
      <c r="P428" s="1272"/>
      <c r="R428" s="1272"/>
      <c r="T428" s="1259"/>
      <c r="V428" s="1272"/>
      <c r="X428" s="1272"/>
      <c r="Z428" s="1259"/>
      <c r="AB428" s="1272"/>
      <c r="AD428" s="1272"/>
      <c r="AG428" s="1259"/>
    </row>
    <row r="429" spans="1:33" s="583" customFormat="1" ht="15">
      <c r="A429" s="1259"/>
      <c r="B429" s="1259"/>
      <c r="C429" s="1259"/>
      <c r="D429" s="1259"/>
      <c r="E429" s="1259"/>
      <c r="F429" s="1259"/>
      <c r="H429" s="1259"/>
      <c r="J429" s="1272"/>
      <c r="L429" s="1272"/>
      <c r="N429" s="1259"/>
      <c r="P429" s="1272"/>
      <c r="R429" s="1272"/>
      <c r="T429" s="1259"/>
      <c r="V429" s="1272"/>
      <c r="X429" s="1272"/>
      <c r="Z429" s="1259"/>
      <c r="AB429" s="1272"/>
      <c r="AD429" s="1272"/>
      <c r="AG429" s="1259"/>
    </row>
    <row r="430" spans="1:33" s="583" customFormat="1" ht="15">
      <c r="A430" s="1259"/>
      <c r="B430" s="1259"/>
      <c r="C430" s="1259"/>
      <c r="D430" s="1259"/>
      <c r="E430" s="1259"/>
      <c r="F430" s="1259"/>
      <c r="H430" s="1259"/>
      <c r="J430" s="1272"/>
      <c r="L430" s="1272"/>
      <c r="N430" s="1259"/>
      <c r="P430" s="1272"/>
      <c r="R430" s="1272"/>
      <c r="T430" s="1259"/>
      <c r="V430" s="1272"/>
      <c r="X430" s="1272"/>
      <c r="Z430" s="1259"/>
      <c r="AB430" s="1272"/>
      <c r="AD430" s="1272"/>
      <c r="AG430" s="1259"/>
    </row>
    <row r="431" spans="1:33" s="583" customFormat="1" ht="15">
      <c r="A431" s="1259"/>
      <c r="B431" s="1259"/>
      <c r="C431" s="1259"/>
      <c r="D431" s="1259"/>
      <c r="E431" s="1259"/>
      <c r="F431" s="1259"/>
      <c r="H431" s="1259"/>
      <c r="J431" s="1272"/>
      <c r="L431" s="1272"/>
      <c r="N431" s="1259"/>
      <c r="P431" s="1272"/>
      <c r="R431" s="1272"/>
      <c r="T431" s="1259"/>
      <c r="V431" s="1272"/>
      <c r="X431" s="1272"/>
      <c r="Z431" s="1259"/>
      <c r="AB431" s="1272"/>
      <c r="AD431" s="1272"/>
      <c r="AG431" s="1259"/>
    </row>
    <row r="432" spans="1:33" s="583" customFormat="1" ht="15">
      <c r="A432" s="1259"/>
      <c r="B432" s="1259"/>
      <c r="C432" s="1259"/>
      <c r="D432" s="1259"/>
      <c r="E432" s="1259"/>
      <c r="F432" s="1259"/>
      <c r="H432" s="1259"/>
      <c r="J432" s="1272"/>
      <c r="L432" s="1272"/>
      <c r="N432" s="1259"/>
      <c r="P432" s="1272"/>
      <c r="R432" s="1272"/>
      <c r="T432" s="1259"/>
      <c r="V432" s="1272"/>
      <c r="X432" s="1272"/>
      <c r="Z432" s="1259"/>
      <c r="AB432" s="1272"/>
      <c r="AD432" s="1272"/>
      <c r="AG432" s="1259"/>
    </row>
    <row r="433" spans="1:33" s="583" customFormat="1" ht="15">
      <c r="A433" s="1259"/>
      <c r="B433" s="1259"/>
      <c r="C433" s="1259"/>
      <c r="D433" s="1259"/>
      <c r="E433" s="1259"/>
      <c r="F433" s="1259"/>
      <c r="H433" s="1259"/>
      <c r="J433" s="1272"/>
      <c r="L433" s="1272"/>
      <c r="N433" s="1259"/>
      <c r="P433" s="1272"/>
      <c r="R433" s="1272"/>
      <c r="T433" s="1259"/>
      <c r="V433" s="1272"/>
      <c r="X433" s="1272"/>
      <c r="Z433" s="1259"/>
      <c r="AB433" s="1272"/>
      <c r="AD433" s="1272"/>
      <c r="AG433" s="1259"/>
    </row>
    <row r="434" spans="1:33" s="583" customFormat="1" ht="15">
      <c r="A434" s="1259"/>
      <c r="B434" s="1259"/>
      <c r="C434" s="1259"/>
      <c r="D434" s="1259"/>
      <c r="E434" s="1259"/>
      <c r="F434" s="1259"/>
      <c r="H434" s="1259"/>
      <c r="J434" s="1272"/>
      <c r="L434" s="1272"/>
      <c r="N434" s="1259"/>
      <c r="P434" s="1272"/>
      <c r="R434" s="1272"/>
      <c r="T434" s="1259"/>
      <c r="V434" s="1272"/>
      <c r="X434" s="1272"/>
      <c r="Z434" s="1259"/>
      <c r="AB434" s="1272"/>
      <c r="AD434" s="1272"/>
      <c r="AG434" s="1259"/>
    </row>
    <row r="435" spans="1:33" s="583" customFormat="1" ht="15">
      <c r="A435" s="1259"/>
      <c r="B435" s="1259"/>
      <c r="C435" s="1259"/>
      <c r="D435" s="1259"/>
      <c r="E435" s="1259"/>
      <c r="F435" s="1259"/>
      <c r="H435" s="1259"/>
      <c r="J435" s="1272"/>
      <c r="L435" s="1272"/>
      <c r="N435" s="1259"/>
      <c r="P435" s="1272"/>
      <c r="R435" s="1272"/>
      <c r="T435" s="1259"/>
      <c r="V435" s="1272"/>
      <c r="X435" s="1272"/>
      <c r="Z435" s="1259"/>
      <c r="AB435" s="1272"/>
      <c r="AD435" s="1272"/>
      <c r="AG435" s="1259"/>
    </row>
    <row r="436" spans="1:33" s="583" customFormat="1" ht="15">
      <c r="A436" s="1259"/>
      <c r="B436" s="1259"/>
      <c r="C436" s="1259"/>
      <c r="D436" s="1259"/>
      <c r="E436" s="1259"/>
      <c r="F436" s="1259"/>
      <c r="H436" s="1259"/>
      <c r="J436" s="1272"/>
      <c r="L436" s="1272"/>
      <c r="N436" s="1259"/>
      <c r="P436" s="1272"/>
      <c r="R436" s="1272"/>
      <c r="T436" s="1259"/>
      <c r="V436" s="1272"/>
      <c r="X436" s="1272"/>
      <c r="Z436" s="1259"/>
      <c r="AB436" s="1272"/>
      <c r="AD436" s="1272"/>
      <c r="AG436" s="1259"/>
    </row>
    <row r="437" spans="1:33" s="583" customFormat="1" ht="15">
      <c r="A437" s="1259"/>
      <c r="B437" s="1259"/>
      <c r="C437" s="1259"/>
      <c r="D437" s="1259"/>
      <c r="E437" s="1259"/>
      <c r="F437" s="1259"/>
      <c r="H437" s="1259"/>
      <c r="J437" s="1272"/>
      <c r="L437" s="1272"/>
      <c r="N437" s="1259"/>
      <c r="P437" s="1272"/>
      <c r="R437" s="1272"/>
      <c r="T437" s="1259"/>
      <c r="V437" s="1272"/>
      <c r="X437" s="1272"/>
      <c r="Z437" s="1259"/>
      <c r="AB437" s="1272"/>
      <c r="AD437" s="1272"/>
      <c r="AG437" s="1259"/>
    </row>
    <row r="438" spans="1:33" s="583" customFormat="1" ht="15">
      <c r="A438" s="1259"/>
      <c r="B438" s="1259"/>
      <c r="C438" s="1259"/>
      <c r="D438" s="1259"/>
      <c r="E438" s="1259"/>
      <c r="F438" s="1259"/>
      <c r="H438" s="1259"/>
      <c r="J438" s="1272"/>
      <c r="L438" s="1272"/>
      <c r="N438" s="1259"/>
      <c r="P438" s="1272"/>
      <c r="R438" s="1272"/>
      <c r="T438" s="1259"/>
      <c r="V438" s="1272"/>
      <c r="X438" s="1272"/>
      <c r="Z438" s="1259"/>
      <c r="AB438" s="1272"/>
      <c r="AD438" s="1272"/>
      <c r="AG438" s="1259"/>
    </row>
    <row r="439" spans="1:33" s="583" customFormat="1" ht="15">
      <c r="A439" s="1259"/>
      <c r="B439" s="1259"/>
      <c r="C439" s="1259"/>
      <c r="D439" s="1259"/>
      <c r="E439" s="1259"/>
      <c r="F439" s="1259"/>
      <c r="H439" s="1259"/>
      <c r="J439" s="1272"/>
      <c r="L439" s="1272"/>
      <c r="N439" s="1259"/>
      <c r="P439" s="1272"/>
      <c r="R439" s="1272"/>
      <c r="T439" s="1259"/>
      <c r="V439" s="1272"/>
      <c r="X439" s="1272"/>
      <c r="Z439" s="1259"/>
      <c r="AB439" s="1272"/>
      <c r="AD439" s="1272"/>
      <c r="AG439" s="1259"/>
    </row>
    <row r="440" spans="1:33" s="583" customFormat="1" ht="15">
      <c r="A440" s="1259"/>
      <c r="B440" s="1259"/>
      <c r="C440" s="1259"/>
      <c r="D440" s="1259"/>
      <c r="E440" s="1259"/>
      <c r="F440" s="1259"/>
      <c r="H440" s="1259"/>
      <c r="J440" s="1272"/>
      <c r="L440" s="1272"/>
      <c r="N440" s="1259"/>
      <c r="P440" s="1272"/>
      <c r="R440" s="1272"/>
      <c r="T440" s="1259"/>
      <c r="V440" s="1272"/>
      <c r="X440" s="1272"/>
      <c r="Z440" s="1259"/>
      <c r="AB440" s="1272"/>
      <c r="AD440" s="1272"/>
      <c r="AG440" s="1259"/>
    </row>
    <row r="441" spans="1:33" s="583" customFormat="1" ht="15">
      <c r="A441" s="1259"/>
      <c r="B441" s="1259"/>
      <c r="C441" s="1259"/>
      <c r="D441" s="1259"/>
      <c r="E441" s="1259"/>
      <c r="F441" s="1259"/>
      <c r="H441" s="1259"/>
      <c r="J441" s="1272"/>
      <c r="L441" s="1272"/>
      <c r="N441" s="1259"/>
      <c r="P441" s="1272"/>
      <c r="R441" s="1272"/>
      <c r="T441" s="1259"/>
      <c r="V441" s="1272"/>
      <c r="X441" s="1272"/>
      <c r="Z441" s="1259"/>
      <c r="AB441" s="1272"/>
      <c r="AD441" s="1272"/>
      <c r="AG441" s="1259"/>
    </row>
    <row r="442" spans="1:33" s="583" customFormat="1" ht="15">
      <c r="A442" s="1259"/>
      <c r="B442" s="1259"/>
      <c r="C442" s="1259"/>
      <c r="D442" s="1259"/>
      <c r="E442" s="1259"/>
      <c r="F442" s="1259"/>
      <c r="H442" s="1259"/>
      <c r="J442" s="1272"/>
      <c r="L442" s="1272"/>
      <c r="N442" s="1259"/>
      <c r="P442" s="1272"/>
      <c r="R442" s="1272"/>
      <c r="T442" s="1259"/>
      <c r="V442" s="1272"/>
      <c r="X442" s="1272"/>
      <c r="Z442" s="1259"/>
      <c r="AB442" s="1272"/>
      <c r="AD442" s="1272"/>
      <c r="AG442" s="1259"/>
    </row>
    <row r="443" spans="1:33" s="583" customFormat="1" ht="15">
      <c r="A443" s="1259"/>
      <c r="B443" s="1259"/>
      <c r="C443" s="1259"/>
      <c r="D443" s="1259"/>
      <c r="E443" s="1259"/>
      <c r="F443" s="1259"/>
      <c r="H443" s="1259"/>
      <c r="J443" s="1272"/>
      <c r="L443" s="1272"/>
      <c r="N443" s="1259"/>
      <c r="P443" s="1272"/>
      <c r="R443" s="1272"/>
      <c r="T443" s="1259"/>
      <c r="V443" s="1272"/>
      <c r="X443" s="1272"/>
      <c r="Z443" s="1259"/>
      <c r="AB443" s="1272"/>
      <c r="AD443" s="1272"/>
      <c r="AG443" s="1259"/>
    </row>
    <row r="444" spans="1:33" s="583" customFormat="1" ht="15">
      <c r="A444" s="1259"/>
      <c r="B444" s="1259"/>
      <c r="C444" s="1259"/>
      <c r="D444" s="1259"/>
      <c r="E444" s="1259"/>
      <c r="F444" s="1259"/>
      <c r="H444" s="1259"/>
      <c r="J444" s="1272"/>
      <c r="L444" s="1272"/>
      <c r="N444" s="1259"/>
      <c r="P444" s="1272"/>
      <c r="R444" s="1272"/>
      <c r="T444" s="1259"/>
      <c r="V444" s="1272"/>
      <c r="X444" s="1272"/>
      <c r="Z444" s="1259"/>
      <c r="AB444" s="1272"/>
      <c r="AD444" s="1272"/>
      <c r="AG444" s="1259"/>
    </row>
    <row r="445" spans="1:33" s="583" customFormat="1" ht="15">
      <c r="A445" s="1259"/>
      <c r="B445" s="1259"/>
      <c r="C445" s="1259"/>
      <c r="D445" s="1259"/>
      <c r="E445" s="1259"/>
      <c r="F445" s="1259"/>
      <c r="H445" s="1259"/>
      <c r="J445" s="1272"/>
      <c r="L445" s="1272"/>
      <c r="N445" s="1259"/>
      <c r="P445" s="1272"/>
      <c r="R445" s="1272"/>
      <c r="T445" s="1259"/>
      <c r="V445" s="1272"/>
      <c r="X445" s="1272"/>
      <c r="Z445" s="1259"/>
      <c r="AB445" s="1272"/>
      <c r="AD445" s="1272"/>
      <c r="AG445" s="1259"/>
    </row>
    <row r="446" spans="1:33" s="583" customFormat="1" ht="15">
      <c r="A446" s="1259"/>
      <c r="B446" s="1259"/>
      <c r="C446" s="1259"/>
      <c r="D446" s="1259"/>
      <c r="E446" s="1259"/>
      <c r="F446" s="1259"/>
      <c r="H446" s="1259"/>
      <c r="J446" s="1272"/>
      <c r="L446" s="1272"/>
      <c r="N446" s="1259"/>
      <c r="P446" s="1272"/>
      <c r="R446" s="1272"/>
      <c r="T446" s="1259"/>
      <c r="V446" s="1272"/>
      <c r="X446" s="1272"/>
      <c r="Z446" s="1259"/>
      <c r="AB446" s="1272"/>
      <c r="AD446" s="1272"/>
      <c r="AG446" s="1259"/>
    </row>
    <row r="447" spans="1:33" s="583" customFormat="1" ht="15">
      <c r="A447" s="1259"/>
      <c r="B447" s="1259"/>
      <c r="C447" s="1259"/>
      <c r="D447" s="1259"/>
      <c r="E447" s="1259"/>
      <c r="F447" s="1259"/>
      <c r="H447" s="1259"/>
      <c r="J447" s="1272"/>
      <c r="L447" s="1272"/>
      <c r="N447" s="1259"/>
      <c r="P447" s="1272"/>
      <c r="R447" s="1272"/>
      <c r="T447" s="1259"/>
      <c r="V447" s="1272"/>
      <c r="X447" s="1272"/>
      <c r="Z447" s="1259"/>
      <c r="AB447" s="1272"/>
      <c r="AD447" s="1272"/>
      <c r="AG447" s="1259"/>
    </row>
    <row r="448" spans="1:33" s="583" customFormat="1" ht="15">
      <c r="A448" s="1259"/>
      <c r="B448" s="1259"/>
      <c r="C448" s="1259"/>
      <c r="D448" s="1259"/>
      <c r="E448" s="1259"/>
      <c r="F448" s="1259"/>
      <c r="H448" s="1259"/>
      <c r="J448" s="1272"/>
      <c r="L448" s="1272"/>
      <c r="N448" s="1259"/>
      <c r="P448" s="1272"/>
      <c r="R448" s="1272"/>
      <c r="T448" s="1259"/>
      <c r="V448" s="1272"/>
      <c r="X448" s="1272"/>
      <c r="Z448" s="1259"/>
      <c r="AB448" s="1272"/>
      <c r="AD448" s="1272"/>
      <c r="AG448" s="1259"/>
    </row>
    <row r="449" spans="1:33" s="583" customFormat="1" ht="15">
      <c r="A449" s="1259"/>
      <c r="B449" s="1259"/>
      <c r="C449" s="1259"/>
      <c r="D449" s="1259"/>
      <c r="E449" s="1259"/>
      <c r="F449" s="1259"/>
      <c r="H449" s="1259"/>
      <c r="J449" s="1272"/>
      <c r="L449" s="1272"/>
      <c r="N449" s="1259"/>
      <c r="P449" s="1272"/>
      <c r="R449" s="1272"/>
      <c r="T449" s="1259"/>
      <c r="V449" s="1272"/>
      <c r="X449" s="1272"/>
      <c r="Z449" s="1259"/>
      <c r="AB449" s="1272"/>
      <c r="AD449" s="1272"/>
      <c r="AG449" s="1259"/>
    </row>
    <row r="450" spans="1:33" s="583" customFormat="1" ht="15">
      <c r="A450" s="1259"/>
      <c r="B450" s="1259"/>
      <c r="C450" s="1259"/>
      <c r="D450" s="1259"/>
      <c r="E450" s="1259"/>
      <c r="F450" s="1259"/>
      <c r="H450" s="1259"/>
      <c r="J450" s="1272"/>
      <c r="L450" s="1272"/>
      <c r="N450" s="1259"/>
      <c r="P450" s="1272"/>
      <c r="R450" s="1272"/>
      <c r="T450" s="1259"/>
      <c r="V450" s="1272"/>
      <c r="X450" s="1272"/>
      <c r="Z450" s="1259"/>
      <c r="AB450" s="1272"/>
      <c r="AD450" s="1272"/>
      <c r="AG450" s="1259"/>
    </row>
    <row r="451" spans="1:33" s="583" customFormat="1" ht="15">
      <c r="A451" s="1259"/>
      <c r="B451" s="1259"/>
      <c r="C451" s="1259"/>
      <c r="D451" s="1259"/>
      <c r="E451" s="1259"/>
      <c r="F451" s="1259"/>
      <c r="H451" s="1259"/>
      <c r="J451" s="1272"/>
      <c r="L451" s="1272"/>
      <c r="N451" s="1259"/>
      <c r="P451" s="1272"/>
      <c r="R451" s="1272"/>
      <c r="T451" s="1259"/>
      <c r="V451" s="1272"/>
      <c r="X451" s="1272"/>
      <c r="Z451" s="1259"/>
      <c r="AB451" s="1272"/>
      <c r="AD451" s="1272"/>
      <c r="AG451" s="1259"/>
    </row>
    <row r="452" spans="1:33" s="583" customFormat="1" ht="15">
      <c r="A452" s="1259"/>
      <c r="B452" s="1259"/>
      <c r="C452" s="1259"/>
      <c r="D452" s="1259"/>
      <c r="E452" s="1259"/>
      <c r="F452" s="1259"/>
      <c r="H452" s="1259"/>
      <c r="J452" s="1272"/>
      <c r="L452" s="1272"/>
      <c r="N452" s="1259"/>
      <c r="P452" s="1272"/>
      <c r="R452" s="1272"/>
      <c r="T452" s="1259"/>
      <c r="V452" s="1272"/>
      <c r="X452" s="1272"/>
      <c r="Z452" s="1259"/>
      <c r="AB452" s="1272"/>
      <c r="AD452" s="1272"/>
      <c r="AG452" s="1259"/>
    </row>
    <row r="453" spans="1:33" s="583" customFormat="1" ht="15">
      <c r="A453" s="1259"/>
      <c r="B453" s="1259"/>
      <c r="C453" s="1259"/>
      <c r="D453" s="1259"/>
      <c r="E453" s="1259"/>
      <c r="F453" s="1259"/>
      <c r="H453" s="1259"/>
      <c r="J453" s="1272"/>
      <c r="L453" s="1272"/>
      <c r="N453" s="1259"/>
      <c r="P453" s="1272"/>
      <c r="R453" s="1272"/>
      <c r="T453" s="1259"/>
      <c r="V453" s="1272"/>
      <c r="X453" s="1272"/>
      <c r="Z453" s="1259"/>
      <c r="AB453" s="1272"/>
      <c r="AD453" s="1272"/>
      <c r="AG453" s="1259"/>
    </row>
    <row r="454" spans="1:33" s="583" customFormat="1" ht="15">
      <c r="A454" s="1259"/>
      <c r="B454" s="1259"/>
      <c r="C454" s="1259"/>
      <c r="D454" s="1259"/>
      <c r="E454" s="1259"/>
      <c r="F454" s="1259"/>
      <c r="H454" s="1259"/>
      <c r="J454" s="1272"/>
      <c r="L454" s="1272"/>
      <c r="N454" s="1259"/>
      <c r="P454" s="1272"/>
      <c r="R454" s="1272"/>
      <c r="T454" s="1259"/>
      <c r="V454" s="1272"/>
      <c r="X454" s="1272"/>
      <c r="Z454" s="1259"/>
      <c r="AB454" s="1272"/>
      <c r="AD454" s="1272"/>
      <c r="AG454" s="1259"/>
    </row>
    <row r="455" spans="1:33" s="583" customFormat="1" ht="15">
      <c r="A455" s="1259"/>
      <c r="B455" s="1259"/>
      <c r="C455" s="1259"/>
      <c r="D455" s="1259"/>
      <c r="E455" s="1259"/>
      <c r="F455" s="1259"/>
      <c r="H455" s="1259"/>
      <c r="J455" s="1272"/>
      <c r="L455" s="1272"/>
      <c r="N455" s="1259"/>
      <c r="P455" s="1272"/>
      <c r="R455" s="1272"/>
      <c r="T455" s="1259"/>
      <c r="V455" s="1272"/>
      <c r="X455" s="1272"/>
      <c r="Z455" s="1259"/>
      <c r="AB455" s="1272"/>
      <c r="AD455" s="1272"/>
      <c r="AG455" s="1259"/>
    </row>
    <row r="456" spans="1:33" s="583" customFormat="1" ht="15">
      <c r="A456" s="1259"/>
      <c r="B456" s="1259"/>
      <c r="C456" s="1259"/>
      <c r="D456" s="1259"/>
      <c r="E456" s="1259"/>
      <c r="F456" s="1259"/>
      <c r="H456" s="1259"/>
      <c r="J456" s="1272"/>
      <c r="L456" s="1272"/>
      <c r="N456" s="1259"/>
      <c r="P456" s="1272"/>
      <c r="R456" s="1272"/>
      <c r="T456" s="1259"/>
      <c r="V456" s="1272"/>
      <c r="X456" s="1272"/>
      <c r="Z456" s="1259"/>
      <c r="AB456" s="1272"/>
      <c r="AD456" s="1272"/>
      <c r="AG456" s="1259"/>
    </row>
    <row r="457" spans="1:33" s="583" customFormat="1" ht="15">
      <c r="A457" s="1259"/>
      <c r="B457" s="1259"/>
      <c r="C457" s="1259"/>
      <c r="D457" s="1259"/>
      <c r="E457" s="1259"/>
      <c r="F457" s="1259"/>
      <c r="H457" s="1259"/>
      <c r="J457" s="1272"/>
      <c r="L457" s="1272"/>
      <c r="N457" s="1259"/>
      <c r="P457" s="1272"/>
      <c r="R457" s="1272"/>
      <c r="T457" s="1259"/>
      <c r="V457" s="1272"/>
      <c r="X457" s="1272"/>
      <c r="Z457" s="1259"/>
      <c r="AB457" s="1272"/>
      <c r="AD457" s="1272"/>
      <c r="AG457" s="1259"/>
    </row>
    <row r="458" spans="1:33" s="583" customFormat="1" ht="15">
      <c r="A458" s="1259"/>
      <c r="B458" s="1259"/>
      <c r="C458" s="1259"/>
      <c r="D458" s="1259"/>
      <c r="E458" s="1259"/>
      <c r="F458" s="1259"/>
      <c r="H458" s="1259"/>
      <c r="J458" s="1272"/>
      <c r="L458" s="1272"/>
      <c r="N458" s="1259"/>
      <c r="P458" s="1272"/>
      <c r="R458" s="1272"/>
      <c r="T458" s="1259"/>
      <c r="V458" s="1272"/>
      <c r="X458" s="1272"/>
      <c r="Z458" s="1259"/>
      <c r="AB458" s="1272"/>
      <c r="AD458" s="1272"/>
      <c r="AG458" s="1259"/>
    </row>
    <row r="459" spans="1:33" s="583" customFormat="1" ht="15">
      <c r="A459" s="1259"/>
      <c r="B459" s="1259"/>
      <c r="C459" s="1259"/>
      <c r="D459" s="1259"/>
      <c r="E459" s="1259"/>
      <c r="F459" s="1259"/>
      <c r="H459" s="1259"/>
      <c r="J459" s="1272"/>
      <c r="L459" s="1272"/>
      <c r="N459" s="1259"/>
      <c r="P459" s="1272"/>
      <c r="R459" s="1272"/>
      <c r="T459" s="1259"/>
      <c r="V459" s="1272"/>
      <c r="X459" s="1272"/>
      <c r="Z459" s="1259"/>
      <c r="AB459" s="1272"/>
      <c r="AD459" s="1272"/>
      <c r="AG459" s="1259"/>
    </row>
    <row r="460" spans="1:33" s="583" customFormat="1" ht="15">
      <c r="A460" s="1259"/>
      <c r="B460" s="1259"/>
      <c r="C460" s="1259"/>
      <c r="D460" s="1259"/>
      <c r="E460" s="1259"/>
      <c r="F460" s="1259"/>
      <c r="H460" s="1259"/>
      <c r="J460" s="1272"/>
      <c r="L460" s="1272"/>
      <c r="N460" s="1259"/>
      <c r="P460" s="1272"/>
      <c r="R460" s="1272"/>
      <c r="T460" s="1259"/>
      <c r="V460" s="1272"/>
      <c r="X460" s="1272"/>
      <c r="Z460" s="1259"/>
      <c r="AB460" s="1272"/>
      <c r="AD460" s="1272"/>
      <c r="AG460" s="1259"/>
    </row>
    <row r="461" spans="1:33" s="583" customFormat="1" ht="15">
      <c r="A461" s="1259"/>
      <c r="B461" s="1259"/>
      <c r="C461" s="1259"/>
      <c r="D461" s="1259"/>
      <c r="E461" s="1259"/>
      <c r="F461" s="1259"/>
      <c r="H461" s="1259"/>
      <c r="J461" s="1272"/>
      <c r="L461" s="1272"/>
      <c r="N461" s="1259"/>
      <c r="P461" s="1272"/>
      <c r="R461" s="1272"/>
      <c r="T461" s="1259"/>
      <c r="V461" s="1272"/>
      <c r="X461" s="1272"/>
      <c r="Z461" s="1259"/>
      <c r="AB461" s="1272"/>
      <c r="AD461" s="1272"/>
      <c r="AG461" s="1259"/>
    </row>
    <row r="462" spans="1:33" s="583" customFormat="1" ht="15">
      <c r="A462" s="1259"/>
      <c r="B462" s="1259"/>
      <c r="C462" s="1259"/>
      <c r="D462" s="1259"/>
      <c r="E462" s="1259"/>
      <c r="F462" s="1259"/>
      <c r="H462" s="1259"/>
      <c r="J462" s="1272"/>
      <c r="L462" s="1272"/>
      <c r="N462" s="1259"/>
      <c r="P462" s="1272"/>
      <c r="R462" s="1272"/>
      <c r="T462" s="1259"/>
      <c r="V462" s="1272"/>
      <c r="X462" s="1272"/>
      <c r="Z462" s="1259"/>
      <c r="AB462" s="1272"/>
      <c r="AD462" s="1272"/>
      <c r="AG462" s="1259"/>
    </row>
    <row r="463" spans="1:33" s="583" customFormat="1" ht="15">
      <c r="A463" s="1259"/>
      <c r="B463" s="1259"/>
      <c r="C463" s="1259"/>
      <c r="D463" s="1259"/>
      <c r="E463" s="1259"/>
      <c r="F463" s="1259"/>
      <c r="H463" s="1259"/>
      <c r="J463" s="1272"/>
      <c r="L463" s="1272"/>
      <c r="N463" s="1259"/>
      <c r="P463" s="1272"/>
      <c r="R463" s="1272"/>
      <c r="T463" s="1259"/>
      <c r="V463" s="1272"/>
      <c r="X463" s="1272"/>
      <c r="Z463" s="1259"/>
      <c r="AB463" s="1272"/>
      <c r="AD463" s="1272"/>
      <c r="AG463" s="1259"/>
    </row>
    <row r="464" spans="1:33" s="583" customFormat="1" ht="15">
      <c r="A464" s="1259"/>
      <c r="B464" s="1259"/>
      <c r="C464" s="1259"/>
      <c r="D464" s="1259"/>
      <c r="E464" s="1259"/>
      <c r="F464" s="1259"/>
      <c r="H464" s="1259"/>
      <c r="J464" s="1272"/>
      <c r="L464" s="1272"/>
      <c r="N464" s="1259"/>
      <c r="P464" s="1272"/>
      <c r="R464" s="1272"/>
      <c r="T464" s="1259"/>
      <c r="V464" s="1272"/>
      <c r="X464" s="1272"/>
      <c r="Z464" s="1259"/>
      <c r="AB464" s="1272"/>
      <c r="AD464" s="1272"/>
      <c r="AG464" s="1259"/>
    </row>
    <row r="465" spans="1:33" s="583" customFormat="1" ht="15">
      <c r="A465" s="1259"/>
      <c r="B465" s="1259"/>
      <c r="C465" s="1259"/>
      <c r="D465" s="1259"/>
      <c r="E465" s="1259"/>
      <c r="F465" s="1259"/>
      <c r="H465" s="1259"/>
      <c r="J465" s="1272"/>
      <c r="L465" s="1272"/>
      <c r="N465" s="1259"/>
      <c r="P465" s="1272"/>
      <c r="R465" s="1272"/>
      <c r="T465" s="1259"/>
      <c r="V465" s="1272"/>
      <c r="X465" s="1272"/>
      <c r="Z465" s="1259"/>
      <c r="AB465" s="1272"/>
      <c r="AD465" s="1272"/>
      <c r="AG465" s="1259"/>
    </row>
    <row r="466" spans="1:33" s="583" customFormat="1" ht="15">
      <c r="A466" s="1259"/>
      <c r="B466" s="1259"/>
      <c r="C466" s="1259"/>
      <c r="D466" s="1259"/>
      <c r="E466" s="1259"/>
      <c r="F466" s="1259"/>
      <c r="H466" s="1259"/>
      <c r="J466" s="1272"/>
      <c r="L466" s="1272"/>
      <c r="N466" s="1259"/>
      <c r="P466" s="1272"/>
      <c r="R466" s="1272"/>
      <c r="T466" s="1259"/>
      <c r="V466" s="1272"/>
      <c r="X466" s="1272"/>
      <c r="Z466" s="1259"/>
      <c r="AB466" s="1272"/>
      <c r="AD466" s="1272"/>
      <c r="AG466" s="1259"/>
    </row>
    <row r="467" spans="1:33" s="583" customFormat="1" ht="15">
      <c r="A467" s="1259"/>
      <c r="B467" s="1259"/>
      <c r="C467" s="1259"/>
      <c r="D467" s="1259"/>
      <c r="E467" s="1259"/>
      <c r="F467" s="1259"/>
      <c r="H467" s="1259"/>
      <c r="J467" s="1272"/>
      <c r="L467" s="1272"/>
      <c r="N467" s="1259"/>
      <c r="P467" s="1272"/>
      <c r="R467" s="1272"/>
      <c r="T467" s="1259"/>
      <c r="V467" s="1272"/>
      <c r="X467" s="1272"/>
      <c r="Z467" s="1259"/>
      <c r="AB467" s="1272"/>
      <c r="AD467" s="1272"/>
      <c r="AG467" s="1259"/>
    </row>
    <row r="468" spans="1:33" s="583" customFormat="1" ht="15">
      <c r="A468" s="1259"/>
      <c r="B468" s="1259"/>
      <c r="C468" s="1259"/>
      <c r="D468" s="1259"/>
      <c r="E468" s="1259"/>
      <c r="F468" s="1259"/>
      <c r="H468" s="1259"/>
      <c r="J468" s="1272"/>
      <c r="L468" s="1272"/>
      <c r="N468" s="1259"/>
      <c r="P468" s="1272"/>
      <c r="R468" s="1272"/>
      <c r="T468" s="1259"/>
      <c r="V468" s="1272"/>
      <c r="X468" s="1272"/>
      <c r="Z468" s="1259"/>
      <c r="AB468" s="1272"/>
      <c r="AD468" s="1272"/>
      <c r="AG468" s="1259"/>
    </row>
    <row r="469" spans="1:33" s="583" customFormat="1" ht="15">
      <c r="A469" s="1259"/>
      <c r="B469" s="1259"/>
      <c r="C469" s="1259"/>
      <c r="D469" s="1259"/>
      <c r="E469" s="1259"/>
      <c r="F469" s="1259"/>
      <c r="H469" s="1259"/>
      <c r="J469" s="1272"/>
      <c r="L469" s="1272"/>
      <c r="N469" s="1259"/>
      <c r="P469" s="1272"/>
      <c r="R469" s="1272"/>
      <c r="T469" s="1259"/>
      <c r="V469" s="1272"/>
      <c r="X469" s="1272"/>
      <c r="Z469" s="1259"/>
      <c r="AB469" s="1272"/>
      <c r="AD469" s="1272"/>
      <c r="AG469" s="1259"/>
    </row>
    <row r="470" spans="1:33" s="583" customFormat="1" ht="15">
      <c r="A470" s="1259"/>
      <c r="B470" s="1259"/>
      <c r="C470" s="1259"/>
      <c r="D470" s="1259"/>
      <c r="E470" s="1259"/>
      <c r="F470" s="1259"/>
      <c r="H470" s="1259"/>
      <c r="J470" s="1272"/>
      <c r="L470" s="1272"/>
      <c r="N470" s="1259"/>
      <c r="P470" s="1272"/>
      <c r="R470" s="1272"/>
      <c r="T470" s="1259"/>
      <c r="V470" s="1272"/>
      <c r="X470" s="1272"/>
      <c r="Z470" s="1259"/>
      <c r="AB470" s="1272"/>
      <c r="AD470" s="1272"/>
      <c r="AG470" s="1259"/>
    </row>
    <row r="471" spans="1:33" s="583" customFormat="1" ht="15">
      <c r="A471" s="1259"/>
      <c r="B471" s="1259"/>
      <c r="C471" s="1259"/>
      <c r="D471" s="1259"/>
      <c r="E471" s="1259"/>
      <c r="F471" s="1259"/>
      <c r="H471" s="1259"/>
      <c r="J471" s="1272"/>
      <c r="L471" s="1272"/>
      <c r="N471" s="1259"/>
      <c r="P471" s="1272"/>
      <c r="R471" s="1272"/>
      <c r="T471" s="1259"/>
      <c r="V471" s="1272"/>
      <c r="X471" s="1272"/>
      <c r="Z471" s="1259"/>
      <c r="AB471" s="1272"/>
      <c r="AD471" s="1272"/>
      <c r="AG471" s="1259"/>
    </row>
    <row r="472" spans="1:33" s="583" customFormat="1" ht="15">
      <c r="A472" s="1259"/>
      <c r="B472" s="1259"/>
      <c r="C472" s="1259"/>
      <c r="D472" s="1259"/>
      <c r="E472" s="1259"/>
      <c r="F472" s="1259"/>
      <c r="H472" s="1259"/>
      <c r="J472" s="1272"/>
      <c r="L472" s="1272"/>
      <c r="N472" s="1259"/>
      <c r="P472" s="1272"/>
      <c r="R472" s="1272"/>
      <c r="T472" s="1259"/>
      <c r="V472" s="1272"/>
      <c r="X472" s="1272"/>
      <c r="Z472" s="1259"/>
      <c r="AB472" s="1272"/>
      <c r="AD472" s="1272"/>
      <c r="AG472" s="1259"/>
    </row>
    <row r="473" spans="1:33" s="583" customFormat="1" ht="15">
      <c r="A473" s="1259"/>
      <c r="B473" s="1259"/>
      <c r="C473" s="1259"/>
      <c r="D473" s="1259"/>
      <c r="E473" s="1259"/>
      <c r="F473" s="1259"/>
      <c r="H473" s="1259"/>
      <c r="J473" s="1272"/>
      <c r="L473" s="1272"/>
      <c r="N473" s="1259"/>
      <c r="P473" s="1272"/>
      <c r="R473" s="1272"/>
      <c r="T473" s="1259"/>
      <c r="V473" s="1272"/>
      <c r="X473" s="1272"/>
      <c r="Z473" s="1259"/>
      <c r="AB473" s="1272"/>
      <c r="AD473" s="1272"/>
      <c r="AG473" s="1259"/>
    </row>
    <row r="474" spans="1:33" s="583" customFormat="1" ht="15">
      <c r="A474" s="1259"/>
      <c r="B474" s="1259"/>
      <c r="C474" s="1259"/>
      <c r="D474" s="1259"/>
      <c r="E474" s="1259"/>
      <c r="F474" s="1259"/>
      <c r="H474" s="1259"/>
      <c r="J474" s="1272"/>
      <c r="L474" s="1272"/>
      <c r="N474" s="1259"/>
      <c r="P474" s="1272"/>
      <c r="R474" s="1272"/>
      <c r="T474" s="1259"/>
      <c r="V474" s="1272"/>
      <c r="X474" s="1272"/>
      <c r="Z474" s="1259"/>
      <c r="AB474" s="1272"/>
      <c r="AD474" s="1272"/>
      <c r="AG474" s="1259"/>
    </row>
    <row r="475" spans="1:33" s="583" customFormat="1" ht="15">
      <c r="A475" s="1259"/>
      <c r="B475" s="1259"/>
      <c r="C475" s="1259"/>
      <c r="D475" s="1259"/>
      <c r="E475" s="1259"/>
      <c r="F475" s="1259"/>
      <c r="H475" s="1259"/>
      <c r="J475" s="1272"/>
      <c r="L475" s="1272"/>
      <c r="N475" s="1259"/>
      <c r="P475" s="1272"/>
      <c r="R475" s="1272"/>
      <c r="T475" s="1259"/>
      <c r="V475" s="1272"/>
      <c r="X475" s="1272"/>
      <c r="Z475" s="1259"/>
      <c r="AB475" s="1272"/>
      <c r="AD475" s="1272"/>
      <c r="AG475" s="1259"/>
    </row>
    <row r="476" spans="1:33" s="583" customFormat="1" ht="15">
      <c r="A476" s="1259"/>
      <c r="B476" s="1259"/>
      <c r="C476" s="1259"/>
      <c r="D476" s="1259"/>
      <c r="E476" s="1259"/>
      <c r="F476" s="1259"/>
      <c r="H476" s="1259"/>
      <c r="J476" s="1272"/>
      <c r="L476" s="1272"/>
      <c r="N476" s="1259"/>
      <c r="P476" s="1272"/>
      <c r="R476" s="1272"/>
      <c r="T476" s="1259"/>
      <c r="V476" s="1272"/>
      <c r="X476" s="1272"/>
      <c r="Z476" s="1259"/>
      <c r="AB476" s="1272"/>
      <c r="AD476" s="1272"/>
      <c r="AG476" s="1259"/>
    </row>
    <row r="477" spans="1:33" s="583" customFormat="1">
      <c r="A477" s="1259"/>
      <c r="B477" s="1259"/>
      <c r="C477" s="1259"/>
      <c r="D477" s="1259"/>
      <c r="E477" s="1259"/>
      <c r="F477" s="1259"/>
      <c r="H477" s="1259"/>
      <c r="J477" s="1259"/>
      <c r="L477" s="1259"/>
      <c r="N477" s="1259"/>
      <c r="P477" s="1259"/>
      <c r="R477" s="1259"/>
      <c r="T477" s="1259"/>
      <c r="V477" s="1259"/>
      <c r="X477" s="1259"/>
      <c r="Z477" s="1259"/>
      <c r="AB477" s="1259"/>
      <c r="AD477" s="1259"/>
      <c r="AF477" s="1259"/>
      <c r="AG477" s="1259"/>
    </row>
    <row r="478" spans="1:33" s="583" customFormat="1">
      <c r="A478" s="1259"/>
      <c r="B478" s="1259"/>
      <c r="C478" s="1259"/>
      <c r="D478" s="1259"/>
      <c r="E478" s="1259"/>
      <c r="F478" s="1259"/>
      <c r="H478" s="1259"/>
      <c r="J478" s="1259"/>
      <c r="L478" s="1259"/>
      <c r="N478" s="1259"/>
      <c r="P478" s="1259"/>
      <c r="R478" s="1259"/>
      <c r="T478" s="1259"/>
      <c r="V478" s="1259"/>
      <c r="X478" s="1259"/>
      <c r="Z478" s="1259"/>
      <c r="AB478" s="1259"/>
      <c r="AD478" s="1259"/>
      <c r="AF478" s="1259"/>
      <c r="AG478" s="1259"/>
    </row>
    <row r="479" spans="1:33" s="583" customFormat="1">
      <c r="A479" s="1259"/>
      <c r="B479" s="1259"/>
      <c r="C479" s="1259"/>
      <c r="D479" s="1259"/>
      <c r="E479" s="1259"/>
      <c r="F479" s="1259"/>
      <c r="H479" s="1259"/>
      <c r="J479" s="1259"/>
      <c r="L479" s="1259"/>
      <c r="N479" s="1259"/>
      <c r="P479" s="1259"/>
      <c r="R479" s="1259"/>
      <c r="T479" s="1259"/>
      <c r="V479" s="1259"/>
      <c r="X479" s="1259"/>
      <c r="Z479" s="1259"/>
      <c r="AB479" s="1259"/>
      <c r="AD479" s="1259"/>
      <c r="AF479" s="1259"/>
      <c r="AG479" s="1259"/>
    </row>
    <row r="480" spans="1:33" s="583" customFormat="1">
      <c r="A480" s="1259"/>
      <c r="B480" s="1259"/>
      <c r="C480" s="1259"/>
      <c r="D480" s="1259"/>
      <c r="E480" s="1259"/>
      <c r="F480" s="1259"/>
      <c r="H480" s="1259"/>
      <c r="J480" s="1259"/>
      <c r="L480" s="1259"/>
      <c r="N480" s="1259"/>
      <c r="P480" s="1259"/>
      <c r="R480" s="1259"/>
      <c r="T480" s="1259"/>
      <c r="V480" s="1259"/>
      <c r="X480" s="1259"/>
      <c r="Z480" s="1259"/>
      <c r="AB480" s="1259"/>
      <c r="AD480" s="1259"/>
      <c r="AF480" s="1259"/>
      <c r="AG480" s="1259"/>
    </row>
    <row r="481" spans="1:33" s="583" customFormat="1">
      <c r="A481" s="1259"/>
      <c r="B481" s="1259"/>
      <c r="C481" s="1259"/>
      <c r="D481" s="1259"/>
      <c r="E481" s="1259"/>
      <c r="F481" s="1259"/>
      <c r="H481" s="1259"/>
      <c r="J481" s="1259"/>
      <c r="L481" s="1259"/>
      <c r="N481" s="1259"/>
      <c r="P481" s="1259"/>
      <c r="R481" s="1259"/>
      <c r="T481" s="1259"/>
      <c r="V481" s="1259"/>
      <c r="X481" s="1259"/>
      <c r="Z481" s="1259"/>
      <c r="AB481" s="1259"/>
      <c r="AD481" s="1259"/>
      <c r="AF481" s="1259"/>
      <c r="AG481" s="1259"/>
    </row>
    <row r="482" spans="1:33" s="583" customFormat="1">
      <c r="A482" s="1259"/>
      <c r="B482" s="1259"/>
      <c r="C482" s="1259"/>
      <c r="D482" s="1259"/>
      <c r="E482" s="1259"/>
      <c r="F482" s="1259"/>
      <c r="H482" s="1259"/>
      <c r="J482" s="1259"/>
      <c r="L482" s="1259"/>
      <c r="N482" s="1259"/>
      <c r="P482" s="1259"/>
      <c r="R482" s="1259"/>
      <c r="T482" s="1259"/>
      <c r="V482" s="1259"/>
      <c r="X482" s="1259"/>
      <c r="Z482" s="1259"/>
      <c r="AB482" s="1259"/>
      <c r="AD482" s="1259"/>
      <c r="AF482" s="1259"/>
      <c r="AG482" s="1259"/>
    </row>
    <row r="483" spans="1:33" s="583" customFormat="1">
      <c r="A483" s="1259"/>
      <c r="B483" s="1259"/>
      <c r="C483" s="1259"/>
      <c r="D483" s="1259"/>
      <c r="E483" s="1259"/>
      <c r="F483" s="1259"/>
      <c r="H483" s="1259"/>
      <c r="J483" s="1259"/>
      <c r="L483" s="1259"/>
      <c r="N483" s="1259"/>
      <c r="P483" s="1259"/>
      <c r="R483" s="1259"/>
      <c r="T483" s="1259"/>
      <c r="V483" s="1259"/>
      <c r="X483" s="1259"/>
      <c r="Z483" s="1259"/>
      <c r="AB483" s="1259"/>
      <c r="AD483" s="1259"/>
      <c r="AF483" s="1259"/>
      <c r="AG483" s="1259"/>
    </row>
    <row r="484" spans="1:33" s="583" customFormat="1">
      <c r="A484" s="1259"/>
      <c r="B484" s="1259"/>
      <c r="C484" s="1259"/>
      <c r="D484" s="1259"/>
      <c r="E484" s="1259"/>
      <c r="F484" s="1259"/>
      <c r="H484" s="1259"/>
      <c r="J484" s="1259"/>
      <c r="L484" s="1259"/>
      <c r="N484" s="1259"/>
      <c r="P484" s="1259"/>
      <c r="R484" s="1259"/>
      <c r="T484" s="1259"/>
      <c r="V484" s="1259"/>
      <c r="X484" s="1259"/>
      <c r="Z484" s="1259"/>
      <c r="AB484" s="1259"/>
      <c r="AD484" s="1259"/>
      <c r="AF484" s="1259"/>
      <c r="AG484" s="1259"/>
    </row>
    <row r="485" spans="1:33" s="583" customFormat="1">
      <c r="A485" s="1259"/>
      <c r="B485" s="1259"/>
      <c r="C485" s="1259"/>
      <c r="D485" s="1259"/>
      <c r="E485" s="1259"/>
      <c r="F485" s="1259"/>
      <c r="H485" s="1259"/>
      <c r="J485" s="1259"/>
      <c r="L485" s="1259"/>
      <c r="N485" s="1259"/>
      <c r="P485" s="1259"/>
      <c r="R485" s="1259"/>
      <c r="T485" s="1259"/>
      <c r="V485" s="1259"/>
      <c r="X485" s="1259"/>
      <c r="Z485" s="1259"/>
      <c r="AB485" s="1259"/>
      <c r="AD485" s="1259"/>
      <c r="AF485" s="1259"/>
      <c r="AG485" s="1259"/>
    </row>
    <row r="486" spans="1:33" s="583" customFormat="1">
      <c r="A486" s="1259"/>
      <c r="B486" s="1259"/>
      <c r="C486" s="1259"/>
      <c r="D486" s="1259"/>
      <c r="E486" s="1259"/>
      <c r="F486" s="1259"/>
      <c r="H486" s="1259"/>
      <c r="J486" s="1259"/>
      <c r="L486" s="1259"/>
      <c r="N486" s="1259"/>
      <c r="P486" s="1259"/>
      <c r="R486" s="1259"/>
      <c r="T486" s="1259"/>
      <c r="V486" s="1259"/>
      <c r="X486" s="1259"/>
      <c r="Z486" s="1259"/>
      <c r="AB486" s="1259"/>
      <c r="AD486" s="1259"/>
      <c r="AF486" s="1259"/>
      <c r="AG486" s="1259"/>
    </row>
    <row r="487" spans="1:33" s="583" customFormat="1">
      <c r="A487" s="1259"/>
      <c r="B487" s="1259"/>
      <c r="C487" s="1259"/>
      <c r="D487" s="1259"/>
      <c r="E487" s="1259"/>
      <c r="F487" s="1259"/>
      <c r="H487" s="1259"/>
      <c r="J487" s="1259"/>
      <c r="L487" s="1259"/>
      <c r="N487" s="1259"/>
      <c r="P487" s="1259"/>
      <c r="R487" s="1259"/>
      <c r="T487" s="1259"/>
      <c r="V487" s="1259"/>
      <c r="X487" s="1259"/>
      <c r="Z487" s="1259"/>
      <c r="AB487" s="1259"/>
      <c r="AD487" s="1259"/>
      <c r="AF487" s="1259"/>
      <c r="AG487" s="1259"/>
    </row>
    <row r="488" spans="1:33" s="583" customFormat="1">
      <c r="A488" s="1259"/>
      <c r="B488" s="1259"/>
      <c r="C488" s="1259"/>
      <c r="D488" s="1259"/>
      <c r="E488" s="1259"/>
      <c r="F488" s="1259"/>
      <c r="H488" s="1259"/>
      <c r="J488" s="1259"/>
      <c r="L488" s="1259"/>
      <c r="N488" s="1259"/>
      <c r="P488" s="1259"/>
      <c r="R488" s="1259"/>
      <c r="T488" s="1259"/>
      <c r="V488" s="1259"/>
      <c r="X488" s="1259"/>
      <c r="Z488" s="1259"/>
      <c r="AB488" s="1259"/>
      <c r="AD488" s="1259"/>
      <c r="AF488" s="1259"/>
      <c r="AG488" s="1259"/>
    </row>
    <row r="489" spans="1:33" s="583" customFormat="1">
      <c r="A489" s="1259"/>
      <c r="B489" s="1259"/>
      <c r="C489" s="1259"/>
      <c r="D489" s="1259"/>
      <c r="E489" s="1259"/>
      <c r="F489" s="1259"/>
      <c r="H489" s="1259"/>
      <c r="J489" s="1259"/>
      <c r="L489" s="1259"/>
      <c r="N489" s="1259"/>
      <c r="P489" s="1259"/>
      <c r="R489" s="1259"/>
      <c r="T489" s="1259"/>
      <c r="V489" s="1259"/>
      <c r="X489" s="1259"/>
      <c r="Z489" s="1259"/>
      <c r="AB489" s="1259"/>
      <c r="AD489" s="1259"/>
      <c r="AF489" s="1259"/>
      <c r="AG489" s="1259"/>
    </row>
    <row r="490" spans="1:33" s="583" customFormat="1">
      <c r="A490" s="1259"/>
      <c r="B490" s="1259"/>
      <c r="C490" s="1259"/>
      <c r="D490" s="1259"/>
      <c r="E490" s="1259"/>
      <c r="F490" s="1259"/>
      <c r="H490" s="1259"/>
      <c r="J490" s="1259"/>
      <c r="L490" s="1259"/>
      <c r="N490" s="1259"/>
      <c r="P490" s="1259"/>
      <c r="R490" s="1259"/>
      <c r="T490" s="1259"/>
      <c r="V490" s="1259"/>
      <c r="X490" s="1259"/>
      <c r="Z490" s="1259"/>
      <c r="AB490" s="1259"/>
      <c r="AD490" s="1259"/>
      <c r="AF490" s="1259"/>
      <c r="AG490" s="1259"/>
    </row>
    <row r="491" spans="1:33" s="583" customFormat="1">
      <c r="A491" s="1259"/>
      <c r="B491" s="1259"/>
      <c r="C491" s="1259"/>
      <c r="D491" s="1259"/>
      <c r="E491" s="1259"/>
      <c r="F491" s="1259"/>
      <c r="H491" s="1259"/>
      <c r="J491" s="1259"/>
      <c r="L491" s="1259"/>
      <c r="N491" s="1259"/>
      <c r="P491" s="1259"/>
      <c r="R491" s="1259"/>
      <c r="T491" s="1259"/>
      <c r="V491" s="1259"/>
      <c r="X491" s="1259"/>
      <c r="Z491" s="1259"/>
      <c r="AB491" s="1259"/>
      <c r="AD491" s="1259"/>
      <c r="AF491" s="1259"/>
      <c r="AG491" s="1259"/>
    </row>
  </sheetData>
  <pageMargins left="0.25" right="0.25" top="0.27" bottom="0.4" header="0.18" footer="0.25"/>
  <pageSetup scale="47" fitToHeight="3" orientation="landscape" errors="blank" r:id="rId1"/>
  <headerFooter alignWithMargins="0">
    <oddFooter>&amp;L&amp;F - &amp;A&amp;CPrinted &amp;D - &amp;T&amp;RPage &amp;P of &amp;N</oddFooter>
  </headerFooter>
  <rowBreaks count="1" manualBreakCount="1">
    <brk id="97" max="3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H280"/>
  <sheetViews>
    <sheetView showGridLines="0" view="pageBreakPreview" zoomScale="110" zoomScaleNormal="100" zoomScaleSheetLayoutView="110" workbookViewId="0">
      <pane xSplit="2" ySplit="9" topLeftCell="C254" activePane="bottomRight" state="frozen"/>
      <selection activeCell="Q27" sqref="Q27"/>
      <selection pane="topRight" activeCell="Q27" sqref="Q27"/>
      <selection pane="bottomLeft" activeCell="Q27" sqref="Q27"/>
      <selection pane="bottomRight" activeCell="Q27" sqref="Q27"/>
    </sheetView>
  </sheetViews>
  <sheetFormatPr defaultRowHeight="11.25" outlineLevelCol="2"/>
  <cols>
    <col min="1" max="1" width="5.7109375" style="35" customWidth="1"/>
    <col min="2" max="2" width="17.140625" style="7" customWidth="1"/>
    <col min="3" max="3" width="11.28515625" style="3" customWidth="1"/>
    <col min="4" max="4" width="12" style="4" customWidth="1"/>
    <col min="5" max="5" width="10" style="4" customWidth="1"/>
    <col min="6" max="6" width="7.28515625" style="5" customWidth="1" outlineLevel="1"/>
    <col min="7" max="7" width="11.28515625" style="4" customWidth="1"/>
    <col min="8" max="8" width="9.7109375" style="4" customWidth="1"/>
    <col min="9" max="9" width="2.28515625" style="4" customWidth="1"/>
    <col min="10" max="10" width="10" style="6" customWidth="1"/>
    <col min="11" max="11" width="13.42578125" style="6" customWidth="1"/>
    <col min="12" max="12" width="7.42578125" style="6" customWidth="1"/>
    <col min="13" max="13" width="6.5703125" style="7" customWidth="1" outlineLevel="1"/>
    <col min="14" max="14" width="7.42578125" style="8" customWidth="1"/>
    <col min="15" max="15" width="9.7109375" style="7" customWidth="1" outlineLevel="1"/>
    <col min="16" max="16" width="9.85546875" style="7" customWidth="1" outlineLevel="1"/>
    <col min="17" max="17" width="12.42578125" style="7" customWidth="1" outlineLevel="1"/>
    <col min="18" max="18" width="7" style="7" customWidth="1" outlineLevel="2"/>
    <col min="19" max="19" width="12.28515625" style="8" customWidth="1" outlineLevel="1"/>
    <col min="20" max="20" width="10" style="7" customWidth="1" outlineLevel="1"/>
    <col min="21" max="21" width="10.7109375" style="7" bestFit="1" customWidth="1"/>
    <col min="22" max="22" width="9.85546875" style="7" bestFit="1" customWidth="1"/>
    <col min="23" max="23" width="10.5703125" style="7" bestFit="1" customWidth="1"/>
    <col min="24" max="26" width="9.140625" style="7"/>
    <col min="27" max="27" width="9.85546875" style="7" bestFit="1" customWidth="1"/>
    <col min="28" max="238" width="9.140625" style="7"/>
    <col min="239" max="239" width="6.28515625" style="7" customWidth="1"/>
    <col min="240" max="240" width="20.7109375" style="7" customWidth="1"/>
    <col min="241" max="241" width="10" style="7" customWidth="1"/>
    <col min="242" max="242" width="1" style="7" customWidth="1"/>
    <col min="243" max="243" width="10" style="7" customWidth="1"/>
    <col min="244" max="244" width="1.28515625" style="7" customWidth="1"/>
    <col min="245" max="245" width="9.7109375" style="7" customWidth="1"/>
    <col min="246" max="246" width="1.140625" style="7" customWidth="1"/>
    <col min="247" max="247" width="12.5703125" style="7" customWidth="1"/>
    <col min="248" max="248" width="4.7109375" style="7" customWidth="1"/>
    <col min="249" max="249" width="10.7109375" style="7" customWidth="1"/>
    <col min="250" max="250" width="4.5703125" style="7" customWidth="1"/>
    <col min="251" max="251" width="12.28515625" style="7" customWidth="1"/>
    <col min="252" max="252" width="1.42578125" style="7" customWidth="1"/>
    <col min="253" max="253" width="14.140625" style="7" customWidth="1"/>
    <col min="254" max="254" width="13.7109375" style="7" customWidth="1"/>
    <col min="255" max="255" width="8" style="7" customWidth="1"/>
    <col min="256" max="256" width="1.42578125" style="7" customWidth="1"/>
    <col min="257" max="257" width="11.28515625" style="7" customWidth="1"/>
    <col min="258" max="258" width="12.85546875" style="7" customWidth="1"/>
    <col min="259" max="259" width="10.5703125" style="7" customWidth="1"/>
    <col min="260" max="260" width="12" style="7" customWidth="1"/>
    <col min="261" max="261" width="11.140625" style="7" customWidth="1"/>
    <col min="262" max="262" width="9.28515625" style="7" customWidth="1"/>
    <col min="263" max="263" width="1.42578125" style="7" customWidth="1"/>
    <col min="264" max="264" width="17.28515625" style="7" customWidth="1"/>
    <col min="265" max="265" width="11.140625" style="7" customWidth="1"/>
    <col min="266" max="266" width="12.42578125" style="7" customWidth="1"/>
    <col min="267" max="268" width="11.28515625" style="7" customWidth="1"/>
    <col min="269" max="269" width="10.5703125" style="7" customWidth="1"/>
    <col min="270" max="270" width="16.42578125" style="7" customWidth="1"/>
    <col min="271" max="271" width="12.140625" style="7" customWidth="1"/>
    <col min="272" max="272" width="10.85546875" style="7" customWidth="1"/>
    <col min="273" max="273" width="11.7109375" style="7" customWidth="1"/>
    <col min="274" max="494" width="9.140625" style="7"/>
    <col min="495" max="495" width="6.28515625" style="7" customWidth="1"/>
    <col min="496" max="496" width="20.7109375" style="7" customWidth="1"/>
    <col min="497" max="497" width="10" style="7" customWidth="1"/>
    <col min="498" max="498" width="1" style="7" customWidth="1"/>
    <col min="499" max="499" width="10" style="7" customWidth="1"/>
    <col min="500" max="500" width="1.28515625" style="7" customWidth="1"/>
    <col min="501" max="501" width="9.7109375" style="7" customWidth="1"/>
    <col min="502" max="502" width="1.140625" style="7" customWidth="1"/>
    <col min="503" max="503" width="12.5703125" style="7" customWidth="1"/>
    <col min="504" max="504" width="4.7109375" style="7" customWidth="1"/>
    <col min="505" max="505" width="10.7109375" style="7" customWidth="1"/>
    <col min="506" max="506" width="4.5703125" style="7" customWidth="1"/>
    <col min="507" max="507" width="12.28515625" style="7" customWidth="1"/>
    <col min="508" max="508" width="1.42578125" style="7" customWidth="1"/>
    <col min="509" max="509" width="14.140625" style="7" customWidth="1"/>
    <col min="510" max="510" width="13.7109375" style="7" customWidth="1"/>
    <col min="511" max="511" width="8" style="7" customWidth="1"/>
    <col min="512" max="512" width="1.42578125" style="7" customWidth="1"/>
    <col min="513" max="513" width="11.28515625" style="7" customWidth="1"/>
    <col min="514" max="514" width="12.85546875" style="7" customWidth="1"/>
    <col min="515" max="515" width="10.5703125" style="7" customWidth="1"/>
    <col min="516" max="516" width="12" style="7" customWidth="1"/>
    <col min="517" max="517" width="11.140625" style="7" customWidth="1"/>
    <col min="518" max="518" width="9.28515625" style="7" customWidth="1"/>
    <col min="519" max="519" width="1.42578125" style="7" customWidth="1"/>
    <col min="520" max="520" width="17.28515625" style="7" customWidth="1"/>
    <col min="521" max="521" width="11.140625" style="7" customWidth="1"/>
    <col min="522" max="522" width="12.42578125" style="7" customWidth="1"/>
    <col min="523" max="524" width="11.28515625" style="7" customWidth="1"/>
    <col min="525" max="525" width="10.5703125" style="7" customWidth="1"/>
    <col min="526" max="526" width="16.42578125" style="7" customWidth="1"/>
    <col min="527" max="527" width="12.140625" style="7" customWidth="1"/>
    <col min="528" max="528" width="10.85546875" style="7" customWidth="1"/>
    <col min="529" max="529" width="11.7109375" style="7" customWidth="1"/>
    <col min="530" max="750" width="9.140625" style="7"/>
    <col min="751" max="751" width="6.28515625" style="7" customWidth="1"/>
    <col min="752" max="752" width="20.7109375" style="7" customWidth="1"/>
    <col min="753" max="753" width="10" style="7" customWidth="1"/>
    <col min="754" max="754" width="1" style="7" customWidth="1"/>
    <col min="755" max="755" width="10" style="7" customWidth="1"/>
    <col min="756" max="756" width="1.28515625" style="7" customWidth="1"/>
    <col min="757" max="757" width="9.7109375" style="7" customWidth="1"/>
    <col min="758" max="758" width="1.140625" style="7" customWidth="1"/>
    <col min="759" max="759" width="12.5703125" style="7" customWidth="1"/>
    <col min="760" max="760" width="4.7109375" style="7" customWidth="1"/>
    <col min="761" max="761" width="10.7109375" style="7" customWidth="1"/>
    <col min="762" max="762" width="4.5703125" style="7" customWidth="1"/>
    <col min="763" max="763" width="12.28515625" style="7" customWidth="1"/>
    <col min="764" max="764" width="1.42578125" style="7" customWidth="1"/>
    <col min="765" max="765" width="14.140625" style="7" customWidth="1"/>
    <col min="766" max="766" width="13.7109375" style="7" customWidth="1"/>
    <col min="767" max="767" width="8" style="7" customWidth="1"/>
    <col min="768" max="768" width="1.42578125" style="7" customWidth="1"/>
    <col min="769" max="769" width="11.28515625" style="7" customWidth="1"/>
    <col min="770" max="770" width="12.85546875" style="7" customWidth="1"/>
    <col min="771" max="771" width="10.5703125" style="7" customWidth="1"/>
    <col min="772" max="772" width="12" style="7" customWidth="1"/>
    <col min="773" max="773" width="11.140625" style="7" customWidth="1"/>
    <col min="774" max="774" width="9.28515625" style="7" customWidth="1"/>
    <col min="775" max="775" width="1.42578125" style="7" customWidth="1"/>
    <col min="776" max="776" width="17.28515625" style="7" customWidth="1"/>
    <col min="777" max="777" width="11.140625" style="7" customWidth="1"/>
    <col min="778" max="778" width="12.42578125" style="7" customWidth="1"/>
    <col min="779" max="780" width="11.28515625" style="7" customWidth="1"/>
    <col min="781" max="781" width="10.5703125" style="7" customWidth="1"/>
    <col min="782" max="782" width="16.42578125" style="7" customWidth="1"/>
    <col min="783" max="783" width="12.140625" style="7" customWidth="1"/>
    <col min="784" max="784" width="10.85546875" style="7" customWidth="1"/>
    <col min="785" max="785" width="11.7109375" style="7" customWidth="1"/>
    <col min="786" max="1006" width="9.140625" style="7"/>
    <col min="1007" max="1007" width="6.28515625" style="7" customWidth="1"/>
    <col min="1008" max="1008" width="20.7109375" style="7" customWidth="1"/>
    <col min="1009" max="1009" width="10" style="7" customWidth="1"/>
    <col min="1010" max="1010" width="1" style="7" customWidth="1"/>
    <col min="1011" max="1011" width="10" style="7" customWidth="1"/>
    <col min="1012" max="1012" width="1.28515625" style="7" customWidth="1"/>
    <col min="1013" max="1013" width="9.7109375" style="7" customWidth="1"/>
    <col min="1014" max="1014" width="1.140625" style="7" customWidth="1"/>
    <col min="1015" max="1015" width="12.5703125" style="7" customWidth="1"/>
    <col min="1016" max="1016" width="4.7109375" style="7" customWidth="1"/>
    <col min="1017" max="1017" width="10.7109375" style="7" customWidth="1"/>
    <col min="1018" max="1018" width="4.5703125" style="7" customWidth="1"/>
    <col min="1019" max="1019" width="12.28515625" style="7" customWidth="1"/>
    <col min="1020" max="1020" width="1.42578125" style="7" customWidth="1"/>
    <col min="1021" max="1021" width="14.140625" style="7" customWidth="1"/>
    <col min="1022" max="1022" width="13.7109375" style="7" customWidth="1"/>
    <col min="1023" max="1023" width="8" style="7" customWidth="1"/>
    <col min="1024" max="1024" width="1.42578125" style="7" customWidth="1"/>
    <col min="1025" max="1025" width="11.28515625" style="7" customWidth="1"/>
    <col min="1026" max="1026" width="12.85546875" style="7" customWidth="1"/>
    <col min="1027" max="1027" width="10.5703125" style="7" customWidth="1"/>
    <col min="1028" max="1028" width="12" style="7" customWidth="1"/>
    <col min="1029" max="1029" width="11.140625" style="7" customWidth="1"/>
    <col min="1030" max="1030" width="9.28515625" style="7" customWidth="1"/>
    <col min="1031" max="1031" width="1.42578125" style="7" customWidth="1"/>
    <col min="1032" max="1032" width="17.28515625" style="7" customWidth="1"/>
    <col min="1033" max="1033" width="11.140625" style="7" customWidth="1"/>
    <col min="1034" max="1034" width="12.42578125" style="7" customWidth="1"/>
    <col min="1035" max="1036" width="11.28515625" style="7" customWidth="1"/>
    <col min="1037" max="1037" width="10.5703125" style="7" customWidth="1"/>
    <col min="1038" max="1038" width="16.42578125" style="7" customWidth="1"/>
    <col min="1039" max="1039" width="12.140625" style="7" customWidth="1"/>
    <col min="1040" max="1040" width="10.85546875" style="7" customWidth="1"/>
    <col min="1041" max="1041" width="11.7109375" style="7" customWidth="1"/>
    <col min="1042" max="1262" width="9.140625" style="7"/>
    <col min="1263" max="1263" width="6.28515625" style="7" customWidth="1"/>
    <col min="1264" max="1264" width="20.7109375" style="7" customWidth="1"/>
    <col min="1265" max="1265" width="10" style="7" customWidth="1"/>
    <col min="1266" max="1266" width="1" style="7" customWidth="1"/>
    <col min="1267" max="1267" width="10" style="7" customWidth="1"/>
    <col min="1268" max="1268" width="1.28515625" style="7" customWidth="1"/>
    <col min="1269" max="1269" width="9.7109375" style="7" customWidth="1"/>
    <col min="1270" max="1270" width="1.140625" style="7" customWidth="1"/>
    <col min="1271" max="1271" width="12.5703125" style="7" customWidth="1"/>
    <col min="1272" max="1272" width="4.7109375" style="7" customWidth="1"/>
    <col min="1273" max="1273" width="10.7109375" style="7" customWidth="1"/>
    <col min="1274" max="1274" width="4.5703125" style="7" customWidth="1"/>
    <col min="1275" max="1275" width="12.28515625" style="7" customWidth="1"/>
    <col min="1276" max="1276" width="1.42578125" style="7" customWidth="1"/>
    <col min="1277" max="1277" width="14.140625" style="7" customWidth="1"/>
    <col min="1278" max="1278" width="13.7109375" style="7" customWidth="1"/>
    <col min="1279" max="1279" width="8" style="7" customWidth="1"/>
    <col min="1280" max="1280" width="1.42578125" style="7" customWidth="1"/>
    <col min="1281" max="1281" width="11.28515625" style="7" customWidth="1"/>
    <col min="1282" max="1282" width="12.85546875" style="7" customWidth="1"/>
    <col min="1283" max="1283" width="10.5703125" style="7" customWidth="1"/>
    <col min="1284" max="1284" width="12" style="7" customWidth="1"/>
    <col min="1285" max="1285" width="11.140625" style="7" customWidth="1"/>
    <col min="1286" max="1286" width="9.28515625" style="7" customWidth="1"/>
    <col min="1287" max="1287" width="1.42578125" style="7" customWidth="1"/>
    <col min="1288" max="1288" width="17.28515625" style="7" customWidth="1"/>
    <col min="1289" max="1289" width="11.140625" style="7" customWidth="1"/>
    <col min="1290" max="1290" width="12.42578125" style="7" customWidth="1"/>
    <col min="1291" max="1292" width="11.28515625" style="7" customWidth="1"/>
    <col min="1293" max="1293" width="10.5703125" style="7" customWidth="1"/>
    <col min="1294" max="1294" width="16.42578125" style="7" customWidth="1"/>
    <col min="1295" max="1295" width="12.140625" style="7" customWidth="1"/>
    <col min="1296" max="1296" width="10.85546875" style="7" customWidth="1"/>
    <col min="1297" max="1297" width="11.7109375" style="7" customWidth="1"/>
    <col min="1298" max="1518" width="9.140625" style="7"/>
    <col min="1519" max="1519" width="6.28515625" style="7" customWidth="1"/>
    <col min="1520" max="1520" width="20.7109375" style="7" customWidth="1"/>
    <col min="1521" max="1521" width="10" style="7" customWidth="1"/>
    <col min="1522" max="1522" width="1" style="7" customWidth="1"/>
    <col min="1523" max="1523" width="10" style="7" customWidth="1"/>
    <col min="1524" max="1524" width="1.28515625" style="7" customWidth="1"/>
    <col min="1525" max="1525" width="9.7109375" style="7" customWidth="1"/>
    <col min="1526" max="1526" width="1.140625" style="7" customWidth="1"/>
    <col min="1527" max="1527" width="12.5703125" style="7" customWidth="1"/>
    <col min="1528" max="1528" width="4.7109375" style="7" customWidth="1"/>
    <col min="1529" max="1529" width="10.7109375" style="7" customWidth="1"/>
    <col min="1530" max="1530" width="4.5703125" style="7" customWidth="1"/>
    <col min="1531" max="1531" width="12.28515625" style="7" customWidth="1"/>
    <col min="1532" max="1532" width="1.42578125" style="7" customWidth="1"/>
    <col min="1533" max="1533" width="14.140625" style="7" customWidth="1"/>
    <col min="1534" max="1534" width="13.7109375" style="7" customWidth="1"/>
    <col min="1535" max="1535" width="8" style="7" customWidth="1"/>
    <col min="1536" max="1536" width="1.42578125" style="7" customWidth="1"/>
    <col min="1537" max="1537" width="11.28515625" style="7" customWidth="1"/>
    <col min="1538" max="1538" width="12.85546875" style="7" customWidth="1"/>
    <col min="1539" max="1539" width="10.5703125" style="7" customWidth="1"/>
    <col min="1540" max="1540" width="12" style="7" customWidth="1"/>
    <col min="1541" max="1541" width="11.140625" style="7" customWidth="1"/>
    <col min="1542" max="1542" width="9.28515625" style="7" customWidth="1"/>
    <col min="1543" max="1543" width="1.42578125" style="7" customWidth="1"/>
    <col min="1544" max="1544" width="17.28515625" style="7" customWidth="1"/>
    <col min="1545" max="1545" width="11.140625" style="7" customWidth="1"/>
    <col min="1546" max="1546" width="12.42578125" style="7" customWidth="1"/>
    <col min="1547" max="1548" width="11.28515625" style="7" customWidth="1"/>
    <col min="1549" max="1549" width="10.5703125" style="7" customWidth="1"/>
    <col min="1550" max="1550" width="16.42578125" style="7" customWidth="1"/>
    <col min="1551" max="1551" width="12.140625" style="7" customWidth="1"/>
    <col min="1552" max="1552" width="10.85546875" style="7" customWidth="1"/>
    <col min="1553" max="1553" width="11.7109375" style="7" customWidth="1"/>
    <col min="1554" max="1774" width="9.140625" style="7"/>
    <col min="1775" max="1775" width="6.28515625" style="7" customWidth="1"/>
    <col min="1776" max="1776" width="20.7109375" style="7" customWidth="1"/>
    <col min="1777" max="1777" width="10" style="7" customWidth="1"/>
    <col min="1778" max="1778" width="1" style="7" customWidth="1"/>
    <col min="1779" max="1779" width="10" style="7" customWidth="1"/>
    <col min="1780" max="1780" width="1.28515625" style="7" customWidth="1"/>
    <col min="1781" max="1781" width="9.7109375" style="7" customWidth="1"/>
    <col min="1782" max="1782" width="1.140625" style="7" customWidth="1"/>
    <col min="1783" max="1783" width="12.5703125" style="7" customWidth="1"/>
    <col min="1784" max="1784" width="4.7109375" style="7" customWidth="1"/>
    <col min="1785" max="1785" width="10.7109375" style="7" customWidth="1"/>
    <col min="1786" max="1786" width="4.5703125" style="7" customWidth="1"/>
    <col min="1787" max="1787" width="12.28515625" style="7" customWidth="1"/>
    <col min="1788" max="1788" width="1.42578125" style="7" customWidth="1"/>
    <col min="1789" max="1789" width="14.140625" style="7" customWidth="1"/>
    <col min="1790" max="1790" width="13.7109375" style="7" customWidth="1"/>
    <col min="1791" max="1791" width="8" style="7" customWidth="1"/>
    <col min="1792" max="1792" width="1.42578125" style="7" customWidth="1"/>
    <col min="1793" max="1793" width="11.28515625" style="7" customWidth="1"/>
    <col min="1794" max="1794" width="12.85546875" style="7" customWidth="1"/>
    <col min="1795" max="1795" width="10.5703125" style="7" customWidth="1"/>
    <col min="1796" max="1796" width="12" style="7" customWidth="1"/>
    <col min="1797" max="1797" width="11.140625" style="7" customWidth="1"/>
    <col min="1798" max="1798" width="9.28515625" style="7" customWidth="1"/>
    <col min="1799" max="1799" width="1.42578125" style="7" customWidth="1"/>
    <col min="1800" max="1800" width="17.28515625" style="7" customWidth="1"/>
    <col min="1801" max="1801" width="11.140625" style="7" customWidth="1"/>
    <col min="1802" max="1802" width="12.42578125" style="7" customWidth="1"/>
    <col min="1803" max="1804" width="11.28515625" style="7" customWidth="1"/>
    <col min="1805" max="1805" width="10.5703125" style="7" customWidth="1"/>
    <col min="1806" max="1806" width="16.42578125" style="7" customWidth="1"/>
    <col min="1807" max="1807" width="12.140625" style="7" customWidth="1"/>
    <col min="1808" max="1808" width="10.85546875" style="7" customWidth="1"/>
    <col min="1809" max="1809" width="11.7109375" style="7" customWidth="1"/>
    <col min="1810" max="2030" width="9.140625" style="7"/>
    <col min="2031" max="2031" width="6.28515625" style="7" customWidth="1"/>
    <col min="2032" max="2032" width="20.7109375" style="7" customWidth="1"/>
    <col min="2033" max="2033" width="10" style="7" customWidth="1"/>
    <col min="2034" max="2034" width="1" style="7" customWidth="1"/>
    <col min="2035" max="2035" width="10" style="7" customWidth="1"/>
    <col min="2036" max="2036" width="1.28515625" style="7" customWidth="1"/>
    <col min="2037" max="2037" width="9.7109375" style="7" customWidth="1"/>
    <col min="2038" max="2038" width="1.140625" style="7" customWidth="1"/>
    <col min="2039" max="2039" width="12.5703125" style="7" customWidth="1"/>
    <col min="2040" max="2040" width="4.7109375" style="7" customWidth="1"/>
    <col min="2041" max="2041" width="10.7109375" style="7" customWidth="1"/>
    <col min="2042" max="2042" width="4.5703125" style="7" customWidth="1"/>
    <col min="2043" max="2043" width="12.28515625" style="7" customWidth="1"/>
    <col min="2044" max="2044" width="1.42578125" style="7" customWidth="1"/>
    <col min="2045" max="2045" width="14.140625" style="7" customWidth="1"/>
    <col min="2046" max="2046" width="13.7109375" style="7" customWidth="1"/>
    <col min="2047" max="2047" width="8" style="7" customWidth="1"/>
    <col min="2048" max="2048" width="1.42578125" style="7" customWidth="1"/>
    <col min="2049" max="2049" width="11.28515625" style="7" customWidth="1"/>
    <col min="2050" max="2050" width="12.85546875" style="7" customWidth="1"/>
    <col min="2051" max="2051" width="10.5703125" style="7" customWidth="1"/>
    <col min="2052" max="2052" width="12" style="7" customWidth="1"/>
    <col min="2053" max="2053" width="11.140625" style="7" customWidth="1"/>
    <col min="2054" max="2054" width="9.28515625" style="7" customWidth="1"/>
    <col min="2055" max="2055" width="1.42578125" style="7" customWidth="1"/>
    <col min="2056" max="2056" width="17.28515625" style="7" customWidth="1"/>
    <col min="2057" max="2057" width="11.140625" style="7" customWidth="1"/>
    <col min="2058" max="2058" width="12.42578125" style="7" customWidth="1"/>
    <col min="2059" max="2060" width="11.28515625" style="7" customWidth="1"/>
    <col min="2061" max="2061" width="10.5703125" style="7" customWidth="1"/>
    <col min="2062" max="2062" width="16.42578125" style="7" customWidth="1"/>
    <col min="2063" max="2063" width="12.140625" style="7" customWidth="1"/>
    <col min="2064" max="2064" width="10.85546875" style="7" customWidth="1"/>
    <col min="2065" max="2065" width="11.7109375" style="7" customWidth="1"/>
    <col min="2066" max="2286" width="9.140625" style="7"/>
    <col min="2287" max="2287" width="6.28515625" style="7" customWidth="1"/>
    <col min="2288" max="2288" width="20.7109375" style="7" customWidth="1"/>
    <col min="2289" max="2289" width="10" style="7" customWidth="1"/>
    <col min="2290" max="2290" width="1" style="7" customWidth="1"/>
    <col min="2291" max="2291" width="10" style="7" customWidth="1"/>
    <col min="2292" max="2292" width="1.28515625" style="7" customWidth="1"/>
    <col min="2293" max="2293" width="9.7109375" style="7" customWidth="1"/>
    <col min="2294" max="2294" width="1.140625" style="7" customWidth="1"/>
    <col min="2295" max="2295" width="12.5703125" style="7" customWidth="1"/>
    <col min="2296" max="2296" width="4.7109375" style="7" customWidth="1"/>
    <col min="2297" max="2297" width="10.7109375" style="7" customWidth="1"/>
    <col min="2298" max="2298" width="4.5703125" style="7" customWidth="1"/>
    <col min="2299" max="2299" width="12.28515625" style="7" customWidth="1"/>
    <col min="2300" max="2300" width="1.42578125" style="7" customWidth="1"/>
    <col min="2301" max="2301" width="14.140625" style="7" customWidth="1"/>
    <col min="2302" max="2302" width="13.7109375" style="7" customWidth="1"/>
    <col min="2303" max="2303" width="8" style="7" customWidth="1"/>
    <col min="2304" max="2304" width="1.42578125" style="7" customWidth="1"/>
    <col min="2305" max="2305" width="11.28515625" style="7" customWidth="1"/>
    <col min="2306" max="2306" width="12.85546875" style="7" customWidth="1"/>
    <col min="2307" max="2307" width="10.5703125" style="7" customWidth="1"/>
    <col min="2308" max="2308" width="12" style="7" customWidth="1"/>
    <col min="2309" max="2309" width="11.140625" style="7" customWidth="1"/>
    <col min="2310" max="2310" width="9.28515625" style="7" customWidth="1"/>
    <col min="2311" max="2311" width="1.42578125" style="7" customWidth="1"/>
    <col min="2312" max="2312" width="17.28515625" style="7" customWidth="1"/>
    <col min="2313" max="2313" width="11.140625" style="7" customWidth="1"/>
    <col min="2314" max="2314" width="12.42578125" style="7" customWidth="1"/>
    <col min="2315" max="2316" width="11.28515625" style="7" customWidth="1"/>
    <col min="2317" max="2317" width="10.5703125" style="7" customWidth="1"/>
    <col min="2318" max="2318" width="16.42578125" style="7" customWidth="1"/>
    <col min="2319" max="2319" width="12.140625" style="7" customWidth="1"/>
    <col min="2320" max="2320" width="10.85546875" style="7" customWidth="1"/>
    <col min="2321" max="2321" width="11.7109375" style="7" customWidth="1"/>
    <col min="2322" max="2542" width="9.140625" style="7"/>
    <col min="2543" max="2543" width="6.28515625" style="7" customWidth="1"/>
    <col min="2544" max="2544" width="20.7109375" style="7" customWidth="1"/>
    <col min="2545" max="2545" width="10" style="7" customWidth="1"/>
    <col min="2546" max="2546" width="1" style="7" customWidth="1"/>
    <col min="2547" max="2547" width="10" style="7" customWidth="1"/>
    <col min="2548" max="2548" width="1.28515625" style="7" customWidth="1"/>
    <col min="2549" max="2549" width="9.7109375" style="7" customWidth="1"/>
    <col min="2550" max="2550" width="1.140625" style="7" customWidth="1"/>
    <col min="2551" max="2551" width="12.5703125" style="7" customWidth="1"/>
    <col min="2552" max="2552" width="4.7109375" style="7" customWidth="1"/>
    <col min="2553" max="2553" width="10.7109375" style="7" customWidth="1"/>
    <col min="2554" max="2554" width="4.5703125" style="7" customWidth="1"/>
    <col min="2555" max="2555" width="12.28515625" style="7" customWidth="1"/>
    <col min="2556" max="2556" width="1.42578125" style="7" customWidth="1"/>
    <col min="2557" max="2557" width="14.140625" style="7" customWidth="1"/>
    <col min="2558" max="2558" width="13.7109375" style="7" customWidth="1"/>
    <col min="2559" max="2559" width="8" style="7" customWidth="1"/>
    <col min="2560" max="2560" width="1.42578125" style="7" customWidth="1"/>
    <col min="2561" max="2561" width="11.28515625" style="7" customWidth="1"/>
    <col min="2562" max="2562" width="12.85546875" style="7" customWidth="1"/>
    <col min="2563" max="2563" width="10.5703125" style="7" customWidth="1"/>
    <col min="2564" max="2564" width="12" style="7" customWidth="1"/>
    <col min="2565" max="2565" width="11.140625" style="7" customWidth="1"/>
    <col min="2566" max="2566" width="9.28515625" style="7" customWidth="1"/>
    <col min="2567" max="2567" width="1.42578125" style="7" customWidth="1"/>
    <col min="2568" max="2568" width="17.28515625" style="7" customWidth="1"/>
    <col min="2569" max="2569" width="11.140625" style="7" customWidth="1"/>
    <col min="2570" max="2570" width="12.42578125" style="7" customWidth="1"/>
    <col min="2571" max="2572" width="11.28515625" style="7" customWidth="1"/>
    <col min="2573" max="2573" width="10.5703125" style="7" customWidth="1"/>
    <col min="2574" max="2574" width="16.42578125" style="7" customWidth="1"/>
    <col min="2575" max="2575" width="12.140625" style="7" customWidth="1"/>
    <col min="2576" max="2576" width="10.85546875" style="7" customWidth="1"/>
    <col min="2577" max="2577" width="11.7109375" style="7" customWidth="1"/>
    <col min="2578" max="2798" width="9.140625" style="7"/>
    <col min="2799" max="2799" width="6.28515625" style="7" customWidth="1"/>
    <col min="2800" max="2800" width="20.7109375" style="7" customWidth="1"/>
    <col min="2801" max="2801" width="10" style="7" customWidth="1"/>
    <col min="2802" max="2802" width="1" style="7" customWidth="1"/>
    <col min="2803" max="2803" width="10" style="7" customWidth="1"/>
    <col min="2804" max="2804" width="1.28515625" style="7" customWidth="1"/>
    <col min="2805" max="2805" width="9.7109375" style="7" customWidth="1"/>
    <col min="2806" max="2806" width="1.140625" style="7" customWidth="1"/>
    <col min="2807" max="2807" width="12.5703125" style="7" customWidth="1"/>
    <col min="2808" max="2808" width="4.7109375" style="7" customWidth="1"/>
    <col min="2809" max="2809" width="10.7109375" style="7" customWidth="1"/>
    <col min="2810" max="2810" width="4.5703125" style="7" customWidth="1"/>
    <col min="2811" max="2811" width="12.28515625" style="7" customWidth="1"/>
    <col min="2812" max="2812" width="1.42578125" style="7" customWidth="1"/>
    <col min="2813" max="2813" width="14.140625" style="7" customWidth="1"/>
    <col min="2814" max="2814" width="13.7109375" style="7" customWidth="1"/>
    <col min="2815" max="2815" width="8" style="7" customWidth="1"/>
    <col min="2816" max="2816" width="1.42578125" style="7" customWidth="1"/>
    <col min="2817" max="2817" width="11.28515625" style="7" customWidth="1"/>
    <col min="2818" max="2818" width="12.85546875" style="7" customWidth="1"/>
    <col min="2819" max="2819" width="10.5703125" style="7" customWidth="1"/>
    <col min="2820" max="2820" width="12" style="7" customWidth="1"/>
    <col min="2821" max="2821" width="11.140625" style="7" customWidth="1"/>
    <col min="2822" max="2822" width="9.28515625" style="7" customWidth="1"/>
    <col min="2823" max="2823" width="1.42578125" style="7" customWidth="1"/>
    <col min="2824" max="2824" width="17.28515625" style="7" customWidth="1"/>
    <col min="2825" max="2825" width="11.140625" style="7" customWidth="1"/>
    <col min="2826" max="2826" width="12.42578125" style="7" customWidth="1"/>
    <col min="2827" max="2828" width="11.28515625" style="7" customWidth="1"/>
    <col min="2829" max="2829" width="10.5703125" style="7" customWidth="1"/>
    <col min="2830" max="2830" width="16.42578125" style="7" customWidth="1"/>
    <col min="2831" max="2831" width="12.140625" style="7" customWidth="1"/>
    <col min="2832" max="2832" width="10.85546875" style="7" customWidth="1"/>
    <col min="2833" max="2833" width="11.7109375" style="7" customWidth="1"/>
    <col min="2834" max="3054" width="9.140625" style="7"/>
    <col min="3055" max="3055" width="6.28515625" style="7" customWidth="1"/>
    <col min="3056" max="3056" width="20.7109375" style="7" customWidth="1"/>
    <col min="3057" max="3057" width="10" style="7" customWidth="1"/>
    <col min="3058" max="3058" width="1" style="7" customWidth="1"/>
    <col min="3059" max="3059" width="10" style="7" customWidth="1"/>
    <col min="3060" max="3060" width="1.28515625" style="7" customWidth="1"/>
    <col min="3061" max="3061" width="9.7109375" style="7" customWidth="1"/>
    <col min="3062" max="3062" width="1.140625" style="7" customWidth="1"/>
    <col min="3063" max="3063" width="12.5703125" style="7" customWidth="1"/>
    <col min="3064" max="3064" width="4.7109375" style="7" customWidth="1"/>
    <col min="3065" max="3065" width="10.7109375" style="7" customWidth="1"/>
    <col min="3066" max="3066" width="4.5703125" style="7" customWidth="1"/>
    <col min="3067" max="3067" width="12.28515625" style="7" customWidth="1"/>
    <col min="3068" max="3068" width="1.42578125" style="7" customWidth="1"/>
    <col min="3069" max="3069" width="14.140625" style="7" customWidth="1"/>
    <col min="3070" max="3070" width="13.7109375" style="7" customWidth="1"/>
    <col min="3071" max="3071" width="8" style="7" customWidth="1"/>
    <col min="3072" max="3072" width="1.42578125" style="7" customWidth="1"/>
    <col min="3073" max="3073" width="11.28515625" style="7" customWidth="1"/>
    <col min="3074" max="3074" width="12.85546875" style="7" customWidth="1"/>
    <col min="3075" max="3075" width="10.5703125" style="7" customWidth="1"/>
    <col min="3076" max="3076" width="12" style="7" customWidth="1"/>
    <col min="3077" max="3077" width="11.140625" style="7" customWidth="1"/>
    <col min="3078" max="3078" width="9.28515625" style="7" customWidth="1"/>
    <col min="3079" max="3079" width="1.42578125" style="7" customWidth="1"/>
    <col min="3080" max="3080" width="17.28515625" style="7" customWidth="1"/>
    <col min="3081" max="3081" width="11.140625" style="7" customWidth="1"/>
    <col min="3082" max="3082" width="12.42578125" style="7" customWidth="1"/>
    <col min="3083" max="3084" width="11.28515625" style="7" customWidth="1"/>
    <col min="3085" max="3085" width="10.5703125" style="7" customWidth="1"/>
    <col min="3086" max="3086" width="16.42578125" style="7" customWidth="1"/>
    <col min="3087" max="3087" width="12.140625" style="7" customWidth="1"/>
    <col min="3088" max="3088" width="10.85546875" style="7" customWidth="1"/>
    <col min="3089" max="3089" width="11.7109375" style="7" customWidth="1"/>
    <col min="3090" max="3310" width="9.140625" style="7"/>
    <col min="3311" max="3311" width="6.28515625" style="7" customWidth="1"/>
    <col min="3312" max="3312" width="20.7109375" style="7" customWidth="1"/>
    <col min="3313" max="3313" width="10" style="7" customWidth="1"/>
    <col min="3314" max="3314" width="1" style="7" customWidth="1"/>
    <col min="3315" max="3315" width="10" style="7" customWidth="1"/>
    <col min="3316" max="3316" width="1.28515625" style="7" customWidth="1"/>
    <col min="3317" max="3317" width="9.7109375" style="7" customWidth="1"/>
    <col min="3318" max="3318" width="1.140625" style="7" customWidth="1"/>
    <col min="3319" max="3319" width="12.5703125" style="7" customWidth="1"/>
    <col min="3320" max="3320" width="4.7109375" style="7" customWidth="1"/>
    <col min="3321" max="3321" width="10.7109375" style="7" customWidth="1"/>
    <col min="3322" max="3322" width="4.5703125" style="7" customWidth="1"/>
    <col min="3323" max="3323" width="12.28515625" style="7" customWidth="1"/>
    <col min="3324" max="3324" width="1.42578125" style="7" customWidth="1"/>
    <col min="3325" max="3325" width="14.140625" style="7" customWidth="1"/>
    <col min="3326" max="3326" width="13.7109375" style="7" customWidth="1"/>
    <col min="3327" max="3327" width="8" style="7" customWidth="1"/>
    <col min="3328" max="3328" width="1.42578125" style="7" customWidth="1"/>
    <col min="3329" max="3329" width="11.28515625" style="7" customWidth="1"/>
    <col min="3330" max="3330" width="12.85546875" style="7" customWidth="1"/>
    <col min="3331" max="3331" width="10.5703125" style="7" customWidth="1"/>
    <col min="3332" max="3332" width="12" style="7" customWidth="1"/>
    <col min="3333" max="3333" width="11.140625" style="7" customWidth="1"/>
    <col min="3334" max="3334" width="9.28515625" style="7" customWidth="1"/>
    <col min="3335" max="3335" width="1.42578125" style="7" customWidth="1"/>
    <col min="3336" max="3336" width="17.28515625" style="7" customWidth="1"/>
    <col min="3337" max="3337" width="11.140625" style="7" customWidth="1"/>
    <col min="3338" max="3338" width="12.42578125" style="7" customWidth="1"/>
    <col min="3339" max="3340" width="11.28515625" style="7" customWidth="1"/>
    <col min="3341" max="3341" width="10.5703125" style="7" customWidth="1"/>
    <col min="3342" max="3342" width="16.42578125" style="7" customWidth="1"/>
    <col min="3343" max="3343" width="12.140625" style="7" customWidth="1"/>
    <col min="3344" max="3344" width="10.85546875" style="7" customWidth="1"/>
    <col min="3345" max="3345" width="11.7109375" style="7" customWidth="1"/>
    <col min="3346" max="3566" width="9.140625" style="7"/>
    <col min="3567" max="3567" width="6.28515625" style="7" customWidth="1"/>
    <col min="3568" max="3568" width="20.7109375" style="7" customWidth="1"/>
    <col min="3569" max="3569" width="10" style="7" customWidth="1"/>
    <col min="3570" max="3570" width="1" style="7" customWidth="1"/>
    <col min="3571" max="3571" width="10" style="7" customWidth="1"/>
    <col min="3572" max="3572" width="1.28515625" style="7" customWidth="1"/>
    <col min="3573" max="3573" width="9.7109375" style="7" customWidth="1"/>
    <col min="3574" max="3574" width="1.140625" style="7" customWidth="1"/>
    <col min="3575" max="3575" width="12.5703125" style="7" customWidth="1"/>
    <col min="3576" max="3576" width="4.7109375" style="7" customWidth="1"/>
    <col min="3577" max="3577" width="10.7109375" style="7" customWidth="1"/>
    <col min="3578" max="3578" width="4.5703125" style="7" customWidth="1"/>
    <col min="3579" max="3579" width="12.28515625" style="7" customWidth="1"/>
    <col min="3580" max="3580" width="1.42578125" style="7" customWidth="1"/>
    <col min="3581" max="3581" width="14.140625" style="7" customWidth="1"/>
    <col min="3582" max="3582" width="13.7109375" style="7" customWidth="1"/>
    <col min="3583" max="3583" width="8" style="7" customWidth="1"/>
    <col min="3584" max="3584" width="1.42578125" style="7" customWidth="1"/>
    <col min="3585" max="3585" width="11.28515625" style="7" customWidth="1"/>
    <col min="3586" max="3586" width="12.85546875" style="7" customWidth="1"/>
    <col min="3587" max="3587" width="10.5703125" style="7" customWidth="1"/>
    <col min="3588" max="3588" width="12" style="7" customWidth="1"/>
    <col min="3589" max="3589" width="11.140625" style="7" customWidth="1"/>
    <col min="3590" max="3590" width="9.28515625" style="7" customWidth="1"/>
    <col min="3591" max="3591" width="1.42578125" style="7" customWidth="1"/>
    <col min="3592" max="3592" width="17.28515625" style="7" customWidth="1"/>
    <col min="3593" max="3593" width="11.140625" style="7" customWidth="1"/>
    <col min="3594" max="3594" width="12.42578125" style="7" customWidth="1"/>
    <col min="3595" max="3596" width="11.28515625" style="7" customWidth="1"/>
    <col min="3597" max="3597" width="10.5703125" style="7" customWidth="1"/>
    <col min="3598" max="3598" width="16.42578125" style="7" customWidth="1"/>
    <col min="3599" max="3599" width="12.140625" style="7" customWidth="1"/>
    <col min="3600" max="3600" width="10.85546875" style="7" customWidth="1"/>
    <col min="3601" max="3601" width="11.7109375" style="7" customWidth="1"/>
    <col min="3602" max="3822" width="9.140625" style="7"/>
    <col min="3823" max="3823" width="6.28515625" style="7" customWidth="1"/>
    <col min="3824" max="3824" width="20.7109375" style="7" customWidth="1"/>
    <col min="3825" max="3825" width="10" style="7" customWidth="1"/>
    <col min="3826" max="3826" width="1" style="7" customWidth="1"/>
    <col min="3827" max="3827" width="10" style="7" customWidth="1"/>
    <col min="3828" max="3828" width="1.28515625" style="7" customWidth="1"/>
    <col min="3829" max="3829" width="9.7109375" style="7" customWidth="1"/>
    <col min="3830" max="3830" width="1.140625" style="7" customWidth="1"/>
    <col min="3831" max="3831" width="12.5703125" style="7" customWidth="1"/>
    <col min="3832" max="3832" width="4.7109375" style="7" customWidth="1"/>
    <col min="3833" max="3833" width="10.7109375" style="7" customWidth="1"/>
    <col min="3834" max="3834" width="4.5703125" style="7" customWidth="1"/>
    <col min="3835" max="3835" width="12.28515625" style="7" customWidth="1"/>
    <col min="3836" max="3836" width="1.42578125" style="7" customWidth="1"/>
    <col min="3837" max="3837" width="14.140625" style="7" customWidth="1"/>
    <col min="3838" max="3838" width="13.7109375" style="7" customWidth="1"/>
    <col min="3839" max="3839" width="8" style="7" customWidth="1"/>
    <col min="3840" max="3840" width="1.42578125" style="7" customWidth="1"/>
    <col min="3841" max="3841" width="11.28515625" style="7" customWidth="1"/>
    <col min="3842" max="3842" width="12.85546875" style="7" customWidth="1"/>
    <col min="3843" max="3843" width="10.5703125" style="7" customWidth="1"/>
    <col min="3844" max="3844" width="12" style="7" customWidth="1"/>
    <col min="3845" max="3845" width="11.140625" style="7" customWidth="1"/>
    <col min="3846" max="3846" width="9.28515625" style="7" customWidth="1"/>
    <col min="3847" max="3847" width="1.42578125" style="7" customWidth="1"/>
    <col min="3848" max="3848" width="17.28515625" style="7" customWidth="1"/>
    <col min="3849" max="3849" width="11.140625" style="7" customWidth="1"/>
    <col min="3850" max="3850" width="12.42578125" style="7" customWidth="1"/>
    <col min="3851" max="3852" width="11.28515625" style="7" customWidth="1"/>
    <col min="3853" max="3853" width="10.5703125" style="7" customWidth="1"/>
    <col min="3854" max="3854" width="16.42578125" style="7" customWidth="1"/>
    <col min="3855" max="3855" width="12.140625" style="7" customWidth="1"/>
    <col min="3856" max="3856" width="10.85546875" style="7" customWidth="1"/>
    <col min="3857" max="3857" width="11.7109375" style="7" customWidth="1"/>
    <col min="3858" max="4078" width="9.140625" style="7"/>
    <col min="4079" max="4079" width="6.28515625" style="7" customWidth="1"/>
    <col min="4080" max="4080" width="20.7109375" style="7" customWidth="1"/>
    <col min="4081" max="4081" width="10" style="7" customWidth="1"/>
    <col min="4082" max="4082" width="1" style="7" customWidth="1"/>
    <col min="4083" max="4083" width="10" style="7" customWidth="1"/>
    <col min="4084" max="4084" width="1.28515625" style="7" customWidth="1"/>
    <col min="4085" max="4085" width="9.7109375" style="7" customWidth="1"/>
    <col min="4086" max="4086" width="1.140625" style="7" customWidth="1"/>
    <col min="4087" max="4087" width="12.5703125" style="7" customWidth="1"/>
    <col min="4088" max="4088" width="4.7109375" style="7" customWidth="1"/>
    <col min="4089" max="4089" width="10.7109375" style="7" customWidth="1"/>
    <col min="4090" max="4090" width="4.5703125" style="7" customWidth="1"/>
    <col min="4091" max="4091" width="12.28515625" style="7" customWidth="1"/>
    <col min="4092" max="4092" width="1.42578125" style="7" customWidth="1"/>
    <col min="4093" max="4093" width="14.140625" style="7" customWidth="1"/>
    <col min="4094" max="4094" width="13.7109375" style="7" customWidth="1"/>
    <col min="4095" max="4095" width="8" style="7" customWidth="1"/>
    <col min="4096" max="4096" width="1.42578125" style="7" customWidth="1"/>
    <col min="4097" max="4097" width="11.28515625" style="7" customWidth="1"/>
    <col min="4098" max="4098" width="12.85546875" style="7" customWidth="1"/>
    <col min="4099" max="4099" width="10.5703125" style="7" customWidth="1"/>
    <col min="4100" max="4100" width="12" style="7" customWidth="1"/>
    <col min="4101" max="4101" width="11.140625" style="7" customWidth="1"/>
    <col min="4102" max="4102" width="9.28515625" style="7" customWidth="1"/>
    <col min="4103" max="4103" width="1.42578125" style="7" customWidth="1"/>
    <col min="4104" max="4104" width="17.28515625" style="7" customWidth="1"/>
    <col min="4105" max="4105" width="11.140625" style="7" customWidth="1"/>
    <col min="4106" max="4106" width="12.42578125" style="7" customWidth="1"/>
    <col min="4107" max="4108" width="11.28515625" style="7" customWidth="1"/>
    <col min="4109" max="4109" width="10.5703125" style="7" customWidth="1"/>
    <col min="4110" max="4110" width="16.42578125" style="7" customWidth="1"/>
    <col min="4111" max="4111" width="12.140625" style="7" customWidth="1"/>
    <col min="4112" max="4112" width="10.85546875" style="7" customWidth="1"/>
    <col min="4113" max="4113" width="11.7109375" style="7" customWidth="1"/>
    <col min="4114" max="4334" width="9.140625" style="7"/>
    <col min="4335" max="4335" width="6.28515625" style="7" customWidth="1"/>
    <col min="4336" max="4336" width="20.7109375" style="7" customWidth="1"/>
    <col min="4337" max="4337" width="10" style="7" customWidth="1"/>
    <col min="4338" max="4338" width="1" style="7" customWidth="1"/>
    <col min="4339" max="4339" width="10" style="7" customWidth="1"/>
    <col min="4340" max="4340" width="1.28515625" style="7" customWidth="1"/>
    <col min="4341" max="4341" width="9.7109375" style="7" customWidth="1"/>
    <col min="4342" max="4342" width="1.140625" style="7" customWidth="1"/>
    <col min="4343" max="4343" width="12.5703125" style="7" customWidth="1"/>
    <col min="4344" max="4344" width="4.7109375" style="7" customWidth="1"/>
    <col min="4345" max="4345" width="10.7109375" style="7" customWidth="1"/>
    <col min="4346" max="4346" width="4.5703125" style="7" customWidth="1"/>
    <col min="4347" max="4347" width="12.28515625" style="7" customWidth="1"/>
    <col min="4348" max="4348" width="1.42578125" style="7" customWidth="1"/>
    <col min="4349" max="4349" width="14.140625" style="7" customWidth="1"/>
    <col min="4350" max="4350" width="13.7109375" style="7" customWidth="1"/>
    <col min="4351" max="4351" width="8" style="7" customWidth="1"/>
    <col min="4352" max="4352" width="1.42578125" style="7" customWidth="1"/>
    <col min="4353" max="4353" width="11.28515625" style="7" customWidth="1"/>
    <col min="4354" max="4354" width="12.85546875" style="7" customWidth="1"/>
    <col min="4355" max="4355" width="10.5703125" style="7" customWidth="1"/>
    <col min="4356" max="4356" width="12" style="7" customWidth="1"/>
    <col min="4357" max="4357" width="11.140625" style="7" customWidth="1"/>
    <col min="4358" max="4358" width="9.28515625" style="7" customWidth="1"/>
    <col min="4359" max="4359" width="1.42578125" style="7" customWidth="1"/>
    <col min="4360" max="4360" width="17.28515625" style="7" customWidth="1"/>
    <col min="4361" max="4361" width="11.140625" style="7" customWidth="1"/>
    <col min="4362" max="4362" width="12.42578125" style="7" customWidth="1"/>
    <col min="4363" max="4364" width="11.28515625" style="7" customWidth="1"/>
    <col min="4365" max="4365" width="10.5703125" style="7" customWidth="1"/>
    <col min="4366" max="4366" width="16.42578125" style="7" customWidth="1"/>
    <col min="4367" max="4367" width="12.140625" style="7" customWidth="1"/>
    <col min="4368" max="4368" width="10.85546875" style="7" customWidth="1"/>
    <col min="4369" max="4369" width="11.7109375" style="7" customWidth="1"/>
    <col min="4370" max="4590" width="9.140625" style="7"/>
    <col min="4591" max="4591" width="6.28515625" style="7" customWidth="1"/>
    <col min="4592" max="4592" width="20.7109375" style="7" customWidth="1"/>
    <col min="4593" max="4593" width="10" style="7" customWidth="1"/>
    <col min="4594" max="4594" width="1" style="7" customWidth="1"/>
    <col min="4595" max="4595" width="10" style="7" customWidth="1"/>
    <col min="4596" max="4596" width="1.28515625" style="7" customWidth="1"/>
    <col min="4597" max="4597" width="9.7109375" style="7" customWidth="1"/>
    <col min="4598" max="4598" width="1.140625" style="7" customWidth="1"/>
    <col min="4599" max="4599" width="12.5703125" style="7" customWidth="1"/>
    <col min="4600" max="4600" width="4.7109375" style="7" customWidth="1"/>
    <col min="4601" max="4601" width="10.7109375" style="7" customWidth="1"/>
    <col min="4602" max="4602" width="4.5703125" style="7" customWidth="1"/>
    <col min="4603" max="4603" width="12.28515625" style="7" customWidth="1"/>
    <col min="4604" max="4604" width="1.42578125" style="7" customWidth="1"/>
    <col min="4605" max="4605" width="14.140625" style="7" customWidth="1"/>
    <col min="4606" max="4606" width="13.7109375" style="7" customWidth="1"/>
    <col min="4607" max="4607" width="8" style="7" customWidth="1"/>
    <col min="4608" max="4608" width="1.42578125" style="7" customWidth="1"/>
    <col min="4609" max="4609" width="11.28515625" style="7" customWidth="1"/>
    <col min="4610" max="4610" width="12.85546875" style="7" customWidth="1"/>
    <col min="4611" max="4611" width="10.5703125" style="7" customWidth="1"/>
    <col min="4612" max="4612" width="12" style="7" customWidth="1"/>
    <col min="4613" max="4613" width="11.140625" style="7" customWidth="1"/>
    <col min="4614" max="4614" width="9.28515625" style="7" customWidth="1"/>
    <col min="4615" max="4615" width="1.42578125" style="7" customWidth="1"/>
    <col min="4616" max="4616" width="17.28515625" style="7" customWidth="1"/>
    <col min="4617" max="4617" width="11.140625" style="7" customWidth="1"/>
    <col min="4618" max="4618" width="12.42578125" style="7" customWidth="1"/>
    <col min="4619" max="4620" width="11.28515625" style="7" customWidth="1"/>
    <col min="4621" max="4621" width="10.5703125" style="7" customWidth="1"/>
    <col min="4622" max="4622" width="16.42578125" style="7" customWidth="1"/>
    <col min="4623" max="4623" width="12.140625" style="7" customWidth="1"/>
    <col min="4624" max="4624" width="10.85546875" style="7" customWidth="1"/>
    <col min="4625" max="4625" width="11.7109375" style="7" customWidth="1"/>
    <col min="4626" max="4846" width="9.140625" style="7"/>
    <col min="4847" max="4847" width="6.28515625" style="7" customWidth="1"/>
    <col min="4848" max="4848" width="20.7109375" style="7" customWidth="1"/>
    <col min="4849" max="4849" width="10" style="7" customWidth="1"/>
    <col min="4850" max="4850" width="1" style="7" customWidth="1"/>
    <col min="4851" max="4851" width="10" style="7" customWidth="1"/>
    <col min="4852" max="4852" width="1.28515625" style="7" customWidth="1"/>
    <col min="4853" max="4853" width="9.7109375" style="7" customWidth="1"/>
    <col min="4854" max="4854" width="1.140625" style="7" customWidth="1"/>
    <col min="4855" max="4855" width="12.5703125" style="7" customWidth="1"/>
    <col min="4856" max="4856" width="4.7109375" style="7" customWidth="1"/>
    <col min="4857" max="4857" width="10.7109375" style="7" customWidth="1"/>
    <col min="4858" max="4858" width="4.5703125" style="7" customWidth="1"/>
    <col min="4859" max="4859" width="12.28515625" style="7" customWidth="1"/>
    <col min="4860" max="4860" width="1.42578125" style="7" customWidth="1"/>
    <col min="4861" max="4861" width="14.140625" style="7" customWidth="1"/>
    <col min="4862" max="4862" width="13.7109375" style="7" customWidth="1"/>
    <col min="4863" max="4863" width="8" style="7" customWidth="1"/>
    <col min="4864" max="4864" width="1.42578125" style="7" customWidth="1"/>
    <col min="4865" max="4865" width="11.28515625" style="7" customWidth="1"/>
    <col min="4866" max="4866" width="12.85546875" style="7" customWidth="1"/>
    <col min="4867" max="4867" width="10.5703125" style="7" customWidth="1"/>
    <col min="4868" max="4868" width="12" style="7" customWidth="1"/>
    <col min="4869" max="4869" width="11.140625" style="7" customWidth="1"/>
    <col min="4870" max="4870" width="9.28515625" style="7" customWidth="1"/>
    <col min="4871" max="4871" width="1.42578125" style="7" customWidth="1"/>
    <col min="4872" max="4872" width="17.28515625" style="7" customWidth="1"/>
    <col min="4873" max="4873" width="11.140625" style="7" customWidth="1"/>
    <col min="4874" max="4874" width="12.42578125" style="7" customWidth="1"/>
    <col min="4875" max="4876" width="11.28515625" style="7" customWidth="1"/>
    <col min="4877" max="4877" width="10.5703125" style="7" customWidth="1"/>
    <col min="4878" max="4878" width="16.42578125" style="7" customWidth="1"/>
    <col min="4879" max="4879" width="12.140625" style="7" customWidth="1"/>
    <col min="4880" max="4880" width="10.85546875" style="7" customWidth="1"/>
    <col min="4881" max="4881" width="11.7109375" style="7" customWidth="1"/>
    <col min="4882" max="5102" width="9.140625" style="7"/>
    <col min="5103" max="5103" width="6.28515625" style="7" customWidth="1"/>
    <col min="5104" max="5104" width="20.7109375" style="7" customWidth="1"/>
    <col min="5105" max="5105" width="10" style="7" customWidth="1"/>
    <col min="5106" max="5106" width="1" style="7" customWidth="1"/>
    <col min="5107" max="5107" width="10" style="7" customWidth="1"/>
    <col min="5108" max="5108" width="1.28515625" style="7" customWidth="1"/>
    <col min="5109" max="5109" width="9.7109375" style="7" customWidth="1"/>
    <col min="5110" max="5110" width="1.140625" style="7" customWidth="1"/>
    <col min="5111" max="5111" width="12.5703125" style="7" customWidth="1"/>
    <col min="5112" max="5112" width="4.7109375" style="7" customWidth="1"/>
    <col min="5113" max="5113" width="10.7109375" style="7" customWidth="1"/>
    <col min="5114" max="5114" width="4.5703125" style="7" customWidth="1"/>
    <col min="5115" max="5115" width="12.28515625" style="7" customWidth="1"/>
    <col min="5116" max="5116" width="1.42578125" style="7" customWidth="1"/>
    <col min="5117" max="5117" width="14.140625" style="7" customWidth="1"/>
    <col min="5118" max="5118" width="13.7109375" style="7" customWidth="1"/>
    <col min="5119" max="5119" width="8" style="7" customWidth="1"/>
    <col min="5120" max="5120" width="1.42578125" style="7" customWidth="1"/>
    <col min="5121" max="5121" width="11.28515625" style="7" customWidth="1"/>
    <col min="5122" max="5122" width="12.85546875" style="7" customWidth="1"/>
    <col min="5123" max="5123" width="10.5703125" style="7" customWidth="1"/>
    <col min="5124" max="5124" width="12" style="7" customWidth="1"/>
    <col min="5125" max="5125" width="11.140625" style="7" customWidth="1"/>
    <col min="5126" max="5126" width="9.28515625" style="7" customWidth="1"/>
    <col min="5127" max="5127" width="1.42578125" style="7" customWidth="1"/>
    <col min="5128" max="5128" width="17.28515625" style="7" customWidth="1"/>
    <col min="5129" max="5129" width="11.140625" style="7" customWidth="1"/>
    <col min="5130" max="5130" width="12.42578125" style="7" customWidth="1"/>
    <col min="5131" max="5132" width="11.28515625" style="7" customWidth="1"/>
    <col min="5133" max="5133" width="10.5703125" style="7" customWidth="1"/>
    <col min="5134" max="5134" width="16.42578125" style="7" customWidth="1"/>
    <col min="5135" max="5135" width="12.140625" style="7" customWidth="1"/>
    <col min="5136" max="5136" width="10.85546875" style="7" customWidth="1"/>
    <col min="5137" max="5137" width="11.7109375" style="7" customWidth="1"/>
    <col min="5138" max="5358" width="9.140625" style="7"/>
    <col min="5359" max="5359" width="6.28515625" style="7" customWidth="1"/>
    <col min="5360" max="5360" width="20.7109375" style="7" customWidth="1"/>
    <col min="5361" max="5361" width="10" style="7" customWidth="1"/>
    <col min="5362" max="5362" width="1" style="7" customWidth="1"/>
    <col min="5363" max="5363" width="10" style="7" customWidth="1"/>
    <col min="5364" max="5364" width="1.28515625" style="7" customWidth="1"/>
    <col min="5365" max="5365" width="9.7109375" style="7" customWidth="1"/>
    <col min="5366" max="5366" width="1.140625" style="7" customWidth="1"/>
    <col min="5367" max="5367" width="12.5703125" style="7" customWidth="1"/>
    <col min="5368" max="5368" width="4.7109375" style="7" customWidth="1"/>
    <col min="5369" max="5369" width="10.7109375" style="7" customWidth="1"/>
    <col min="5370" max="5370" width="4.5703125" style="7" customWidth="1"/>
    <col min="5371" max="5371" width="12.28515625" style="7" customWidth="1"/>
    <col min="5372" max="5372" width="1.42578125" style="7" customWidth="1"/>
    <col min="5373" max="5373" width="14.140625" style="7" customWidth="1"/>
    <col min="5374" max="5374" width="13.7109375" style="7" customWidth="1"/>
    <col min="5375" max="5375" width="8" style="7" customWidth="1"/>
    <col min="5376" max="5376" width="1.42578125" style="7" customWidth="1"/>
    <col min="5377" max="5377" width="11.28515625" style="7" customWidth="1"/>
    <col min="5378" max="5378" width="12.85546875" style="7" customWidth="1"/>
    <col min="5379" max="5379" width="10.5703125" style="7" customWidth="1"/>
    <col min="5380" max="5380" width="12" style="7" customWidth="1"/>
    <col min="5381" max="5381" width="11.140625" style="7" customWidth="1"/>
    <col min="5382" max="5382" width="9.28515625" style="7" customWidth="1"/>
    <col min="5383" max="5383" width="1.42578125" style="7" customWidth="1"/>
    <col min="5384" max="5384" width="17.28515625" style="7" customWidth="1"/>
    <col min="5385" max="5385" width="11.140625" style="7" customWidth="1"/>
    <col min="5386" max="5386" width="12.42578125" style="7" customWidth="1"/>
    <col min="5387" max="5388" width="11.28515625" style="7" customWidth="1"/>
    <col min="5389" max="5389" width="10.5703125" style="7" customWidth="1"/>
    <col min="5390" max="5390" width="16.42578125" style="7" customWidth="1"/>
    <col min="5391" max="5391" width="12.140625" style="7" customWidth="1"/>
    <col min="5392" max="5392" width="10.85546875" style="7" customWidth="1"/>
    <col min="5393" max="5393" width="11.7109375" style="7" customWidth="1"/>
    <col min="5394" max="5614" width="9.140625" style="7"/>
    <col min="5615" max="5615" width="6.28515625" style="7" customWidth="1"/>
    <col min="5616" max="5616" width="20.7109375" style="7" customWidth="1"/>
    <col min="5617" max="5617" width="10" style="7" customWidth="1"/>
    <col min="5618" max="5618" width="1" style="7" customWidth="1"/>
    <col min="5619" max="5619" width="10" style="7" customWidth="1"/>
    <col min="5620" max="5620" width="1.28515625" style="7" customWidth="1"/>
    <col min="5621" max="5621" width="9.7109375" style="7" customWidth="1"/>
    <col min="5622" max="5622" width="1.140625" style="7" customWidth="1"/>
    <col min="5623" max="5623" width="12.5703125" style="7" customWidth="1"/>
    <col min="5624" max="5624" width="4.7109375" style="7" customWidth="1"/>
    <col min="5625" max="5625" width="10.7109375" style="7" customWidth="1"/>
    <col min="5626" max="5626" width="4.5703125" style="7" customWidth="1"/>
    <col min="5627" max="5627" width="12.28515625" style="7" customWidth="1"/>
    <col min="5628" max="5628" width="1.42578125" style="7" customWidth="1"/>
    <col min="5629" max="5629" width="14.140625" style="7" customWidth="1"/>
    <col min="5630" max="5630" width="13.7109375" style="7" customWidth="1"/>
    <col min="5631" max="5631" width="8" style="7" customWidth="1"/>
    <col min="5632" max="5632" width="1.42578125" style="7" customWidth="1"/>
    <col min="5633" max="5633" width="11.28515625" style="7" customWidth="1"/>
    <col min="5634" max="5634" width="12.85546875" style="7" customWidth="1"/>
    <col min="5635" max="5635" width="10.5703125" style="7" customWidth="1"/>
    <col min="5636" max="5636" width="12" style="7" customWidth="1"/>
    <col min="5637" max="5637" width="11.140625" style="7" customWidth="1"/>
    <col min="5638" max="5638" width="9.28515625" style="7" customWidth="1"/>
    <col min="5639" max="5639" width="1.42578125" style="7" customWidth="1"/>
    <col min="5640" max="5640" width="17.28515625" style="7" customWidth="1"/>
    <col min="5641" max="5641" width="11.140625" style="7" customWidth="1"/>
    <col min="5642" max="5642" width="12.42578125" style="7" customWidth="1"/>
    <col min="5643" max="5644" width="11.28515625" style="7" customWidth="1"/>
    <col min="5645" max="5645" width="10.5703125" style="7" customWidth="1"/>
    <col min="5646" max="5646" width="16.42578125" style="7" customWidth="1"/>
    <col min="5647" max="5647" width="12.140625" style="7" customWidth="1"/>
    <col min="5648" max="5648" width="10.85546875" style="7" customWidth="1"/>
    <col min="5649" max="5649" width="11.7109375" style="7" customWidth="1"/>
    <col min="5650" max="5870" width="9.140625" style="7"/>
    <col min="5871" max="5871" width="6.28515625" style="7" customWidth="1"/>
    <col min="5872" max="5872" width="20.7109375" style="7" customWidth="1"/>
    <col min="5873" max="5873" width="10" style="7" customWidth="1"/>
    <col min="5874" max="5874" width="1" style="7" customWidth="1"/>
    <col min="5875" max="5875" width="10" style="7" customWidth="1"/>
    <col min="5876" max="5876" width="1.28515625" style="7" customWidth="1"/>
    <col min="5877" max="5877" width="9.7109375" style="7" customWidth="1"/>
    <col min="5878" max="5878" width="1.140625" style="7" customWidth="1"/>
    <col min="5879" max="5879" width="12.5703125" style="7" customWidth="1"/>
    <col min="5880" max="5880" width="4.7109375" style="7" customWidth="1"/>
    <col min="5881" max="5881" width="10.7109375" style="7" customWidth="1"/>
    <col min="5882" max="5882" width="4.5703125" style="7" customWidth="1"/>
    <col min="5883" max="5883" width="12.28515625" style="7" customWidth="1"/>
    <col min="5884" max="5884" width="1.42578125" style="7" customWidth="1"/>
    <col min="5885" max="5885" width="14.140625" style="7" customWidth="1"/>
    <col min="5886" max="5886" width="13.7109375" style="7" customWidth="1"/>
    <col min="5887" max="5887" width="8" style="7" customWidth="1"/>
    <col min="5888" max="5888" width="1.42578125" style="7" customWidth="1"/>
    <col min="5889" max="5889" width="11.28515625" style="7" customWidth="1"/>
    <col min="5890" max="5890" width="12.85546875" style="7" customWidth="1"/>
    <col min="5891" max="5891" width="10.5703125" style="7" customWidth="1"/>
    <col min="5892" max="5892" width="12" style="7" customWidth="1"/>
    <col min="5893" max="5893" width="11.140625" style="7" customWidth="1"/>
    <col min="5894" max="5894" width="9.28515625" style="7" customWidth="1"/>
    <col min="5895" max="5895" width="1.42578125" style="7" customWidth="1"/>
    <col min="5896" max="5896" width="17.28515625" style="7" customWidth="1"/>
    <col min="5897" max="5897" width="11.140625" style="7" customWidth="1"/>
    <col min="5898" max="5898" width="12.42578125" style="7" customWidth="1"/>
    <col min="5899" max="5900" width="11.28515625" style="7" customWidth="1"/>
    <col min="5901" max="5901" width="10.5703125" style="7" customWidth="1"/>
    <col min="5902" max="5902" width="16.42578125" style="7" customWidth="1"/>
    <col min="5903" max="5903" width="12.140625" style="7" customWidth="1"/>
    <col min="5904" max="5904" width="10.85546875" style="7" customWidth="1"/>
    <col min="5905" max="5905" width="11.7109375" style="7" customWidth="1"/>
    <col min="5906" max="6126" width="9.140625" style="7"/>
    <col min="6127" max="6127" width="6.28515625" style="7" customWidth="1"/>
    <col min="6128" max="6128" width="20.7109375" style="7" customWidth="1"/>
    <col min="6129" max="6129" width="10" style="7" customWidth="1"/>
    <col min="6130" max="6130" width="1" style="7" customWidth="1"/>
    <col min="6131" max="6131" width="10" style="7" customWidth="1"/>
    <col min="6132" max="6132" width="1.28515625" style="7" customWidth="1"/>
    <col min="6133" max="6133" width="9.7109375" style="7" customWidth="1"/>
    <col min="6134" max="6134" width="1.140625" style="7" customWidth="1"/>
    <col min="6135" max="6135" width="12.5703125" style="7" customWidth="1"/>
    <col min="6136" max="6136" width="4.7109375" style="7" customWidth="1"/>
    <col min="6137" max="6137" width="10.7109375" style="7" customWidth="1"/>
    <col min="6138" max="6138" width="4.5703125" style="7" customWidth="1"/>
    <col min="6139" max="6139" width="12.28515625" style="7" customWidth="1"/>
    <col min="6140" max="6140" width="1.42578125" style="7" customWidth="1"/>
    <col min="6141" max="6141" width="14.140625" style="7" customWidth="1"/>
    <col min="6142" max="6142" width="13.7109375" style="7" customWidth="1"/>
    <col min="6143" max="6143" width="8" style="7" customWidth="1"/>
    <col min="6144" max="6144" width="1.42578125" style="7" customWidth="1"/>
    <col min="6145" max="6145" width="11.28515625" style="7" customWidth="1"/>
    <col min="6146" max="6146" width="12.85546875" style="7" customWidth="1"/>
    <col min="6147" max="6147" width="10.5703125" style="7" customWidth="1"/>
    <col min="6148" max="6148" width="12" style="7" customWidth="1"/>
    <col min="6149" max="6149" width="11.140625" style="7" customWidth="1"/>
    <col min="6150" max="6150" width="9.28515625" style="7" customWidth="1"/>
    <col min="6151" max="6151" width="1.42578125" style="7" customWidth="1"/>
    <col min="6152" max="6152" width="17.28515625" style="7" customWidth="1"/>
    <col min="6153" max="6153" width="11.140625" style="7" customWidth="1"/>
    <col min="6154" max="6154" width="12.42578125" style="7" customWidth="1"/>
    <col min="6155" max="6156" width="11.28515625" style="7" customWidth="1"/>
    <col min="6157" max="6157" width="10.5703125" style="7" customWidth="1"/>
    <col min="6158" max="6158" width="16.42578125" style="7" customWidth="1"/>
    <col min="6159" max="6159" width="12.140625" style="7" customWidth="1"/>
    <col min="6160" max="6160" width="10.85546875" style="7" customWidth="1"/>
    <col min="6161" max="6161" width="11.7109375" style="7" customWidth="1"/>
    <col min="6162" max="6382" width="9.140625" style="7"/>
    <col min="6383" max="6383" width="6.28515625" style="7" customWidth="1"/>
    <col min="6384" max="6384" width="20.7109375" style="7" customWidth="1"/>
    <col min="6385" max="6385" width="10" style="7" customWidth="1"/>
    <col min="6386" max="6386" width="1" style="7" customWidth="1"/>
    <col min="6387" max="6387" width="10" style="7" customWidth="1"/>
    <col min="6388" max="6388" width="1.28515625" style="7" customWidth="1"/>
    <col min="6389" max="6389" width="9.7109375" style="7" customWidth="1"/>
    <col min="6390" max="6390" width="1.140625" style="7" customWidth="1"/>
    <col min="6391" max="6391" width="12.5703125" style="7" customWidth="1"/>
    <col min="6392" max="6392" width="4.7109375" style="7" customWidth="1"/>
    <col min="6393" max="6393" width="10.7109375" style="7" customWidth="1"/>
    <col min="6394" max="6394" width="4.5703125" style="7" customWidth="1"/>
    <col min="6395" max="6395" width="12.28515625" style="7" customWidth="1"/>
    <col min="6396" max="6396" width="1.42578125" style="7" customWidth="1"/>
    <col min="6397" max="6397" width="14.140625" style="7" customWidth="1"/>
    <col min="6398" max="6398" width="13.7109375" style="7" customWidth="1"/>
    <col min="6399" max="6399" width="8" style="7" customWidth="1"/>
    <col min="6400" max="6400" width="1.42578125" style="7" customWidth="1"/>
    <col min="6401" max="6401" width="11.28515625" style="7" customWidth="1"/>
    <col min="6402" max="6402" width="12.85546875" style="7" customWidth="1"/>
    <col min="6403" max="6403" width="10.5703125" style="7" customWidth="1"/>
    <col min="6404" max="6404" width="12" style="7" customWidth="1"/>
    <col min="6405" max="6405" width="11.140625" style="7" customWidth="1"/>
    <col min="6406" max="6406" width="9.28515625" style="7" customWidth="1"/>
    <col min="6407" max="6407" width="1.42578125" style="7" customWidth="1"/>
    <col min="6408" max="6408" width="17.28515625" style="7" customWidth="1"/>
    <col min="6409" max="6409" width="11.140625" style="7" customWidth="1"/>
    <col min="6410" max="6410" width="12.42578125" style="7" customWidth="1"/>
    <col min="6411" max="6412" width="11.28515625" style="7" customWidth="1"/>
    <col min="6413" max="6413" width="10.5703125" style="7" customWidth="1"/>
    <col min="6414" max="6414" width="16.42578125" style="7" customWidth="1"/>
    <col min="6415" max="6415" width="12.140625" style="7" customWidth="1"/>
    <col min="6416" max="6416" width="10.85546875" style="7" customWidth="1"/>
    <col min="6417" max="6417" width="11.7109375" style="7" customWidth="1"/>
    <col min="6418" max="6638" width="9.140625" style="7"/>
    <col min="6639" max="6639" width="6.28515625" style="7" customWidth="1"/>
    <col min="6640" max="6640" width="20.7109375" style="7" customWidth="1"/>
    <col min="6641" max="6641" width="10" style="7" customWidth="1"/>
    <col min="6642" max="6642" width="1" style="7" customWidth="1"/>
    <col min="6643" max="6643" width="10" style="7" customWidth="1"/>
    <col min="6644" max="6644" width="1.28515625" style="7" customWidth="1"/>
    <col min="6645" max="6645" width="9.7109375" style="7" customWidth="1"/>
    <col min="6646" max="6646" width="1.140625" style="7" customWidth="1"/>
    <col min="6647" max="6647" width="12.5703125" style="7" customWidth="1"/>
    <col min="6648" max="6648" width="4.7109375" style="7" customWidth="1"/>
    <col min="6649" max="6649" width="10.7109375" style="7" customWidth="1"/>
    <col min="6650" max="6650" width="4.5703125" style="7" customWidth="1"/>
    <col min="6651" max="6651" width="12.28515625" style="7" customWidth="1"/>
    <col min="6652" max="6652" width="1.42578125" style="7" customWidth="1"/>
    <col min="6653" max="6653" width="14.140625" style="7" customWidth="1"/>
    <col min="6654" max="6654" width="13.7109375" style="7" customWidth="1"/>
    <col min="6655" max="6655" width="8" style="7" customWidth="1"/>
    <col min="6656" max="6656" width="1.42578125" style="7" customWidth="1"/>
    <col min="6657" max="6657" width="11.28515625" style="7" customWidth="1"/>
    <col min="6658" max="6658" width="12.85546875" style="7" customWidth="1"/>
    <col min="6659" max="6659" width="10.5703125" style="7" customWidth="1"/>
    <col min="6660" max="6660" width="12" style="7" customWidth="1"/>
    <col min="6661" max="6661" width="11.140625" style="7" customWidth="1"/>
    <col min="6662" max="6662" width="9.28515625" style="7" customWidth="1"/>
    <col min="6663" max="6663" width="1.42578125" style="7" customWidth="1"/>
    <col min="6664" max="6664" width="17.28515625" style="7" customWidth="1"/>
    <col min="6665" max="6665" width="11.140625" style="7" customWidth="1"/>
    <col min="6666" max="6666" width="12.42578125" style="7" customWidth="1"/>
    <col min="6667" max="6668" width="11.28515625" style="7" customWidth="1"/>
    <col min="6669" max="6669" width="10.5703125" style="7" customWidth="1"/>
    <col min="6670" max="6670" width="16.42578125" style="7" customWidth="1"/>
    <col min="6671" max="6671" width="12.140625" style="7" customWidth="1"/>
    <col min="6672" max="6672" width="10.85546875" style="7" customWidth="1"/>
    <col min="6673" max="6673" width="11.7109375" style="7" customWidth="1"/>
    <col min="6674" max="6894" width="9.140625" style="7"/>
    <col min="6895" max="6895" width="6.28515625" style="7" customWidth="1"/>
    <col min="6896" max="6896" width="20.7109375" style="7" customWidth="1"/>
    <col min="6897" max="6897" width="10" style="7" customWidth="1"/>
    <col min="6898" max="6898" width="1" style="7" customWidth="1"/>
    <col min="6899" max="6899" width="10" style="7" customWidth="1"/>
    <col min="6900" max="6900" width="1.28515625" style="7" customWidth="1"/>
    <col min="6901" max="6901" width="9.7109375" style="7" customWidth="1"/>
    <col min="6902" max="6902" width="1.140625" style="7" customWidth="1"/>
    <col min="6903" max="6903" width="12.5703125" style="7" customWidth="1"/>
    <col min="6904" max="6904" width="4.7109375" style="7" customWidth="1"/>
    <col min="6905" max="6905" width="10.7109375" style="7" customWidth="1"/>
    <col min="6906" max="6906" width="4.5703125" style="7" customWidth="1"/>
    <col min="6907" max="6907" width="12.28515625" style="7" customWidth="1"/>
    <col min="6908" max="6908" width="1.42578125" style="7" customWidth="1"/>
    <col min="6909" max="6909" width="14.140625" style="7" customWidth="1"/>
    <col min="6910" max="6910" width="13.7109375" style="7" customWidth="1"/>
    <col min="6911" max="6911" width="8" style="7" customWidth="1"/>
    <col min="6912" max="6912" width="1.42578125" style="7" customWidth="1"/>
    <col min="6913" max="6913" width="11.28515625" style="7" customWidth="1"/>
    <col min="6914" max="6914" width="12.85546875" style="7" customWidth="1"/>
    <col min="6915" max="6915" width="10.5703125" style="7" customWidth="1"/>
    <col min="6916" max="6916" width="12" style="7" customWidth="1"/>
    <col min="6917" max="6917" width="11.140625" style="7" customWidth="1"/>
    <col min="6918" max="6918" width="9.28515625" style="7" customWidth="1"/>
    <col min="6919" max="6919" width="1.42578125" style="7" customWidth="1"/>
    <col min="6920" max="6920" width="17.28515625" style="7" customWidth="1"/>
    <col min="6921" max="6921" width="11.140625" style="7" customWidth="1"/>
    <col min="6922" max="6922" width="12.42578125" style="7" customWidth="1"/>
    <col min="6923" max="6924" width="11.28515625" style="7" customWidth="1"/>
    <col min="6925" max="6925" width="10.5703125" style="7" customWidth="1"/>
    <col min="6926" max="6926" width="16.42578125" style="7" customWidth="1"/>
    <col min="6927" max="6927" width="12.140625" style="7" customWidth="1"/>
    <col min="6928" max="6928" width="10.85546875" style="7" customWidth="1"/>
    <col min="6929" max="6929" width="11.7109375" style="7" customWidth="1"/>
    <col min="6930" max="7150" width="9.140625" style="7"/>
    <col min="7151" max="7151" width="6.28515625" style="7" customWidth="1"/>
    <col min="7152" max="7152" width="20.7109375" style="7" customWidth="1"/>
    <col min="7153" max="7153" width="10" style="7" customWidth="1"/>
    <col min="7154" max="7154" width="1" style="7" customWidth="1"/>
    <col min="7155" max="7155" width="10" style="7" customWidth="1"/>
    <col min="7156" max="7156" width="1.28515625" style="7" customWidth="1"/>
    <col min="7157" max="7157" width="9.7109375" style="7" customWidth="1"/>
    <col min="7158" max="7158" width="1.140625" style="7" customWidth="1"/>
    <col min="7159" max="7159" width="12.5703125" style="7" customWidth="1"/>
    <col min="7160" max="7160" width="4.7109375" style="7" customWidth="1"/>
    <col min="7161" max="7161" width="10.7109375" style="7" customWidth="1"/>
    <col min="7162" max="7162" width="4.5703125" style="7" customWidth="1"/>
    <col min="7163" max="7163" width="12.28515625" style="7" customWidth="1"/>
    <col min="7164" max="7164" width="1.42578125" style="7" customWidth="1"/>
    <col min="7165" max="7165" width="14.140625" style="7" customWidth="1"/>
    <col min="7166" max="7166" width="13.7109375" style="7" customWidth="1"/>
    <col min="7167" max="7167" width="8" style="7" customWidth="1"/>
    <col min="7168" max="7168" width="1.42578125" style="7" customWidth="1"/>
    <col min="7169" max="7169" width="11.28515625" style="7" customWidth="1"/>
    <col min="7170" max="7170" width="12.85546875" style="7" customWidth="1"/>
    <col min="7171" max="7171" width="10.5703125" style="7" customWidth="1"/>
    <col min="7172" max="7172" width="12" style="7" customWidth="1"/>
    <col min="7173" max="7173" width="11.140625" style="7" customWidth="1"/>
    <col min="7174" max="7174" width="9.28515625" style="7" customWidth="1"/>
    <col min="7175" max="7175" width="1.42578125" style="7" customWidth="1"/>
    <col min="7176" max="7176" width="17.28515625" style="7" customWidth="1"/>
    <col min="7177" max="7177" width="11.140625" style="7" customWidth="1"/>
    <col min="7178" max="7178" width="12.42578125" style="7" customWidth="1"/>
    <col min="7179" max="7180" width="11.28515625" style="7" customWidth="1"/>
    <col min="7181" max="7181" width="10.5703125" style="7" customWidth="1"/>
    <col min="7182" max="7182" width="16.42578125" style="7" customWidth="1"/>
    <col min="7183" max="7183" width="12.140625" style="7" customWidth="1"/>
    <col min="7184" max="7184" width="10.85546875" style="7" customWidth="1"/>
    <col min="7185" max="7185" width="11.7109375" style="7" customWidth="1"/>
    <col min="7186" max="7406" width="9.140625" style="7"/>
    <col min="7407" max="7407" width="6.28515625" style="7" customWidth="1"/>
    <col min="7408" max="7408" width="20.7109375" style="7" customWidth="1"/>
    <col min="7409" max="7409" width="10" style="7" customWidth="1"/>
    <col min="7410" max="7410" width="1" style="7" customWidth="1"/>
    <col min="7411" max="7411" width="10" style="7" customWidth="1"/>
    <col min="7412" max="7412" width="1.28515625" style="7" customWidth="1"/>
    <col min="7413" max="7413" width="9.7109375" style="7" customWidth="1"/>
    <col min="7414" max="7414" width="1.140625" style="7" customWidth="1"/>
    <col min="7415" max="7415" width="12.5703125" style="7" customWidth="1"/>
    <col min="7416" max="7416" width="4.7109375" style="7" customWidth="1"/>
    <col min="7417" max="7417" width="10.7109375" style="7" customWidth="1"/>
    <col min="7418" max="7418" width="4.5703125" style="7" customWidth="1"/>
    <col min="7419" max="7419" width="12.28515625" style="7" customWidth="1"/>
    <col min="7420" max="7420" width="1.42578125" style="7" customWidth="1"/>
    <col min="7421" max="7421" width="14.140625" style="7" customWidth="1"/>
    <col min="7422" max="7422" width="13.7109375" style="7" customWidth="1"/>
    <col min="7423" max="7423" width="8" style="7" customWidth="1"/>
    <col min="7424" max="7424" width="1.42578125" style="7" customWidth="1"/>
    <col min="7425" max="7425" width="11.28515625" style="7" customWidth="1"/>
    <col min="7426" max="7426" width="12.85546875" style="7" customWidth="1"/>
    <col min="7427" max="7427" width="10.5703125" style="7" customWidth="1"/>
    <col min="7428" max="7428" width="12" style="7" customWidth="1"/>
    <col min="7429" max="7429" width="11.140625" style="7" customWidth="1"/>
    <col min="7430" max="7430" width="9.28515625" style="7" customWidth="1"/>
    <col min="7431" max="7431" width="1.42578125" style="7" customWidth="1"/>
    <col min="7432" max="7432" width="17.28515625" style="7" customWidth="1"/>
    <col min="7433" max="7433" width="11.140625" style="7" customWidth="1"/>
    <col min="7434" max="7434" width="12.42578125" style="7" customWidth="1"/>
    <col min="7435" max="7436" width="11.28515625" style="7" customWidth="1"/>
    <col min="7437" max="7437" width="10.5703125" style="7" customWidth="1"/>
    <col min="7438" max="7438" width="16.42578125" style="7" customWidth="1"/>
    <col min="7439" max="7439" width="12.140625" style="7" customWidth="1"/>
    <col min="7440" max="7440" width="10.85546875" style="7" customWidth="1"/>
    <col min="7441" max="7441" width="11.7109375" style="7" customWidth="1"/>
    <col min="7442" max="7662" width="9.140625" style="7"/>
    <col min="7663" max="7663" width="6.28515625" style="7" customWidth="1"/>
    <col min="7664" max="7664" width="20.7109375" style="7" customWidth="1"/>
    <col min="7665" max="7665" width="10" style="7" customWidth="1"/>
    <col min="7666" max="7666" width="1" style="7" customWidth="1"/>
    <col min="7667" max="7667" width="10" style="7" customWidth="1"/>
    <col min="7668" max="7668" width="1.28515625" style="7" customWidth="1"/>
    <col min="7669" max="7669" width="9.7109375" style="7" customWidth="1"/>
    <col min="7670" max="7670" width="1.140625" style="7" customWidth="1"/>
    <col min="7671" max="7671" width="12.5703125" style="7" customWidth="1"/>
    <col min="7672" max="7672" width="4.7109375" style="7" customWidth="1"/>
    <col min="7673" max="7673" width="10.7109375" style="7" customWidth="1"/>
    <col min="7674" max="7674" width="4.5703125" style="7" customWidth="1"/>
    <col min="7675" max="7675" width="12.28515625" style="7" customWidth="1"/>
    <col min="7676" max="7676" width="1.42578125" style="7" customWidth="1"/>
    <col min="7677" max="7677" width="14.140625" style="7" customWidth="1"/>
    <col min="7678" max="7678" width="13.7109375" style="7" customWidth="1"/>
    <col min="7679" max="7679" width="8" style="7" customWidth="1"/>
    <col min="7680" max="7680" width="1.42578125" style="7" customWidth="1"/>
    <col min="7681" max="7681" width="11.28515625" style="7" customWidth="1"/>
    <col min="7682" max="7682" width="12.85546875" style="7" customWidth="1"/>
    <col min="7683" max="7683" width="10.5703125" style="7" customWidth="1"/>
    <col min="7684" max="7684" width="12" style="7" customWidth="1"/>
    <col min="7685" max="7685" width="11.140625" style="7" customWidth="1"/>
    <col min="7686" max="7686" width="9.28515625" style="7" customWidth="1"/>
    <col min="7687" max="7687" width="1.42578125" style="7" customWidth="1"/>
    <col min="7688" max="7688" width="17.28515625" style="7" customWidth="1"/>
    <col min="7689" max="7689" width="11.140625" style="7" customWidth="1"/>
    <col min="7690" max="7690" width="12.42578125" style="7" customWidth="1"/>
    <col min="7691" max="7692" width="11.28515625" style="7" customWidth="1"/>
    <col min="7693" max="7693" width="10.5703125" style="7" customWidth="1"/>
    <col min="7694" max="7694" width="16.42578125" style="7" customWidth="1"/>
    <col min="7695" max="7695" width="12.140625" style="7" customWidth="1"/>
    <col min="7696" max="7696" width="10.85546875" style="7" customWidth="1"/>
    <col min="7697" max="7697" width="11.7109375" style="7" customWidth="1"/>
    <col min="7698" max="7918" width="9.140625" style="7"/>
    <col min="7919" max="7919" width="6.28515625" style="7" customWidth="1"/>
    <col min="7920" max="7920" width="20.7109375" style="7" customWidth="1"/>
    <col min="7921" max="7921" width="10" style="7" customWidth="1"/>
    <col min="7922" max="7922" width="1" style="7" customWidth="1"/>
    <col min="7923" max="7923" width="10" style="7" customWidth="1"/>
    <col min="7924" max="7924" width="1.28515625" style="7" customWidth="1"/>
    <col min="7925" max="7925" width="9.7109375" style="7" customWidth="1"/>
    <col min="7926" max="7926" width="1.140625" style="7" customWidth="1"/>
    <col min="7927" max="7927" width="12.5703125" style="7" customWidth="1"/>
    <col min="7928" max="7928" width="4.7109375" style="7" customWidth="1"/>
    <col min="7929" max="7929" width="10.7109375" style="7" customWidth="1"/>
    <col min="7930" max="7930" width="4.5703125" style="7" customWidth="1"/>
    <col min="7931" max="7931" width="12.28515625" style="7" customWidth="1"/>
    <col min="7932" max="7932" width="1.42578125" style="7" customWidth="1"/>
    <col min="7933" max="7933" width="14.140625" style="7" customWidth="1"/>
    <col min="7934" max="7934" width="13.7109375" style="7" customWidth="1"/>
    <col min="7935" max="7935" width="8" style="7" customWidth="1"/>
    <col min="7936" max="7936" width="1.42578125" style="7" customWidth="1"/>
    <col min="7937" max="7937" width="11.28515625" style="7" customWidth="1"/>
    <col min="7938" max="7938" width="12.85546875" style="7" customWidth="1"/>
    <col min="7939" max="7939" width="10.5703125" style="7" customWidth="1"/>
    <col min="7940" max="7940" width="12" style="7" customWidth="1"/>
    <col min="7941" max="7941" width="11.140625" style="7" customWidth="1"/>
    <col min="7942" max="7942" width="9.28515625" style="7" customWidth="1"/>
    <col min="7943" max="7943" width="1.42578125" style="7" customWidth="1"/>
    <col min="7944" max="7944" width="17.28515625" style="7" customWidth="1"/>
    <col min="7945" max="7945" width="11.140625" style="7" customWidth="1"/>
    <col min="7946" max="7946" width="12.42578125" style="7" customWidth="1"/>
    <col min="7947" max="7948" width="11.28515625" style="7" customWidth="1"/>
    <col min="7949" max="7949" width="10.5703125" style="7" customWidth="1"/>
    <col min="7950" max="7950" width="16.42578125" style="7" customWidth="1"/>
    <col min="7951" max="7951" width="12.140625" style="7" customWidth="1"/>
    <col min="7952" max="7952" width="10.85546875" style="7" customWidth="1"/>
    <col min="7953" max="7953" width="11.7109375" style="7" customWidth="1"/>
    <col min="7954" max="8174" width="9.140625" style="7"/>
    <col min="8175" max="8175" width="6.28515625" style="7" customWidth="1"/>
    <col min="8176" max="8176" width="20.7109375" style="7" customWidth="1"/>
    <col min="8177" max="8177" width="10" style="7" customWidth="1"/>
    <col min="8178" max="8178" width="1" style="7" customWidth="1"/>
    <col min="8179" max="8179" width="10" style="7" customWidth="1"/>
    <col min="8180" max="8180" width="1.28515625" style="7" customWidth="1"/>
    <col min="8181" max="8181" width="9.7109375" style="7" customWidth="1"/>
    <col min="8182" max="8182" width="1.140625" style="7" customWidth="1"/>
    <col min="8183" max="8183" width="12.5703125" style="7" customWidth="1"/>
    <col min="8184" max="8184" width="4.7109375" style="7" customWidth="1"/>
    <col min="8185" max="8185" width="10.7109375" style="7" customWidth="1"/>
    <col min="8186" max="8186" width="4.5703125" style="7" customWidth="1"/>
    <col min="8187" max="8187" width="12.28515625" style="7" customWidth="1"/>
    <col min="8188" max="8188" width="1.42578125" style="7" customWidth="1"/>
    <col min="8189" max="8189" width="14.140625" style="7" customWidth="1"/>
    <col min="8190" max="8190" width="13.7109375" style="7" customWidth="1"/>
    <col min="8191" max="8191" width="8" style="7" customWidth="1"/>
    <col min="8192" max="8192" width="1.42578125" style="7" customWidth="1"/>
    <col min="8193" max="8193" width="11.28515625" style="7" customWidth="1"/>
    <col min="8194" max="8194" width="12.85546875" style="7" customWidth="1"/>
    <col min="8195" max="8195" width="10.5703125" style="7" customWidth="1"/>
    <col min="8196" max="8196" width="12" style="7" customWidth="1"/>
    <col min="8197" max="8197" width="11.140625" style="7" customWidth="1"/>
    <col min="8198" max="8198" width="9.28515625" style="7" customWidth="1"/>
    <col min="8199" max="8199" width="1.42578125" style="7" customWidth="1"/>
    <col min="8200" max="8200" width="17.28515625" style="7" customWidth="1"/>
    <col min="8201" max="8201" width="11.140625" style="7" customWidth="1"/>
    <col min="8202" max="8202" width="12.42578125" style="7" customWidth="1"/>
    <col min="8203" max="8204" width="11.28515625" style="7" customWidth="1"/>
    <col min="8205" max="8205" width="10.5703125" style="7" customWidth="1"/>
    <col min="8206" max="8206" width="16.42578125" style="7" customWidth="1"/>
    <col min="8207" max="8207" width="12.140625" style="7" customWidth="1"/>
    <col min="8208" max="8208" width="10.85546875" style="7" customWidth="1"/>
    <col min="8209" max="8209" width="11.7109375" style="7" customWidth="1"/>
    <col min="8210" max="8430" width="9.140625" style="7"/>
    <col min="8431" max="8431" width="6.28515625" style="7" customWidth="1"/>
    <col min="8432" max="8432" width="20.7109375" style="7" customWidth="1"/>
    <col min="8433" max="8433" width="10" style="7" customWidth="1"/>
    <col min="8434" max="8434" width="1" style="7" customWidth="1"/>
    <col min="8435" max="8435" width="10" style="7" customWidth="1"/>
    <col min="8436" max="8436" width="1.28515625" style="7" customWidth="1"/>
    <col min="8437" max="8437" width="9.7109375" style="7" customWidth="1"/>
    <col min="8438" max="8438" width="1.140625" style="7" customWidth="1"/>
    <col min="8439" max="8439" width="12.5703125" style="7" customWidth="1"/>
    <col min="8440" max="8440" width="4.7109375" style="7" customWidth="1"/>
    <col min="8441" max="8441" width="10.7109375" style="7" customWidth="1"/>
    <col min="8442" max="8442" width="4.5703125" style="7" customWidth="1"/>
    <col min="8443" max="8443" width="12.28515625" style="7" customWidth="1"/>
    <col min="8444" max="8444" width="1.42578125" style="7" customWidth="1"/>
    <col min="8445" max="8445" width="14.140625" style="7" customWidth="1"/>
    <col min="8446" max="8446" width="13.7109375" style="7" customWidth="1"/>
    <col min="8447" max="8447" width="8" style="7" customWidth="1"/>
    <col min="8448" max="8448" width="1.42578125" style="7" customWidth="1"/>
    <col min="8449" max="8449" width="11.28515625" style="7" customWidth="1"/>
    <col min="8450" max="8450" width="12.85546875" style="7" customWidth="1"/>
    <col min="8451" max="8451" width="10.5703125" style="7" customWidth="1"/>
    <col min="8452" max="8452" width="12" style="7" customWidth="1"/>
    <col min="8453" max="8453" width="11.140625" style="7" customWidth="1"/>
    <col min="8454" max="8454" width="9.28515625" style="7" customWidth="1"/>
    <col min="8455" max="8455" width="1.42578125" style="7" customWidth="1"/>
    <col min="8456" max="8456" width="17.28515625" style="7" customWidth="1"/>
    <col min="8457" max="8457" width="11.140625" style="7" customWidth="1"/>
    <col min="8458" max="8458" width="12.42578125" style="7" customWidth="1"/>
    <col min="8459" max="8460" width="11.28515625" style="7" customWidth="1"/>
    <col min="8461" max="8461" width="10.5703125" style="7" customWidth="1"/>
    <col min="8462" max="8462" width="16.42578125" style="7" customWidth="1"/>
    <col min="8463" max="8463" width="12.140625" style="7" customWidth="1"/>
    <col min="8464" max="8464" width="10.85546875" style="7" customWidth="1"/>
    <col min="8465" max="8465" width="11.7109375" style="7" customWidth="1"/>
    <col min="8466" max="8686" width="9.140625" style="7"/>
    <col min="8687" max="8687" width="6.28515625" style="7" customWidth="1"/>
    <col min="8688" max="8688" width="20.7109375" style="7" customWidth="1"/>
    <col min="8689" max="8689" width="10" style="7" customWidth="1"/>
    <col min="8690" max="8690" width="1" style="7" customWidth="1"/>
    <col min="8691" max="8691" width="10" style="7" customWidth="1"/>
    <col min="8692" max="8692" width="1.28515625" style="7" customWidth="1"/>
    <col min="8693" max="8693" width="9.7109375" style="7" customWidth="1"/>
    <col min="8694" max="8694" width="1.140625" style="7" customWidth="1"/>
    <col min="8695" max="8695" width="12.5703125" style="7" customWidth="1"/>
    <col min="8696" max="8696" width="4.7109375" style="7" customWidth="1"/>
    <col min="8697" max="8697" width="10.7109375" style="7" customWidth="1"/>
    <col min="8698" max="8698" width="4.5703125" style="7" customWidth="1"/>
    <col min="8699" max="8699" width="12.28515625" style="7" customWidth="1"/>
    <col min="8700" max="8700" width="1.42578125" style="7" customWidth="1"/>
    <col min="8701" max="8701" width="14.140625" style="7" customWidth="1"/>
    <col min="8702" max="8702" width="13.7109375" style="7" customWidth="1"/>
    <col min="8703" max="8703" width="8" style="7" customWidth="1"/>
    <col min="8704" max="8704" width="1.42578125" style="7" customWidth="1"/>
    <col min="8705" max="8705" width="11.28515625" style="7" customWidth="1"/>
    <col min="8706" max="8706" width="12.85546875" style="7" customWidth="1"/>
    <col min="8707" max="8707" width="10.5703125" style="7" customWidth="1"/>
    <col min="8708" max="8708" width="12" style="7" customWidth="1"/>
    <col min="8709" max="8709" width="11.140625" style="7" customWidth="1"/>
    <col min="8710" max="8710" width="9.28515625" style="7" customWidth="1"/>
    <col min="8711" max="8711" width="1.42578125" style="7" customWidth="1"/>
    <col min="8712" max="8712" width="17.28515625" style="7" customWidth="1"/>
    <col min="8713" max="8713" width="11.140625" style="7" customWidth="1"/>
    <col min="8714" max="8714" width="12.42578125" style="7" customWidth="1"/>
    <col min="8715" max="8716" width="11.28515625" style="7" customWidth="1"/>
    <col min="8717" max="8717" width="10.5703125" style="7" customWidth="1"/>
    <col min="8718" max="8718" width="16.42578125" style="7" customWidth="1"/>
    <col min="8719" max="8719" width="12.140625" style="7" customWidth="1"/>
    <col min="8720" max="8720" width="10.85546875" style="7" customWidth="1"/>
    <col min="8721" max="8721" width="11.7109375" style="7" customWidth="1"/>
    <col min="8722" max="8942" width="9.140625" style="7"/>
    <col min="8943" max="8943" width="6.28515625" style="7" customWidth="1"/>
    <col min="8944" max="8944" width="20.7109375" style="7" customWidth="1"/>
    <col min="8945" max="8945" width="10" style="7" customWidth="1"/>
    <col min="8946" max="8946" width="1" style="7" customWidth="1"/>
    <col min="8947" max="8947" width="10" style="7" customWidth="1"/>
    <col min="8948" max="8948" width="1.28515625" style="7" customWidth="1"/>
    <col min="8949" max="8949" width="9.7109375" style="7" customWidth="1"/>
    <col min="8950" max="8950" width="1.140625" style="7" customWidth="1"/>
    <col min="8951" max="8951" width="12.5703125" style="7" customWidth="1"/>
    <col min="8952" max="8952" width="4.7109375" style="7" customWidth="1"/>
    <col min="8953" max="8953" width="10.7109375" style="7" customWidth="1"/>
    <col min="8954" max="8954" width="4.5703125" style="7" customWidth="1"/>
    <col min="8955" max="8955" width="12.28515625" style="7" customWidth="1"/>
    <col min="8956" max="8956" width="1.42578125" style="7" customWidth="1"/>
    <col min="8957" max="8957" width="14.140625" style="7" customWidth="1"/>
    <col min="8958" max="8958" width="13.7109375" style="7" customWidth="1"/>
    <col min="8959" max="8959" width="8" style="7" customWidth="1"/>
    <col min="8960" max="8960" width="1.42578125" style="7" customWidth="1"/>
    <col min="8961" max="8961" width="11.28515625" style="7" customWidth="1"/>
    <col min="8962" max="8962" width="12.85546875" style="7" customWidth="1"/>
    <col min="8963" max="8963" width="10.5703125" style="7" customWidth="1"/>
    <col min="8964" max="8964" width="12" style="7" customWidth="1"/>
    <col min="8965" max="8965" width="11.140625" style="7" customWidth="1"/>
    <col min="8966" max="8966" width="9.28515625" style="7" customWidth="1"/>
    <col min="8967" max="8967" width="1.42578125" style="7" customWidth="1"/>
    <col min="8968" max="8968" width="17.28515625" style="7" customWidth="1"/>
    <col min="8969" max="8969" width="11.140625" style="7" customWidth="1"/>
    <col min="8970" max="8970" width="12.42578125" style="7" customWidth="1"/>
    <col min="8971" max="8972" width="11.28515625" style="7" customWidth="1"/>
    <col min="8973" max="8973" width="10.5703125" style="7" customWidth="1"/>
    <col min="8974" max="8974" width="16.42578125" style="7" customWidth="1"/>
    <col min="8975" max="8975" width="12.140625" style="7" customWidth="1"/>
    <col min="8976" max="8976" width="10.85546875" style="7" customWidth="1"/>
    <col min="8977" max="8977" width="11.7109375" style="7" customWidth="1"/>
    <col min="8978" max="9198" width="9.140625" style="7"/>
    <col min="9199" max="9199" width="6.28515625" style="7" customWidth="1"/>
    <col min="9200" max="9200" width="20.7109375" style="7" customWidth="1"/>
    <col min="9201" max="9201" width="10" style="7" customWidth="1"/>
    <col min="9202" max="9202" width="1" style="7" customWidth="1"/>
    <col min="9203" max="9203" width="10" style="7" customWidth="1"/>
    <col min="9204" max="9204" width="1.28515625" style="7" customWidth="1"/>
    <col min="9205" max="9205" width="9.7109375" style="7" customWidth="1"/>
    <col min="9206" max="9206" width="1.140625" style="7" customWidth="1"/>
    <col min="9207" max="9207" width="12.5703125" style="7" customWidth="1"/>
    <col min="9208" max="9208" width="4.7109375" style="7" customWidth="1"/>
    <col min="9209" max="9209" width="10.7109375" style="7" customWidth="1"/>
    <col min="9210" max="9210" width="4.5703125" style="7" customWidth="1"/>
    <col min="9211" max="9211" width="12.28515625" style="7" customWidth="1"/>
    <col min="9212" max="9212" width="1.42578125" style="7" customWidth="1"/>
    <col min="9213" max="9213" width="14.140625" style="7" customWidth="1"/>
    <col min="9214" max="9214" width="13.7109375" style="7" customWidth="1"/>
    <col min="9215" max="9215" width="8" style="7" customWidth="1"/>
    <col min="9216" max="9216" width="1.42578125" style="7" customWidth="1"/>
    <col min="9217" max="9217" width="11.28515625" style="7" customWidth="1"/>
    <col min="9218" max="9218" width="12.85546875" style="7" customWidth="1"/>
    <col min="9219" max="9219" width="10.5703125" style="7" customWidth="1"/>
    <col min="9220" max="9220" width="12" style="7" customWidth="1"/>
    <col min="9221" max="9221" width="11.140625" style="7" customWidth="1"/>
    <col min="9222" max="9222" width="9.28515625" style="7" customWidth="1"/>
    <col min="9223" max="9223" width="1.42578125" style="7" customWidth="1"/>
    <col min="9224" max="9224" width="17.28515625" style="7" customWidth="1"/>
    <col min="9225" max="9225" width="11.140625" style="7" customWidth="1"/>
    <col min="9226" max="9226" width="12.42578125" style="7" customWidth="1"/>
    <col min="9227" max="9228" width="11.28515625" style="7" customWidth="1"/>
    <col min="9229" max="9229" width="10.5703125" style="7" customWidth="1"/>
    <col min="9230" max="9230" width="16.42578125" style="7" customWidth="1"/>
    <col min="9231" max="9231" width="12.140625" style="7" customWidth="1"/>
    <col min="9232" max="9232" width="10.85546875" style="7" customWidth="1"/>
    <col min="9233" max="9233" width="11.7109375" style="7" customWidth="1"/>
    <col min="9234" max="9454" width="9.140625" style="7"/>
    <col min="9455" max="9455" width="6.28515625" style="7" customWidth="1"/>
    <col min="9456" max="9456" width="20.7109375" style="7" customWidth="1"/>
    <col min="9457" max="9457" width="10" style="7" customWidth="1"/>
    <col min="9458" max="9458" width="1" style="7" customWidth="1"/>
    <col min="9459" max="9459" width="10" style="7" customWidth="1"/>
    <col min="9460" max="9460" width="1.28515625" style="7" customWidth="1"/>
    <col min="9461" max="9461" width="9.7109375" style="7" customWidth="1"/>
    <col min="9462" max="9462" width="1.140625" style="7" customWidth="1"/>
    <col min="9463" max="9463" width="12.5703125" style="7" customWidth="1"/>
    <col min="9464" max="9464" width="4.7109375" style="7" customWidth="1"/>
    <col min="9465" max="9465" width="10.7109375" style="7" customWidth="1"/>
    <col min="9466" max="9466" width="4.5703125" style="7" customWidth="1"/>
    <col min="9467" max="9467" width="12.28515625" style="7" customWidth="1"/>
    <col min="9468" max="9468" width="1.42578125" style="7" customWidth="1"/>
    <col min="9469" max="9469" width="14.140625" style="7" customWidth="1"/>
    <col min="9470" max="9470" width="13.7109375" style="7" customWidth="1"/>
    <col min="9471" max="9471" width="8" style="7" customWidth="1"/>
    <col min="9472" max="9472" width="1.42578125" style="7" customWidth="1"/>
    <col min="9473" max="9473" width="11.28515625" style="7" customWidth="1"/>
    <col min="9474" max="9474" width="12.85546875" style="7" customWidth="1"/>
    <col min="9475" max="9475" width="10.5703125" style="7" customWidth="1"/>
    <col min="9476" max="9476" width="12" style="7" customWidth="1"/>
    <col min="9477" max="9477" width="11.140625" style="7" customWidth="1"/>
    <col min="9478" max="9478" width="9.28515625" style="7" customWidth="1"/>
    <col min="9479" max="9479" width="1.42578125" style="7" customWidth="1"/>
    <col min="9480" max="9480" width="17.28515625" style="7" customWidth="1"/>
    <col min="9481" max="9481" width="11.140625" style="7" customWidth="1"/>
    <col min="9482" max="9482" width="12.42578125" style="7" customWidth="1"/>
    <col min="9483" max="9484" width="11.28515625" style="7" customWidth="1"/>
    <col min="9485" max="9485" width="10.5703125" style="7" customWidth="1"/>
    <col min="9486" max="9486" width="16.42578125" style="7" customWidth="1"/>
    <col min="9487" max="9487" width="12.140625" style="7" customWidth="1"/>
    <col min="9488" max="9488" width="10.85546875" style="7" customWidth="1"/>
    <col min="9489" max="9489" width="11.7109375" style="7" customWidth="1"/>
    <col min="9490" max="9710" width="9.140625" style="7"/>
    <col min="9711" max="9711" width="6.28515625" style="7" customWidth="1"/>
    <col min="9712" max="9712" width="20.7109375" style="7" customWidth="1"/>
    <col min="9713" max="9713" width="10" style="7" customWidth="1"/>
    <col min="9714" max="9714" width="1" style="7" customWidth="1"/>
    <col min="9715" max="9715" width="10" style="7" customWidth="1"/>
    <col min="9716" max="9716" width="1.28515625" style="7" customWidth="1"/>
    <col min="9717" max="9717" width="9.7109375" style="7" customWidth="1"/>
    <col min="9718" max="9718" width="1.140625" style="7" customWidth="1"/>
    <col min="9719" max="9719" width="12.5703125" style="7" customWidth="1"/>
    <col min="9720" max="9720" width="4.7109375" style="7" customWidth="1"/>
    <col min="9721" max="9721" width="10.7109375" style="7" customWidth="1"/>
    <col min="9722" max="9722" width="4.5703125" style="7" customWidth="1"/>
    <col min="9723" max="9723" width="12.28515625" style="7" customWidth="1"/>
    <col min="9724" max="9724" width="1.42578125" style="7" customWidth="1"/>
    <col min="9725" max="9725" width="14.140625" style="7" customWidth="1"/>
    <col min="9726" max="9726" width="13.7109375" style="7" customWidth="1"/>
    <col min="9727" max="9727" width="8" style="7" customWidth="1"/>
    <col min="9728" max="9728" width="1.42578125" style="7" customWidth="1"/>
    <col min="9729" max="9729" width="11.28515625" style="7" customWidth="1"/>
    <col min="9730" max="9730" width="12.85546875" style="7" customWidth="1"/>
    <col min="9731" max="9731" width="10.5703125" style="7" customWidth="1"/>
    <col min="9732" max="9732" width="12" style="7" customWidth="1"/>
    <col min="9733" max="9733" width="11.140625" style="7" customWidth="1"/>
    <col min="9734" max="9734" width="9.28515625" style="7" customWidth="1"/>
    <col min="9735" max="9735" width="1.42578125" style="7" customWidth="1"/>
    <col min="9736" max="9736" width="17.28515625" style="7" customWidth="1"/>
    <col min="9737" max="9737" width="11.140625" style="7" customWidth="1"/>
    <col min="9738" max="9738" width="12.42578125" style="7" customWidth="1"/>
    <col min="9739" max="9740" width="11.28515625" style="7" customWidth="1"/>
    <col min="9741" max="9741" width="10.5703125" style="7" customWidth="1"/>
    <col min="9742" max="9742" width="16.42578125" style="7" customWidth="1"/>
    <col min="9743" max="9743" width="12.140625" style="7" customWidth="1"/>
    <col min="9744" max="9744" width="10.85546875" style="7" customWidth="1"/>
    <col min="9745" max="9745" width="11.7109375" style="7" customWidth="1"/>
    <col min="9746" max="9966" width="9.140625" style="7"/>
    <col min="9967" max="9967" width="6.28515625" style="7" customWidth="1"/>
    <col min="9968" max="9968" width="20.7109375" style="7" customWidth="1"/>
    <col min="9969" max="9969" width="10" style="7" customWidth="1"/>
    <col min="9970" max="9970" width="1" style="7" customWidth="1"/>
    <col min="9971" max="9971" width="10" style="7" customWidth="1"/>
    <col min="9972" max="9972" width="1.28515625" style="7" customWidth="1"/>
    <col min="9973" max="9973" width="9.7109375" style="7" customWidth="1"/>
    <col min="9974" max="9974" width="1.140625" style="7" customWidth="1"/>
    <col min="9975" max="9975" width="12.5703125" style="7" customWidth="1"/>
    <col min="9976" max="9976" width="4.7109375" style="7" customWidth="1"/>
    <col min="9977" max="9977" width="10.7109375" style="7" customWidth="1"/>
    <col min="9978" max="9978" width="4.5703125" style="7" customWidth="1"/>
    <col min="9979" max="9979" width="12.28515625" style="7" customWidth="1"/>
    <col min="9980" max="9980" width="1.42578125" style="7" customWidth="1"/>
    <col min="9981" max="9981" width="14.140625" style="7" customWidth="1"/>
    <col min="9982" max="9982" width="13.7109375" style="7" customWidth="1"/>
    <col min="9983" max="9983" width="8" style="7" customWidth="1"/>
    <col min="9984" max="9984" width="1.42578125" style="7" customWidth="1"/>
    <col min="9985" max="9985" width="11.28515625" style="7" customWidth="1"/>
    <col min="9986" max="9986" width="12.85546875" style="7" customWidth="1"/>
    <col min="9987" max="9987" width="10.5703125" style="7" customWidth="1"/>
    <col min="9988" max="9988" width="12" style="7" customWidth="1"/>
    <col min="9989" max="9989" width="11.140625" style="7" customWidth="1"/>
    <col min="9990" max="9990" width="9.28515625" style="7" customWidth="1"/>
    <col min="9991" max="9991" width="1.42578125" style="7" customWidth="1"/>
    <col min="9992" max="9992" width="17.28515625" style="7" customWidth="1"/>
    <col min="9993" max="9993" width="11.140625" style="7" customWidth="1"/>
    <col min="9994" max="9994" width="12.42578125" style="7" customWidth="1"/>
    <col min="9995" max="9996" width="11.28515625" style="7" customWidth="1"/>
    <col min="9997" max="9997" width="10.5703125" style="7" customWidth="1"/>
    <col min="9998" max="9998" width="16.42578125" style="7" customWidth="1"/>
    <col min="9999" max="9999" width="12.140625" style="7" customWidth="1"/>
    <col min="10000" max="10000" width="10.85546875" style="7" customWidth="1"/>
    <col min="10001" max="10001" width="11.7109375" style="7" customWidth="1"/>
    <col min="10002" max="10222" width="9.140625" style="7"/>
    <col min="10223" max="10223" width="6.28515625" style="7" customWidth="1"/>
    <col min="10224" max="10224" width="20.7109375" style="7" customWidth="1"/>
    <col min="10225" max="10225" width="10" style="7" customWidth="1"/>
    <col min="10226" max="10226" width="1" style="7" customWidth="1"/>
    <col min="10227" max="10227" width="10" style="7" customWidth="1"/>
    <col min="10228" max="10228" width="1.28515625" style="7" customWidth="1"/>
    <col min="10229" max="10229" width="9.7109375" style="7" customWidth="1"/>
    <col min="10230" max="10230" width="1.140625" style="7" customWidth="1"/>
    <col min="10231" max="10231" width="12.5703125" style="7" customWidth="1"/>
    <col min="10232" max="10232" width="4.7109375" style="7" customWidth="1"/>
    <col min="10233" max="10233" width="10.7109375" style="7" customWidth="1"/>
    <col min="10234" max="10234" width="4.5703125" style="7" customWidth="1"/>
    <col min="10235" max="10235" width="12.28515625" style="7" customWidth="1"/>
    <col min="10236" max="10236" width="1.42578125" style="7" customWidth="1"/>
    <col min="10237" max="10237" width="14.140625" style="7" customWidth="1"/>
    <col min="10238" max="10238" width="13.7109375" style="7" customWidth="1"/>
    <col min="10239" max="10239" width="8" style="7" customWidth="1"/>
    <col min="10240" max="10240" width="1.42578125" style="7" customWidth="1"/>
    <col min="10241" max="10241" width="11.28515625" style="7" customWidth="1"/>
    <col min="10242" max="10242" width="12.85546875" style="7" customWidth="1"/>
    <col min="10243" max="10243" width="10.5703125" style="7" customWidth="1"/>
    <col min="10244" max="10244" width="12" style="7" customWidth="1"/>
    <col min="10245" max="10245" width="11.140625" style="7" customWidth="1"/>
    <col min="10246" max="10246" width="9.28515625" style="7" customWidth="1"/>
    <col min="10247" max="10247" width="1.42578125" style="7" customWidth="1"/>
    <col min="10248" max="10248" width="17.28515625" style="7" customWidth="1"/>
    <col min="10249" max="10249" width="11.140625" style="7" customWidth="1"/>
    <col min="10250" max="10250" width="12.42578125" style="7" customWidth="1"/>
    <col min="10251" max="10252" width="11.28515625" style="7" customWidth="1"/>
    <col min="10253" max="10253" width="10.5703125" style="7" customWidth="1"/>
    <col min="10254" max="10254" width="16.42578125" style="7" customWidth="1"/>
    <col min="10255" max="10255" width="12.140625" style="7" customWidth="1"/>
    <col min="10256" max="10256" width="10.85546875" style="7" customWidth="1"/>
    <col min="10257" max="10257" width="11.7109375" style="7" customWidth="1"/>
    <col min="10258" max="10478" width="9.140625" style="7"/>
    <col min="10479" max="10479" width="6.28515625" style="7" customWidth="1"/>
    <col min="10480" max="10480" width="20.7109375" style="7" customWidth="1"/>
    <col min="10481" max="10481" width="10" style="7" customWidth="1"/>
    <col min="10482" max="10482" width="1" style="7" customWidth="1"/>
    <col min="10483" max="10483" width="10" style="7" customWidth="1"/>
    <col min="10484" max="10484" width="1.28515625" style="7" customWidth="1"/>
    <col min="10485" max="10485" width="9.7109375" style="7" customWidth="1"/>
    <col min="10486" max="10486" width="1.140625" style="7" customWidth="1"/>
    <col min="10487" max="10487" width="12.5703125" style="7" customWidth="1"/>
    <col min="10488" max="10488" width="4.7109375" style="7" customWidth="1"/>
    <col min="10489" max="10489" width="10.7109375" style="7" customWidth="1"/>
    <col min="10490" max="10490" width="4.5703125" style="7" customWidth="1"/>
    <col min="10491" max="10491" width="12.28515625" style="7" customWidth="1"/>
    <col min="10492" max="10492" width="1.42578125" style="7" customWidth="1"/>
    <col min="10493" max="10493" width="14.140625" style="7" customWidth="1"/>
    <col min="10494" max="10494" width="13.7109375" style="7" customWidth="1"/>
    <col min="10495" max="10495" width="8" style="7" customWidth="1"/>
    <col min="10496" max="10496" width="1.42578125" style="7" customWidth="1"/>
    <col min="10497" max="10497" width="11.28515625" style="7" customWidth="1"/>
    <col min="10498" max="10498" width="12.85546875" style="7" customWidth="1"/>
    <col min="10499" max="10499" width="10.5703125" style="7" customWidth="1"/>
    <col min="10500" max="10500" width="12" style="7" customWidth="1"/>
    <col min="10501" max="10501" width="11.140625" style="7" customWidth="1"/>
    <col min="10502" max="10502" width="9.28515625" style="7" customWidth="1"/>
    <col min="10503" max="10503" width="1.42578125" style="7" customWidth="1"/>
    <col min="10504" max="10504" width="17.28515625" style="7" customWidth="1"/>
    <col min="10505" max="10505" width="11.140625" style="7" customWidth="1"/>
    <col min="10506" max="10506" width="12.42578125" style="7" customWidth="1"/>
    <col min="10507" max="10508" width="11.28515625" style="7" customWidth="1"/>
    <col min="10509" max="10509" width="10.5703125" style="7" customWidth="1"/>
    <col min="10510" max="10510" width="16.42578125" style="7" customWidth="1"/>
    <col min="10511" max="10511" width="12.140625" style="7" customWidth="1"/>
    <col min="10512" max="10512" width="10.85546875" style="7" customWidth="1"/>
    <col min="10513" max="10513" width="11.7109375" style="7" customWidth="1"/>
    <col min="10514" max="10734" width="9.140625" style="7"/>
    <col min="10735" max="10735" width="6.28515625" style="7" customWidth="1"/>
    <col min="10736" max="10736" width="20.7109375" style="7" customWidth="1"/>
    <col min="10737" max="10737" width="10" style="7" customWidth="1"/>
    <col min="10738" max="10738" width="1" style="7" customWidth="1"/>
    <col min="10739" max="10739" width="10" style="7" customWidth="1"/>
    <col min="10740" max="10740" width="1.28515625" style="7" customWidth="1"/>
    <col min="10741" max="10741" width="9.7109375" style="7" customWidth="1"/>
    <col min="10742" max="10742" width="1.140625" style="7" customWidth="1"/>
    <col min="10743" max="10743" width="12.5703125" style="7" customWidth="1"/>
    <col min="10744" max="10744" width="4.7109375" style="7" customWidth="1"/>
    <col min="10745" max="10745" width="10.7109375" style="7" customWidth="1"/>
    <col min="10746" max="10746" width="4.5703125" style="7" customWidth="1"/>
    <col min="10747" max="10747" width="12.28515625" style="7" customWidth="1"/>
    <col min="10748" max="10748" width="1.42578125" style="7" customWidth="1"/>
    <col min="10749" max="10749" width="14.140625" style="7" customWidth="1"/>
    <col min="10750" max="10750" width="13.7109375" style="7" customWidth="1"/>
    <col min="10751" max="10751" width="8" style="7" customWidth="1"/>
    <col min="10752" max="10752" width="1.42578125" style="7" customWidth="1"/>
    <col min="10753" max="10753" width="11.28515625" style="7" customWidth="1"/>
    <col min="10754" max="10754" width="12.85546875" style="7" customWidth="1"/>
    <col min="10755" max="10755" width="10.5703125" style="7" customWidth="1"/>
    <col min="10756" max="10756" width="12" style="7" customWidth="1"/>
    <col min="10757" max="10757" width="11.140625" style="7" customWidth="1"/>
    <col min="10758" max="10758" width="9.28515625" style="7" customWidth="1"/>
    <col min="10759" max="10759" width="1.42578125" style="7" customWidth="1"/>
    <col min="10760" max="10760" width="17.28515625" style="7" customWidth="1"/>
    <col min="10761" max="10761" width="11.140625" style="7" customWidth="1"/>
    <col min="10762" max="10762" width="12.42578125" style="7" customWidth="1"/>
    <col min="10763" max="10764" width="11.28515625" style="7" customWidth="1"/>
    <col min="10765" max="10765" width="10.5703125" style="7" customWidth="1"/>
    <col min="10766" max="10766" width="16.42578125" style="7" customWidth="1"/>
    <col min="10767" max="10767" width="12.140625" style="7" customWidth="1"/>
    <col min="10768" max="10768" width="10.85546875" style="7" customWidth="1"/>
    <col min="10769" max="10769" width="11.7109375" style="7" customWidth="1"/>
    <col min="10770" max="10990" width="9.140625" style="7"/>
    <col min="10991" max="10991" width="6.28515625" style="7" customWidth="1"/>
    <col min="10992" max="10992" width="20.7109375" style="7" customWidth="1"/>
    <col min="10993" max="10993" width="10" style="7" customWidth="1"/>
    <col min="10994" max="10994" width="1" style="7" customWidth="1"/>
    <col min="10995" max="10995" width="10" style="7" customWidth="1"/>
    <col min="10996" max="10996" width="1.28515625" style="7" customWidth="1"/>
    <col min="10997" max="10997" width="9.7109375" style="7" customWidth="1"/>
    <col min="10998" max="10998" width="1.140625" style="7" customWidth="1"/>
    <col min="10999" max="10999" width="12.5703125" style="7" customWidth="1"/>
    <col min="11000" max="11000" width="4.7109375" style="7" customWidth="1"/>
    <col min="11001" max="11001" width="10.7109375" style="7" customWidth="1"/>
    <col min="11002" max="11002" width="4.5703125" style="7" customWidth="1"/>
    <col min="11003" max="11003" width="12.28515625" style="7" customWidth="1"/>
    <col min="11004" max="11004" width="1.42578125" style="7" customWidth="1"/>
    <col min="11005" max="11005" width="14.140625" style="7" customWidth="1"/>
    <col min="11006" max="11006" width="13.7109375" style="7" customWidth="1"/>
    <col min="11007" max="11007" width="8" style="7" customWidth="1"/>
    <col min="11008" max="11008" width="1.42578125" style="7" customWidth="1"/>
    <col min="11009" max="11009" width="11.28515625" style="7" customWidth="1"/>
    <col min="11010" max="11010" width="12.85546875" style="7" customWidth="1"/>
    <col min="11011" max="11011" width="10.5703125" style="7" customWidth="1"/>
    <col min="11012" max="11012" width="12" style="7" customWidth="1"/>
    <col min="11013" max="11013" width="11.140625" style="7" customWidth="1"/>
    <col min="11014" max="11014" width="9.28515625" style="7" customWidth="1"/>
    <col min="11015" max="11015" width="1.42578125" style="7" customWidth="1"/>
    <col min="11016" max="11016" width="17.28515625" style="7" customWidth="1"/>
    <col min="11017" max="11017" width="11.140625" style="7" customWidth="1"/>
    <col min="11018" max="11018" width="12.42578125" style="7" customWidth="1"/>
    <col min="11019" max="11020" width="11.28515625" style="7" customWidth="1"/>
    <col min="11021" max="11021" width="10.5703125" style="7" customWidth="1"/>
    <col min="11022" max="11022" width="16.42578125" style="7" customWidth="1"/>
    <col min="11023" max="11023" width="12.140625" style="7" customWidth="1"/>
    <col min="11024" max="11024" width="10.85546875" style="7" customWidth="1"/>
    <col min="11025" max="11025" width="11.7109375" style="7" customWidth="1"/>
    <col min="11026" max="11246" width="9.140625" style="7"/>
    <col min="11247" max="11247" width="6.28515625" style="7" customWidth="1"/>
    <col min="11248" max="11248" width="20.7109375" style="7" customWidth="1"/>
    <col min="11249" max="11249" width="10" style="7" customWidth="1"/>
    <col min="11250" max="11250" width="1" style="7" customWidth="1"/>
    <col min="11251" max="11251" width="10" style="7" customWidth="1"/>
    <col min="11252" max="11252" width="1.28515625" style="7" customWidth="1"/>
    <col min="11253" max="11253" width="9.7109375" style="7" customWidth="1"/>
    <col min="11254" max="11254" width="1.140625" style="7" customWidth="1"/>
    <col min="11255" max="11255" width="12.5703125" style="7" customWidth="1"/>
    <col min="11256" max="11256" width="4.7109375" style="7" customWidth="1"/>
    <col min="11257" max="11257" width="10.7109375" style="7" customWidth="1"/>
    <col min="11258" max="11258" width="4.5703125" style="7" customWidth="1"/>
    <col min="11259" max="11259" width="12.28515625" style="7" customWidth="1"/>
    <col min="11260" max="11260" width="1.42578125" style="7" customWidth="1"/>
    <col min="11261" max="11261" width="14.140625" style="7" customWidth="1"/>
    <col min="11262" max="11262" width="13.7109375" style="7" customWidth="1"/>
    <col min="11263" max="11263" width="8" style="7" customWidth="1"/>
    <col min="11264" max="11264" width="1.42578125" style="7" customWidth="1"/>
    <col min="11265" max="11265" width="11.28515625" style="7" customWidth="1"/>
    <col min="11266" max="11266" width="12.85546875" style="7" customWidth="1"/>
    <col min="11267" max="11267" width="10.5703125" style="7" customWidth="1"/>
    <col min="11268" max="11268" width="12" style="7" customWidth="1"/>
    <col min="11269" max="11269" width="11.140625" style="7" customWidth="1"/>
    <col min="11270" max="11270" width="9.28515625" style="7" customWidth="1"/>
    <col min="11271" max="11271" width="1.42578125" style="7" customWidth="1"/>
    <col min="11272" max="11272" width="17.28515625" style="7" customWidth="1"/>
    <col min="11273" max="11273" width="11.140625" style="7" customWidth="1"/>
    <col min="11274" max="11274" width="12.42578125" style="7" customWidth="1"/>
    <col min="11275" max="11276" width="11.28515625" style="7" customWidth="1"/>
    <col min="11277" max="11277" width="10.5703125" style="7" customWidth="1"/>
    <col min="11278" max="11278" width="16.42578125" style="7" customWidth="1"/>
    <col min="11279" max="11279" width="12.140625" style="7" customWidth="1"/>
    <col min="11280" max="11280" width="10.85546875" style="7" customWidth="1"/>
    <col min="11281" max="11281" width="11.7109375" style="7" customWidth="1"/>
    <col min="11282" max="11502" width="9.140625" style="7"/>
    <col min="11503" max="11503" width="6.28515625" style="7" customWidth="1"/>
    <col min="11504" max="11504" width="20.7109375" style="7" customWidth="1"/>
    <col min="11505" max="11505" width="10" style="7" customWidth="1"/>
    <col min="11506" max="11506" width="1" style="7" customWidth="1"/>
    <col min="11507" max="11507" width="10" style="7" customWidth="1"/>
    <col min="11508" max="11508" width="1.28515625" style="7" customWidth="1"/>
    <col min="11509" max="11509" width="9.7109375" style="7" customWidth="1"/>
    <col min="11510" max="11510" width="1.140625" style="7" customWidth="1"/>
    <col min="11511" max="11511" width="12.5703125" style="7" customWidth="1"/>
    <col min="11512" max="11512" width="4.7109375" style="7" customWidth="1"/>
    <col min="11513" max="11513" width="10.7109375" style="7" customWidth="1"/>
    <col min="11514" max="11514" width="4.5703125" style="7" customWidth="1"/>
    <col min="11515" max="11515" width="12.28515625" style="7" customWidth="1"/>
    <col min="11516" max="11516" width="1.42578125" style="7" customWidth="1"/>
    <col min="11517" max="11517" width="14.140625" style="7" customWidth="1"/>
    <col min="11518" max="11518" width="13.7109375" style="7" customWidth="1"/>
    <col min="11519" max="11519" width="8" style="7" customWidth="1"/>
    <col min="11520" max="11520" width="1.42578125" style="7" customWidth="1"/>
    <col min="11521" max="11521" width="11.28515625" style="7" customWidth="1"/>
    <col min="11522" max="11522" width="12.85546875" style="7" customWidth="1"/>
    <col min="11523" max="11523" width="10.5703125" style="7" customWidth="1"/>
    <col min="11524" max="11524" width="12" style="7" customWidth="1"/>
    <col min="11525" max="11525" width="11.140625" style="7" customWidth="1"/>
    <col min="11526" max="11526" width="9.28515625" style="7" customWidth="1"/>
    <col min="11527" max="11527" width="1.42578125" style="7" customWidth="1"/>
    <col min="11528" max="11528" width="17.28515625" style="7" customWidth="1"/>
    <col min="11529" max="11529" width="11.140625" style="7" customWidth="1"/>
    <col min="11530" max="11530" width="12.42578125" style="7" customWidth="1"/>
    <col min="11531" max="11532" width="11.28515625" style="7" customWidth="1"/>
    <col min="11533" max="11533" width="10.5703125" style="7" customWidth="1"/>
    <col min="11534" max="11534" width="16.42578125" style="7" customWidth="1"/>
    <col min="11535" max="11535" width="12.140625" style="7" customWidth="1"/>
    <col min="11536" max="11536" width="10.85546875" style="7" customWidth="1"/>
    <col min="11537" max="11537" width="11.7109375" style="7" customWidth="1"/>
    <col min="11538" max="11758" width="9.140625" style="7"/>
    <col min="11759" max="11759" width="6.28515625" style="7" customWidth="1"/>
    <col min="11760" max="11760" width="20.7109375" style="7" customWidth="1"/>
    <col min="11761" max="11761" width="10" style="7" customWidth="1"/>
    <col min="11762" max="11762" width="1" style="7" customWidth="1"/>
    <col min="11763" max="11763" width="10" style="7" customWidth="1"/>
    <col min="11764" max="11764" width="1.28515625" style="7" customWidth="1"/>
    <col min="11765" max="11765" width="9.7109375" style="7" customWidth="1"/>
    <col min="11766" max="11766" width="1.140625" style="7" customWidth="1"/>
    <col min="11767" max="11767" width="12.5703125" style="7" customWidth="1"/>
    <col min="11768" max="11768" width="4.7109375" style="7" customWidth="1"/>
    <col min="11769" max="11769" width="10.7109375" style="7" customWidth="1"/>
    <col min="11770" max="11770" width="4.5703125" style="7" customWidth="1"/>
    <col min="11771" max="11771" width="12.28515625" style="7" customWidth="1"/>
    <col min="11772" max="11772" width="1.42578125" style="7" customWidth="1"/>
    <col min="11773" max="11773" width="14.140625" style="7" customWidth="1"/>
    <col min="11774" max="11774" width="13.7109375" style="7" customWidth="1"/>
    <col min="11775" max="11775" width="8" style="7" customWidth="1"/>
    <col min="11776" max="11776" width="1.42578125" style="7" customWidth="1"/>
    <col min="11777" max="11777" width="11.28515625" style="7" customWidth="1"/>
    <col min="11778" max="11778" width="12.85546875" style="7" customWidth="1"/>
    <col min="11779" max="11779" width="10.5703125" style="7" customWidth="1"/>
    <col min="11780" max="11780" width="12" style="7" customWidth="1"/>
    <col min="11781" max="11781" width="11.140625" style="7" customWidth="1"/>
    <col min="11782" max="11782" width="9.28515625" style="7" customWidth="1"/>
    <col min="11783" max="11783" width="1.42578125" style="7" customWidth="1"/>
    <col min="11784" max="11784" width="17.28515625" style="7" customWidth="1"/>
    <col min="11785" max="11785" width="11.140625" style="7" customWidth="1"/>
    <col min="11786" max="11786" width="12.42578125" style="7" customWidth="1"/>
    <col min="11787" max="11788" width="11.28515625" style="7" customWidth="1"/>
    <col min="11789" max="11789" width="10.5703125" style="7" customWidth="1"/>
    <col min="11790" max="11790" width="16.42578125" style="7" customWidth="1"/>
    <col min="11791" max="11791" width="12.140625" style="7" customWidth="1"/>
    <col min="11792" max="11792" width="10.85546875" style="7" customWidth="1"/>
    <col min="11793" max="11793" width="11.7109375" style="7" customWidth="1"/>
    <col min="11794" max="12014" width="9.140625" style="7"/>
    <col min="12015" max="12015" width="6.28515625" style="7" customWidth="1"/>
    <col min="12016" max="12016" width="20.7109375" style="7" customWidth="1"/>
    <col min="12017" max="12017" width="10" style="7" customWidth="1"/>
    <col min="12018" max="12018" width="1" style="7" customWidth="1"/>
    <col min="12019" max="12019" width="10" style="7" customWidth="1"/>
    <col min="12020" max="12020" width="1.28515625" style="7" customWidth="1"/>
    <col min="12021" max="12021" width="9.7109375" style="7" customWidth="1"/>
    <col min="12022" max="12022" width="1.140625" style="7" customWidth="1"/>
    <col min="12023" max="12023" width="12.5703125" style="7" customWidth="1"/>
    <col min="12024" max="12024" width="4.7109375" style="7" customWidth="1"/>
    <col min="12025" max="12025" width="10.7109375" style="7" customWidth="1"/>
    <col min="12026" max="12026" width="4.5703125" style="7" customWidth="1"/>
    <col min="12027" max="12027" width="12.28515625" style="7" customWidth="1"/>
    <col min="12028" max="12028" width="1.42578125" style="7" customWidth="1"/>
    <col min="12029" max="12029" width="14.140625" style="7" customWidth="1"/>
    <col min="12030" max="12030" width="13.7109375" style="7" customWidth="1"/>
    <col min="12031" max="12031" width="8" style="7" customWidth="1"/>
    <col min="12032" max="12032" width="1.42578125" style="7" customWidth="1"/>
    <col min="12033" max="12033" width="11.28515625" style="7" customWidth="1"/>
    <col min="12034" max="12034" width="12.85546875" style="7" customWidth="1"/>
    <col min="12035" max="12035" width="10.5703125" style="7" customWidth="1"/>
    <col min="12036" max="12036" width="12" style="7" customWidth="1"/>
    <col min="12037" max="12037" width="11.140625" style="7" customWidth="1"/>
    <col min="12038" max="12038" width="9.28515625" style="7" customWidth="1"/>
    <col min="12039" max="12039" width="1.42578125" style="7" customWidth="1"/>
    <col min="12040" max="12040" width="17.28515625" style="7" customWidth="1"/>
    <col min="12041" max="12041" width="11.140625" style="7" customWidth="1"/>
    <col min="12042" max="12042" width="12.42578125" style="7" customWidth="1"/>
    <col min="12043" max="12044" width="11.28515625" style="7" customWidth="1"/>
    <col min="12045" max="12045" width="10.5703125" style="7" customWidth="1"/>
    <col min="12046" max="12046" width="16.42578125" style="7" customWidth="1"/>
    <col min="12047" max="12047" width="12.140625" style="7" customWidth="1"/>
    <col min="12048" max="12048" width="10.85546875" style="7" customWidth="1"/>
    <col min="12049" max="12049" width="11.7109375" style="7" customWidth="1"/>
    <col min="12050" max="12270" width="9.140625" style="7"/>
    <col min="12271" max="12271" width="6.28515625" style="7" customWidth="1"/>
    <col min="12272" max="12272" width="20.7109375" style="7" customWidth="1"/>
    <col min="12273" max="12273" width="10" style="7" customWidth="1"/>
    <col min="12274" max="12274" width="1" style="7" customWidth="1"/>
    <col min="12275" max="12275" width="10" style="7" customWidth="1"/>
    <col min="12276" max="12276" width="1.28515625" style="7" customWidth="1"/>
    <col min="12277" max="12277" width="9.7109375" style="7" customWidth="1"/>
    <col min="12278" max="12278" width="1.140625" style="7" customWidth="1"/>
    <col min="12279" max="12279" width="12.5703125" style="7" customWidth="1"/>
    <col min="12280" max="12280" width="4.7109375" style="7" customWidth="1"/>
    <col min="12281" max="12281" width="10.7109375" style="7" customWidth="1"/>
    <col min="12282" max="12282" width="4.5703125" style="7" customWidth="1"/>
    <col min="12283" max="12283" width="12.28515625" style="7" customWidth="1"/>
    <col min="12284" max="12284" width="1.42578125" style="7" customWidth="1"/>
    <col min="12285" max="12285" width="14.140625" style="7" customWidth="1"/>
    <col min="12286" max="12286" width="13.7109375" style="7" customWidth="1"/>
    <col min="12287" max="12287" width="8" style="7" customWidth="1"/>
    <col min="12288" max="12288" width="1.42578125" style="7" customWidth="1"/>
    <col min="12289" max="12289" width="11.28515625" style="7" customWidth="1"/>
    <col min="12290" max="12290" width="12.85546875" style="7" customWidth="1"/>
    <col min="12291" max="12291" width="10.5703125" style="7" customWidth="1"/>
    <col min="12292" max="12292" width="12" style="7" customWidth="1"/>
    <col min="12293" max="12293" width="11.140625" style="7" customWidth="1"/>
    <col min="12294" max="12294" width="9.28515625" style="7" customWidth="1"/>
    <col min="12295" max="12295" width="1.42578125" style="7" customWidth="1"/>
    <col min="12296" max="12296" width="17.28515625" style="7" customWidth="1"/>
    <col min="12297" max="12297" width="11.140625" style="7" customWidth="1"/>
    <col min="12298" max="12298" width="12.42578125" style="7" customWidth="1"/>
    <col min="12299" max="12300" width="11.28515625" style="7" customWidth="1"/>
    <col min="12301" max="12301" width="10.5703125" style="7" customWidth="1"/>
    <col min="12302" max="12302" width="16.42578125" style="7" customWidth="1"/>
    <col min="12303" max="12303" width="12.140625" style="7" customWidth="1"/>
    <col min="12304" max="12304" width="10.85546875" style="7" customWidth="1"/>
    <col min="12305" max="12305" width="11.7109375" style="7" customWidth="1"/>
    <col min="12306" max="12526" width="9.140625" style="7"/>
    <col min="12527" max="12527" width="6.28515625" style="7" customWidth="1"/>
    <col min="12528" max="12528" width="20.7109375" style="7" customWidth="1"/>
    <col min="12529" max="12529" width="10" style="7" customWidth="1"/>
    <col min="12530" max="12530" width="1" style="7" customWidth="1"/>
    <col min="12531" max="12531" width="10" style="7" customWidth="1"/>
    <col min="12532" max="12532" width="1.28515625" style="7" customWidth="1"/>
    <col min="12533" max="12533" width="9.7109375" style="7" customWidth="1"/>
    <col min="12534" max="12534" width="1.140625" style="7" customWidth="1"/>
    <col min="12535" max="12535" width="12.5703125" style="7" customWidth="1"/>
    <col min="12536" max="12536" width="4.7109375" style="7" customWidth="1"/>
    <col min="12537" max="12537" width="10.7109375" style="7" customWidth="1"/>
    <col min="12538" max="12538" width="4.5703125" style="7" customWidth="1"/>
    <col min="12539" max="12539" width="12.28515625" style="7" customWidth="1"/>
    <col min="12540" max="12540" width="1.42578125" style="7" customWidth="1"/>
    <col min="12541" max="12541" width="14.140625" style="7" customWidth="1"/>
    <col min="12542" max="12542" width="13.7109375" style="7" customWidth="1"/>
    <col min="12543" max="12543" width="8" style="7" customWidth="1"/>
    <col min="12544" max="12544" width="1.42578125" style="7" customWidth="1"/>
    <col min="12545" max="12545" width="11.28515625" style="7" customWidth="1"/>
    <col min="12546" max="12546" width="12.85546875" style="7" customWidth="1"/>
    <col min="12547" max="12547" width="10.5703125" style="7" customWidth="1"/>
    <col min="12548" max="12548" width="12" style="7" customWidth="1"/>
    <col min="12549" max="12549" width="11.140625" style="7" customWidth="1"/>
    <col min="12550" max="12550" width="9.28515625" style="7" customWidth="1"/>
    <col min="12551" max="12551" width="1.42578125" style="7" customWidth="1"/>
    <col min="12552" max="12552" width="17.28515625" style="7" customWidth="1"/>
    <col min="12553" max="12553" width="11.140625" style="7" customWidth="1"/>
    <col min="12554" max="12554" width="12.42578125" style="7" customWidth="1"/>
    <col min="12555" max="12556" width="11.28515625" style="7" customWidth="1"/>
    <col min="12557" max="12557" width="10.5703125" style="7" customWidth="1"/>
    <col min="12558" max="12558" width="16.42578125" style="7" customWidth="1"/>
    <col min="12559" max="12559" width="12.140625" style="7" customWidth="1"/>
    <col min="12560" max="12560" width="10.85546875" style="7" customWidth="1"/>
    <col min="12561" max="12561" width="11.7109375" style="7" customWidth="1"/>
    <col min="12562" max="12782" width="9.140625" style="7"/>
    <col min="12783" max="12783" width="6.28515625" style="7" customWidth="1"/>
    <col min="12784" max="12784" width="20.7109375" style="7" customWidth="1"/>
    <col min="12785" max="12785" width="10" style="7" customWidth="1"/>
    <col min="12786" max="12786" width="1" style="7" customWidth="1"/>
    <col min="12787" max="12787" width="10" style="7" customWidth="1"/>
    <col min="12788" max="12788" width="1.28515625" style="7" customWidth="1"/>
    <col min="12789" max="12789" width="9.7109375" style="7" customWidth="1"/>
    <col min="12790" max="12790" width="1.140625" style="7" customWidth="1"/>
    <col min="12791" max="12791" width="12.5703125" style="7" customWidth="1"/>
    <col min="12792" max="12792" width="4.7109375" style="7" customWidth="1"/>
    <col min="12793" max="12793" width="10.7109375" style="7" customWidth="1"/>
    <col min="12794" max="12794" width="4.5703125" style="7" customWidth="1"/>
    <col min="12795" max="12795" width="12.28515625" style="7" customWidth="1"/>
    <col min="12796" max="12796" width="1.42578125" style="7" customWidth="1"/>
    <col min="12797" max="12797" width="14.140625" style="7" customWidth="1"/>
    <col min="12798" max="12798" width="13.7109375" style="7" customWidth="1"/>
    <col min="12799" max="12799" width="8" style="7" customWidth="1"/>
    <col min="12800" max="12800" width="1.42578125" style="7" customWidth="1"/>
    <col min="12801" max="12801" width="11.28515625" style="7" customWidth="1"/>
    <col min="12802" max="12802" width="12.85546875" style="7" customWidth="1"/>
    <col min="12803" max="12803" width="10.5703125" style="7" customWidth="1"/>
    <col min="12804" max="12804" width="12" style="7" customWidth="1"/>
    <col min="12805" max="12805" width="11.140625" style="7" customWidth="1"/>
    <col min="12806" max="12806" width="9.28515625" style="7" customWidth="1"/>
    <col min="12807" max="12807" width="1.42578125" style="7" customWidth="1"/>
    <col min="12808" max="12808" width="17.28515625" style="7" customWidth="1"/>
    <col min="12809" max="12809" width="11.140625" style="7" customWidth="1"/>
    <col min="12810" max="12810" width="12.42578125" style="7" customWidth="1"/>
    <col min="12811" max="12812" width="11.28515625" style="7" customWidth="1"/>
    <col min="12813" max="12813" width="10.5703125" style="7" customWidth="1"/>
    <col min="12814" max="12814" width="16.42578125" style="7" customWidth="1"/>
    <col min="12815" max="12815" width="12.140625" style="7" customWidth="1"/>
    <col min="12816" max="12816" width="10.85546875" style="7" customWidth="1"/>
    <col min="12817" max="12817" width="11.7109375" style="7" customWidth="1"/>
    <col min="12818" max="13038" width="9.140625" style="7"/>
    <col min="13039" max="13039" width="6.28515625" style="7" customWidth="1"/>
    <col min="13040" max="13040" width="20.7109375" style="7" customWidth="1"/>
    <col min="13041" max="13041" width="10" style="7" customWidth="1"/>
    <col min="13042" max="13042" width="1" style="7" customWidth="1"/>
    <col min="13043" max="13043" width="10" style="7" customWidth="1"/>
    <col min="13044" max="13044" width="1.28515625" style="7" customWidth="1"/>
    <col min="13045" max="13045" width="9.7109375" style="7" customWidth="1"/>
    <col min="13046" max="13046" width="1.140625" style="7" customWidth="1"/>
    <col min="13047" max="13047" width="12.5703125" style="7" customWidth="1"/>
    <col min="13048" max="13048" width="4.7109375" style="7" customWidth="1"/>
    <col min="13049" max="13049" width="10.7109375" style="7" customWidth="1"/>
    <col min="13050" max="13050" width="4.5703125" style="7" customWidth="1"/>
    <col min="13051" max="13051" width="12.28515625" style="7" customWidth="1"/>
    <col min="13052" max="13052" width="1.42578125" style="7" customWidth="1"/>
    <col min="13053" max="13053" width="14.140625" style="7" customWidth="1"/>
    <col min="13054" max="13054" width="13.7109375" style="7" customWidth="1"/>
    <col min="13055" max="13055" width="8" style="7" customWidth="1"/>
    <col min="13056" max="13056" width="1.42578125" style="7" customWidth="1"/>
    <col min="13057" max="13057" width="11.28515625" style="7" customWidth="1"/>
    <col min="13058" max="13058" width="12.85546875" style="7" customWidth="1"/>
    <col min="13059" max="13059" width="10.5703125" style="7" customWidth="1"/>
    <col min="13060" max="13060" width="12" style="7" customWidth="1"/>
    <col min="13061" max="13061" width="11.140625" style="7" customWidth="1"/>
    <col min="13062" max="13062" width="9.28515625" style="7" customWidth="1"/>
    <col min="13063" max="13063" width="1.42578125" style="7" customWidth="1"/>
    <col min="13064" max="13064" width="17.28515625" style="7" customWidth="1"/>
    <col min="13065" max="13065" width="11.140625" style="7" customWidth="1"/>
    <col min="13066" max="13066" width="12.42578125" style="7" customWidth="1"/>
    <col min="13067" max="13068" width="11.28515625" style="7" customWidth="1"/>
    <col min="13069" max="13069" width="10.5703125" style="7" customWidth="1"/>
    <col min="13070" max="13070" width="16.42578125" style="7" customWidth="1"/>
    <col min="13071" max="13071" width="12.140625" style="7" customWidth="1"/>
    <col min="13072" max="13072" width="10.85546875" style="7" customWidth="1"/>
    <col min="13073" max="13073" width="11.7109375" style="7" customWidth="1"/>
    <col min="13074" max="13294" width="9.140625" style="7"/>
    <col min="13295" max="13295" width="6.28515625" style="7" customWidth="1"/>
    <col min="13296" max="13296" width="20.7109375" style="7" customWidth="1"/>
    <col min="13297" max="13297" width="10" style="7" customWidth="1"/>
    <col min="13298" max="13298" width="1" style="7" customWidth="1"/>
    <col min="13299" max="13299" width="10" style="7" customWidth="1"/>
    <col min="13300" max="13300" width="1.28515625" style="7" customWidth="1"/>
    <col min="13301" max="13301" width="9.7109375" style="7" customWidth="1"/>
    <col min="13302" max="13302" width="1.140625" style="7" customWidth="1"/>
    <col min="13303" max="13303" width="12.5703125" style="7" customWidth="1"/>
    <col min="13304" max="13304" width="4.7109375" style="7" customWidth="1"/>
    <col min="13305" max="13305" width="10.7109375" style="7" customWidth="1"/>
    <col min="13306" max="13306" width="4.5703125" style="7" customWidth="1"/>
    <col min="13307" max="13307" width="12.28515625" style="7" customWidth="1"/>
    <col min="13308" max="13308" width="1.42578125" style="7" customWidth="1"/>
    <col min="13309" max="13309" width="14.140625" style="7" customWidth="1"/>
    <col min="13310" max="13310" width="13.7109375" style="7" customWidth="1"/>
    <col min="13311" max="13311" width="8" style="7" customWidth="1"/>
    <col min="13312" max="13312" width="1.42578125" style="7" customWidth="1"/>
    <col min="13313" max="13313" width="11.28515625" style="7" customWidth="1"/>
    <col min="13314" max="13314" width="12.85546875" style="7" customWidth="1"/>
    <col min="13315" max="13315" width="10.5703125" style="7" customWidth="1"/>
    <col min="13316" max="13316" width="12" style="7" customWidth="1"/>
    <col min="13317" max="13317" width="11.140625" style="7" customWidth="1"/>
    <col min="13318" max="13318" width="9.28515625" style="7" customWidth="1"/>
    <col min="13319" max="13319" width="1.42578125" style="7" customWidth="1"/>
    <col min="13320" max="13320" width="17.28515625" style="7" customWidth="1"/>
    <col min="13321" max="13321" width="11.140625" style="7" customWidth="1"/>
    <col min="13322" max="13322" width="12.42578125" style="7" customWidth="1"/>
    <col min="13323" max="13324" width="11.28515625" style="7" customWidth="1"/>
    <col min="13325" max="13325" width="10.5703125" style="7" customWidth="1"/>
    <col min="13326" max="13326" width="16.42578125" style="7" customWidth="1"/>
    <col min="13327" max="13327" width="12.140625" style="7" customWidth="1"/>
    <col min="13328" max="13328" width="10.85546875" style="7" customWidth="1"/>
    <col min="13329" max="13329" width="11.7109375" style="7" customWidth="1"/>
    <col min="13330" max="13550" width="9.140625" style="7"/>
    <col min="13551" max="13551" width="6.28515625" style="7" customWidth="1"/>
    <col min="13552" max="13552" width="20.7109375" style="7" customWidth="1"/>
    <col min="13553" max="13553" width="10" style="7" customWidth="1"/>
    <col min="13554" max="13554" width="1" style="7" customWidth="1"/>
    <col min="13555" max="13555" width="10" style="7" customWidth="1"/>
    <col min="13556" max="13556" width="1.28515625" style="7" customWidth="1"/>
    <col min="13557" max="13557" width="9.7109375" style="7" customWidth="1"/>
    <col min="13558" max="13558" width="1.140625" style="7" customWidth="1"/>
    <col min="13559" max="13559" width="12.5703125" style="7" customWidth="1"/>
    <col min="13560" max="13560" width="4.7109375" style="7" customWidth="1"/>
    <col min="13561" max="13561" width="10.7109375" style="7" customWidth="1"/>
    <col min="13562" max="13562" width="4.5703125" style="7" customWidth="1"/>
    <col min="13563" max="13563" width="12.28515625" style="7" customWidth="1"/>
    <col min="13564" max="13564" width="1.42578125" style="7" customWidth="1"/>
    <col min="13565" max="13565" width="14.140625" style="7" customWidth="1"/>
    <col min="13566" max="13566" width="13.7109375" style="7" customWidth="1"/>
    <col min="13567" max="13567" width="8" style="7" customWidth="1"/>
    <col min="13568" max="13568" width="1.42578125" style="7" customWidth="1"/>
    <col min="13569" max="13569" width="11.28515625" style="7" customWidth="1"/>
    <col min="13570" max="13570" width="12.85546875" style="7" customWidth="1"/>
    <col min="13571" max="13571" width="10.5703125" style="7" customWidth="1"/>
    <col min="13572" max="13572" width="12" style="7" customWidth="1"/>
    <col min="13573" max="13573" width="11.140625" style="7" customWidth="1"/>
    <col min="13574" max="13574" width="9.28515625" style="7" customWidth="1"/>
    <col min="13575" max="13575" width="1.42578125" style="7" customWidth="1"/>
    <col min="13576" max="13576" width="17.28515625" style="7" customWidth="1"/>
    <col min="13577" max="13577" width="11.140625" style="7" customWidth="1"/>
    <col min="13578" max="13578" width="12.42578125" style="7" customWidth="1"/>
    <col min="13579" max="13580" width="11.28515625" style="7" customWidth="1"/>
    <col min="13581" max="13581" width="10.5703125" style="7" customWidth="1"/>
    <col min="13582" max="13582" width="16.42578125" style="7" customWidth="1"/>
    <col min="13583" max="13583" width="12.140625" style="7" customWidth="1"/>
    <col min="13584" max="13584" width="10.85546875" style="7" customWidth="1"/>
    <col min="13585" max="13585" width="11.7109375" style="7" customWidth="1"/>
    <col min="13586" max="13806" width="9.140625" style="7"/>
    <col min="13807" max="13807" width="6.28515625" style="7" customWidth="1"/>
    <col min="13808" max="13808" width="20.7109375" style="7" customWidth="1"/>
    <col min="13809" max="13809" width="10" style="7" customWidth="1"/>
    <col min="13810" max="13810" width="1" style="7" customWidth="1"/>
    <col min="13811" max="13811" width="10" style="7" customWidth="1"/>
    <col min="13812" max="13812" width="1.28515625" style="7" customWidth="1"/>
    <col min="13813" max="13813" width="9.7109375" style="7" customWidth="1"/>
    <col min="13814" max="13814" width="1.140625" style="7" customWidth="1"/>
    <col min="13815" max="13815" width="12.5703125" style="7" customWidth="1"/>
    <col min="13816" max="13816" width="4.7109375" style="7" customWidth="1"/>
    <col min="13817" max="13817" width="10.7109375" style="7" customWidth="1"/>
    <col min="13818" max="13818" width="4.5703125" style="7" customWidth="1"/>
    <col min="13819" max="13819" width="12.28515625" style="7" customWidth="1"/>
    <col min="13820" max="13820" width="1.42578125" style="7" customWidth="1"/>
    <col min="13821" max="13821" width="14.140625" style="7" customWidth="1"/>
    <col min="13822" max="13822" width="13.7109375" style="7" customWidth="1"/>
    <col min="13823" max="13823" width="8" style="7" customWidth="1"/>
    <col min="13824" max="13824" width="1.42578125" style="7" customWidth="1"/>
    <col min="13825" max="13825" width="11.28515625" style="7" customWidth="1"/>
    <col min="13826" max="13826" width="12.85546875" style="7" customWidth="1"/>
    <col min="13827" max="13827" width="10.5703125" style="7" customWidth="1"/>
    <col min="13828" max="13828" width="12" style="7" customWidth="1"/>
    <col min="13829" max="13829" width="11.140625" style="7" customWidth="1"/>
    <col min="13830" max="13830" width="9.28515625" style="7" customWidth="1"/>
    <col min="13831" max="13831" width="1.42578125" style="7" customWidth="1"/>
    <col min="13832" max="13832" width="17.28515625" style="7" customWidth="1"/>
    <col min="13833" max="13833" width="11.140625" style="7" customWidth="1"/>
    <col min="13834" max="13834" width="12.42578125" style="7" customWidth="1"/>
    <col min="13835" max="13836" width="11.28515625" style="7" customWidth="1"/>
    <col min="13837" max="13837" width="10.5703125" style="7" customWidth="1"/>
    <col min="13838" max="13838" width="16.42578125" style="7" customWidth="1"/>
    <col min="13839" max="13839" width="12.140625" style="7" customWidth="1"/>
    <col min="13840" max="13840" width="10.85546875" style="7" customWidth="1"/>
    <col min="13841" max="13841" width="11.7109375" style="7" customWidth="1"/>
    <col min="13842" max="14062" width="9.140625" style="7"/>
    <col min="14063" max="14063" width="6.28515625" style="7" customWidth="1"/>
    <col min="14064" max="14064" width="20.7109375" style="7" customWidth="1"/>
    <col min="14065" max="14065" width="10" style="7" customWidth="1"/>
    <col min="14066" max="14066" width="1" style="7" customWidth="1"/>
    <col min="14067" max="14067" width="10" style="7" customWidth="1"/>
    <col min="14068" max="14068" width="1.28515625" style="7" customWidth="1"/>
    <col min="14069" max="14069" width="9.7109375" style="7" customWidth="1"/>
    <col min="14070" max="14070" width="1.140625" style="7" customWidth="1"/>
    <col min="14071" max="14071" width="12.5703125" style="7" customWidth="1"/>
    <col min="14072" max="14072" width="4.7109375" style="7" customWidth="1"/>
    <col min="14073" max="14073" width="10.7109375" style="7" customWidth="1"/>
    <col min="14074" max="14074" width="4.5703125" style="7" customWidth="1"/>
    <col min="14075" max="14075" width="12.28515625" style="7" customWidth="1"/>
    <col min="14076" max="14076" width="1.42578125" style="7" customWidth="1"/>
    <col min="14077" max="14077" width="14.140625" style="7" customWidth="1"/>
    <col min="14078" max="14078" width="13.7109375" style="7" customWidth="1"/>
    <col min="14079" max="14079" width="8" style="7" customWidth="1"/>
    <col min="14080" max="14080" width="1.42578125" style="7" customWidth="1"/>
    <col min="14081" max="14081" width="11.28515625" style="7" customWidth="1"/>
    <col min="14082" max="14082" width="12.85546875" style="7" customWidth="1"/>
    <col min="14083" max="14083" width="10.5703125" style="7" customWidth="1"/>
    <col min="14084" max="14084" width="12" style="7" customWidth="1"/>
    <col min="14085" max="14085" width="11.140625" style="7" customWidth="1"/>
    <col min="14086" max="14086" width="9.28515625" style="7" customWidth="1"/>
    <col min="14087" max="14087" width="1.42578125" style="7" customWidth="1"/>
    <col min="14088" max="14088" width="17.28515625" style="7" customWidth="1"/>
    <col min="14089" max="14089" width="11.140625" style="7" customWidth="1"/>
    <col min="14090" max="14090" width="12.42578125" style="7" customWidth="1"/>
    <col min="14091" max="14092" width="11.28515625" style="7" customWidth="1"/>
    <col min="14093" max="14093" width="10.5703125" style="7" customWidth="1"/>
    <col min="14094" max="14094" width="16.42578125" style="7" customWidth="1"/>
    <col min="14095" max="14095" width="12.140625" style="7" customWidth="1"/>
    <col min="14096" max="14096" width="10.85546875" style="7" customWidth="1"/>
    <col min="14097" max="14097" width="11.7109375" style="7" customWidth="1"/>
    <col min="14098" max="14318" width="9.140625" style="7"/>
    <col min="14319" max="14319" width="6.28515625" style="7" customWidth="1"/>
    <col min="14320" max="14320" width="20.7109375" style="7" customWidth="1"/>
    <col min="14321" max="14321" width="10" style="7" customWidth="1"/>
    <col min="14322" max="14322" width="1" style="7" customWidth="1"/>
    <col min="14323" max="14323" width="10" style="7" customWidth="1"/>
    <col min="14324" max="14324" width="1.28515625" style="7" customWidth="1"/>
    <col min="14325" max="14325" width="9.7109375" style="7" customWidth="1"/>
    <col min="14326" max="14326" width="1.140625" style="7" customWidth="1"/>
    <col min="14327" max="14327" width="12.5703125" style="7" customWidth="1"/>
    <col min="14328" max="14328" width="4.7109375" style="7" customWidth="1"/>
    <col min="14329" max="14329" width="10.7109375" style="7" customWidth="1"/>
    <col min="14330" max="14330" width="4.5703125" style="7" customWidth="1"/>
    <col min="14331" max="14331" width="12.28515625" style="7" customWidth="1"/>
    <col min="14332" max="14332" width="1.42578125" style="7" customWidth="1"/>
    <col min="14333" max="14333" width="14.140625" style="7" customWidth="1"/>
    <col min="14334" max="14334" width="13.7109375" style="7" customWidth="1"/>
    <col min="14335" max="14335" width="8" style="7" customWidth="1"/>
    <col min="14336" max="14336" width="1.42578125" style="7" customWidth="1"/>
    <col min="14337" max="14337" width="11.28515625" style="7" customWidth="1"/>
    <col min="14338" max="14338" width="12.85546875" style="7" customWidth="1"/>
    <col min="14339" max="14339" width="10.5703125" style="7" customWidth="1"/>
    <col min="14340" max="14340" width="12" style="7" customWidth="1"/>
    <col min="14341" max="14341" width="11.140625" style="7" customWidth="1"/>
    <col min="14342" max="14342" width="9.28515625" style="7" customWidth="1"/>
    <col min="14343" max="14343" width="1.42578125" style="7" customWidth="1"/>
    <col min="14344" max="14344" width="17.28515625" style="7" customWidth="1"/>
    <col min="14345" max="14345" width="11.140625" style="7" customWidth="1"/>
    <col min="14346" max="14346" width="12.42578125" style="7" customWidth="1"/>
    <col min="14347" max="14348" width="11.28515625" style="7" customWidth="1"/>
    <col min="14349" max="14349" width="10.5703125" style="7" customWidth="1"/>
    <col min="14350" max="14350" width="16.42578125" style="7" customWidth="1"/>
    <col min="14351" max="14351" width="12.140625" style="7" customWidth="1"/>
    <col min="14352" max="14352" width="10.85546875" style="7" customWidth="1"/>
    <col min="14353" max="14353" width="11.7109375" style="7" customWidth="1"/>
    <col min="14354" max="14574" width="9.140625" style="7"/>
    <col min="14575" max="14575" width="6.28515625" style="7" customWidth="1"/>
    <col min="14576" max="14576" width="20.7109375" style="7" customWidth="1"/>
    <col min="14577" max="14577" width="10" style="7" customWidth="1"/>
    <col min="14578" max="14578" width="1" style="7" customWidth="1"/>
    <col min="14579" max="14579" width="10" style="7" customWidth="1"/>
    <col min="14580" max="14580" width="1.28515625" style="7" customWidth="1"/>
    <col min="14581" max="14581" width="9.7109375" style="7" customWidth="1"/>
    <col min="14582" max="14582" width="1.140625" style="7" customWidth="1"/>
    <col min="14583" max="14583" width="12.5703125" style="7" customWidth="1"/>
    <col min="14584" max="14584" width="4.7109375" style="7" customWidth="1"/>
    <col min="14585" max="14585" width="10.7109375" style="7" customWidth="1"/>
    <col min="14586" max="14586" width="4.5703125" style="7" customWidth="1"/>
    <col min="14587" max="14587" width="12.28515625" style="7" customWidth="1"/>
    <col min="14588" max="14588" width="1.42578125" style="7" customWidth="1"/>
    <col min="14589" max="14589" width="14.140625" style="7" customWidth="1"/>
    <col min="14590" max="14590" width="13.7109375" style="7" customWidth="1"/>
    <col min="14591" max="14591" width="8" style="7" customWidth="1"/>
    <col min="14592" max="14592" width="1.42578125" style="7" customWidth="1"/>
    <col min="14593" max="14593" width="11.28515625" style="7" customWidth="1"/>
    <col min="14594" max="14594" width="12.85546875" style="7" customWidth="1"/>
    <col min="14595" max="14595" width="10.5703125" style="7" customWidth="1"/>
    <col min="14596" max="14596" width="12" style="7" customWidth="1"/>
    <col min="14597" max="14597" width="11.140625" style="7" customWidth="1"/>
    <col min="14598" max="14598" width="9.28515625" style="7" customWidth="1"/>
    <col min="14599" max="14599" width="1.42578125" style="7" customWidth="1"/>
    <col min="14600" max="14600" width="17.28515625" style="7" customWidth="1"/>
    <col min="14601" max="14601" width="11.140625" style="7" customWidth="1"/>
    <col min="14602" max="14602" width="12.42578125" style="7" customWidth="1"/>
    <col min="14603" max="14604" width="11.28515625" style="7" customWidth="1"/>
    <col min="14605" max="14605" width="10.5703125" style="7" customWidth="1"/>
    <col min="14606" max="14606" width="16.42578125" style="7" customWidth="1"/>
    <col min="14607" max="14607" width="12.140625" style="7" customWidth="1"/>
    <col min="14608" max="14608" width="10.85546875" style="7" customWidth="1"/>
    <col min="14609" max="14609" width="11.7109375" style="7" customWidth="1"/>
    <col min="14610" max="14830" width="9.140625" style="7"/>
    <col min="14831" max="14831" width="6.28515625" style="7" customWidth="1"/>
    <col min="14832" max="14832" width="20.7109375" style="7" customWidth="1"/>
    <col min="14833" max="14833" width="10" style="7" customWidth="1"/>
    <col min="14834" max="14834" width="1" style="7" customWidth="1"/>
    <col min="14835" max="14835" width="10" style="7" customWidth="1"/>
    <col min="14836" max="14836" width="1.28515625" style="7" customWidth="1"/>
    <col min="14837" max="14837" width="9.7109375" style="7" customWidth="1"/>
    <col min="14838" max="14838" width="1.140625" style="7" customWidth="1"/>
    <col min="14839" max="14839" width="12.5703125" style="7" customWidth="1"/>
    <col min="14840" max="14840" width="4.7109375" style="7" customWidth="1"/>
    <col min="14841" max="14841" width="10.7109375" style="7" customWidth="1"/>
    <col min="14842" max="14842" width="4.5703125" style="7" customWidth="1"/>
    <col min="14843" max="14843" width="12.28515625" style="7" customWidth="1"/>
    <col min="14844" max="14844" width="1.42578125" style="7" customWidth="1"/>
    <col min="14845" max="14845" width="14.140625" style="7" customWidth="1"/>
    <col min="14846" max="14846" width="13.7109375" style="7" customWidth="1"/>
    <col min="14847" max="14847" width="8" style="7" customWidth="1"/>
    <col min="14848" max="14848" width="1.42578125" style="7" customWidth="1"/>
    <col min="14849" max="14849" width="11.28515625" style="7" customWidth="1"/>
    <col min="14850" max="14850" width="12.85546875" style="7" customWidth="1"/>
    <col min="14851" max="14851" width="10.5703125" style="7" customWidth="1"/>
    <col min="14852" max="14852" width="12" style="7" customWidth="1"/>
    <col min="14853" max="14853" width="11.140625" style="7" customWidth="1"/>
    <col min="14854" max="14854" width="9.28515625" style="7" customWidth="1"/>
    <col min="14855" max="14855" width="1.42578125" style="7" customWidth="1"/>
    <col min="14856" max="14856" width="17.28515625" style="7" customWidth="1"/>
    <col min="14857" max="14857" width="11.140625" style="7" customWidth="1"/>
    <col min="14858" max="14858" width="12.42578125" style="7" customWidth="1"/>
    <col min="14859" max="14860" width="11.28515625" style="7" customWidth="1"/>
    <col min="14861" max="14861" width="10.5703125" style="7" customWidth="1"/>
    <col min="14862" max="14862" width="16.42578125" style="7" customWidth="1"/>
    <col min="14863" max="14863" width="12.140625" style="7" customWidth="1"/>
    <col min="14864" max="14864" width="10.85546875" style="7" customWidth="1"/>
    <col min="14865" max="14865" width="11.7109375" style="7" customWidth="1"/>
    <col min="14866" max="15086" width="9.140625" style="7"/>
    <col min="15087" max="15087" width="6.28515625" style="7" customWidth="1"/>
    <col min="15088" max="15088" width="20.7109375" style="7" customWidth="1"/>
    <col min="15089" max="15089" width="10" style="7" customWidth="1"/>
    <col min="15090" max="15090" width="1" style="7" customWidth="1"/>
    <col min="15091" max="15091" width="10" style="7" customWidth="1"/>
    <col min="15092" max="15092" width="1.28515625" style="7" customWidth="1"/>
    <col min="15093" max="15093" width="9.7109375" style="7" customWidth="1"/>
    <col min="15094" max="15094" width="1.140625" style="7" customWidth="1"/>
    <col min="15095" max="15095" width="12.5703125" style="7" customWidth="1"/>
    <col min="15096" max="15096" width="4.7109375" style="7" customWidth="1"/>
    <col min="15097" max="15097" width="10.7109375" style="7" customWidth="1"/>
    <col min="15098" max="15098" width="4.5703125" style="7" customWidth="1"/>
    <col min="15099" max="15099" width="12.28515625" style="7" customWidth="1"/>
    <col min="15100" max="15100" width="1.42578125" style="7" customWidth="1"/>
    <col min="15101" max="15101" width="14.140625" style="7" customWidth="1"/>
    <col min="15102" max="15102" width="13.7109375" style="7" customWidth="1"/>
    <col min="15103" max="15103" width="8" style="7" customWidth="1"/>
    <col min="15104" max="15104" width="1.42578125" style="7" customWidth="1"/>
    <col min="15105" max="15105" width="11.28515625" style="7" customWidth="1"/>
    <col min="15106" max="15106" width="12.85546875" style="7" customWidth="1"/>
    <col min="15107" max="15107" width="10.5703125" style="7" customWidth="1"/>
    <col min="15108" max="15108" width="12" style="7" customWidth="1"/>
    <col min="15109" max="15109" width="11.140625" style="7" customWidth="1"/>
    <col min="15110" max="15110" width="9.28515625" style="7" customWidth="1"/>
    <col min="15111" max="15111" width="1.42578125" style="7" customWidth="1"/>
    <col min="15112" max="15112" width="17.28515625" style="7" customWidth="1"/>
    <col min="15113" max="15113" width="11.140625" style="7" customWidth="1"/>
    <col min="15114" max="15114" width="12.42578125" style="7" customWidth="1"/>
    <col min="15115" max="15116" width="11.28515625" style="7" customWidth="1"/>
    <col min="15117" max="15117" width="10.5703125" style="7" customWidth="1"/>
    <col min="15118" max="15118" width="16.42578125" style="7" customWidth="1"/>
    <col min="15119" max="15119" width="12.140625" style="7" customWidth="1"/>
    <col min="15120" max="15120" width="10.85546875" style="7" customWidth="1"/>
    <col min="15121" max="15121" width="11.7109375" style="7" customWidth="1"/>
    <col min="15122" max="15342" width="9.140625" style="7"/>
    <col min="15343" max="15343" width="6.28515625" style="7" customWidth="1"/>
    <col min="15344" max="15344" width="20.7109375" style="7" customWidth="1"/>
    <col min="15345" max="15345" width="10" style="7" customWidth="1"/>
    <col min="15346" max="15346" width="1" style="7" customWidth="1"/>
    <col min="15347" max="15347" width="10" style="7" customWidth="1"/>
    <col min="15348" max="15348" width="1.28515625" style="7" customWidth="1"/>
    <col min="15349" max="15349" width="9.7109375" style="7" customWidth="1"/>
    <col min="15350" max="15350" width="1.140625" style="7" customWidth="1"/>
    <col min="15351" max="15351" width="12.5703125" style="7" customWidth="1"/>
    <col min="15352" max="15352" width="4.7109375" style="7" customWidth="1"/>
    <col min="15353" max="15353" width="10.7109375" style="7" customWidth="1"/>
    <col min="15354" max="15354" width="4.5703125" style="7" customWidth="1"/>
    <col min="15355" max="15355" width="12.28515625" style="7" customWidth="1"/>
    <col min="15356" max="15356" width="1.42578125" style="7" customWidth="1"/>
    <col min="15357" max="15357" width="14.140625" style="7" customWidth="1"/>
    <col min="15358" max="15358" width="13.7109375" style="7" customWidth="1"/>
    <col min="15359" max="15359" width="8" style="7" customWidth="1"/>
    <col min="15360" max="15360" width="1.42578125" style="7" customWidth="1"/>
    <col min="15361" max="15361" width="11.28515625" style="7" customWidth="1"/>
    <col min="15362" max="15362" width="12.85546875" style="7" customWidth="1"/>
    <col min="15363" max="15363" width="10.5703125" style="7" customWidth="1"/>
    <col min="15364" max="15364" width="12" style="7" customWidth="1"/>
    <col min="15365" max="15365" width="11.140625" style="7" customWidth="1"/>
    <col min="15366" max="15366" width="9.28515625" style="7" customWidth="1"/>
    <col min="15367" max="15367" width="1.42578125" style="7" customWidth="1"/>
    <col min="15368" max="15368" width="17.28515625" style="7" customWidth="1"/>
    <col min="15369" max="15369" width="11.140625" style="7" customWidth="1"/>
    <col min="15370" max="15370" width="12.42578125" style="7" customWidth="1"/>
    <col min="15371" max="15372" width="11.28515625" style="7" customWidth="1"/>
    <col min="15373" max="15373" width="10.5703125" style="7" customWidth="1"/>
    <col min="15374" max="15374" width="16.42578125" style="7" customWidth="1"/>
    <col min="15375" max="15375" width="12.140625" style="7" customWidth="1"/>
    <col min="15376" max="15376" width="10.85546875" style="7" customWidth="1"/>
    <col min="15377" max="15377" width="11.7109375" style="7" customWidth="1"/>
    <col min="15378" max="15598" width="9.140625" style="7"/>
    <col min="15599" max="15599" width="6.28515625" style="7" customWidth="1"/>
    <col min="15600" max="15600" width="20.7109375" style="7" customWidth="1"/>
    <col min="15601" max="15601" width="10" style="7" customWidth="1"/>
    <col min="15602" max="15602" width="1" style="7" customWidth="1"/>
    <col min="15603" max="15603" width="10" style="7" customWidth="1"/>
    <col min="15604" max="15604" width="1.28515625" style="7" customWidth="1"/>
    <col min="15605" max="15605" width="9.7109375" style="7" customWidth="1"/>
    <col min="15606" max="15606" width="1.140625" style="7" customWidth="1"/>
    <col min="15607" max="15607" width="12.5703125" style="7" customWidth="1"/>
    <col min="15608" max="15608" width="4.7109375" style="7" customWidth="1"/>
    <col min="15609" max="15609" width="10.7109375" style="7" customWidth="1"/>
    <col min="15610" max="15610" width="4.5703125" style="7" customWidth="1"/>
    <col min="15611" max="15611" width="12.28515625" style="7" customWidth="1"/>
    <col min="15612" max="15612" width="1.42578125" style="7" customWidth="1"/>
    <col min="15613" max="15613" width="14.140625" style="7" customWidth="1"/>
    <col min="15614" max="15614" width="13.7109375" style="7" customWidth="1"/>
    <col min="15615" max="15615" width="8" style="7" customWidth="1"/>
    <col min="15616" max="15616" width="1.42578125" style="7" customWidth="1"/>
    <col min="15617" max="15617" width="11.28515625" style="7" customWidth="1"/>
    <col min="15618" max="15618" width="12.85546875" style="7" customWidth="1"/>
    <col min="15619" max="15619" width="10.5703125" style="7" customWidth="1"/>
    <col min="15620" max="15620" width="12" style="7" customWidth="1"/>
    <col min="15621" max="15621" width="11.140625" style="7" customWidth="1"/>
    <col min="15622" max="15622" width="9.28515625" style="7" customWidth="1"/>
    <col min="15623" max="15623" width="1.42578125" style="7" customWidth="1"/>
    <col min="15624" max="15624" width="17.28515625" style="7" customWidth="1"/>
    <col min="15625" max="15625" width="11.140625" style="7" customWidth="1"/>
    <col min="15626" max="15626" width="12.42578125" style="7" customWidth="1"/>
    <col min="15627" max="15628" width="11.28515625" style="7" customWidth="1"/>
    <col min="15629" max="15629" width="10.5703125" style="7" customWidth="1"/>
    <col min="15630" max="15630" width="16.42578125" style="7" customWidth="1"/>
    <col min="15631" max="15631" width="12.140625" style="7" customWidth="1"/>
    <col min="15632" max="15632" width="10.85546875" style="7" customWidth="1"/>
    <col min="15633" max="15633" width="11.7109375" style="7" customWidth="1"/>
    <col min="15634" max="15854" width="9.140625" style="7"/>
    <col min="15855" max="15855" width="6.28515625" style="7" customWidth="1"/>
    <col min="15856" max="15856" width="20.7109375" style="7" customWidth="1"/>
    <col min="15857" max="15857" width="10" style="7" customWidth="1"/>
    <col min="15858" max="15858" width="1" style="7" customWidth="1"/>
    <col min="15859" max="15859" width="10" style="7" customWidth="1"/>
    <col min="15860" max="15860" width="1.28515625" style="7" customWidth="1"/>
    <col min="15861" max="15861" width="9.7109375" style="7" customWidth="1"/>
    <col min="15862" max="15862" width="1.140625" style="7" customWidth="1"/>
    <col min="15863" max="15863" width="12.5703125" style="7" customWidth="1"/>
    <col min="15864" max="15864" width="4.7109375" style="7" customWidth="1"/>
    <col min="15865" max="15865" width="10.7109375" style="7" customWidth="1"/>
    <col min="15866" max="15866" width="4.5703125" style="7" customWidth="1"/>
    <col min="15867" max="15867" width="12.28515625" style="7" customWidth="1"/>
    <col min="15868" max="15868" width="1.42578125" style="7" customWidth="1"/>
    <col min="15869" max="15869" width="14.140625" style="7" customWidth="1"/>
    <col min="15870" max="15870" width="13.7109375" style="7" customWidth="1"/>
    <col min="15871" max="15871" width="8" style="7" customWidth="1"/>
    <col min="15872" max="15872" width="1.42578125" style="7" customWidth="1"/>
    <col min="15873" max="15873" width="11.28515625" style="7" customWidth="1"/>
    <col min="15874" max="15874" width="12.85546875" style="7" customWidth="1"/>
    <col min="15875" max="15875" width="10.5703125" style="7" customWidth="1"/>
    <col min="15876" max="15876" width="12" style="7" customWidth="1"/>
    <col min="15877" max="15877" width="11.140625" style="7" customWidth="1"/>
    <col min="15878" max="15878" width="9.28515625" style="7" customWidth="1"/>
    <col min="15879" max="15879" width="1.42578125" style="7" customWidth="1"/>
    <col min="15880" max="15880" width="17.28515625" style="7" customWidth="1"/>
    <col min="15881" max="15881" width="11.140625" style="7" customWidth="1"/>
    <col min="15882" max="15882" width="12.42578125" style="7" customWidth="1"/>
    <col min="15883" max="15884" width="11.28515625" style="7" customWidth="1"/>
    <col min="15885" max="15885" width="10.5703125" style="7" customWidth="1"/>
    <col min="15886" max="15886" width="16.42578125" style="7" customWidth="1"/>
    <col min="15887" max="15887" width="12.140625" style="7" customWidth="1"/>
    <col min="15888" max="15888" width="10.85546875" style="7" customWidth="1"/>
    <col min="15889" max="15889" width="11.7109375" style="7" customWidth="1"/>
    <col min="15890" max="16110" width="9.140625" style="7"/>
    <col min="16111" max="16111" width="6.28515625" style="7" customWidth="1"/>
    <col min="16112" max="16112" width="20.7109375" style="7" customWidth="1"/>
    <col min="16113" max="16113" width="10" style="7" customWidth="1"/>
    <col min="16114" max="16114" width="1" style="7" customWidth="1"/>
    <col min="16115" max="16115" width="10" style="7" customWidth="1"/>
    <col min="16116" max="16116" width="1.28515625" style="7" customWidth="1"/>
    <col min="16117" max="16117" width="9.7109375" style="7" customWidth="1"/>
    <col min="16118" max="16118" width="1.140625" style="7" customWidth="1"/>
    <col min="16119" max="16119" width="12.5703125" style="7" customWidth="1"/>
    <col min="16120" max="16120" width="4.7109375" style="7" customWidth="1"/>
    <col min="16121" max="16121" width="10.7109375" style="7" customWidth="1"/>
    <col min="16122" max="16122" width="4.5703125" style="7" customWidth="1"/>
    <col min="16123" max="16123" width="12.28515625" style="7" customWidth="1"/>
    <col min="16124" max="16124" width="1.42578125" style="7" customWidth="1"/>
    <col min="16125" max="16125" width="14.140625" style="7" customWidth="1"/>
    <col min="16126" max="16126" width="13.7109375" style="7" customWidth="1"/>
    <col min="16127" max="16127" width="8" style="7" customWidth="1"/>
    <col min="16128" max="16128" width="1.42578125" style="7" customWidth="1"/>
    <col min="16129" max="16129" width="11.28515625" style="7" customWidth="1"/>
    <col min="16130" max="16130" width="12.85546875" style="7" customWidth="1"/>
    <col min="16131" max="16131" width="10.5703125" style="7" customWidth="1"/>
    <col min="16132" max="16132" width="12" style="7" customWidth="1"/>
    <col min="16133" max="16133" width="11.140625" style="7" customWidth="1"/>
    <col min="16134" max="16134" width="9.28515625" style="7" customWidth="1"/>
    <col min="16135" max="16135" width="1.42578125" style="7" customWidth="1"/>
    <col min="16136" max="16136" width="17.28515625" style="7" customWidth="1"/>
    <col min="16137" max="16137" width="11.140625" style="7" customWidth="1"/>
    <col min="16138" max="16138" width="12.42578125" style="7" customWidth="1"/>
    <col min="16139" max="16140" width="11.28515625" style="7" customWidth="1"/>
    <col min="16141" max="16141" width="10.5703125" style="7" customWidth="1"/>
    <col min="16142" max="16142" width="16.42578125" style="7" customWidth="1"/>
    <col min="16143" max="16143" width="12.140625" style="7" customWidth="1"/>
    <col min="16144" max="16144" width="10.85546875" style="7" customWidth="1"/>
    <col min="16145" max="16145" width="11.7109375" style="7" customWidth="1"/>
    <col min="16146" max="16384" width="9.140625" style="7"/>
  </cols>
  <sheetData>
    <row r="1" spans="1:27" ht="12.75">
      <c r="A1" s="487" t="s">
        <v>404</v>
      </c>
      <c r="B1" s="483"/>
    </row>
    <row r="2" spans="1:27" ht="12.75">
      <c r="A2" s="487" t="s">
        <v>0</v>
      </c>
      <c r="B2" s="483"/>
    </row>
    <row r="3" spans="1:27" ht="12.75">
      <c r="A3" s="487" t="s">
        <v>405</v>
      </c>
      <c r="B3" s="390"/>
      <c r="H3" s="10"/>
      <c r="I3" s="10"/>
      <c r="J3" s="11"/>
      <c r="O3" s="12"/>
    </row>
    <row r="4" spans="1:27">
      <c r="A4" s="1"/>
      <c r="B4" s="9"/>
      <c r="C4" s="13"/>
      <c r="H4" s="10"/>
      <c r="I4" s="10"/>
      <c r="J4" s="11"/>
      <c r="O4" s="12"/>
    </row>
    <row r="5" spans="1:27">
      <c r="A5" s="1"/>
      <c r="B5" s="9"/>
      <c r="H5" s="10"/>
      <c r="I5" s="10"/>
      <c r="J5" s="11"/>
      <c r="O5" s="12"/>
    </row>
    <row r="6" spans="1:27" ht="12" thickBot="1">
      <c r="A6" s="1"/>
      <c r="B6" s="2"/>
      <c r="H6" s="10"/>
      <c r="I6" s="10"/>
      <c r="J6" s="11"/>
      <c r="M6" s="5"/>
      <c r="N6" s="193"/>
    </row>
    <row r="7" spans="1:27">
      <c r="A7" s="14"/>
      <c r="B7" s="15"/>
      <c r="C7" s="1475" t="s">
        <v>1</v>
      </c>
      <c r="D7" s="1472" t="s">
        <v>2</v>
      </c>
      <c r="E7" s="1476" t="s">
        <v>3</v>
      </c>
      <c r="F7" s="1472"/>
      <c r="G7" s="1472" t="s">
        <v>4</v>
      </c>
      <c r="H7" s="1477" t="s">
        <v>5</v>
      </c>
      <c r="I7" s="16"/>
      <c r="J7" s="1480" t="s">
        <v>6</v>
      </c>
      <c r="K7" s="1472" t="s">
        <v>6</v>
      </c>
      <c r="L7" s="1477" t="s">
        <v>322</v>
      </c>
      <c r="M7" s="17"/>
      <c r="N7" s="194"/>
      <c r="O7" s="1471" t="s">
        <v>7</v>
      </c>
      <c r="P7" s="1472" t="s">
        <v>6</v>
      </c>
      <c r="Q7" s="1472" t="s">
        <v>6</v>
      </c>
      <c r="R7" s="17"/>
      <c r="S7" s="18"/>
      <c r="T7" s="19"/>
    </row>
    <row r="8" spans="1:27">
      <c r="A8" s="20"/>
      <c r="B8" s="21"/>
      <c r="C8" s="1478" t="s">
        <v>9</v>
      </c>
      <c r="D8" s="1474" t="s">
        <v>10</v>
      </c>
      <c r="E8" s="1474" t="s">
        <v>7</v>
      </c>
      <c r="F8" s="1474" t="s">
        <v>2115</v>
      </c>
      <c r="G8" s="1474" t="s">
        <v>10</v>
      </c>
      <c r="H8" s="1479" t="s">
        <v>7</v>
      </c>
      <c r="I8" s="22"/>
      <c r="J8" s="1481" t="s">
        <v>8</v>
      </c>
      <c r="K8" s="1474" t="s">
        <v>11</v>
      </c>
      <c r="L8" s="1479" t="s">
        <v>323</v>
      </c>
      <c r="M8" s="1482" t="s">
        <v>12</v>
      </c>
      <c r="N8" s="195"/>
      <c r="O8" s="1473" t="s">
        <v>8</v>
      </c>
      <c r="P8" s="1474" t="s">
        <v>1813</v>
      </c>
      <c r="Q8" s="1474" t="s">
        <v>13</v>
      </c>
      <c r="R8" s="1482" t="s">
        <v>12</v>
      </c>
      <c r="S8" s="23" t="s">
        <v>14</v>
      </c>
      <c r="T8" s="24" t="s">
        <v>15</v>
      </c>
    </row>
    <row r="9" spans="1:27">
      <c r="A9" s="25" t="s">
        <v>16</v>
      </c>
      <c r="B9" s="26"/>
      <c r="C9" s="27"/>
      <c r="D9" s="28"/>
      <c r="E9" s="28"/>
      <c r="F9" s="29"/>
      <c r="G9" s="28"/>
      <c r="H9" s="28"/>
      <c r="I9" s="28"/>
      <c r="J9" s="30"/>
      <c r="K9" s="30"/>
      <c r="L9" s="183"/>
      <c r="M9" s="31"/>
      <c r="N9" s="196"/>
      <c r="O9" s="31"/>
      <c r="P9" s="31"/>
      <c r="Q9" s="32"/>
      <c r="R9" s="31"/>
      <c r="S9" s="33"/>
      <c r="T9" s="34"/>
    </row>
    <row r="10" spans="1:27">
      <c r="A10" s="35">
        <v>32000</v>
      </c>
      <c r="B10" s="7" t="s">
        <v>17</v>
      </c>
      <c r="C10" s="36">
        <f>'2120_IS'!AH19+'2120_IS'!AH20</f>
        <v>1674300.13</v>
      </c>
      <c r="D10" s="37">
        <f>'Restating Adj''s'!N9</f>
        <v>-195.09500000007392</v>
      </c>
      <c r="E10" s="37">
        <f>SUM(C10:D10)</f>
        <v>1674105.0349999999</v>
      </c>
      <c r="F10" s="1226" t="s">
        <v>18</v>
      </c>
      <c r="G10" s="37"/>
      <c r="H10" s="37">
        <f>C10+D10+G10</f>
        <v>1674105.0349999999</v>
      </c>
      <c r="I10" s="37"/>
      <c r="J10" s="547">
        <f>'Restating Adj''s'!B9+'Restating Adj''s'!C9+'Restating Adj''s'!C10</f>
        <v>1464128.325</v>
      </c>
      <c r="K10" s="547">
        <f>+H10-J10-L10</f>
        <v>209976.70999999996</v>
      </c>
      <c r="L10" s="36">
        <v>0</v>
      </c>
      <c r="M10" s="36" t="s">
        <v>19</v>
      </c>
      <c r="N10" s="8">
        <f>H10-J10-K10-L10</f>
        <v>0</v>
      </c>
      <c r="O10" s="36">
        <f>J10</f>
        <v>1464128.325</v>
      </c>
      <c r="P10" s="36">
        <f>J10-Q10</f>
        <v>1459312.9649999999</v>
      </c>
      <c r="Q10" s="547">
        <f>'Restating Adj''s'!F10</f>
        <v>4815.3600000000006</v>
      </c>
      <c r="R10" s="38" t="s">
        <v>1905</v>
      </c>
      <c r="S10" s="38">
        <f>SUM(P10:Q10)-O10</f>
        <v>0</v>
      </c>
      <c r="T10" s="38"/>
      <c r="U10" s="38"/>
    </row>
    <row r="11" spans="1:27">
      <c r="A11" s="35">
        <v>31110</v>
      </c>
      <c r="B11" s="7" t="s">
        <v>20</v>
      </c>
      <c r="C11" s="38">
        <f>'2120_IS'!AH21+'2120_IS'!AH22+'2120_IS'!AH23</f>
        <v>1347799.4400000002</v>
      </c>
      <c r="D11" s="37">
        <f>'Restating Adj''s'!N10</f>
        <v>-7330.4900000001035</v>
      </c>
      <c r="E11" s="39">
        <f>SUM(C11:D11)</f>
        <v>1340468.9500000002</v>
      </c>
      <c r="F11" s="1226" t="s">
        <v>18</v>
      </c>
      <c r="G11" s="39"/>
      <c r="H11" s="39">
        <f t="shared" ref="H11:H16" si="0">C11+D11+G11</f>
        <v>1340468.9500000002</v>
      </c>
      <c r="I11" s="39"/>
      <c r="J11" s="547">
        <f>'Restating Adj''s'!B11+'Restating Adj''s'!C11</f>
        <v>1183379.3500000001</v>
      </c>
      <c r="K11" s="554">
        <f t="shared" ref="K11:K12" si="1">+H11-J11-L11</f>
        <v>143029.7300000001</v>
      </c>
      <c r="L11" s="554">
        <f>'Restating Adj''s'!D13</f>
        <v>14059.869999999999</v>
      </c>
      <c r="M11" s="38" t="s">
        <v>19</v>
      </c>
      <c r="N11" s="8">
        <f t="shared" ref="N11:N17" si="2">H11-J11-K11-L11</f>
        <v>0</v>
      </c>
      <c r="O11" s="36">
        <f>J11</f>
        <v>1183379.3500000001</v>
      </c>
      <c r="P11" s="38">
        <f>J11</f>
        <v>1183379.3500000001</v>
      </c>
      <c r="Q11" s="38"/>
      <c r="R11" s="200" t="s">
        <v>1905</v>
      </c>
      <c r="S11" s="38">
        <f>SUM(P11:Q11)-O11</f>
        <v>0</v>
      </c>
      <c r="T11" s="38"/>
      <c r="U11" s="38"/>
    </row>
    <row r="12" spans="1:27">
      <c r="A12" s="35">
        <v>31000</v>
      </c>
      <c r="B12" s="7" t="s">
        <v>21</v>
      </c>
      <c r="C12" s="38">
        <f>'2120_IS'!AH16+'2120_IS'!AH18</f>
        <v>144915.53999999998</v>
      </c>
      <c r="D12" s="37">
        <f>'Restating Adj''s'!N11</f>
        <v>-584.35999999998603</v>
      </c>
      <c r="E12" s="39">
        <f t="shared" ref="E12:E17" si="3">SUM(C12:D12)</f>
        <v>144331.18</v>
      </c>
      <c r="F12" s="1226" t="s">
        <v>18</v>
      </c>
      <c r="G12" s="39"/>
      <c r="H12" s="39">
        <f t="shared" si="0"/>
        <v>144331.18</v>
      </c>
      <c r="I12" s="39"/>
      <c r="J12" s="547">
        <f>'Restating Adj''s'!B14+'Restating Adj''s'!C14+'Restating Adj''s'!B15+'Restating Adj''s'!C15</f>
        <v>133468.57999999999</v>
      </c>
      <c r="K12" s="554">
        <f t="shared" si="1"/>
        <v>10862.600000000006</v>
      </c>
      <c r="L12" s="38">
        <v>0</v>
      </c>
      <c r="M12" s="38" t="s">
        <v>19</v>
      </c>
      <c r="N12" s="8">
        <f t="shared" si="2"/>
        <v>0</v>
      </c>
      <c r="O12" s="36">
        <f>J12</f>
        <v>133468.57999999999</v>
      </c>
      <c r="P12" s="38">
        <f>J12</f>
        <v>133468.57999999999</v>
      </c>
      <c r="Q12" s="38"/>
      <c r="R12" s="200" t="s">
        <v>1905</v>
      </c>
      <c r="S12" s="38">
        <f>SUM(P12:Q12)-O12</f>
        <v>0</v>
      </c>
      <c r="T12" s="38"/>
      <c r="U12" s="38"/>
    </row>
    <row r="13" spans="1:27">
      <c r="A13" s="35">
        <v>31005</v>
      </c>
      <c r="B13" s="7" t="s">
        <v>22</v>
      </c>
      <c r="C13" s="38">
        <f>'2120_IS'!AH17</f>
        <v>110977.63</v>
      </c>
      <c r="D13" s="37">
        <f>'Restating Adj''s'!N12</f>
        <v>413.09999999999127</v>
      </c>
      <c r="E13" s="39">
        <f t="shared" si="3"/>
        <v>111390.73</v>
      </c>
      <c r="F13" s="1226" t="s">
        <v>18</v>
      </c>
      <c r="G13" s="39"/>
      <c r="H13" s="39">
        <f>C13+D13+G13</f>
        <v>111390.73</v>
      </c>
      <c r="I13" s="39"/>
      <c r="J13" s="547">
        <f>'Restating Adj''s'!B16+'Restating Adj''s'!C16</f>
        <v>105599.25</v>
      </c>
      <c r="K13" s="554">
        <f>+H13-J13-L13</f>
        <v>5791.4799999999959</v>
      </c>
      <c r="L13" s="38">
        <v>0</v>
      </c>
      <c r="M13" s="38" t="s">
        <v>19</v>
      </c>
      <c r="N13" s="8">
        <f t="shared" si="2"/>
        <v>0</v>
      </c>
      <c r="O13" s="36">
        <f>J13</f>
        <v>105599.25</v>
      </c>
      <c r="P13" s="38">
        <f>J13</f>
        <v>105599.25</v>
      </c>
      <c r="Q13" s="38"/>
      <c r="R13" s="200" t="s">
        <v>1905</v>
      </c>
      <c r="S13" s="38">
        <f>SUM(P13:Q13)-O13</f>
        <v>0</v>
      </c>
      <c r="T13" s="38"/>
      <c r="U13" s="38"/>
    </row>
    <row r="14" spans="1:27">
      <c r="B14" s="7" t="s">
        <v>1425</v>
      </c>
      <c r="C14" s="200">
        <v>0</v>
      </c>
      <c r="D14" s="37">
        <f>'Restating Adj''s'!N13</f>
        <v>7280</v>
      </c>
      <c r="E14" s="39">
        <f t="shared" ref="E14" si="4">SUM(C14:D14)</f>
        <v>7280</v>
      </c>
      <c r="F14" s="1226" t="s">
        <v>18</v>
      </c>
      <c r="G14" s="39"/>
      <c r="H14" s="39">
        <f>C14+D14+G14</f>
        <v>7280</v>
      </c>
      <c r="I14" s="39"/>
      <c r="J14" s="547">
        <v>0</v>
      </c>
      <c r="K14" s="554">
        <f>+H14-J14-L14</f>
        <v>7280</v>
      </c>
      <c r="L14" s="200">
        <v>0</v>
      </c>
      <c r="M14" s="200" t="s">
        <v>19</v>
      </c>
      <c r="O14" s="36">
        <f>J14</f>
        <v>0</v>
      </c>
      <c r="P14" s="200"/>
      <c r="Q14" s="200">
        <f>J14</f>
        <v>0</v>
      </c>
      <c r="R14" s="200" t="s">
        <v>1905</v>
      </c>
      <c r="S14" s="200"/>
      <c r="T14" s="200"/>
      <c r="U14" s="200"/>
    </row>
    <row r="15" spans="1:27">
      <c r="A15" s="35">
        <v>35500</v>
      </c>
      <c r="B15" s="7" t="s">
        <v>23</v>
      </c>
      <c r="C15" s="38">
        <f>+'2120_IS'!AH35</f>
        <v>10876.93</v>
      </c>
      <c r="D15" s="37">
        <f>'Restating Adj''s'!N14</f>
        <v>0</v>
      </c>
      <c r="E15" s="39">
        <f t="shared" si="3"/>
        <v>10876.93</v>
      </c>
      <c r="F15" s="1226" t="s">
        <v>18</v>
      </c>
      <c r="G15" s="39"/>
      <c r="H15" s="39">
        <f t="shared" si="0"/>
        <v>10876.93</v>
      </c>
      <c r="I15" s="39"/>
      <c r="J15" s="547">
        <f>H15*Ratios!$H$44</f>
        <v>1144.94</v>
      </c>
      <c r="K15" s="1252">
        <f>H15*Ratios!$J$44</f>
        <v>9731.99</v>
      </c>
      <c r="L15" s="1148">
        <v>0</v>
      </c>
      <c r="M15" s="1148" t="s">
        <v>1895</v>
      </c>
      <c r="N15" s="8">
        <f t="shared" si="2"/>
        <v>0</v>
      </c>
      <c r="O15" s="36">
        <f t="shared" ref="O15:O17" si="5">J15</f>
        <v>1144.94</v>
      </c>
      <c r="P15" s="38"/>
      <c r="Q15" s="38">
        <f>J15</f>
        <v>1144.94</v>
      </c>
      <c r="R15" s="200" t="s">
        <v>1905</v>
      </c>
      <c r="S15" s="38">
        <f>SUM(P15:Q15)-O15</f>
        <v>0</v>
      </c>
      <c r="T15" s="38"/>
      <c r="U15" s="38"/>
    </row>
    <row r="16" spans="1:27">
      <c r="A16" s="35">
        <v>38000</v>
      </c>
      <c r="B16" s="7" t="s">
        <v>24</v>
      </c>
      <c r="C16" s="38">
        <f>+'2120_IS'!AH47</f>
        <v>4071.7000000000003</v>
      </c>
      <c r="D16" s="37">
        <f>'Restating Adj''s'!N15</f>
        <v>299.07000000000016</v>
      </c>
      <c r="E16" s="39">
        <f t="shared" si="3"/>
        <v>4370.7700000000004</v>
      </c>
      <c r="F16" s="1226" t="s">
        <v>18</v>
      </c>
      <c r="G16" s="39"/>
      <c r="H16" s="39">
        <f t="shared" si="0"/>
        <v>4370.7700000000004</v>
      </c>
      <c r="I16" s="39"/>
      <c r="J16" s="547">
        <f>'Restating Adj''s'!B17+'Restating Adj''s'!C17</f>
        <v>4370.7700000000004</v>
      </c>
      <c r="K16" s="554">
        <f>+H16-J16-L16</f>
        <v>0</v>
      </c>
      <c r="L16" s="38">
        <v>0</v>
      </c>
      <c r="M16" s="38" t="s">
        <v>19</v>
      </c>
      <c r="N16" s="8">
        <f t="shared" si="2"/>
        <v>0</v>
      </c>
      <c r="O16" s="36">
        <f t="shared" si="5"/>
        <v>4370.7700000000004</v>
      </c>
      <c r="P16" s="554">
        <f>J16*Ratios!$J$9</f>
        <v>4338.5552338275193</v>
      </c>
      <c r="Q16" s="554">
        <f>J16*Ratios!$J$10</f>
        <v>32.21476617248134</v>
      </c>
      <c r="R16" s="38" t="s">
        <v>589</v>
      </c>
      <c r="S16" s="38">
        <f>SUM(P16:Q16)-O16</f>
        <v>0</v>
      </c>
      <c r="T16" s="38"/>
      <c r="U16" s="38"/>
      <c r="Z16" s="1425" t="s">
        <v>247</v>
      </c>
      <c r="AA16" s="47">
        <f>SUM(W28:W32,W71:W72,W76:W80,W150)</f>
        <v>88425.959688265808</v>
      </c>
    </row>
    <row r="17" spans="1:27">
      <c r="A17" s="35">
        <v>38001</v>
      </c>
      <c r="B17" s="7" t="s">
        <v>25</v>
      </c>
      <c r="C17" s="38">
        <f>'2120_IS'!AH48</f>
        <v>2665.14</v>
      </c>
      <c r="D17" s="37">
        <f>'Restating Adj''s'!N16</f>
        <v>0</v>
      </c>
      <c r="E17" s="39">
        <f t="shared" si="3"/>
        <v>2665.14</v>
      </c>
      <c r="F17" s="1226" t="s">
        <v>18</v>
      </c>
      <c r="G17" s="42"/>
      <c r="H17" s="39">
        <f>C17+D17+G17</f>
        <v>2665.14</v>
      </c>
      <c r="I17" s="39"/>
      <c r="J17" s="200">
        <f>IF(($H17=0),0,IF(($M17="Actual"),"Actual",(VLOOKUP($M17,Ratios!$A$87:$D$90,2,FALSE)*$H17)))</f>
        <v>2450.7486642066419</v>
      </c>
      <c r="K17" s="200">
        <f>IF(($H17=0),0,IF(($M17="Actual"),"Actual",(VLOOKUP($M17,Ratios!$A$87:$D$90,3,FALSE)*$H17)))</f>
        <v>198.65619188191883</v>
      </c>
      <c r="L17" s="200">
        <f>IF(($H17=0),0,IF(($M17="Actual"),"Actual",(VLOOKUP($M17,Ratios!$A$87:$D$90,4,FALSE)*$H17)))</f>
        <v>15.735143911439113</v>
      </c>
      <c r="M17" s="1148" t="s">
        <v>28</v>
      </c>
      <c r="N17" s="8">
        <f t="shared" si="2"/>
        <v>0</v>
      </c>
      <c r="O17" s="36">
        <f t="shared" si="5"/>
        <v>2450.7486642066419</v>
      </c>
      <c r="P17" s="200">
        <f>J17*Ratios!$N$43</f>
        <v>2446.8148782287822</v>
      </c>
      <c r="Q17" s="200">
        <f>O17-P17</f>
        <v>3.9337859778597704</v>
      </c>
      <c r="R17" s="1147" t="s">
        <v>28</v>
      </c>
      <c r="S17" s="38">
        <f>SUM(P17:Q17)-O17</f>
        <v>0</v>
      </c>
      <c r="T17" s="38"/>
      <c r="U17" s="38"/>
      <c r="Z17" s="1425" t="s">
        <v>2103</v>
      </c>
      <c r="AA17" s="47">
        <f>W89</f>
        <v>47607.621661645957</v>
      </c>
    </row>
    <row r="18" spans="1:27">
      <c r="B18" s="2" t="s">
        <v>26</v>
      </c>
      <c r="C18" s="43">
        <f>SUM(C10:C17)</f>
        <v>3295606.5100000007</v>
      </c>
      <c r="D18" s="43">
        <f>SUM(D10:D17)</f>
        <v>-117.77500000017199</v>
      </c>
      <c r="E18" s="43">
        <f>SUM(E10:E17)</f>
        <v>3295488.7350000008</v>
      </c>
      <c r="F18" s="44"/>
      <c r="G18" s="43">
        <f>SUM(G10:G17)</f>
        <v>0</v>
      </c>
      <c r="H18" s="43">
        <f>SUM(H10:H17)</f>
        <v>3295488.7350000008</v>
      </c>
      <c r="I18" s="43"/>
      <c r="J18" s="43">
        <f>SUM(J10:J17)</f>
        <v>2894541.9636642067</v>
      </c>
      <c r="K18" s="43">
        <f>SUM(K10:K17)</f>
        <v>386871.16619188193</v>
      </c>
      <c r="L18" s="43">
        <f>SUM(L10:L17)</f>
        <v>14075.605143911438</v>
      </c>
      <c r="M18" s="45"/>
      <c r="N18" s="64"/>
      <c r="O18" s="43">
        <f>SUM(O10:O17)</f>
        <v>2894541.9636642067</v>
      </c>
      <c r="P18" s="43">
        <f>SUM(P10:P17)</f>
        <v>2888545.5151120559</v>
      </c>
      <c r="Q18" s="43">
        <f>SUM(Q10:Q17)</f>
        <v>5996.448552150342</v>
      </c>
      <c r="R18" s="45"/>
      <c r="S18" s="45">
        <f>SUM(P18:Q18)-O18</f>
        <v>0</v>
      </c>
      <c r="T18" s="45">
        <f>C18+D18+G18-J18-K18-L18</f>
        <v>2.9103830456733704E-10</v>
      </c>
      <c r="U18" s="38"/>
      <c r="Z18" s="7" t="s">
        <v>295</v>
      </c>
      <c r="AA18" s="47">
        <f>SUM(W227)</f>
        <v>189138.33377948537</v>
      </c>
    </row>
    <row r="19" spans="1:27">
      <c r="C19" s="38"/>
      <c r="D19" s="42"/>
      <c r="E19" s="42"/>
      <c r="G19" s="42"/>
      <c r="H19" s="42"/>
      <c r="I19" s="42"/>
      <c r="J19" s="46">
        <f>J18/H18</f>
        <v>0.87833465577426895</v>
      </c>
      <c r="K19" s="46">
        <f>K18/H18</f>
        <v>0.11739417042549284</v>
      </c>
      <c r="L19" s="46">
        <f>L18/H18</f>
        <v>4.2711738002379892E-3</v>
      </c>
      <c r="O19" s="38"/>
      <c r="P19" s="13">
        <f>P18/O18</f>
        <v>0.99792836012487451</v>
      </c>
      <c r="Q19" s="13">
        <f>Q18/O18</f>
        <v>2.0716398751253291E-3</v>
      </c>
      <c r="S19" s="46">
        <f>SUM(P19:Q19)-O19</f>
        <v>0.99999999999999989</v>
      </c>
      <c r="T19" s="47"/>
      <c r="Z19" s="1425" t="s">
        <v>2104</v>
      </c>
      <c r="AA19" s="1428">
        <f>W141</f>
        <v>36785.338753581702</v>
      </c>
    </row>
    <row r="20" spans="1:27">
      <c r="C20" s="38"/>
      <c r="D20" s="42"/>
      <c r="E20" s="42"/>
      <c r="G20" s="42"/>
      <c r="H20" s="42"/>
      <c r="I20" s="42"/>
      <c r="J20" s="42"/>
      <c r="K20" s="42"/>
      <c r="L20" s="42"/>
      <c r="O20" s="42"/>
      <c r="P20" s="38"/>
      <c r="Q20" s="38"/>
      <c r="T20" s="47"/>
      <c r="V20" s="47"/>
      <c r="AA20" s="1429">
        <f>SUM(AA16:AA19)</f>
        <v>361957.25388297881</v>
      </c>
    </row>
    <row r="21" spans="1:27">
      <c r="C21" s="38"/>
      <c r="D21" s="42"/>
      <c r="E21" s="42"/>
      <c r="G21" s="42"/>
      <c r="H21" s="42"/>
      <c r="I21" s="42"/>
      <c r="J21" s="42"/>
      <c r="K21" s="42"/>
      <c r="L21" s="42"/>
      <c r="M21" s="6"/>
      <c r="O21" s="42"/>
      <c r="P21" s="38"/>
      <c r="Q21" s="42"/>
      <c r="T21" s="47"/>
    </row>
    <row r="22" spans="1:27">
      <c r="A22" s="25" t="s">
        <v>27</v>
      </c>
      <c r="B22" s="26"/>
      <c r="C22" s="48"/>
      <c r="D22" s="49"/>
      <c r="E22" s="49"/>
      <c r="F22" s="29"/>
      <c r="G22" s="49"/>
      <c r="H22" s="49"/>
      <c r="I22" s="49"/>
      <c r="J22" s="49"/>
      <c r="K22" s="49"/>
      <c r="L22" s="49"/>
      <c r="M22" s="31"/>
      <c r="N22" s="196"/>
      <c r="O22" s="49"/>
      <c r="P22" s="48"/>
      <c r="Q22" s="49"/>
      <c r="R22" s="31"/>
      <c r="S22" s="50"/>
      <c r="T22" s="51"/>
    </row>
    <row r="23" spans="1:27">
      <c r="A23" s="52">
        <v>41200</v>
      </c>
      <c r="B23" s="53"/>
      <c r="C23" s="54"/>
      <c r="D23" s="55"/>
      <c r="E23" s="55"/>
      <c r="F23" s="56"/>
      <c r="G23" s="55"/>
      <c r="H23" s="55"/>
      <c r="I23" s="55"/>
      <c r="J23" s="55"/>
      <c r="K23" s="55"/>
      <c r="L23" s="55"/>
      <c r="M23" s="57"/>
      <c r="N23" s="58"/>
      <c r="O23" s="55"/>
      <c r="P23" s="54"/>
      <c r="Q23" s="55"/>
      <c r="R23" s="57"/>
      <c r="S23" s="58"/>
      <c r="T23" s="59"/>
      <c r="AA23" s="1431" t="s">
        <v>2105</v>
      </c>
    </row>
    <row r="24" spans="1:27">
      <c r="A24" s="60">
        <v>57147</v>
      </c>
      <c r="B24" s="61" t="s">
        <v>29</v>
      </c>
      <c r="C24" s="38">
        <f>+IFERROR(VLOOKUP(A24,'2120_IS'!$D:$AH,31,FALSE),0)</f>
        <v>13305.009999999998</v>
      </c>
      <c r="D24" s="40"/>
      <c r="E24" s="39">
        <f>SUM(C24:D24)</f>
        <v>13305.009999999998</v>
      </c>
      <c r="F24" s="40"/>
      <c r="G24" s="40">
        <v>0</v>
      </c>
      <c r="H24" s="39">
        <f>C24+D24+G24</f>
        <v>13305.009999999998</v>
      </c>
      <c r="I24" s="39"/>
      <c r="J24" s="200">
        <f>IF(($H24=0),0,IF(($M24="Actual"),"Actual",(VLOOKUP($M24,Ratios!$A$87:$D$90,2,FALSE)*$H24)))</f>
        <v>12234.717682656825</v>
      </c>
      <c r="K24" s="200">
        <f>IF(($H24=0),0,IF(($M24="Actual"),"Actual",(VLOOKUP($M24,Ratios!$A$87:$D$90,3,FALSE)*$H24)))</f>
        <v>991.73875276752756</v>
      </c>
      <c r="L24" s="200">
        <f>IF(($H24=0),0,IF(($M24="Actual"),"Actual",(VLOOKUP($M24,Ratios!$A$87:$D$90,4,FALSE)*$H24)))</f>
        <v>78.553564575645751</v>
      </c>
      <c r="M24" s="1148" t="s">
        <v>28</v>
      </c>
      <c r="N24" s="8">
        <f t="shared" ref="N24" si="6">H24-J24-K24-L24</f>
        <v>3.2684965844964609E-13</v>
      </c>
      <c r="O24" s="36">
        <f t="shared" ref="O24" si="7">J24</f>
        <v>12234.717682656825</v>
      </c>
      <c r="P24" s="38">
        <f>J24*Ratios!$N$43</f>
        <v>12215.079291512913</v>
      </c>
      <c r="Q24" s="38">
        <f>O24-P24</f>
        <v>19.638391143911576</v>
      </c>
      <c r="R24" s="1127" t="s">
        <v>28</v>
      </c>
      <c r="S24" s="8">
        <f>SUM(P24:Q24)-O24</f>
        <v>0</v>
      </c>
      <c r="T24" s="47">
        <f>C24+D24+G24-J24-K24-L24</f>
        <v>3.2684965844964609E-13</v>
      </c>
      <c r="U24" s="1251"/>
      <c r="V24" s="8">
        <f>IFERROR(VLOOKUP(A24,'[43]Consolidated IS'!$A$20:$M$193,13,FALSE),0)</f>
        <v>15115.983117437721</v>
      </c>
      <c r="W24" s="1251">
        <f>O24-V24</f>
        <v>-2881.2654347808966</v>
      </c>
      <c r="X24" s="13"/>
      <c r="Y24" s="13"/>
      <c r="Z24" s="1425" t="s">
        <v>2106</v>
      </c>
      <c r="AA24" s="1250">
        <v>25000</v>
      </c>
    </row>
    <row r="25" spans="1:27" ht="10.5" customHeight="1">
      <c r="A25" s="63">
        <v>41200</v>
      </c>
      <c r="B25" s="2" t="s">
        <v>26</v>
      </c>
      <c r="C25" s="43">
        <f>SUM(C24:C24)</f>
        <v>13305.009999999998</v>
      </c>
      <c r="D25" s="43">
        <f>SUM(D24:D24)</f>
        <v>0</v>
      </c>
      <c r="E25" s="43">
        <f>SUM(E24:E24)</f>
        <v>13305.009999999998</v>
      </c>
      <c r="F25" s="44"/>
      <c r="G25" s="43">
        <f>SUM(G24:G24)</f>
        <v>0</v>
      </c>
      <c r="H25" s="43">
        <f>SUM(H24:H24)</f>
        <v>13305.009999999998</v>
      </c>
      <c r="I25" s="43"/>
      <c r="J25" s="43">
        <f>SUM(J24:J24)</f>
        <v>12234.717682656825</v>
      </c>
      <c r="K25" s="43">
        <f>SUM(K24:K24)</f>
        <v>991.73875276752756</v>
      </c>
      <c r="L25" s="43">
        <f>SUM(L24:L24)</f>
        <v>78.553564575645751</v>
      </c>
      <c r="M25" s="45"/>
      <c r="N25" s="64"/>
      <c r="O25" s="43">
        <f>SUM(O24)</f>
        <v>12234.717682656825</v>
      </c>
      <c r="P25" s="43">
        <f>SUM(P24)</f>
        <v>12215.079291512913</v>
      </c>
      <c r="Q25" s="43">
        <f>SUM(Q24)</f>
        <v>19.638391143911576</v>
      </c>
      <c r="R25" s="45"/>
      <c r="S25" s="64">
        <f>SUM(P25:Q25)-O25</f>
        <v>0</v>
      </c>
      <c r="T25" s="45">
        <f>C25+D25+G25-J25-K25-L25</f>
        <v>3.2684965844964609E-13</v>
      </c>
      <c r="V25" s="8"/>
      <c r="W25" s="1251"/>
      <c r="Z25" s="1425" t="s">
        <v>314</v>
      </c>
      <c r="AA25" s="1250">
        <v>30000</v>
      </c>
    </row>
    <row r="26" spans="1:27" ht="10.5" customHeight="1">
      <c r="A26" s="63"/>
      <c r="B26" s="2"/>
      <c r="C26" s="66"/>
      <c r="D26" s="66"/>
      <c r="E26" s="66"/>
      <c r="F26" s="67"/>
      <c r="G26" s="66"/>
      <c r="H26" s="66"/>
      <c r="I26" s="66"/>
      <c r="J26" s="66"/>
      <c r="K26" s="66"/>
      <c r="L26" s="66"/>
      <c r="M26" s="3"/>
      <c r="O26" s="66"/>
      <c r="P26" s="66"/>
      <c r="Q26" s="66"/>
      <c r="T26" s="47"/>
      <c r="V26" s="8"/>
      <c r="W26" s="1251"/>
    </row>
    <row r="27" spans="1:27">
      <c r="A27" s="68">
        <v>41310</v>
      </c>
      <c r="B27" s="52" t="s">
        <v>30</v>
      </c>
      <c r="C27" s="54"/>
      <c r="D27" s="55"/>
      <c r="E27" s="55"/>
      <c r="F27" s="56"/>
      <c r="G27" s="55"/>
      <c r="H27" s="55"/>
      <c r="I27" s="55"/>
      <c r="J27" s="54"/>
      <c r="K27" s="54"/>
      <c r="L27" s="54"/>
      <c r="M27" s="57"/>
      <c r="N27" s="58"/>
      <c r="O27" s="54"/>
      <c r="P27" s="54"/>
      <c r="Q27" s="54"/>
      <c r="R27" s="57"/>
      <c r="S27" s="58"/>
      <c r="T27" s="59"/>
      <c r="V27" s="8">
        <f>IFERROR(VLOOKUP(A27,'[43]Consolidated IS'!$A$20:$M$193,13,FALSE),0)</f>
        <v>0</v>
      </c>
      <c r="W27" s="1251">
        <f t="shared" ref="W27:W87" si="8">O27-V27</f>
        <v>0</v>
      </c>
    </row>
    <row r="28" spans="1:27">
      <c r="A28" s="1254">
        <v>52010</v>
      </c>
      <c r="B28" s="7" t="s">
        <v>31</v>
      </c>
      <c r="C28" s="38">
        <f>+IFERROR(VLOOKUP(A28,'2120_IS'!$D:$AH,31,FALSE),0)</f>
        <v>49474.880000000005</v>
      </c>
      <c r="D28" s="1113"/>
      <c r="E28" s="39">
        <f t="shared" ref="E28:E32" si="9">SUM(C28:D28)</f>
        <v>49474.880000000005</v>
      </c>
      <c r="F28" s="40"/>
      <c r="G28" s="39"/>
      <c r="H28" s="39">
        <f t="shared" ref="H28:H32" si="10">C28+D28+G28</f>
        <v>49474.880000000005</v>
      </c>
      <c r="I28" s="39"/>
      <c r="J28" s="200">
        <f>IF(($H28=0),0,IF(($M28="Actual"),"Actual",(VLOOKUP($M28,Ratios!$A$87:$D$90,2,FALSE)*$H28)))</f>
        <v>45494.981904059045</v>
      </c>
      <c r="K28" s="200">
        <f>IF(($H28=0),0,IF(($M28="Actual"),"Actual",(VLOOKUP($M28,Ratios!$A$87:$D$90,3,FALSE)*$H28)))</f>
        <v>3687.7954833948343</v>
      </c>
      <c r="L28" s="200">
        <f>IF(($H28=0),0,IF(($M28="Actual"),"Actual",(VLOOKUP($M28,Ratios!$A$87:$D$90,4,FALSE)*$H28)))</f>
        <v>292.1026125461255</v>
      </c>
      <c r="M28" s="1148" t="s">
        <v>28</v>
      </c>
      <c r="N28" s="8">
        <f t="shared" ref="N28:N32" si="11">H28-J28-K28-L28</f>
        <v>0</v>
      </c>
      <c r="O28" s="36">
        <f t="shared" ref="O28:O32" si="12">J28</f>
        <v>45494.981904059045</v>
      </c>
      <c r="P28" s="200">
        <f>J28*Ratios!$N$43</f>
        <v>45421.956250922514</v>
      </c>
      <c r="Q28" s="200">
        <f>O28-P28</f>
        <v>73.025653136530309</v>
      </c>
      <c r="R28" s="1128" t="s">
        <v>28</v>
      </c>
      <c r="S28" s="8">
        <f t="shared" ref="S28:S33" si="13">SUM(P28:Q28)-O28</f>
        <v>0</v>
      </c>
      <c r="T28" s="47">
        <f t="shared" ref="T28:T33" si="14">C28+D28+G28-J28-K28-L28</f>
        <v>0</v>
      </c>
      <c r="U28" s="1251"/>
      <c r="V28" s="8">
        <f>IFERROR(VLOOKUP(A28,'[43]Consolidated IS'!$A$20:$M$193,13,FALSE),0)</f>
        <v>24985.948177935941</v>
      </c>
      <c r="W28" s="1426">
        <f t="shared" si="8"/>
        <v>20509.033726123103</v>
      </c>
      <c r="X28" s="13"/>
      <c r="Y28" s="13"/>
    </row>
    <row r="29" spans="1:27">
      <c r="A29" s="1257">
        <v>52020</v>
      </c>
      <c r="B29" s="61" t="s">
        <v>32</v>
      </c>
      <c r="C29" s="38">
        <f>+IFERROR(VLOOKUP(A29,'2120_IS'!$D:$AH,31,FALSE),0)</f>
        <v>35063.519999999997</v>
      </c>
      <c r="D29" s="1113">
        <f>'Restating Adj''s'!R19</f>
        <v>1226.4286939726021</v>
      </c>
      <c r="E29" s="39">
        <f t="shared" si="9"/>
        <v>36289.948693972598</v>
      </c>
      <c r="F29" s="1226" t="s">
        <v>67</v>
      </c>
      <c r="G29" s="39">
        <f>'Pro-forma Adj''s'!B9</f>
        <v>4639.4938709361822</v>
      </c>
      <c r="H29" s="39">
        <f t="shared" si="10"/>
        <v>40929.442564908779</v>
      </c>
      <c r="I29" s="39"/>
      <c r="J29" s="200">
        <f>IF(($H29=0),0,IF(($M29="Actual"),"Actual",(VLOOKUP($M29,Ratios!$A$87:$D$90,2,FALSE)*$H29)))</f>
        <v>37636.963421310953</v>
      </c>
      <c r="K29" s="200">
        <f>IF(($H29=0),0,IF(($M29="Actual"),"Actual",(VLOOKUP($M29,Ratios!$A$87:$D$90,3,FALSE)*$H29)))</f>
        <v>3050.8292981961526</v>
      </c>
      <c r="L29" s="200">
        <f>IF(($H29=0),0,IF(($M29="Actual"),"Actual",(VLOOKUP($M29,Ratios!$A$87:$D$90,4,FALSE)*$H29)))</f>
        <v>241.64984540167544</v>
      </c>
      <c r="M29" s="1148" t="s">
        <v>28</v>
      </c>
      <c r="N29" s="8">
        <f t="shared" si="11"/>
        <v>-2.1884716261411086E-12</v>
      </c>
      <c r="O29" s="36">
        <f t="shared" si="12"/>
        <v>37636.963421310953</v>
      </c>
      <c r="P29" s="200">
        <f>J29*Ratios!$N$43</f>
        <v>37576.550959960536</v>
      </c>
      <c r="Q29" s="200">
        <f>O29-P29</f>
        <v>60.412461350417288</v>
      </c>
      <c r="R29" s="1129" t="s">
        <v>28</v>
      </c>
      <c r="S29" s="8">
        <f t="shared" si="13"/>
        <v>0</v>
      </c>
      <c r="T29" s="47">
        <f t="shared" si="14"/>
        <v>-2.1884716261411086E-12</v>
      </c>
      <c r="U29" s="13"/>
      <c r="V29" s="8">
        <f>IFERROR(VLOOKUP(A29,'[43]Consolidated IS'!$A$20:$M$193,13,FALSE),0)</f>
        <v>46777.06667074201</v>
      </c>
      <c r="W29" s="1426">
        <f t="shared" si="8"/>
        <v>-9140.1032494310566</v>
      </c>
      <c r="X29" s="13"/>
      <c r="Y29" s="13"/>
    </row>
    <row r="30" spans="1:27">
      <c r="A30" s="1257">
        <v>52025</v>
      </c>
      <c r="B30" s="7" t="s">
        <v>34</v>
      </c>
      <c r="C30" s="38">
        <f>+IFERROR(VLOOKUP(A30,'2120_IS'!$D:$AH,31,FALSE),0)</f>
        <v>1980.8999999999999</v>
      </c>
      <c r="D30" s="1113"/>
      <c r="E30" s="39">
        <f t="shared" si="9"/>
        <v>1980.8999999999999</v>
      </c>
      <c r="F30" s="40"/>
      <c r="G30" s="39"/>
      <c r="H30" s="39">
        <f t="shared" si="10"/>
        <v>1980.8999999999999</v>
      </c>
      <c r="I30" s="39"/>
      <c r="J30" s="200">
        <f>IF(($H30=0),0,IF(($M30="Actual"),"Actual",(VLOOKUP($M30,Ratios!$A$87:$D$90,2,FALSE)*$H30)))</f>
        <v>1821.5508487084869</v>
      </c>
      <c r="K30" s="200">
        <f>IF(($H30=0),0,IF(($M30="Actual"),"Actual",(VLOOKUP($M30,Ratios!$A$87:$D$90,3,FALSE)*$H30)))</f>
        <v>147.65380073800739</v>
      </c>
      <c r="L30" s="200">
        <f>IF(($H30=0),0,IF(($M30="Actual"),"Actual",(VLOOKUP($M30,Ratios!$A$87:$D$90,4,FALSE)*$H30)))</f>
        <v>11.695350553505534</v>
      </c>
      <c r="M30" s="1148" t="s">
        <v>28</v>
      </c>
      <c r="N30" s="8">
        <f t="shared" si="11"/>
        <v>2.8421709430404007E-14</v>
      </c>
      <c r="O30" s="36">
        <f t="shared" si="12"/>
        <v>1821.5508487084869</v>
      </c>
      <c r="P30" s="200">
        <f>J30*Ratios!$N$43</f>
        <v>1818.6270110701105</v>
      </c>
      <c r="Q30" s="200">
        <f>O30-P30</f>
        <v>2.9238376383764262</v>
      </c>
      <c r="R30" s="1130" t="s">
        <v>28</v>
      </c>
      <c r="S30" s="8">
        <f t="shared" si="13"/>
        <v>0</v>
      </c>
      <c r="T30" s="47">
        <f t="shared" si="14"/>
        <v>2.8421709430404007E-14</v>
      </c>
      <c r="U30" s="13"/>
      <c r="V30" s="8">
        <f>IFERROR(VLOOKUP(A30,'[43]Consolidated IS'!$A$20:$M$193,13,FALSE),0)</f>
        <v>1268.1146832740212</v>
      </c>
      <c r="W30" s="1426">
        <f t="shared" si="8"/>
        <v>553.43616543446569</v>
      </c>
      <c r="X30" s="13"/>
      <c r="Y30" s="13"/>
    </row>
    <row r="31" spans="1:27">
      <c r="A31" s="1254">
        <v>52065</v>
      </c>
      <c r="B31" s="7" t="s">
        <v>37</v>
      </c>
      <c r="C31" s="38">
        <f>+IFERROR(VLOOKUP(A31,'2120_IS'!$D:$AH,31,FALSE),0)</f>
        <v>1813.4</v>
      </c>
      <c r="D31" s="1113"/>
      <c r="E31" s="39">
        <f t="shared" si="9"/>
        <v>1813.4</v>
      </c>
      <c r="F31" s="40"/>
      <c r="G31" s="70"/>
      <c r="H31" s="39">
        <f t="shared" si="10"/>
        <v>1813.4</v>
      </c>
      <c r="I31" s="39"/>
      <c r="J31" s="200">
        <f>IF(($H31=0),0,IF(($M31="Actual"),"Actual",(VLOOKUP($M31,Ratios!$A$87:$D$90,2,FALSE)*$H31)))</f>
        <v>1667.5250184501845</v>
      </c>
      <c r="K31" s="200">
        <f>IF(($H31=0),0,IF(($M31="Actual"),"Actual",(VLOOKUP($M31,Ratios!$A$87:$D$90,3,FALSE)*$H31)))</f>
        <v>135.16856088560885</v>
      </c>
      <c r="L31" s="200">
        <f>IF(($H31=0),0,IF(($M31="Actual"),"Actual",(VLOOKUP($M31,Ratios!$A$87:$D$90,4,FALSE)*$H31)))</f>
        <v>10.706420664206643</v>
      </c>
      <c r="M31" s="1148" t="s">
        <v>28</v>
      </c>
      <c r="N31" s="8">
        <f t="shared" si="11"/>
        <v>1.3145040611561853E-13</v>
      </c>
      <c r="O31" s="36">
        <f t="shared" si="12"/>
        <v>1667.5250184501845</v>
      </c>
      <c r="P31" s="200">
        <f>J31*Ratios!$N$43</f>
        <v>1664.8484132841329</v>
      </c>
      <c r="Q31" s="200">
        <f>O31-P31</f>
        <v>2.6766051660515586</v>
      </c>
      <c r="R31" s="1131" t="s">
        <v>28</v>
      </c>
      <c r="S31" s="8">
        <f t="shared" si="13"/>
        <v>0</v>
      </c>
      <c r="T31" s="47">
        <f t="shared" si="14"/>
        <v>1.3145040611561853E-13</v>
      </c>
      <c r="U31" s="13"/>
      <c r="V31" s="8">
        <f>IFERROR(VLOOKUP(A31,'[43]Consolidated IS'!$A$20:$M$193,13,FALSE),0)</f>
        <v>2202.8499074733095</v>
      </c>
      <c r="W31" s="1426">
        <f t="shared" si="8"/>
        <v>-535.32488902312502</v>
      </c>
      <c r="X31" s="13"/>
      <c r="Y31" s="13"/>
    </row>
    <row r="32" spans="1:27">
      <c r="A32" s="1254">
        <v>52070</v>
      </c>
      <c r="B32" s="7" t="s">
        <v>38</v>
      </c>
      <c r="C32" s="38">
        <f>+IFERROR(VLOOKUP(A32,'2120_IS'!$D:$AH,31,FALSE),0)</f>
        <v>298.72000000000003</v>
      </c>
      <c r="D32" s="1113"/>
      <c r="E32" s="39">
        <f t="shared" si="9"/>
        <v>298.72000000000003</v>
      </c>
      <c r="F32" s="40"/>
      <c r="G32" s="70"/>
      <c r="H32" s="39">
        <f t="shared" si="10"/>
        <v>298.72000000000003</v>
      </c>
      <c r="I32" s="39"/>
      <c r="J32" s="200">
        <f>IF(($H32=0),0,IF(($M32="Actual"),"Actual",(VLOOKUP($M32,Ratios!$A$87:$D$90,2,FALSE)*$H32)))</f>
        <v>274.69012546125464</v>
      </c>
      <c r="K32" s="200">
        <f>IF(($H32=0),0,IF(($M32="Actual"),"Actual",(VLOOKUP($M32,Ratios!$A$87:$D$90,3,FALSE)*$H32)))</f>
        <v>22.266214022140225</v>
      </c>
      <c r="L32" s="200">
        <f>IF(($H32=0),0,IF(($M32="Actual"),"Actual",(VLOOKUP($M32,Ratios!$A$87:$D$90,4,FALSE)*$H32)))</f>
        <v>1.7636605166051662</v>
      </c>
      <c r="M32" s="1148" t="s">
        <v>28</v>
      </c>
      <c r="N32" s="8">
        <f t="shared" si="11"/>
        <v>-2.4424906541753444E-15</v>
      </c>
      <c r="O32" s="36">
        <f t="shared" si="12"/>
        <v>274.69012546125464</v>
      </c>
      <c r="P32" s="200">
        <f>J32*Ratios!$N$43</f>
        <v>274.24921033210336</v>
      </c>
      <c r="Q32" s="200">
        <f>O32-P32</f>
        <v>0.44091512915127851</v>
      </c>
      <c r="R32" s="1132" t="s">
        <v>28</v>
      </c>
      <c r="S32" s="8">
        <f t="shared" si="13"/>
        <v>0</v>
      </c>
      <c r="T32" s="47">
        <f t="shared" si="14"/>
        <v>-2.4424906541753444E-15</v>
      </c>
      <c r="U32" s="13"/>
      <c r="V32" s="8">
        <f>IFERROR(VLOOKUP(A32,'[43]Consolidated IS'!$A$20:$M$193,13,FALSE),0)</f>
        <v>316.06346619217084</v>
      </c>
      <c r="W32" s="1426">
        <f t="shared" si="8"/>
        <v>-41.373340730916198</v>
      </c>
      <c r="X32" s="13"/>
      <c r="Y32" s="13"/>
    </row>
    <row r="33" spans="1:25" ht="12" customHeight="1">
      <c r="A33" s="71">
        <v>41310</v>
      </c>
      <c r="B33" s="2" t="s">
        <v>30</v>
      </c>
      <c r="C33" s="43">
        <f>SUM(C28:C32)</f>
        <v>88631.419999999984</v>
      </c>
      <c r="D33" s="72">
        <f>SUM(D28:D32)</f>
        <v>1226.4286939726021</v>
      </c>
      <c r="E33" s="43">
        <f>SUM(E28:E32)</f>
        <v>89857.848693972599</v>
      </c>
      <c r="F33" s="44"/>
      <c r="G33" s="72">
        <f>SUM(G28:G32)</f>
        <v>4639.4938709361822</v>
      </c>
      <c r="H33" s="43">
        <f>SUM(H28:H32)</f>
        <v>94497.342564908773</v>
      </c>
      <c r="I33" s="43"/>
      <c r="J33" s="43">
        <f>SUM(J28:J32)</f>
        <v>86895.711317989932</v>
      </c>
      <c r="K33" s="43">
        <f>SUM(K28:K32)</f>
        <v>7043.7133572367429</v>
      </c>
      <c r="L33" s="43">
        <f>SUM(L28:L32)</f>
        <v>557.91788968211836</v>
      </c>
      <c r="M33" s="45"/>
      <c r="N33" s="64"/>
      <c r="O33" s="43">
        <f>SUM(O28:O32)</f>
        <v>86895.711317989932</v>
      </c>
      <c r="P33" s="43">
        <f>SUM(P28:P32)</f>
        <v>86756.231845569389</v>
      </c>
      <c r="Q33" s="43">
        <f>SUM(Q28:Q32)</f>
        <v>139.47947242052686</v>
      </c>
      <c r="R33" s="65"/>
      <c r="S33" s="64">
        <f t="shared" si="13"/>
        <v>0</v>
      </c>
      <c r="T33" s="45">
        <f t="shared" si="14"/>
        <v>-1.9781509763561189E-11</v>
      </c>
      <c r="V33" s="8">
        <f>IFERROR(VLOOKUP(A33,'[43]Consolidated IS'!$A$20:$M$193,13,FALSE),0)</f>
        <v>0</v>
      </c>
      <c r="W33" s="1251"/>
    </row>
    <row r="34" spans="1:25">
      <c r="A34" s="71"/>
      <c r="B34" s="2"/>
      <c r="C34" s="66"/>
      <c r="D34" s="39"/>
      <c r="E34" s="42"/>
      <c r="G34" s="70"/>
      <c r="H34" s="42"/>
      <c r="I34" s="42"/>
      <c r="J34" s="66"/>
      <c r="K34" s="66"/>
      <c r="L34" s="66"/>
      <c r="O34" s="66"/>
      <c r="P34" s="66"/>
      <c r="Q34" s="66"/>
      <c r="T34" s="47"/>
      <c r="V34" s="8">
        <f>IFERROR(VLOOKUP(A34,'[43]Consolidated IS'!$A$20:$M$193,13,FALSE),0)</f>
        <v>0</v>
      </c>
      <c r="W34" s="1251">
        <f t="shared" si="8"/>
        <v>0</v>
      </c>
    </row>
    <row r="35" spans="1:25" hidden="1">
      <c r="A35" s="68">
        <v>41311</v>
      </c>
      <c r="B35" s="52" t="s">
        <v>39</v>
      </c>
      <c r="C35" s="73"/>
      <c r="D35" s="74"/>
      <c r="E35" s="55"/>
      <c r="F35" s="56"/>
      <c r="G35" s="75"/>
      <c r="H35" s="55"/>
      <c r="I35" s="55"/>
      <c r="J35" s="73"/>
      <c r="K35" s="73"/>
      <c r="L35" s="73"/>
      <c r="M35" s="57"/>
      <c r="N35" s="58"/>
      <c r="O35" s="73"/>
      <c r="P35" s="73"/>
      <c r="Q35" s="73"/>
      <c r="R35" s="57"/>
      <c r="S35" s="58"/>
      <c r="T35" s="59"/>
      <c r="V35" s="8">
        <f>IFERROR(VLOOKUP(A35,'[43]Consolidated IS'!$A$20:$M$193,13,FALSE),0)</f>
        <v>0</v>
      </c>
      <c r="W35" s="1251">
        <f t="shared" si="8"/>
        <v>0</v>
      </c>
    </row>
    <row r="36" spans="1:25" ht="10.5" hidden="1" customHeight="1">
      <c r="A36" s="35">
        <v>55020</v>
      </c>
      <c r="B36" s="7" t="s">
        <v>40</v>
      </c>
      <c r="C36" s="38">
        <f>+IFERROR(VLOOKUP(A36,'2120_IS'!$D:$AH,31,FALSE),0)</f>
        <v>0</v>
      </c>
      <c r="D36" s="84"/>
      <c r="E36" s="39">
        <f t="shared" ref="E36:E41" si="15">SUM(C36:D36)</f>
        <v>0</v>
      </c>
      <c r="F36" s="40"/>
      <c r="G36" s="39"/>
      <c r="H36" s="39">
        <f t="shared" ref="H36:H41" si="16">C36+D36+G36</f>
        <v>0</v>
      </c>
      <c r="I36" s="39"/>
      <c r="J36" s="38"/>
      <c r="K36" s="38"/>
      <c r="L36" s="38"/>
      <c r="M36" s="62" t="s">
        <v>28</v>
      </c>
      <c r="N36" s="8">
        <f t="shared" ref="N36:N41" si="17">H36-J36-K36-L36</f>
        <v>0</v>
      </c>
      <c r="O36" s="36">
        <f t="shared" ref="O36:O41" si="18">J36</f>
        <v>0</v>
      </c>
      <c r="P36" s="38"/>
      <c r="Q36" s="38"/>
      <c r="S36" s="8">
        <f t="shared" ref="S36:S42" si="19">SUM(P36:Q36)-O36</f>
        <v>0</v>
      </c>
      <c r="T36" s="47">
        <f t="shared" ref="T36:T42" si="20">C36+D36+G36-J36-K36-L36</f>
        <v>0</v>
      </c>
      <c r="U36" s="13"/>
      <c r="V36" s="8">
        <f>IFERROR(VLOOKUP(A36,'[43]Consolidated IS'!$A$20:$M$193,13,FALSE),0)</f>
        <v>0</v>
      </c>
      <c r="W36" s="1251">
        <f t="shared" si="8"/>
        <v>0</v>
      </c>
      <c r="X36" s="13"/>
      <c r="Y36" s="13"/>
    </row>
    <row r="37" spans="1:25" hidden="1">
      <c r="A37" s="35">
        <v>55025</v>
      </c>
      <c r="B37" s="7" t="s">
        <v>41</v>
      </c>
      <c r="C37" s="38">
        <f>+IFERROR(VLOOKUP(A37,'2120_IS'!$D:$AH,31,FALSE),0)</f>
        <v>0</v>
      </c>
      <c r="D37" s="84"/>
      <c r="E37" s="39">
        <f t="shared" si="15"/>
        <v>0</v>
      </c>
      <c r="F37" s="40"/>
      <c r="G37" s="39"/>
      <c r="H37" s="39">
        <f t="shared" si="16"/>
        <v>0</v>
      </c>
      <c r="I37" s="39"/>
      <c r="J37" s="38"/>
      <c r="K37" s="38"/>
      <c r="L37" s="38"/>
      <c r="M37" s="62" t="s">
        <v>28</v>
      </c>
      <c r="N37" s="8">
        <f t="shared" si="17"/>
        <v>0</v>
      </c>
      <c r="O37" s="36">
        <f t="shared" si="18"/>
        <v>0</v>
      </c>
      <c r="P37" s="38"/>
      <c r="Q37" s="38"/>
      <c r="S37" s="8">
        <f t="shared" si="19"/>
        <v>0</v>
      </c>
      <c r="T37" s="47">
        <f t="shared" si="20"/>
        <v>0</v>
      </c>
      <c r="U37" s="13"/>
      <c r="V37" s="8">
        <f>IFERROR(VLOOKUP(A37,'[43]Consolidated IS'!$A$20:$M$193,13,FALSE),0)</f>
        <v>0</v>
      </c>
      <c r="W37" s="1251">
        <f t="shared" si="8"/>
        <v>0</v>
      </c>
      <c r="X37" s="13"/>
      <c r="Y37" s="13"/>
    </row>
    <row r="38" spans="1:25" hidden="1">
      <c r="A38" s="35">
        <v>55035</v>
      </c>
      <c r="B38" s="7" t="s">
        <v>42</v>
      </c>
      <c r="C38" s="38">
        <f>+IFERROR(VLOOKUP(A38,'2120_IS'!$D:$AH,31,FALSE),0)</f>
        <v>0</v>
      </c>
      <c r="D38" s="39"/>
      <c r="E38" s="39">
        <f t="shared" si="15"/>
        <v>0</v>
      </c>
      <c r="F38" s="40"/>
      <c r="G38" s="39"/>
      <c r="H38" s="39">
        <f t="shared" si="16"/>
        <v>0</v>
      </c>
      <c r="I38" s="39"/>
      <c r="J38" s="38"/>
      <c r="K38" s="38"/>
      <c r="L38" s="38"/>
      <c r="M38" s="62" t="s">
        <v>28</v>
      </c>
      <c r="N38" s="8">
        <f t="shared" si="17"/>
        <v>0</v>
      </c>
      <c r="O38" s="36">
        <f t="shared" si="18"/>
        <v>0</v>
      </c>
      <c r="P38" s="38"/>
      <c r="Q38" s="38"/>
      <c r="S38" s="8">
        <f t="shared" si="19"/>
        <v>0</v>
      </c>
      <c r="T38" s="47">
        <f t="shared" si="20"/>
        <v>0</v>
      </c>
      <c r="U38" s="13"/>
      <c r="V38" s="8">
        <f>IFERROR(VLOOKUP(A38,'[43]Consolidated IS'!$A$20:$M$193,13,FALSE),0)</f>
        <v>0</v>
      </c>
      <c r="W38" s="1251">
        <f t="shared" si="8"/>
        <v>0</v>
      </c>
      <c r="X38" s="13"/>
      <c r="Y38" s="13"/>
    </row>
    <row r="39" spans="1:25" hidden="1">
      <c r="A39" s="35">
        <v>55036</v>
      </c>
      <c r="B39" s="7" t="s">
        <v>43</v>
      </c>
      <c r="C39" s="38">
        <f>+IFERROR(VLOOKUP(A39,'2120_IS'!$D:$AH,31,FALSE),0)</f>
        <v>0</v>
      </c>
      <c r="D39" s="39"/>
      <c r="E39" s="39">
        <f t="shared" si="15"/>
        <v>0</v>
      </c>
      <c r="F39" s="40"/>
      <c r="G39" s="39"/>
      <c r="H39" s="39">
        <f t="shared" si="16"/>
        <v>0</v>
      </c>
      <c r="I39" s="39"/>
      <c r="J39" s="38"/>
      <c r="K39" s="38"/>
      <c r="L39" s="38"/>
      <c r="M39" s="62" t="s">
        <v>28</v>
      </c>
      <c r="N39" s="8">
        <f t="shared" si="17"/>
        <v>0</v>
      </c>
      <c r="O39" s="36">
        <f t="shared" si="18"/>
        <v>0</v>
      </c>
      <c r="P39" s="38"/>
      <c r="Q39" s="38"/>
      <c r="S39" s="8">
        <f t="shared" si="19"/>
        <v>0</v>
      </c>
      <c r="T39" s="47">
        <f t="shared" si="20"/>
        <v>0</v>
      </c>
      <c r="U39" s="13"/>
      <c r="V39" s="8">
        <f>IFERROR(VLOOKUP(A39,'[43]Consolidated IS'!$A$20:$M$193,13,FALSE),0)</f>
        <v>0</v>
      </c>
      <c r="W39" s="1251">
        <f t="shared" si="8"/>
        <v>0</v>
      </c>
      <c r="X39" s="13"/>
      <c r="Y39" s="13"/>
    </row>
    <row r="40" spans="1:25" hidden="1">
      <c r="A40" s="35">
        <v>55065</v>
      </c>
      <c r="B40" s="7" t="s">
        <v>37</v>
      </c>
      <c r="C40" s="38">
        <f>+IFERROR(VLOOKUP(A40,'2120_IS'!$D:$AH,31,FALSE),0)</f>
        <v>0</v>
      </c>
      <c r="D40" s="39"/>
      <c r="E40" s="39">
        <f t="shared" si="15"/>
        <v>0</v>
      </c>
      <c r="F40" s="40"/>
      <c r="G40" s="39"/>
      <c r="H40" s="39">
        <f t="shared" si="16"/>
        <v>0</v>
      </c>
      <c r="I40" s="39"/>
      <c r="J40" s="38"/>
      <c r="K40" s="38"/>
      <c r="L40" s="38"/>
      <c r="M40" s="62" t="s">
        <v>28</v>
      </c>
      <c r="N40" s="8">
        <f t="shared" si="17"/>
        <v>0</v>
      </c>
      <c r="O40" s="36">
        <f t="shared" si="18"/>
        <v>0</v>
      </c>
      <c r="P40" s="38"/>
      <c r="Q40" s="38"/>
      <c r="S40" s="8">
        <f t="shared" si="19"/>
        <v>0</v>
      </c>
      <c r="T40" s="47">
        <f t="shared" si="20"/>
        <v>0</v>
      </c>
      <c r="U40" s="13"/>
      <c r="V40" s="8">
        <f>IFERROR(VLOOKUP(A40,'[43]Consolidated IS'!$A$20:$M$193,13,FALSE),0)</f>
        <v>0</v>
      </c>
      <c r="W40" s="1251">
        <f t="shared" si="8"/>
        <v>0</v>
      </c>
      <c r="X40" s="13"/>
      <c r="Y40" s="13"/>
    </row>
    <row r="41" spans="1:25" hidden="1">
      <c r="A41" s="35">
        <v>55070</v>
      </c>
      <c r="B41" s="7" t="s">
        <v>44</v>
      </c>
      <c r="C41" s="38">
        <f>+IFERROR(VLOOKUP(A41,'2120_IS'!$D:$AH,31,FALSE),0)</f>
        <v>0</v>
      </c>
      <c r="D41" s="39"/>
      <c r="E41" s="39">
        <f t="shared" si="15"/>
        <v>0</v>
      </c>
      <c r="F41" s="40"/>
      <c r="G41" s="39"/>
      <c r="H41" s="39">
        <f t="shared" si="16"/>
        <v>0</v>
      </c>
      <c r="I41" s="39"/>
      <c r="J41" s="38"/>
      <c r="K41" s="38"/>
      <c r="L41" s="38"/>
      <c r="M41" s="62" t="s">
        <v>28</v>
      </c>
      <c r="N41" s="8">
        <f t="shared" si="17"/>
        <v>0</v>
      </c>
      <c r="O41" s="36">
        <f t="shared" si="18"/>
        <v>0</v>
      </c>
      <c r="P41" s="38"/>
      <c r="Q41" s="38"/>
      <c r="S41" s="8">
        <f t="shared" si="19"/>
        <v>0</v>
      </c>
      <c r="T41" s="47">
        <f t="shared" si="20"/>
        <v>0</v>
      </c>
      <c r="U41" s="13"/>
      <c r="V41" s="8">
        <f>IFERROR(VLOOKUP(A41,'[43]Consolidated IS'!$A$20:$M$193,13,FALSE),0)</f>
        <v>0</v>
      </c>
      <c r="W41" s="1251">
        <f t="shared" si="8"/>
        <v>0</v>
      </c>
      <c r="X41" s="13"/>
      <c r="Y41" s="13"/>
    </row>
    <row r="42" spans="1:25" hidden="1">
      <c r="A42" s="71">
        <v>41311</v>
      </c>
      <c r="B42" s="2" t="s">
        <v>39</v>
      </c>
      <c r="C42" s="43">
        <f>SUM(C36:C41)</f>
        <v>0</v>
      </c>
      <c r="D42" s="43">
        <f t="shared" ref="D42:E42" si="21">SUM(D36:D41)</f>
        <v>0</v>
      </c>
      <c r="E42" s="43">
        <f t="shared" si="21"/>
        <v>0</v>
      </c>
      <c r="F42" s="44"/>
      <c r="G42" s="43">
        <f>SUM(G36:G41)</f>
        <v>0</v>
      </c>
      <c r="H42" s="43">
        <f>SUM(H36:H41)</f>
        <v>0</v>
      </c>
      <c r="I42" s="43"/>
      <c r="J42" s="43">
        <f t="shared" ref="J42:L42" si="22">SUM(J36:J41)</f>
        <v>0</v>
      </c>
      <c r="K42" s="43">
        <f t="shared" si="22"/>
        <v>0</v>
      </c>
      <c r="L42" s="43">
        <f t="shared" si="22"/>
        <v>0</v>
      </c>
      <c r="M42" s="45"/>
      <c r="N42" s="64"/>
      <c r="O42" s="43"/>
      <c r="P42" s="43"/>
      <c r="Q42" s="43"/>
      <c r="R42" s="76"/>
      <c r="S42" s="64">
        <f t="shared" si="19"/>
        <v>0</v>
      </c>
      <c r="T42" s="45">
        <f t="shared" si="20"/>
        <v>0</v>
      </c>
      <c r="V42" s="8">
        <f>IFERROR(VLOOKUP(A42,'[43]Consolidated IS'!$A$20:$M$193,13,FALSE),0)</f>
        <v>0</v>
      </c>
      <c r="W42" s="1251">
        <f t="shared" si="8"/>
        <v>0</v>
      </c>
    </row>
    <row r="43" spans="1:25">
      <c r="C43" s="66"/>
      <c r="D43" s="42"/>
      <c r="E43" s="42"/>
      <c r="G43" s="42"/>
      <c r="H43" s="42"/>
      <c r="I43" s="42"/>
      <c r="J43" s="66"/>
      <c r="K43" s="66"/>
      <c r="L43" s="66"/>
      <c r="O43" s="66"/>
      <c r="P43" s="66"/>
      <c r="Q43" s="66"/>
      <c r="T43" s="47"/>
      <c r="V43" s="8">
        <f>IFERROR(VLOOKUP(A43,'[43]Consolidated IS'!$A$20:$M$193,13,FALSE),0)</f>
        <v>0</v>
      </c>
      <c r="W43" s="1251">
        <f t="shared" si="8"/>
        <v>0</v>
      </c>
    </row>
    <row r="44" spans="1:25">
      <c r="A44" s="68">
        <v>41320</v>
      </c>
      <c r="B44" s="52" t="s">
        <v>45</v>
      </c>
      <c r="C44" s="73"/>
      <c r="D44" s="55"/>
      <c r="E44" s="55"/>
      <c r="F44" s="56"/>
      <c r="G44" s="55"/>
      <c r="H44" s="55"/>
      <c r="I44" s="55"/>
      <c r="J44" s="73"/>
      <c r="K44" s="73"/>
      <c r="L44" s="73"/>
      <c r="M44" s="57"/>
      <c r="N44" s="58"/>
      <c r="O44" s="73"/>
      <c r="P44" s="73"/>
      <c r="Q44" s="73"/>
      <c r="R44" s="57"/>
      <c r="S44" s="58"/>
      <c r="T44" s="59"/>
      <c r="V44" s="8">
        <f>IFERROR(VLOOKUP(A44,'[43]Consolidated IS'!$A$20:$M$193,13,FALSE),0)</f>
        <v>0</v>
      </c>
      <c r="W44" s="1251">
        <f t="shared" si="8"/>
        <v>0</v>
      </c>
    </row>
    <row r="45" spans="1:25">
      <c r="A45" s="69">
        <v>52120</v>
      </c>
      <c r="B45" s="7" t="s">
        <v>45</v>
      </c>
      <c r="C45" s="38">
        <f>+IFERROR(VLOOKUP(A45,'2120_IS'!$D:$AH,31,FALSE),0)</f>
        <v>75060.53</v>
      </c>
      <c r="D45" s="39"/>
      <c r="E45" s="39">
        <f>SUM(C45:D45)</f>
        <v>75060.53</v>
      </c>
      <c r="F45" s="40"/>
      <c r="G45" s="42"/>
      <c r="H45" s="39">
        <f>C45+D45+G45</f>
        <v>75060.53</v>
      </c>
      <c r="I45" s="39"/>
      <c r="J45" s="200">
        <f>IF(($H45=0),0,IF(($M45="Actual"),"Actual",(VLOOKUP($M45,Ratios!$A$87:$D$90,2,FALSE)*$H45)))</f>
        <v>69022.450464944646</v>
      </c>
      <c r="K45" s="200">
        <f>IF(($H45=0),0,IF(($M45="Actual"),"Actual",(VLOOKUP($M45,Ratios!$A$87:$D$90,3,FALSE)*$H45)))</f>
        <v>5594.9177343173433</v>
      </c>
      <c r="L45" s="200">
        <f>IF(($H45=0),0,IF(($M45="Actual"),"Actual",(VLOOKUP($M45,Ratios!$A$87:$D$90,4,FALSE)*$H45)))</f>
        <v>443.16180073800734</v>
      </c>
      <c r="M45" s="1148" t="s">
        <v>28</v>
      </c>
      <c r="N45" s="8">
        <f t="shared" ref="N45:N48" si="23">H45-J45-K45-L45</f>
        <v>1.9895196601282805E-12</v>
      </c>
      <c r="O45" s="36">
        <f t="shared" ref="O45:O48" si="24">J45</f>
        <v>69022.450464944646</v>
      </c>
      <c r="P45" s="200">
        <f>J45*Ratios!$N$43</f>
        <v>68911.660014760142</v>
      </c>
      <c r="Q45" s="200">
        <f>O45-P45</f>
        <v>110.79045018450415</v>
      </c>
      <c r="R45" s="1133" t="s">
        <v>28</v>
      </c>
      <c r="S45" s="8">
        <f>SUM(P45:Q45)-O45</f>
        <v>0</v>
      </c>
      <c r="T45" s="47">
        <f>C45+D45+G45-J45-K45-L45</f>
        <v>1.9895196601282805E-12</v>
      </c>
      <c r="U45" s="13"/>
      <c r="V45" s="8">
        <f>IFERROR(VLOOKUP(A45,'[43]Consolidated IS'!$A$20:$M$193,13,FALSE),0)</f>
        <v>83870.433110320271</v>
      </c>
      <c r="W45" s="1251">
        <f t="shared" si="8"/>
        <v>-14847.982645375625</v>
      </c>
      <c r="X45" s="13"/>
      <c r="Y45" s="13"/>
    </row>
    <row r="46" spans="1:25">
      <c r="A46" s="69">
        <v>52125</v>
      </c>
      <c r="B46" s="7" t="s">
        <v>46</v>
      </c>
      <c r="C46" s="38">
        <f>+IFERROR(VLOOKUP(A46,'2120_IS'!$D:$AH,31,FALSE),0)</f>
        <v>3746.4100000000003</v>
      </c>
      <c r="D46" s="84"/>
      <c r="E46" s="39">
        <f>SUM(C46:D46)</f>
        <v>3746.4100000000003</v>
      </c>
      <c r="F46" s="40"/>
      <c r="G46" s="42"/>
      <c r="H46" s="39">
        <f>C46+D46+G46</f>
        <v>3746.4100000000003</v>
      </c>
      <c r="I46" s="39"/>
      <c r="J46" s="200">
        <f>IF(($H46=0),0,IF(($M46="Actual"),"Actual",(VLOOKUP($M46,Ratios!$A$87:$D$90,2,FALSE)*$H46)))</f>
        <v>3445.0382730627307</v>
      </c>
      <c r="K46" s="200">
        <f>IF(($H46=0),0,IF(($M46="Actual"),"Actual",(VLOOKUP($M46,Ratios!$A$87:$D$90,3,FALSE)*$H46)))</f>
        <v>279.25270110701109</v>
      </c>
      <c r="L46" s="200">
        <f>IF(($H46=0),0,IF(($M46="Actual"),"Actual",(VLOOKUP($M46,Ratios!$A$87:$D$90,4,FALSE)*$H46)))</f>
        <v>22.119025830258305</v>
      </c>
      <c r="M46" s="1148" t="s">
        <v>28</v>
      </c>
      <c r="N46" s="8">
        <f t="shared" si="23"/>
        <v>2.1671553440683056E-13</v>
      </c>
      <c r="O46" s="36">
        <f t="shared" si="24"/>
        <v>3445.0382730627307</v>
      </c>
      <c r="P46" s="200">
        <f>J46*Ratios!$N$43</f>
        <v>3439.5085166051663</v>
      </c>
      <c r="Q46" s="200">
        <f>O46-P46</f>
        <v>5.5297564575644174</v>
      </c>
      <c r="R46" s="1134" t="s">
        <v>28</v>
      </c>
      <c r="S46" s="8">
        <f>SUM(P46:Q46)-O46</f>
        <v>0</v>
      </c>
      <c r="T46" s="47">
        <f>C46+D46+G46-J46-K46-L46</f>
        <v>2.1671553440683056E-13</v>
      </c>
      <c r="U46" s="13"/>
      <c r="V46" s="8">
        <f>IFERROR(VLOOKUP(A46,'[43]Consolidated IS'!$A$20:$M$193,13,FALSE),0)</f>
        <v>4451.7367473309614</v>
      </c>
      <c r="W46" s="1251">
        <f t="shared" si="8"/>
        <v>-1006.6984742682307</v>
      </c>
      <c r="X46" s="13"/>
      <c r="Y46" s="13"/>
    </row>
    <row r="47" spans="1:25">
      <c r="A47" s="69">
        <v>55120</v>
      </c>
      <c r="B47" s="7" t="s">
        <v>45</v>
      </c>
      <c r="C47" s="38">
        <f>+IFERROR(VLOOKUP(A47,'2120_IS'!$D:$AH,31,FALSE),0)</f>
        <v>11261.44</v>
      </c>
      <c r="D47" s="42"/>
      <c r="E47" s="39">
        <f>SUM(C47:D47)</f>
        <v>11261.44</v>
      </c>
      <c r="F47" s="40"/>
      <c r="G47" s="42"/>
      <c r="H47" s="39">
        <f>C47+D47+G47</f>
        <v>11261.44</v>
      </c>
      <c r="I47" s="39"/>
      <c r="J47" s="200">
        <f>IF(($H47=0),0,IF(($M47="Actual"),"Actual",(VLOOKUP($M47,Ratios!$A$87:$D$90,2,FALSE)*$H47)))</f>
        <v>9437.6307285497769</v>
      </c>
      <c r="K47" s="200">
        <f>IF(($H47=0),0,IF(($M47="Actual"),"Actual",(VLOOKUP($M47,Ratios!$A$87:$D$90,3,FALSE)*$H47)))</f>
        <v>1823.8092714502241</v>
      </c>
      <c r="L47" s="200">
        <f>IF(($H47=0),0,IF(($M47="Actual"),"Actual",(VLOOKUP($M47,Ratios!$A$87:$D$90,4,FALSE)*$H47)))</f>
        <v>0</v>
      </c>
      <c r="M47" s="1148" t="s">
        <v>588</v>
      </c>
      <c r="N47" s="8">
        <f t="shared" si="23"/>
        <v>-4.5474735088646412E-13</v>
      </c>
      <c r="O47" s="36">
        <f t="shared" si="24"/>
        <v>9437.6307285497769</v>
      </c>
      <c r="P47" s="200">
        <f>J47*Ratios!$N$43</f>
        <v>9422.4820435922338</v>
      </c>
      <c r="Q47" s="200">
        <f>O47-P47</f>
        <v>15.148684957543082</v>
      </c>
      <c r="R47" s="1135" t="s">
        <v>28</v>
      </c>
      <c r="S47" s="8">
        <f>SUM(P47:Q47)-O47</f>
        <v>0</v>
      </c>
      <c r="T47" s="47">
        <f>C47+D47+G47-J47-K47-L47</f>
        <v>-4.5474735088646412E-13</v>
      </c>
      <c r="U47" s="13"/>
      <c r="V47" s="8">
        <f>IFERROR(VLOOKUP(A47,'[43]Consolidated IS'!$A$20:$M$193,13,FALSE),0)</f>
        <v>24578.609637010675</v>
      </c>
      <c r="W47" s="1251">
        <f t="shared" si="8"/>
        <v>-15140.978908460898</v>
      </c>
      <c r="X47" s="13"/>
      <c r="Y47" s="13"/>
    </row>
    <row r="48" spans="1:25">
      <c r="A48" s="69">
        <v>55125</v>
      </c>
      <c r="B48" s="7" t="s">
        <v>46</v>
      </c>
      <c r="C48" s="38">
        <f>+IFERROR(VLOOKUP(A48,'2120_IS'!$D:$AH,31,FALSE),0)</f>
        <v>974.55</v>
      </c>
      <c r="D48" s="42"/>
      <c r="E48" s="39">
        <f>SUM(C48:D48)</f>
        <v>974.55</v>
      </c>
      <c r="F48" s="40"/>
      <c r="G48" s="42"/>
      <c r="H48" s="39">
        <f>C48+D48+G48</f>
        <v>974.55</v>
      </c>
      <c r="I48" s="39"/>
      <c r="J48" s="200">
        <f>IF(($H48=0),0,IF(($M48="Actual"),"Actual",(VLOOKUP($M48,Ratios!$A$87:$D$90,2,FALSE)*$H48)))</f>
        <v>816.7199777744396</v>
      </c>
      <c r="K48" s="200">
        <f>IF(($H48=0),0,IF(($M48="Actual"),"Actual",(VLOOKUP($M48,Ratios!$A$87:$D$90,3,FALSE)*$H48)))</f>
        <v>157.83002222556047</v>
      </c>
      <c r="L48" s="200">
        <f>IF(($H48=0),0,IF(($M48="Actual"),"Actual",(VLOOKUP($M48,Ratios!$A$87:$D$90,4,FALSE)*$H48)))</f>
        <v>0</v>
      </c>
      <c r="M48" s="1148" t="s">
        <v>588</v>
      </c>
      <c r="N48" s="8">
        <f t="shared" si="23"/>
        <v>-1.1368683772161603E-13</v>
      </c>
      <c r="O48" s="36">
        <f t="shared" si="24"/>
        <v>816.7199777744396</v>
      </c>
      <c r="P48" s="200">
        <f>J48*Ratios!$N$43</f>
        <v>815.40903077961707</v>
      </c>
      <c r="Q48" s="200">
        <f>O48-P48</f>
        <v>1.3109469948225296</v>
      </c>
      <c r="R48" s="1136" t="s">
        <v>28</v>
      </c>
      <c r="S48" s="8">
        <f>SUM(P48:Q48)-O48</f>
        <v>0</v>
      </c>
      <c r="T48" s="47">
        <f>C48+D48+G48-J48-K48-L48</f>
        <v>-1.1368683772161603E-13</v>
      </c>
      <c r="U48" s="13"/>
      <c r="V48" s="8">
        <f>IFERROR(VLOOKUP(A48,'[43]Consolidated IS'!$A$20:$M$193,13,FALSE),0)</f>
        <v>2078.5759288256227</v>
      </c>
      <c r="W48" s="1251">
        <f t="shared" si="8"/>
        <v>-1261.8559510511832</v>
      </c>
      <c r="X48" s="13"/>
      <c r="Y48" s="13"/>
    </row>
    <row r="49" spans="1:25">
      <c r="A49" s="71">
        <v>41320</v>
      </c>
      <c r="B49" s="2" t="s">
        <v>47</v>
      </c>
      <c r="C49" s="43">
        <f>SUM(C45:C48)</f>
        <v>91042.930000000008</v>
      </c>
      <c r="D49" s="43">
        <f>SUM(D45:D48)</f>
        <v>0</v>
      </c>
      <c r="E49" s="43">
        <f>SUM(E45:E48)</f>
        <v>91042.930000000008</v>
      </c>
      <c r="F49" s="44"/>
      <c r="G49" s="43">
        <f>SUM(G45:G48)</f>
        <v>0</v>
      </c>
      <c r="H49" s="43">
        <f>SUM(H45:H48)</f>
        <v>91042.930000000008</v>
      </c>
      <c r="I49" s="43"/>
      <c r="J49" s="43">
        <f>SUM(J45:J48)</f>
        <v>82721.839444331592</v>
      </c>
      <c r="K49" s="43">
        <f>SUM(K45:K48)</f>
        <v>7855.8097291001395</v>
      </c>
      <c r="L49" s="43">
        <f>SUM(L45:L48)</f>
        <v>465.28082656826564</v>
      </c>
      <c r="M49" s="45"/>
      <c r="N49" s="64"/>
      <c r="O49" s="43">
        <f>SUM(O45:O48)</f>
        <v>82721.839444331592</v>
      </c>
      <c r="P49" s="43">
        <f>SUM(P45:P48)</f>
        <v>82589.059605737159</v>
      </c>
      <c r="Q49" s="43">
        <f>SUM(Q45:Q48)</f>
        <v>132.77983859443418</v>
      </c>
      <c r="R49" s="45"/>
      <c r="S49" s="64">
        <f>SUM(P49:Q49)-O49</f>
        <v>0</v>
      </c>
      <c r="T49" s="45">
        <f>C49+D49+G49-J49-K49-L49</f>
        <v>1.0459189070388675E-11</v>
      </c>
      <c r="V49" s="8">
        <f>IFERROR(VLOOKUP(A49,'[43]Consolidated IS'!$A$20:$M$193,13,FALSE),0)</f>
        <v>0</v>
      </c>
      <c r="W49" s="1251"/>
    </row>
    <row r="50" spans="1:25">
      <c r="A50" s="71"/>
      <c r="B50" s="2"/>
      <c r="C50" s="66"/>
      <c r="D50" s="66"/>
      <c r="E50" s="66"/>
      <c r="F50" s="67"/>
      <c r="G50" s="66"/>
      <c r="H50" s="66"/>
      <c r="I50" s="66"/>
      <c r="J50" s="66"/>
      <c r="K50" s="66"/>
      <c r="L50" s="66"/>
      <c r="M50" s="3"/>
      <c r="O50" s="66"/>
      <c r="P50" s="66"/>
      <c r="Q50" s="66"/>
      <c r="T50" s="47"/>
      <c r="V50" s="8">
        <f>IFERROR(VLOOKUP(A50,'[43]Consolidated IS'!$A$20:$M$193,13,FALSE),0)</f>
        <v>0</v>
      </c>
      <c r="W50" s="1251">
        <f t="shared" si="8"/>
        <v>0</v>
      </c>
    </row>
    <row r="51" spans="1:25">
      <c r="A51" s="53">
        <v>41330</v>
      </c>
      <c r="B51" s="53"/>
      <c r="C51" s="54"/>
      <c r="D51" s="55"/>
      <c r="E51" s="55"/>
      <c r="F51" s="56"/>
      <c r="G51" s="55"/>
      <c r="H51" s="55"/>
      <c r="I51" s="55"/>
      <c r="J51" s="54"/>
      <c r="K51" s="54"/>
      <c r="L51" s="54"/>
      <c r="M51" s="57"/>
      <c r="N51" s="58"/>
      <c r="O51" s="54"/>
      <c r="P51" s="54"/>
      <c r="Q51" s="54"/>
      <c r="R51" s="57"/>
      <c r="S51" s="58"/>
      <c r="T51" s="59"/>
      <c r="V51" s="8"/>
      <c r="W51" s="1251">
        <f t="shared" si="8"/>
        <v>0</v>
      </c>
    </row>
    <row r="52" spans="1:25">
      <c r="A52" s="35">
        <v>52147</v>
      </c>
      <c r="B52" s="7" t="s">
        <v>48</v>
      </c>
      <c r="C52" s="38">
        <f>+IFERROR(VLOOKUP(A52,'2120_IS'!$D:$AH,31,FALSE),0)</f>
        <v>29090.06</v>
      </c>
      <c r="D52" s="42"/>
      <c r="E52" s="39">
        <f>SUM(C52:D52)</f>
        <v>29090.06</v>
      </c>
      <c r="F52" s="40"/>
      <c r="G52" s="42"/>
      <c r="H52" s="39">
        <f>C52+D52+G52</f>
        <v>29090.06</v>
      </c>
      <c r="I52" s="39"/>
      <c r="J52" s="200">
        <f>IF(($H52=0),0,IF(($M52="Actual"),"Actual",(VLOOKUP($M52,Ratios!$A$87:$D$90,2,FALSE)*$H52)))</f>
        <v>26749.973992619925</v>
      </c>
      <c r="K52" s="200">
        <f>IF(($H52=0),0,IF(($M52="Actual"),"Actual",(VLOOKUP($M52,Ratios!$A$87:$D$90,3,FALSE)*$H52)))</f>
        <v>2168.3365756457565</v>
      </c>
      <c r="L52" s="200">
        <f>IF(($H52=0),0,IF(($M52="Actual"),"Actual",(VLOOKUP($M52,Ratios!$A$87:$D$90,4,FALSE)*$H52)))</f>
        <v>171.74943173431734</v>
      </c>
      <c r="M52" s="1148" t="s">
        <v>28</v>
      </c>
      <c r="N52" s="8">
        <f t="shared" ref="N52" si="25">H52-J52-K52-L52</f>
        <v>2.0463630789890885E-12</v>
      </c>
      <c r="O52" s="36">
        <f>J52</f>
        <v>26749.973992619925</v>
      </c>
      <c r="P52" s="200">
        <f>J52*Ratios!$N$43</f>
        <v>26707.036634686345</v>
      </c>
      <c r="Q52" s="200">
        <f>O52-P52</f>
        <v>42.937357933580643</v>
      </c>
      <c r="R52" s="1137" t="s">
        <v>28</v>
      </c>
      <c r="S52" s="8">
        <f>SUM(P52:Q52)-O52</f>
        <v>0</v>
      </c>
      <c r="T52" s="47">
        <f>C52+D52+G52-J52-K52-L52</f>
        <v>2.0463630789890885E-12</v>
      </c>
      <c r="U52" s="13"/>
      <c r="V52" s="8">
        <f>IFERROR(VLOOKUP(A52,'[43]Consolidated IS'!$A$20:$M$193,13,FALSE),0)</f>
        <v>40254.482441281143</v>
      </c>
      <c r="W52" s="1251">
        <f t="shared" si="8"/>
        <v>-13504.508448661218</v>
      </c>
      <c r="X52" s="13"/>
      <c r="Y52" s="13"/>
    </row>
    <row r="53" spans="1:25">
      <c r="A53" s="71">
        <v>41330</v>
      </c>
      <c r="B53" s="2" t="s">
        <v>26</v>
      </c>
      <c r="C53" s="43">
        <f>SUM(C52:C52)</f>
        <v>29090.06</v>
      </c>
      <c r="D53" s="43">
        <f>SUM(D52:D52)</f>
        <v>0</v>
      </c>
      <c r="E53" s="43">
        <f>SUM(E52:E52)</f>
        <v>29090.06</v>
      </c>
      <c r="F53" s="44"/>
      <c r="G53" s="43">
        <f>SUM(G52:G52)</f>
        <v>0</v>
      </c>
      <c r="H53" s="43">
        <f>SUM(H52:H52)</f>
        <v>29090.06</v>
      </c>
      <c r="I53" s="43"/>
      <c r="J53" s="43">
        <f>SUM(J52:J52)</f>
        <v>26749.973992619925</v>
      </c>
      <c r="K53" s="43">
        <f>SUM(K52:K52)</f>
        <v>2168.3365756457565</v>
      </c>
      <c r="L53" s="43">
        <f>SUM(L52:L52)</f>
        <v>171.74943173431734</v>
      </c>
      <c r="M53" s="45"/>
      <c r="N53" s="64"/>
      <c r="O53" s="43">
        <f>SUM(O52:O52)</f>
        <v>26749.973992619925</v>
      </c>
      <c r="P53" s="43">
        <f>SUM(P52:P52)</f>
        <v>26707.036634686345</v>
      </c>
      <c r="Q53" s="43">
        <f>SUM(Q52:Q52)</f>
        <v>42.937357933580643</v>
      </c>
      <c r="R53" s="76"/>
      <c r="S53" s="64">
        <f>SUM(P53:Q53)-O53</f>
        <v>0</v>
      </c>
      <c r="T53" s="45">
        <f>C53+D53+G53-J53-K53-L53</f>
        <v>2.0463630789890885E-12</v>
      </c>
      <c r="V53" s="8"/>
      <c r="W53" s="1251"/>
    </row>
    <row r="54" spans="1:25">
      <c r="A54" s="71"/>
      <c r="B54" s="2"/>
      <c r="C54" s="66"/>
      <c r="D54" s="66"/>
      <c r="E54" s="66"/>
      <c r="F54" s="67"/>
      <c r="G54" s="66"/>
      <c r="H54" s="66"/>
      <c r="I54" s="66"/>
      <c r="J54" s="66"/>
      <c r="K54" s="66"/>
      <c r="L54" s="66"/>
      <c r="M54" s="3"/>
      <c r="O54" s="66"/>
      <c r="P54" s="66"/>
      <c r="Q54" s="66"/>
      <c r="T54" s="47"/>
      <c r="V54" s="8">
        <f>IFERROR(VLOOKUP(A54,'[43]Consolidated IS'!$A$20:$M$193,13,FALSE),0)</f>
        <v>0</v>
      </c>
      <c r="W54" s="1251">
        <f t="shared" si="8"/>
        <v>0</v>
      </c>
    </row>
    <row r="55" spans="1:25" hidden="1">
      <c r="A55" s="68">
        <v>41340</v>
      </c>
      <c r="B55" s="52" t="s">
        <v>49</v>
      </c>
      <c r="C55" s="54"/>
      <c r="D55" s="55"/>
      <c r="E55" s="55"/>
      <c r="F55" s="56"/>
      <c r="G55" s="55"/>
      <c r="H55" s="55"/>
      <c r="I55" s="55"/>
      <c r="J55" s="54"/>
      <c r="K55" s="54"/>
      <c r="L55" s="54"/>
      <c r="M55" s="57"/>
      <c r="N55" s="58"/>
      <c r="O55" s="54"/>
      <c r="P55" s="54"/>
      <c r="Q55" s="54"/>
      <c r="R55" s="57"/>
      <c r="S55" s="58"/>
      <c r="T55" s="59"/>
      <c r="V55" s="8">
        <f>IFERROR(VLOOKUP(A55,'[43]Consolidated IS'!$A$20:$M$193,13,FALSE),0)</f>
        <v>0</v>
      </c>
      <c r="W55" s="1251">
        <f t="shared" si="8"/>
        <v>0</v>
      </c>
    </row>
    <row r="56" spans="1:25" hidden="1">
      <c r="A56" s="35">
        <v>59400</v>
      </c>
      <c r="B56" s="7" t="s">
        <v>50</v>
      </c>
      <c r="C56" s="38">
        <f>+IFERROR(VLOOKUP(A56,'2120_IS'!$D:$AH,31,FALSE),0)</f>
        <v>0</v>
      </c>
      <c r="D56" s="42"/>
      <c r="E56" s="39">
        <f>SUM(C56:D56)</f>
        <v>0</v>
      </c>
      <c r="F56" s="40"/>
      <c r="G56" s="42"/>
      <c r="H56" s="39">
        <f>C56+D56+G56</f>
        <v>0</v>
      </c>
      <c r="I56" s="39"/>
      <c r="J56" s="38"/>
      <c r="K56" s="38"/>
      <c r="L56" s="38"/>
      <c r="M56" s="62" t="s">
        <v>28</v>
      </c>
      <c r="N56" s="8">
        <f t="shared" ref="N56:N57" si="26">H56-J56-K56-L56</f>
        <v>0</v>
      </c>
      <c r="O56" s="36">
        <f t="shared" ref="O56:O57" si="27">J56</f>
        <v>0</v>
      </c>
      <c r="P56" s="38"/>
      <c r="Q56" s="38"/>
      <c r="S56" s="8">
        <f>SUM(P56:Q56)-O56</f>
        <v>0</v>
      </c>
      <c r="T56" s="47">
        <f>C56+D56+G56-J56-K56-L56</f>
        <v>0</v>
      </c>
      <c r="U56" s="13"/>
      <c r="V56" s="8">
        <f>IFERROR(VLOOKUP(A56,'[43]Consolidated IS'!$A$20:$M$193,13,FALSE),0)</f>
        <v>0</v>
      </c>
      <c r="W56" s="1251">
        <f t="shared" si="8"/>
        <v>0</v>
      </c>
      <c r="X56" s="13"/>
      <c r="Y56" s="13"/>
    </row>
    <row r="57" spans="1:25" hidden="1">
      <c r="A57" s="35">
        <v>59401</v>
      </c>
      <c r="B57" s="7" t="s">
        <v>51</v>
      </c>
      <c r="C57" s="38">
        <f>+IFERROR(VLOOKUP(A57,'2120_IS'!$D:$AH,31,FALSE),0)</f>
        <v>0</v>
      </c>
      <c r="D57" s="42"/>
      <c r="E57" s="39">
        <f>SUM(C57:D57)</f>
        <v>0</v>
      </c>
      <c r="F57" s="40"/>
      <c r="G57" s="42"/>
      <c r="H57" s="39">
        <f>C57+D57+G57</f>
        <v>0</v>
      </c>
      <c r="I57" s="39"/>
      <c r="J57" s="38"/>
      <c r="K57" s="38"/>
      <c r="L57" s="38"/>
      <c r="M57" s="62" t="s">
        <v>28</v>
      </c>
      <c r="N57" s="8">
        <f t="shared" si="26"/>
        <v>0</v>
      </c>
      <c r="O57" s="36">
        <f t="shared" si="27"/>
        <v>0</v>
      </c>
      <c r="P57" s="38"/>
      <c r="Q57" s="38"/>
      <c r="S57" s="8">
        <f>SUM(P57:Q57)-O57</f>
        <v>0</v>
      </c>
      <c r="T57" s="47">
        <f>C57+D57+G57-J57-K57-L57</f>
        <v>0</v>
      </c>
      <c r="U57" s="13"/>
      <c r="V57" s="8">
        <f>IFERROR(VLOOKUP(A57,'[43]Consolidated IS'!$A$20:$M$193,13,FALSE),0)</f>
        <v>0</v>
      </c>
      <c r="W57" s="1251">
        <f t="shared" si="8"/>
        <v>0</v>
      </c>
      <c r="X57" s="13"/>
      <c r="Y57" s="13"/>
    </row>
    <row r="58" spans="1:25" hidden="1">
      <c r="A58" s="71">
        <v>41340</v>
      </c>
      <c r="B58" s="2" t="s">
        <v>49</v>
      </c>
      <c r="C58" s="43">
        <f>SUM(C56:C57)</f>
        <v>0</v>
      </c>
      <c r="D58" s="43">
        <f>SUM(D56:D57)</f>
        <v>0</v>
      </c>
      <c r="E58" s="43">
        <f>SUM(E56:E57)</f>
        <v>0</v>
      </c>
      <c r="F58" s="44"/>
      <c r="G58" s="43">
        <f>SUM(G56:G57)</f>
        <v>0</v>
      </c>
      <c r="H58" s="43">
        <f>SUM(H56:H57)</f>
        <v>0</v>
      </c>
      <c r="I58" s="43"/>
      <c r="J58" s="43">
        <f>SUM(J56:J57)</f>
        <v>0</v>
      </c>
      <c r="K58" s="43">
        <f>SUM(K56:K57)</f>
        <v>0</v>
      </c>
      <c r="L58" s="43">
        <f>SUM(L56:L57)</f>
        <v>0</v>
      </c>
      <c r="M58" s="45"/>
      <c r="N58" s="64"/>
      <c r="O58" s="43"/>
      <c r="P58" s="43"/>
      <c r="Q58" s="43"/>
      <c r="R58" s="76"/>
      <c r="S58" s="64">
        <f>SUM(P58:Q58)-O58</f>
        <v>0</v>
      </c>
      <c r="T58" s="45">
        <f>C58+D58+G58-J58-K58-L58</f>
        <v>0</v>
      </c>
      <c r="V58" s="8">
        <f>IFERROR(VLOOKUP(A58,'[43]Consolidated IS'!$A$20:$M$193,13,FALSE),0)</f>
        <v>0</v>
      </c>
      <c r="W58" s="1251">
        <f t="shared" si="8"/>
        <v>0</v>
      </c>
    </row>
    <row r="59" spans="1:25">
      <c r="A59" s="71"/>
      <c r="B59" s="2"/>
      <c r="C59" s="66"/>
      <c r="D59" s="66"/>
      <c r="E59" s="66"/>
      <c r="F59" s="67"/>
      <c r="G59" s="66"/>
      <c r="H59" s="66"/>
      <c r="I59" s="66"/>
      <c r="J59" s="66"/>
      <c r="K59" s="66"/>
      <c r="L59" s="66"/>
      <c r="M59" s="3"/>
      <c r="O59" s="66"/>
      <c r="P59" s="66"/>
      <c r="Q59" s="66"/>
      <c r="T59" s="47"/>
      <c r="V59" s="8">
        <f>IFERROR(VLOOKUP(A59,'[43]Consolidated IS'!$A$20:$M$193,13,FALSE),0)</f>
        <v>0</v>
      </c>
      <c r="W59" s="1251">
        <f t="shared" si="8"/>
        <v>0</v>
      </c>
    </row>
    <row r="60" spans="1:25">
      <c r="A60" s="68">
        <v>41600</v>
      </c>
      <c r="B60" s="53"/>
      <c r="C60" s="54"/>
      <c r="D60" s="55"/>
      <c r="E60" s="55"/>
      <c r="F60" s="56"/>
      <c r="G60" s="55"/>
      <c r="H60" s="55"/>
      <c r="I60" s="55"/>
      <c r="J60" s="54"/>
      <c r="K60" s="54"/>
      <c r="L60" s="54"/>
      <c r="M60" s="57"/>
      <c r="N60" s="58"/>
      <c r="O60" s="54"/>
      <c r="P60" s="54"/>
      <c r="Q60" s="54"/>
      <c r="R60" s="57"/>
      <c r="S60" s="58"/>
      <c r="T60" s="59"/>
      <c r="V60" s="8"/>
      <c r="W60" s="1251"/>
    </row>
    <row r="61" spans="1:25">
      <c r="A61" s="35">
        <v>52140</v>
      </c>
      <c r="B61" s="7" t="s">
        <v>52</v>
      </c>
      <c r="C61" s="38">
        <f>+IFERROR(VLOOKUP(A61,'2120_IS'!$D:$AH,31,FALSE),0)</f>
        <v>37617.020000000004</v>
      </c>
      <c r="D61" s="42"/>
      <c r="E61" s="39">
        <f>SUM(C61:D61)</f>
        <v>37617.020000000004</v>
      </c>
      <c r="F61" s="40"/>
      <c r="G61" s="42"/>
      <c r="H61" s="39">
        <f>C61+D61+G61</f>
        <v>37617.020000000004</v>
      </c>
      <c r="I61" s="39"/>
      <c r="J61" s="200">
        <f>IF(($H61=0),0,IF(($M61="Actual"),"Actual",(VLOOKUP($M61,Ratios!$A$87:$D$90,2,FALSE)*$H61)))</f>
        <v>34591.00141697417</v>
      </c>
      <c r="K61" s="200">
        <f>IF(($H61=0),0,IF(($M61="Actual"),"Actual",(VLOOKUP($M61,Ratios!$A$87:$D$90,3,FALSE)*$H61)))</f>
        <v>2803.9254760147605</v>
      </c>
      <c r="L61" s="200">
        <f>IF(($H61=0),0,IF(($M61="Actual"),"Actual",(VLOOKUP($M61,Ratios!$A$87:$D$90,4,FALSE)*$H61)))</f>
        <v>222.09310701107012</v>
      </c>
      <c r="M61" s="1148" t="s">
        <v>28</v>
      </c>
      <c r="N61" s="8">
        <f t="shared" ref="N61" si="28">H61-J61-K61-L61</f>
        <v>3.5811353882309049E-12</v>
      </c>
      <c r="O61" s="36">
        <f>J61</f>
        <v>34591.00141697417</v>
      </c>
      <c r="P61" s="200">
        <f>J61*Ratios!$N$43</f>
        <v>34535.478140221399</v>
      </c>
      <c r="Q61" s="200">
        <f>O61-P61</f>
        <v>55.523276752770471</v>
      </c>
      <c r="R61" s="1138" t="s">
        <v>28</v>
      </c>
      <c r="S61" s="8">
        <f>SUM(P61:Q61)-O61</f>
        <v>0</v>
      </c>
      <c r="T61" s="47">
        <f>C61+D61+G61-J61-K61-L61</f>
        <v>3.5811353882309049E-12</v>
      </c>
      <c r="U61" s="13"/>
      <c r="V61" s="8">
        <f>IFERROR(VLOOKUP(A61,'[43]Consolidated IS'!$A$20:$M$193,13,FALSE),0)</f>
        <v>27190.7684341637</v>
      </c>
      <c r="W61" s="1251">
        <f t="shared" si="8"/>
        <v>7400.2329828104703</v>
      </c>
      <c r="X61" s="13"/>
      <c r="Y61" s="13"/>
    </row>
    <row r="62" spans="1:25">
      <c r="A62" s="71">
        <v>41600</v>
      </c>
      <c r="B62" s="2" t="s">
        <v>26</v>
      </c>
      <c r="C62" s="43">
        <f>SUM(C61)</f>
        <v>37617.020000000004</v>
      </c>
      <c r="D62" s="43">
        <f>SUM(D61:D61)</f>
        <v>0</v>
      </c>
      <c r="E62" s="43">
        <f>SUM(E61)</f>
        <v>37617.020000000004</v>
      </c>
      <c r="F62" s="44"/>
      <c r="G62" s="43">
        <f>SUM(G61:G61)</f>
        <v>0</v>
      </c>
      <c r="H62" s="43">
        <f>SUM(H61:H61)</f>
        <v>37617.020000000004</v>
      </c>
      <c r="I62" s="43"/>
      <c r="J62" s="43">
        <f>SUM(J61:J61)</f>
        <v>34591.00141697417</v>
      </c>
      <c r="K62" s="43">
        <f>SUM(K61:K61)</f>
        <v>2803.9254760147605</v>
      </c>
      <c r="L62" s="43">
        <f>SUM(L61:L61)</f>
        <v>222.09310701107012</v>
      </c>
      <c r="M62" s="45"/>
      <c r="N62" s="64"/>
      <c r="O62" s="43">
        <f>SUM(O61)</f>
        <v>34591.00141697417</v>
      </c>
      <c r="P62" s="43">
        <f>SUM(P61)</f>
        <v>34535.478140221399</v>
      </c>
      <c r="Q62" s="43">
        <f>SUM(Q61)</f>
        <v>55.523276752770471</v>
      </c>
      <c r="R62" s="76"/>
      <c r="S62" s="64">
        <f>SUM(P62:Q62)-O62</f>
        <v>0</v>
      </c>
      <c r="T62" s="45">
        <f>C62+D62+G62-J62-K62-L62</f>
        <v>3.5811353882309049E-12</v>
      </c>
      <c r="V62" s="8"/>
      <c r="W62" s="1251"/>
    </row>
    <row r="63" spans="1:25">
      <c r="A63" s="71"/>
      <c r="B63" s="2"/>
      <c r="C63" s="66"/>
      <c r="D63" s="66"/>
      <c r="E63" s="66"/>
      <c r="F63" s="67"/>
      <c r="G63" s="66"/>
      <c r="H63" s="66"/>
      <c r="I63" s="66"/>
      <c r="J63" s="66"/>
      <c r="K63" s="66"/>
      <c r="L63" s="66"/>
      <c r="M63" s="3"/>
      <c r="O63" s="66"/>
      <c r="P63" s="66"/>
      <c r="Q63" s="66"/>
      <c r="T63" s="47"/>
      <c r="V63" s="8">
        <f>IFERROR(VLOOKUP(A63,'[43]Consolidated IS'!$A$20:$M$193,13,FALSE),0)</f>
        <v>0</v>
      </c>
      <c r="W63" s="1251">
        <f t="shared" si="8"/>
        <v>0</v>
      </c>
    </row>
    <row r="64" spans="1:25">
      <c r="A64" s="68">
        <v>41800</v>
      </c>
      <c r="B64" s="52" t="s">
        <v>53</v>
      </c>
      <c r="C64" s="73"/>
      <c r="D64" s="55"/>
      <c r="E64" s="55"/>
      <c r="F64" s="56"/>
      <c r="G64" s="55"/>
      <c r="H64" s="55"/>
      <c r="I64" s="55"/>
      <c r="J64" s="73"/>
      <c r="K64" s="73"/>
      <c r="L64" s="73"/>
      <c r="M64" s="57"/>
      <c r="N64" s="58"/>
      <c r="O64" s="73"/>
      <c r="P64" s="73"/>
      <c r="Q64" s="73"/>
      <c r="R64" s="57"/>
      <c r="S64" s="58"/>
      <c r="T64" s="59"/>
      <c r="V64" s="8"/>
      <c r="W64" s="1251"/>
    </row>
    <row r="65" spans="1:25">
      <c r="A65" s="69">
        <v>52175</v>
      </c>
      <c r="B65" s="7" t="s">
        <v>57</v>
      </c>
      <c r="C65" s="38">
        <f>+IFERROR(VLOOKUP(A65,'2120_IS'!$D:$AH,31,FALSE),0)</f>
        <v>1005.9</v>
      </c>
      <c r="D65" s="42"/>
      <c r="E65" s="39">
        <f t="shared" ref="E65:E67" si="29">SUM(C65:D65)</f>
        <v>1005.9</v>
      </c>
      <c r="F65" s="40"/>
      <c r="G65" s="42"/>
      <c r="H65" s="39">
        <f>C65+D65+G65</f>
        <v>1005.9</v>
      </c>
      <c r="I65" s="39"/>
      <c r="J65" s="200">
        <f>IF(($H65=0),0,IF(($M65="Actual"),"Actual",(VLOOKUP($M65,Ratios!$A$87:$D$90,2,FALSE)*$H65)))</f>
        <v>924.98258302583019</v>
      </c>
      <c r="K65" s="200">
        <f>IF(($H65=0),0,IF(($M65="Actual"),"Actual",(VLOOKUP($M65,Ratios!$A$87:$D$90,3,FALSE)*$H65)))</f>
        <v>74.97852398523986</v>
      </c>
      <c r="L65" s="200">
        <f>IF(($H65=0),0,IF(($M65="Actual"),"Actual",(VLOOKUP($M65,Ratios!$A$87:$D$90,4,FALSE)*$H65)))</f>
        <v>5.9388929889298891</v>
      </c>
      <c r="M65" s="1148" t="s">
        <v>28</v>
      </c>
      <c r="N65" s="8">
        <f t="shared" ref="N65:N67" si="30">H65-J65-K65-L65</f>
        <v>3.2862601528904634E-14</v>
      </c>
      <c r="O65" s="36">
        <f t="shared" ref="O65:O67" si="31">J65</f>
        <v>924.98258302583019</v>
      </c>
      <c r="P65" s="200">
        <f>J65*Ratios!$N$43</f>
        <v>923.49785977859779</v>
      </c>
      <c r="Q65" s="200">
        <f>O65-P65</f>
        <v>1.4847232472324094</v>
      </c>
      <c r="R65" s="1138" t="s">
        <v>28</v>
      </c>
      <c r="S65" s="8">
        <f>SUM(P65:Q65)-O65</f>
        <v>0</v>
      </c>
      <c r="T65" s="47">
        <f>C65+D65+G65-J65-K65-L65</f>
        <v>3.2862601528904634E-14</v>
      </c>
      <c r="U65" s="13"/>
      <c r="V65" s="8">
        <f>IFERROR(VLOOKUP(A65,'[43]Consolidated IS'!$A$20:$M$193,13,FALSE),0)</f>
        <v>0</v>
      </c>
      <c r="W65" s="1251">
        <f t="shared" si="8"/>
        <v>924.98258302583019</v>
      </c>
      <c r="X65" s="13"/>
      <c r="Y65" s="13"/>
    </row>
    <row r="66" spans="1:25">
      <c r="A66" s="69">
        <v>52182</v>
      </c>
      <c r="B66" s="7" t="s">
        <v>58</v>
      </c>
      <c r="C66" s="38">
        <f>+IFERROR(VLOOKUP(A66,'2120_IS'!$D:$AH,31,FALSE),0)</f>
        <v>10189.49</v>
      </c>
      <c r="D66" s="42"/>
      <c r="E66" s="39">
        <f t="shared" si="29"/>
        <v>10189.49</v>
      </c>
      <c r="F66" s="40"/>
      <c r="G66" s="42"/>
      <c r="H66" s="39">
        <f t="shared" ref="H66:H67" si="32">C66+D66+G66</f>
        <v>10189.49</v>
      </c>
      <c r="I66" s="39"/>
      <c r="J66" s="200">
        <f>IF(($H66=0),0,IF(($M66="Actual"),"Actual",(VLOOKUP($M66,Ratios!$A$87:$D$90,2,FALSE)*$H66)))</f>
        <v>9369.8188487084863</v>
      </c>
      <c r="K66" s="200">
        <f>IF(($H66=0),0,IF(($M66="Actual"),"Actual",(VLOOKUP($M66,Ratios!$A$87:$D$90,3,FALSE)*$H66)))</f>
        <v>759.51180073800742</v>
      </c>
      <c r="L66" s="200">
        <f>IF(($H66=0),0,IF(($M66="Actual"),"Actual",(VLOOKUP($M66,Ratios!$A$87:$D$90,4,FALSE)*$H66)))</f>
        <v>60.159350553505533</v>
      </c>
      <c r="M66" s="1148" t="s">
        <v>28</v>
      </c>
      <c r="N66" s="8">
        <f t="shared" si="30"/>
        <v>5.6843418860808015E-13</v>
      </c>
      <c r="O66" s="36">
        <f t="shared" si="31"/>
        <v>9369.8188487084863</v>
      </c>
      <c r="P66" s="200">
        <f>J66*Ratios!$N$43</f>
        <v>9354.7790110701098</v>
      </c>
      <c r="Q66" s="200">
        <f>O66-P66</f>
        <v>15.039837638376412</v>
      </c>
      <c r="R66" s="1138" t="s">
        <v>28</v>
      </c>
      <c r="S66" s="8">
        <f>SUM(P66:Q66)-O66</f>
        <v>0</v>
      </c>
      <c r="T66" s="47">
        <f>C66+D66+G66-J66-K66-L66</f>
        <v>5.6843418860808015E-13</v>
      </c>
      <c r="U66" s="13"/>
      <c r="V66" s="8">
        <f>IFERROR(VLOOKUP(A66,'[43]Consolidated IS'!$A$20:$M$193,13,FALSE),0)</f>
        <v>8020.4554875444828</v>
      </c>
      <c r="W66" s="1251">
        <f t="shared" si="8"/>
        <v>1349.3633611640034</v>
      </c>
      <c r="X66" s="13"/>
      <c r="Y66" s="13"/>
    </row>
    <row r="67" spans="1:25">
      <c r="A67" s="69">
        <v>57254</v>
      </c>
      <c r="B67" s="7" t="s">
        <v>64</v>
      </c>
      <c r="C67" s="38">
        <f>+IFERROR(VLOOKUP(A67,'2120_IS'!$D:$AH,31,FALSE),0)</f>
        <v>10001.93</v>
      </c>
      <c r="D67" s="42"/>
      <c r="E67" s="39">
        <f t="shared" si="29"/>
        <v>10001.93</v>
      </c>
      <c r="F67" s="40"/>
      <c r="G67" s="42"/>
      <c r="H67" s="39">
        <f t="shared" si="32"/>
        <v>10001.93</v>
      </c>
      <c r="I67" s="39"/>
      <c r="J67" s="200">
        <f>IF(($H67=0),0,IF(($M67="Actual"),"Actual",(VLOOKUP($M67,Ratios!$A$87:$D$90,2,FALSE)*$H67)))</f>
        <v>9197.3467011070115</v>
      </c>
      <c r="K67" s="200">
        <f>IF(($H67=0),0,IF(($M67="Actual"),"Actual",(VLOOKUP($M67,Ratios!$A$87:$D$90,3,FALSE)*$H67)))</f>
        <v>745.53131365313664</v>
      </c>
      <c r="L67" s="200">
        <f>IF(($H67=0),0,IF(($M67="Actual"),"Actual",(VLOOKUP($M67,Ratios!$A$87:$D$90,4,FALSE)*$H67)))</f>
        <v>59.051985239852399</v>
      </c>
      <c r="M67" s="1148" t="s">
        <v>28</v>
      </c>
      <c r="N67" s="8">
        <f t="shared" si="30"/>
        <v>-2.8421709430404007E-13</v>
      </c>
      <c r="O67" s="36">
        <f t="shared" si="31"/>
        <v>9197.3467011070115</v>
      </c>
      <c r="P67" s="200">
        <f>J67*Ratios!$N$43</f>
        <v>9182.583704797049</v>
      </c>
      <c r="Q67" s="200">
        <f>O67-P67</f>
        <v>14.762996309962546</v>
      </c>
      <c r="R67" s="1138" t="s">
        <v>28</v>
      </c>
      <c r="S67" s="8">
        <f>SUM(P67:Q67)-O67</f>
        <v>0</v>
      </c>
      <c r="T67" s="47">
        <f>C67+D67+G67-J67-K67-L67</f>
        <v>-2.8421709430404007E-13</v>
      </c>
      <c r="U67" s="13"/>
      <c r="V67" s="8">
        <f>IFERROR(VLOOKUP(A67,'[43]Consolidated IS'!$A$20:$M$193,13,FALSE),0)</f>
        <v>11568.130548042704</v>
      </c>
      <c r="W67" s="1251">
        <f t="shared" si="8"/>
        <v>-2370.7838469356921</v>
      </c>
      <c r="X67" s="13"/>
      <c r="Y67" s="13"/>
    </row>
    <row r="68" spans="1:25">
      <c r="A68" s="71">
        <v>41800</v>
      </c>
      <c r="B68" s="2" t="s">
        <v>53</v>
      </c>
      <c r="C68" s="43">
        <f>SUM(C65:C67)</f>
        <v>21197.32</v>
      </c>
      <c r="D68" s="43">
        <f>SUM(D65:D67)</f>
        <v>0</v>
      </c>
      <c r="E68" s="43">
        <f>SUM(E65:E67)</f>
        <v>21197.32</v>
      </c>
      <c r="F68" s="44"/>
      <c r="G68" s="43">
        <f>SUM(G65:G67)</f>
        <v>0</v>
      </c>
      <c r="H68" s="43">
        <f>SUM(H65:H67)</f>
        <v>21197.32</v>
      </c>
      <c r="I68" s="43"/>
      <c r="J68" s="43">
        <f>SUM(J65:J67)</f>
        <v>19492.148132841328</v>
      </c>
      <c r="K68" s="43">
        <f>SUM(K65:K67)</f>
        <v>1580.0216383763841</v>
      </c>
      <c r="L68" s="43">
        <f>SUM(L65:L67)</f>
        <v>125.15022878228783</v>
      </c>
      <c r="M68" s="45"/>
      <c r="N68" s="64"/>
      <c r="O68" s="43">
        <f>SUM(O65:O67)</f>
        <v>19492.148132841328</v>
      </c>
      <c r="P68" s="43">
        <f>SUM(P65:P67)</f>
        <v>19460.860575645755</v>
      </c>
      <c r="Q68" s="43">
        <f>SUM(Q65:Q67)</f>
        <v>31.287557195571367</v>
      </c>
      <c r="R68" s="76"/>
      <c r="S68" s="64">
        <f>SUM(P68:Q68)-O68</f>
        <v>0</v>
      </c>
      <c r="T68" s="45">
        <f>C68+D68+G68-J68-K68-L68</f>
        <v>-5.4001247917767614E-13</v>
      </c>
      <c r="V68" s="8"/>
      <c r="W68" s="1251"/>
    </row>
    <row r="69" spans="1:25">
      <c r="C69" s="38"/>
      <c r="D69" s="42"/>
      <c r="E69" s="42"/>
      <c r="G69" s="42"/>
      <c r="H69" s="42"/>
      <c r="I69" s="42"/>
      <c r="J69" s="38"/>
      <c r="K69" s="38"/>
      <c r="L69" s="38"/>
      <c r="O69" s="38"/>
      <c r="P69" s="38"/>
      <c r="Q69" s="38"/>
      <c r="T69" s="47"/>
      <c r="V69" s="8">
        <f>IFERROR(VLOOKUP(A69,'[43]Consolidated IS'!$A$20:$M$193,13,FALSE),0)</f>
        <v>0</v>
      </c>
      <c r="W69" s="1251">
        <f t="shared" si="8"/>
        <v>0</v>
      </c>
    </row>
    <row r="70" spans="1:25">
      <c r="A70" s="68">
        <v>42100</v>
      </c>
      <c r="B70" s="52" t="s">
        <v>65</v>
      </c>
      <c r="C70" s="54"/>
      <c r="D70" s="55"/>
      <c r="E70" s="55"/>
      <c r="F70" s="56"/>
      <c r="G70" s="55"/>
      <c r="H70" s="55"/>
      <c r="I70" s="55"/>
      <c r="J70" s="54"/>
      <c r="K70" s="54"/>
      <c r="L70" s="54"/>
      <c r="M70" s="57"/>
      <c r="N70" s="58"/>
      <c r="O70" s="54"/>
      <c r="P70" s="54"/>
      <c r="Q70" s="54"/>
      <c r="R70" s="57"/>
      <c r="S70" s="58"/>
      <c r="T70" s="59"/>
      <c r="V70" s="8"/>
      <c r="W70" s="1251"/>
    </row>
    <row r="71" spans="1:25">
      <c r="A71" s="35">
        <v>56010</v>
      </c>
      <c r="B71" s="7" t="s">
        <v>66</v>
      </c>
      <c r="C71" s="38">
        <f>+IFERROR(VLOOKUP(A71,'2120_IS'!$D:$AH,31,FALSE),0)</f>
        <v>45254.689999999995</v>
      </c>
      <c r="D71" s="1113">
        <f>'Restating Adj''s'!R25</f>
        <v>1072.958116438356</v>
      </c>
      <c r="E71" s="39">
        <f>SUM(C71:D71)</f>
        <v>46327.648116438351</v>
      </c>
      <c r="F71" s="1226" t="s">
        <v>67</v>
      </c>
      <c r="G71" s="39">
        <f>'Pro-forma Adj''s'!B10</f>
        <v>1767.4004529109586</v>
      </c>
      <c r="H71" s="39">
        <f>C71+D71+G71</f>
        <v>48095.04856934931</v>
      </c>
      <c r="I71" s="39"/>
      <c r="J71" s="200">
        <f>IF(($H71=0),0,IF(($M71="Actual"),"Actual",(VLOOKUP($M71,Ratios!$A$87:$D$90,2,FALSE)*$H71)))</f>
        <v>44226.14798332785</v>
      </c>
      <c r="K71" s="200">
        <f>IF(($H71=0),0,IF(($M71="Actual"),"Actual",(VLOOKUP($M71,Ratios!$A$87:$D$90,3,FALSE)*$H71)))</f>
        <v>3584.9445797079561</v>
      </c>
      <c r="L71" s="200">
        <f>IF(($H71=0),0,IF(($M71="Actual"),"Actual",(VLOOKUP($M71,Ratios!$A$87:$D$90,4,FALSE)*$H71)))</f>
        <v>283.95600631350146</v>
      </c>
      <c r="M71" s="1148" t="s">
        <v>28</v>
      </c>
      <c r="N71" s="8">
        <f t="shared" ref="N71:N72" si="33">H71-J71-K71-L71</f>
        <v>2.6147972675971687E-12</v>
      </c>
      <c r="O71" s="36">
        <f t="shared" ref="O71:O72" si="34">J71</f>
        <v>44226.14798332785</v>
      </c>
      <c r="P71" s="200">
        <f>J71*Ratios!$N$43</f>
        <v>44155.158981749475</v>
      </c>
      <c r="Q71" s="200">
        <f>O71-P71</f>
        <v>70.989001578374882</v>
      </c>
      <c r="R71" s="1138" t="s">
        <v>28</v>
      </c>
      <c r="S71" s="8">
        <f>SUM(P71:Q71)-O71</f>
        <v>0</v>
      </c>
      <c r="T71" s="47">
        <f>C71+D71+G71-J71-K71-L71</f>
        <v>2.6147972675971687E-12</v>
      </c>
      <c r="U71" s="13"/>
      <c r="V71" s="8">
        <f>IFERROR(VLOOKUP(A71,'[43]Consolidated IS'!$A$20:$M$193,13,FALSE),0)</f>
        <v>99968.759338078278</v>
      </c>
      <c r="W71" s="1426">
        <f t="shared" si="8"/>
        <v>-55742.611354750428</v>
      </c>
      <c r="X71" s="13"/>
      <c r="Y71" s="13"/>
    </row>
    <row r="72" spans="1:25">
      <c r="A72" s="35">
        <v>56065</v>
      </c>
      <c r="B72" s="7" t="s">
        <v>37</v>
      </c>
      <c r="C72" s="38">
        <f>+IFERROR(VLOOKUP(A72,'2120_IS'!$D:$AH,31,FALSE),0)</f>
        <v>1816.33</v>
      </c>
      <c r="D72" s="39"/>
      <c r="E72" s="39">
        <f>SUM(C72:D72)</f>
        <v>1816.33</v>
      </c>
      <c r="F72" s="40"/>
      <c r="G72" s="39"/>
      <c r="H72" s="39">
        <f>C72+D72+G72</f>
        <v>1816.33</v>
      </c>
      <c r="I72" s="39"/>
      <c r="J72" s="200">
        <f>IF(($H72=0),0,IF(($M72="Actual"),"Actual",(VLOOKUP($M72,Ratios!$A$87:$D$90,2,FALSE)*$H72)))</f>
        <v>1670.2193210332102</v>
      </c>
      <c r="K72" s="200">
        <f>IF(($H72=0),0,IF(($M72="Actual"),"Actual",(VLOOKUP($M72,Ratios!$A$87:$D$90,3,FALSE)*$H72)))</f>
        <v>135.38695940959408</v>
      </c>
      <c r="L72" s="200">
        <f>IF(($H72=0),0,IF(($M72="Actual"),"Actual",(VLOOKUP($M72,Ratios!$A$87:$D$90,4,FALSE)*$H72)))</f>
        <v>10.723719557195571</v>
      </c>
      <c r="M72" s="1148" t="s">
        <v>28</v>
      </c>
      <c r="N72" s="8">
        <f t="shared" si="33"/>
        <v>3.730349362740526E-14</v>
      </c>
      <c r="O72" s="36">
        <f t="shared" si="34"/>
        <v>1670.2193210332102</v>
      </c>
      <c r="P72" s="200">
        <f>J72*Ratios!$N$43</f>
        <v>1667.5383911439114</v>
      </c>
      <c r="Q72" s="200">
        <f>O72-P72</f>
        <v>2.6809298892987954</v>
      </c>
      <c r="R72" s="1138" t="s">
        <v>28</v>
      </c>
      <c r="S72" s="8">
        <f>SUM(P72:Q72)-O72</f>
        <v>0</v>
      </c>
      <c r="T72" s="47">
        <f>C72+D72+G72-J72-K72-L72</f>
        <v>3.730349362740526E-14</v>
      </c>
      <c r="U72" s="13"/>
      <c r="V72" s="8">
        <f>IFERROR(VLOOKUP(A72,'[43]Consolidated IS'!$A$20:$M$193,13,FALSE),0)</f>
        <v>-898.20389323843381</v>
      </c>
      <c r="W72" s="1426">
        <f t="shared" si="8"/>
        <v>2568.4232142716442</v>
      </c>
      <c r="X72" s="13"/>
      <c r="Y72" s="13"/>
    </row>
    <row r="73" spans="1:25">
      <c r="A73" s="63">
        <v>42100</v>
      </c>
      <c r="B73" s="77" t="s">
        <v>65</v>
      </c>
      <c r="C73" s="43">
        <f>SUM(C71:C72)</f>
        <v>47071.02</v>
      </c>
      <c r="D73" s="43">
        <f>SUM(D71:D72)</f>
        <v>1072.958116438356</v>
      </c>
      <c r="E73" s="43">
        <f>SUM(E71:E72)</f>
        <v>48143.978116438353</v>
      </c>
      <c r="F73" s="44"/>
      <c r="G73" s="43">
        <f>SUM(G71:G72)</f>
        <v>1767.4004529109586</v>
      </c>
      <c r="H73" s="43">
        <f>SUM(H71:H72)</f>
        <v>49911.378569349312</v>
      </c>
      <c r="I73" s="43"/>
      <c r="J73" s="43">
        <f>SUM(J71:J72)</f>
        <v>45896.367304361062</v>
      </c>
      <c r="K73" s="43">
        <f>SUM(K71:K72)</f>
        <v>3720.3315391175502</v>
      </c>
      <c r="L73" s="43">
        <f>SUM(L71:L72)</f>
        <v>294.67972587069704</v>
      </c>
      <c r="M73" s="45"/>
      <c r="N73" s="64"/>
      <c r="O73" s="43">
        <f>SUM(O71:O72)</f>
        <v>45896.367304361062</v>
      </c>
      <c r="P73" s="43">
        <f>SUM(P71:P72)</f>
        <v>45822.697372893388</v>
      </c>
      <c r="Q73" s="43">
        <f>SUM(Q71:Q72)</f>
        <v>73.669931467673678</v>
      </c>
      <c r="R73" s="45"/>
      <c r="S73" s="64">
        <f>SUM(P73:Q73)-O73</f>
        <v>0</v>
      </c>
      <c r="T73" s="45">
        <f>C73+D73+G73-J73-K73-L73</f>
        <v>3.1263880373444408E-12</v>
      </c>
      <c r="V73" s="8"/>
      <c r="W73" s="1251"/>
    </row>
    <row r="74" spans="1:25">
      <c r="A74" s="63"/>
      <c r="B74" s="77"/>
      <c r="C74" s="66"/>
      <c r="D74" s="66"/>
      <c r="E74" s="66"/>
      <c r="F74" s="67"/>
      <c r="G74" s="66"/>
      <c r="H74" s="66"/>
      <c r="I74" s="66"/>
      <c r="J74" s="66"/>
      <c r="K74" s="66"/>
      <c r="L74" s="66"/>
      <c r="M74" s="3"/>
      <c r="O74" s="66"/>
      <c r="P74" s="66"/>
      <c r="Q74" s="66"/>
      <c r="T74" s="47"/>
      <c r="V74" s="8">
        <f>IFERROR(VLOOKUP(A74,'[43]Consolidated IS'!$A$20:$M$193,13,FALSE),0)</f>
        <v>0</v>
      </c>
      <c r="W74" s="1251">
        <f t="shared" si="8"/>
        <v>0</v>
      </c>
    </row>
    <row r="75" spans="1:25" ht="12" customHeight="1">
      <c r="A75" s="68">
        <v>42300</v>
      </c>
      <c r="B75" s="52" t="s">
        <v>68</v>
      </c>
      <c r="C75" s="54"/>
      <c r="D75" s="55"/>
      <c r="E75" s="55"/>
      <c r="F75" s="56"/>
      <c r="G75" s="55"/>
      <c r="H75" s="55"/>
      <c r="I75" s="55"/>
      <c r="J75" s="54"/>
      <c r="K75" s="54"/>
      <c r="L75" s="54"/>
      <c r="M75" s="57"/>
      <c r="N75" s="58"/>
      <c r="O75" s="54"/>
      <c r="P75" s="54"/>
      <c r="Q75" s="54"/>
      <c r="R75" s="57"/>
      <c r="S75" s="58"/>
      <c r="T75" s="59"/>
      <c r="V75" s="8"/>
      <c r="W75" s="1251"/>
    </row>
    <row r="76" spans="1:25">
      <c r="A76" s="69">
        <v>50020</v>
      </c>
      <c r="B76" s="7" t="s">
        <v>40</v>
      </c>
      <c r="C76" s="38">
        <f>+IFERROR(VLOOKUP(A76,'2120_IS'!$D:$AH,31,FALSE),0)</f>
        <v>392964.18999999994</v>
      </c>
      <c r="D76" s="39">
        <f>'Restating Adj''s'!R26</f>
        <v>12769.254134932602</v>
      </c>
      <c r="E76" s="39">
        <f t="shared" ref="E76:E80" si="35">SUM(C76:D76)</f>
        <v>405733.44413493254</v>
      </c>
      <c r="F76" s="1226" t="s">
        <v>67</v>
      </c>
      <c r="G76" s="39">
        <f>'Pro-forma Adj''s'!B8</f>
        <v>16523.8378260141</v>
      </c>
      <c r="H76" s="39">
        <f t="shared" ref="H76:H80" si="36">C76+D76+G76</f>
        <v>422257.28196094662</v>
      </c>
      <c r="I76" s="39"/>
      <c r="J76" s="200">
        <f>IF(($H76=0),0,IF(($M76="Actual"),"Actual",(VLOOKUP($M76,Ratios!$A$87:$D$90,2,FALSE)*$H76)))</f>
        <v>388289.72200984461</v>
      </c>
      <c r="K76" s="200">
        <f>IF(($H76=0),0,IF(($M76="Actual"),"Actual",(VLOOKUP($M76,Ratios!$A$87:$D$90,3,FALSE)*$H76)))</f>
        <v>31474.528028085322</v>
      </c>
      <c r="L76" s="200">
        <f>IF(($H76=0),0,IF(($M76="Actual"),"Actual",(VLOOKUP($M76,Ratios!$A$87:$D$90,4,FALSE)*$H76)))</f>
        <v>2493.0319230166588</v>
      </c>
      <c r="M76" s="1148" t="s">
        <v>28</v>
      </c>
      <c r="N76" s="8">
        <f t="shared" ref="N76:N80" si="37">H76-J76-K76-L76</f>
        <v>3.092281986027956E-11</v>
      </c>
      <c r="O76" s="36">
        <f t="shared" ref="O76:O80" si="38">J76</f>
        <v>388289.72200984461</v>
      </c>
      <c r="P76" s="200">
        <f>J76*Ratios!$N$43</f>
        <v>387666.46402909048</v>
      </c>
      <c r="Q76" s="200">
        <f>O76-P76</f>
        <v>623.25798075413331</v>
      </c>
      <c r="R76" s="1138" t="s">
        <v>28</v>
      </c>
      <c r="S76" s="8">
        <f t="shared" ref="S76:S81" si="39">SUM(P76:Q76)-O76</f>
        <v>0</v>
      </c>
      <c r="T76" s="47">
        <f t="shared" ref="T76:T81" si="40">C76+D76+G76-J76-K76-L76</f>
        <v>3.092281986027956E-11</v>
      </c>
      <c r="U76" s="13"/>
      <c r="V76" s="8">
        <f>IFERROR(VLOOKUP(A76,'[43]Consolidated IS'!$A$20:$M$193,13,FALSE),0)</f>
        <v>357744.30563199893</v>
      </c>
      <c r="W76" s="1426">
        <f t="shared" si="8"/>
        <v>30545.416377845686</v>
      </c>
      <c r="X76" s="13"/>
      <c r="Y76" s="13"/>
    </row>
    <row r="77" spans="1:25">
      <c r="A77" s="69">
        <v>50025</v>
      </c>
      <c r="B77" s="7" t="s">
        <v>69</v>
      </c>
      <c r="C77" s="38">
        <f>+IFERROR(VLOOKUP(A77,'2120_IS'!$D:$AH,31,FALSE),0)</f>
        <v>42773.47</v>
      </c>
      <c r="D77" s="70"/>
      <c r="E77" s="39">
        <f t="shared" si="35"/>
        <v>42773.47</v>
      </c>
      <c r="F77" s="40"/>
      <c r="G77" s="42"/>
      <c r="H77" s="39">
        <f>C77+D77+G77</f>
        <v>42773.47</v>
      </c>
      <c r="I77" s="39"/>
      <c r="J77" s="200">
        <f>IF(($H77=0),0,IF(($M77="Actual"),"Actual",(VLOOKUP($M77,Ratios!$A$87:$D$90,2,FALSE)*$H77)))</f>
        <v>39332.652118081183</v>
      </c>
      <c r="K77" s="200">
        <f>IF(($H77=0),0,IF(($M77="Actual"),"Actual",(VLOOKUP($M77,Ratios!$A$87:$D$90,3,FALSE)*$H77)))</f>
        <v>3188.2807896678969</v>
      </c>
      <c r="L77" s="200">
        <f>IF(($H77=0),0,IF(($M77="Actual"),"Actual",(VLOOKUP($M77,Ratios!$A$87:$D$90,4,FALSE)*$H77)))</f>
        <v>252.53709225092251</v>
      </c>
      <c r="M77" s="1148" t="s">
        <v>28</v>
      </c>
      <c r="N77" s="8">
        <f t="shared" si="37"/>
        <v>-1.5347723092418164E-12</v>
      </c>
      <c r="O77" s="36">
        <f t="shared" si="38"/>
        <v>39332.652118081183</v>
      </c>
      <c r="P77" s="200">
        <f>J77*Ratios!$N$43</f>
        <v>39269.517845018454</v>
      </c>
      <c r="Q77" s="200">
        <f>O77-P77</f>
        <v>63.134273062729335</v>
      </c>
      <c r="R77" s="1138" t="s">
        <v>28</v>
      </c>
      <c r="S77" s="8">
        <f t="shared" si="39"/>
        <v>0</v>
      </c>
      <c r="T77" s="47">
        <f t="shared" si="40"/>
        <v>-1.5347723092418164E-12</v>
      </c>
      <c r="U77" s="13"/>
      <c r="V77" s="8">
        <f>IFERROR(VLOOKUP(A77,'[43]Consolidated IS'!$A$20:$M$193,13,FALSE),0)</f>
        <v>26159.654754448398</v>
      </c>
      <c r="W77" s="1426">
        <f t="shared" si="8"/>
        <v>13172.997363632785</v>
      </c>
      <c r="X77" s="13"/>
      <c r="Y77" s="13"/>
    </row>
    <row r="78" spans="1:25">
      <c r="A78" s="78">
        <v>50035</v>
      </c>
      <c r="B78" s="7" t="s">
        <v>35</v>
      </c>
      <c r="C78" s="38">
        <f>+IFERROR(VLOOKUP(A78,'2120_IS'!$D:$AH,31,FALSE),0)</f>
        <v>14333</v>
      </c>
      <c r="D78" s="42"/>
      <c r="E78" s="39">
        <f t="shared" si="35"/>
        <v>14333</v>
      </c>
      <c r="F78" s="40"/>
      <c r="G78" s="42"/>
      <c r="H78" s="39">
        <f t="shared" si="36"/>
        <v>14333</v>
      </c>
      <c r="I78" s="39"/>
      <c r="J78" s="200">
        <f>IF(($H78=0),0,IF(($M78="Actual"),"Actual",(VLOOKUP($M78,Ratios!$A$87:$D$90,2,FALSE)*$H78)))</f>
        <v>13180.013284132841</v>
      </c>
      <c r="K78" s="200">
        <f>IF(($H78=0),0,IF(($M78="Actual"),"Actual",(VLOOKUP($M78,Ratios!$A$87:$D$90,3,FALSE)*$H78)))</f>
        <v>1068.3638376383765</v>
      </c>
      <c r="L78" s="200">
        <f>IF(($H78=0),0,IF(($M78="Actual"),"Actual",(VLOOKUP($M78,Ratios!$A$87:$D$90,4,FALSE)*$H78)))</f>
        <v>84.622878228782284</v>
      </c>
      <c r="M78" s="1148" t="s">
        <v>28</v>
      </c>
      <c r="N78" s="8">
        <f t="shared" si="37"/>
        <v>-1.2789769243681803E-13</v>
      </c>
      <c r="O78" s="36">
        <f t="shared" si="38"/>
        <v>13180.013284132841</v>
      </c>
      <c r="P78" s="200">
        <f>J78*Ratios!$N$43</f>
        <v>13158.857564575646</v>
      </c>
      <c r="Q78" s="200">
        <f>O78-P78</f>
        <v>21.155719557194971</v>
      </c>
      <c r="R78" s="1138" t="s">
        <v>28</v>
      </c>
      <c r="S78" s="8">
        <f t="shared" si="39"/>
        <v>0</v>
      </c>
      <c r="T78" s="47">
        <f t="shared" si="40"/>
        <v>-1.2789769243681803E-13</v>
      </c>
      <c r="U78" s="13"/>
      <c r="V78" s="8">
        <f>IFERROR(VLOOKUP(A78,'[43]Consolidated IS'!$A$20:$M$193,13,FALSE),0)</f>
        <v>14883.233451957296</v>
      </c>
      <c r="W78" s="1426">
        <f t="shared" si="8"/>
        <v>-1703.2201678244546</v>
      </c>
      <c r="X78" s="13"/>
      <c r="Y78" s="13"/>
    </row>
    <row r="79" spans="1:25">
      <c r="A79" s="69">
        <v>50065</v>
      </c>
      <c r="B79" s="7" t="s">
        <v>37</v>
      </c>
      <c r="C79" s="38">
        <f>+IFERROR(VLOOKUP(A79,'2120_IS'!$D:$AH,31,FALSE),0)</f>
        <v>23130.309999999998</v>
      </c>
      <c r="D79" s="42"/>
      <c r="E79" s="39">
        <f t="shared" si="35"/>
        <v>23130.309999999998</v>
      </c>
      <c r="F79" s="40"/>
      <c r="G79" s="42"/>
      <c r="H79" s="39">
        <f>C79+D79+G79</f>
        <v>23130.309999999998</v>
      </c>
      <c r="I79" s="39"/>
      <c r="J79" s="200">
        <f>IF(($H79=0),0,IF(($M79="Actual"),"Actual",(VLOOKUP($M79,Ratios!$A$87:$D$90,2,FALSE)*$H79)))</f>
        <v>21269.642996309962</v>
      </c>
      <c r="K79" s="200">
        <f>IF(($H79=0),0,IF(($M79="Actual"),"Actual",(VLOOKUP($M79,Ratios!$A$87:$D$90,3,FALSE)*$H79)))</f>
        <v>1724.1042878228782</v>
      </c>
      <c r="L79" s="200">
        <f>IF(($H79=0),0,IF(($M79="Actual"),"Actual",(VLOOKUP($M79,Ratios!$A$87:$D$90,4,FALSE)*$H79)))</f>
        <v>136.56271586715866</v>
      </c>
      <c r="M79" s="1148" t="s">
        <v>28</v>
      </c>
      <c r="N79" s="8">
        <f t="shared" si="37"/>
        <v>-9.0949470177292824E-13</v>
      </c>
      <c r="O79" s="36">
        <f t="shared" si="38"/>
        <v>21269.642996309962</v>
      </c>
      <c r="P79" s="200">
        <f>J79*Ratios!$N$43</f>
        <v>21235.502317343173</v>
      </c>
      <c r="Q79" s="200">
        <f>O79-P79</f>
        <v>34.140678966788983</v>
      </c>
      <c r="R79" s="1138" t="s">
        <v>28</v>
      </c>
      <c r="S79" s="8">
        <f t="shared" si="39"/>
        <v>0</v>
      </c>
      <c r="T79" s="47">
        <f t="shared" si="40"/>
        <v>-9.0949470177292824E-13</v>
      </c>
      <c r="U79" s="13"/>
      <c r="V79" s="8">
        <f>IFERROR(VLOOKUP(A79,'[43]Consolidated IS'!$A$20:$M$193,13,FALSE),0)</f>
        <v>17610.799658362987</v>
      </c>
      <c r="W79" s="1426">
        <f t="shared" si="8"/>
        <v>3658.8433379469752</v>
      </c>
      <c r="X79" s="13"/>
      <c r="Y79" s="13"/>
    </row>
    <row r="80" spans="1:25">
      <c r="A80" s="69">
        <v>50070</v>
      </c>
      <c r="B80" s="7" t="s">
        <v>38</v>
      </c>
      <c r="C80" s="38">
        <f>+IFERROR(VLOOKUP(A80,'2120_IS'!$D:$AH,31,FALSE),0)</f>
        <v>8475.85</v>
      </c>
      <c r="D80" s="42"/>
      <c r="E80" s="39">
        <f t="shared" si="35"/>
        <v>8475.85</v>
      </c>
      <c r="F80" s="40"/>
      <c r="G80" s="42"/>
      <c r="H80" s="39">
        <f t="shared" si="36"/>
        <v>8475.85</v>
      </c>
      <c r="I80" s="39"/>
      <c r="J80" s="200">
        <f>IF(($H80=0),0,IF(($M80="Actual"),"Actual",(VLOOKUP($M80,Ratios!$A$87:$D$90,2,FALSE)*$H80)))</f>
        <v>7794.028856088561</v>
      </c>
      <c r="K80" s="200">
        <f>IF(($H80=0),0,IF(($M80="Actual"),"Actual",(VLOOKUP($M80,Ratios!$A$87:$D$90,3,FALSE)*$H80)))</f>
        <v>631.77922509225095</v>
      </c>
      <c r="L80" s="200">
        <f>IF(($H80=0),0,IF(($M80="Actual"),"Actual",(VLOOKUP($M80,Ratios!$A$87:$D$90,4,FALSE)*$H80)))</f>
        <v>50.04191881918819</v>
      </c>
      <c r="M80" s="1148" t="s">
        <v>28</v>
      </c>
      <c r="N80" s="8">
        <f t="shared" si="37"/>
        <v>1.7763568394002505E-13</v>
      </c>
      <c r="O80" s="36">
        <f t="shared" si="38"/>
        <v>7794.028856088561</v>
      </c>
      <c r="P80" s="200">
        <f>J80*Ratios!$N$43</f>
        <v>7781.518376383764</v>
      </c>
      <c r="Q80" s="200">
        <f>O80-P80</f>
        <v>12.510479704797035</v>
      </c>
      <c r="R80" s="1138" t="s">
        <v>28</v>
      </c>
      <c r="S80" s="8">
        <f t="shared" si="39"/>
        <v>0</v>
      </c>
      <c r="T80" s="47">
        <f t="shared" si="40"/>
        <v>1.7763568394002505E-13</v>
      </c>
      <c r="U80" s="13"/>
      <c r="V80" s="8">
        <f>IFERROR(VLOOKUP(A80,'[43]Consolidated IS'!$A$20:$M$193,13,FALSE),0)</f>
        <v>3425.6554448398579</v>
      </c>
      <c r="W80" s="1426">
        <f t="shared" si="8"/>
        <v>4368.3734112487036</v>
      </c>
      <c r="X80" s="13"/>
      <c r="Y80" s="13"/>
    </row>
    <row r="81" spans="1:25">
      <c r="A81" s="63">
        <v>42300</v>
      </c>
      <c r="B81" s="2" t="s">
        <v>70</v>
      </c>
      <c r="C81" s="43">
        <f>SUM(C76:C80)</f>
        <v>481676.81999999989</v>
      </c>
      <c r="D81" s="43">
        <f>SUM(D76:D80)</f>
        <v>12769.254134932602</v>
      </c>
      <c r="E81" s="43">
        <f>SUM(E76:E80)</f>
        <v>494446.07413493254</v>
      </c>
      <c r="F81" s="44"/>
      <c r="G81" s="43">
        <f>SUM(G76:G80)</f>
        <v>16523.8378260141</v>
      </c>
      <c r="H81" s="43">
        <f>SUM(H76:H80)</f>
        <v>510969.91196094657</v>
      </c>
      <c r="I81" s="43"/>
      <c r="J81" s="43">
        <f>SUM(J76:J80)</f>
        <v>469866.05926445714</v>
      </c>
      <c r="K81" s="43">
        <f>SUM(K76:K80)</f>
        <v>38087.056168306721</v>
      </c>
      <c r="L81" s="43">
        <f>SUM(L76:L80)</f>
        <v>3016.7965281827101</v>
      </c>
      <c r="M81" s="45"/>
      <c r="N81" s="64"/>
      <c r="O81" s="43">
        <f>SUM(O76:O80)</f>
        <v>469866.05926445714</v>
      </c>
      <c r="P81" s="43">
        <f>SUM(P76:P80)</f>
        <v>469111.86013241153</v>
      </c>
      <c r="Q81" s="43">
        <f>SUM(Q76:Q80)</f>
        <v>754.19913204564364</v>
      </c>
      <c r="R81" s="76"/>
      <c r="S81" s="64">
        <f t="shared" si="39"/>
        <v>0</v>
      </c>
      <c r="T81" s="45">
        <f t="shared" si="40"/>
        <v>-4.5474735088646412E-12</v>
      </c>
      <c r="U81" s="79"/>
      <c r="V81" s="8"/>
      <c r="W81" s="1251"/>
      <c r="X81" s="13"/>
      <c r="Y81" s="13"/>
    </row>
    <row r="82" spans="1:25">
      <c r="A82" s="63"/>
      <c r="B82" s="2"/>
      <c r="C82" s="66"/>
      <c r="D82" s="66"/>
      <c r="E82" s="66"/>
      <c r="F82" s="67"/>
      <c r="G82" s="66"/>
      <c r="H82" s="66"/>
      <c r="I82" s="66"/>
      <c r="J82" s="66"/>
      <c r="K82" s="66"/>
      <c r="L82" s="66"/>
      <c r="M82" s="3"/>
      <c r="O82" s="66"/>
      <c r="P82" s="66"/>
      <c r="Q82" s="66"/>
      <c r="T82" s="47"/>
      <c r="U82" s="79"/>
      <c r="V82" s="8">
        <f>IFERROR(VLOOKUP(A82,'[43]Consolidated IS'!$A$20:$M$193,13,FALSE),0)</f>
        <v>0</v>
      </c>
      <c r="W82" s="1251">
        <f t="shared" si="8"/>
        <v>0</v>
      </c>
      <c r="X82" s="13"/>
      <c r="Y82" s="13"/>
    </row>
    <row r="83" spans="1:25" hidden="1">
      <c r="A83" s="80">
        <v>42315</v>
      </c>
      <c r="B83" s="52" t="s">
        <v>54</v>
      </c>
      <c r="C83" s="73"/>
      <c r="D83" s="55"/>
      <c r="E83" s="55"/>
      <c r="F83" s="56"/>
      <c r="G83" s="55"/>
      <c r="H83" s="55"/>
      <c r="I83" s="55"/>
      <c r="J83" s="54"/>
      <c r="K83" s="54"/>
      <c r="L83" s="54"/>
      <c r="M83" s="57"/>
      <c r="N83" s="58"/>
      <c r="O83" s="54"/>
      <c r="P83" s="54"/>
      <c r="Q83" s="54"/>
      <c r="R83" s="57"/>
      <c r="S83" s="58"/>
      <c r="T83" s="59"/>
      <c r="V83" s="8">
        <f>IFERROR(VLOOKUP(A83,'[43]Consolidated IS'!$A$20:$M$193,13,FALSE),0)</f>
        <v>0</v>
      </c>
      <c r="W83" s="1251">
        <f t="shared" si="8"/>
        <v>0</v>
      </c>
    </row>
    <row r="84" spans="1:25" hidden="1">
      <c r="A84" s="60">
        <v>50045</v>
      </c>
      <c r="B84" s="7" t="s">
        <v>54</v>
      </c>
      <c r="C84" s="38">
        <f>+IFERROR(VLOOKUP(A84,'2120_IS'!$D:$AH,31,FALSE),0)</f>
        <v>0</v>
      </c>
      <c r="D84" s="42"/>
      <c r="E84" s="39">
        <f>SUM(C84:D84)</f>
        <v>0</v>
      </c>
      <c r="F84" s="40"/>
      <c r="G84" s="42"/>
      <c r="H84" s="39">
        <f>C84+D84+G84</f>
        <v>0</v>
      </c>
      <c r="I84" s="39"/>
      <c r="J84" s="38"/>
      <c r="K84" s="38"/>
      <c r="L84" s="38"/>
      <c r="M84" s="62" t="s">
        <v>28</v>
      </c>
      <c r="N84" s="8">
        <f t="shared" ref="N84:N85" si="41">H84-J84-K84-L84</f>
        <v>0</v>
      </c>
      <c r="O84" s="36">
        <f t="shared" ref="O84:O85" si="42">J84</f>
        <v>0</v>
      </c>
      <c r="P84" s="38"/>
      <c r="Q84" s="38"/>
      <c r="S84" s="8">
        <f>SUM(P84:Q84)-O84</f>
        <v>0</v>
      </c>
      <c r="T84" s="47">
        <f>C84+D84+G84-J84-K84-L84</f>
        <v>0</v>
      </c>
      <c r="V84" s="8">
        <f>IFERROR(VLOOKUP(A84,'[43]Consolidated IS'!$A$20:$M$193,13,FALSE),0)</f>
        <v>0</v>
      </c>
      <c r="W84" s="1251">
        <f t="shared" si="8"/>
        <v>0</v>
      </c>
    </row>
    <row r="85" spans="1:25" hidden="1">
      <c r="A85" s="60">
        <v>55045</v>
      </c>
      <c r="B85" s="7" t="s">
        <v>54</v>
      </c>
      <c r="C85" s="38">
        <f>+IFERROR(VLOOKUP(A85,'2120_IS'!$D:$AH,31,FALSE),0)</f>
        <v>0</v>
      </c>
      <c r="D85" s="42"/>
      <c r="E85" s="39">
        <f>SUM(C85:D85)</f>
        <v>0</v>
      </c>
      <c r="F85" s="40"/>
      <c r="G85" s="42"/>
      <c r="H85" s="39">
        <f>C85+D85+G85</f>
        <v>0</v>
      </c>
      <c r="I85" s="39"/>
      <c r="J85" s="38"/>
      <c r="K85" s="38"/>
      <c r="L85" s="38"/>
      <c r="M85" s="62" t="s">
        <v>28</v>
      </c>
      <c r="N85" s="8">
        <f t="shared" si="41"/>
        <v>0</v>
      </c>
      <c r="O85" s="36">
        <f t="shared" si="42"/>
        <v>0</v>
      </c>
      <c r="P85" s="38"/>
      <c r="Q85" s="38"/>
      <c r="S85" s="8">
        <f>SUM(P85:Q85)-O85</f>
        <v>0</v>
      </c>
      <c r="T85" s="47">
        <f>C85+D85+G85-J85-K85-L85</f>
        <v>0</v>
      </c>
      <c r="V85" s="8">
        <f>IFERROR(VLOOKUP(A85,'[43]Consolidated IS'!$A$20:$M$193,13,FALSE),0)</f>
        <v>0</v>
      </c>
      <c r="W85" s="1251">
        <f t="shared" si="8"/>
        <v>0</v>
      </c>
    </row>
    <row r="86" spans="1:25" hidden="1">
      <c r="A86" s="63">
        <v>42315</v>
      </c>
      <c r="B86" s="2" t="s">
        <v>54</v>
      </c>
      <c r="C86" s="43">
        <f>SUM(C84:C85)</f>
        <v>0</v>
      </c>
      <c r="D86" s="43">
        <f>SUM(D84:D85)</f>
        <v>0</v>
      </c>
      <c r="E86" s="43">
        <f>SUM(E84:E85)</f>
        <v>0</v>
      </c>
      <c r="F86" s="44"/>
      <c r="G86" s="43">
        <f>SUM(G84:G85)</f>
        <v>0</v>
      </c>
      <c r="H86" s="43">
        <f>SUM(H84:H85)</f>
        <v>0</v>
      </c>
      <c r="I86" s="43"/>
      <c r="J86" s="43">
        <f t="shared" ref="J86:K86" si="43">SUM(J84:J85)</f>
        <v>0</v>
      </c>
      <c r="K86" s="43">
        <f t="shared" si="43"/>
        <v>0</v>
      </c>
      <c r="L86" s="43"/>
      <c r="M86" s="45"/>
      <c r="N86" s="64"/>
      <c r="O86" s="43"/>
      <c r="P86" s="43"/>
      <c r="Q86" s="43"/>
      <c r="R86" s="76"/>
      <c r="S86" s="64">
        <f>SUM(P86:Q86)-O86</f>
        <v>0</v>
      </c>
      <c r="T86" s="45">
        <f>C86+D86+G86-J86-K86-L86</f>
        <v>0</v>
      </c>
      <c r="V86" s="8">
        <f>IFERROR(VLOOKUP(A86,'[43]Consolidated IS'!$A$20:$M$193,13,FALSE),0)</f>
        <v>0</v>
      </c>
      <c r="W86" s="1251">
        <f t="shared" si="8"/>
        <v>0</v>
      </c>
    </row>
    <row r="87" spans="1:25" hidden="1">
      <c r="A87" s="63"/>
      <c r="B87" s="2"/>
      <c r="C87" s="66"/>
      <c r="D87" s="66"/>
      <c r="E87" s="66"/>
      <c r="F87" s="67"/>
      <c r="G87" s="66"/>
      <c r="H87" s="66"/>
      <c r="I87" s="66"/>
      <c r="J87" s="66"/>
      <c r="K87" s="66"/>
      <c r="L87" s="66"/>
      <c r="M87" s="3"/>
      <c r="O87" s="66"/>
      <c r="P87" s="66"/>
      <c r="Q87" s="66"/>
      <c r="T87" s="47"/>
      <c r="V87" s="8">
        <f>IFERROR(VLOOKUP(A87,'[43]Consolidated IS'!$A$20:$M$193,13,FALSE),0)</f>
        <v>0</v>
      </c>
      <c r="W87" s="1251">
        <f t="shared" si="8"/>
        <v>0</v>
      </c>
    </row>
    <row r="88" spans="1:25">
      <c r="A88" s="68">
        <v>42400</v>
      </c>
      <c r="B88" s="52" t="s">
        <v>71</v>
      </c>
      <c r="C88" s="54"/>
      <c r="D88" s="55"/>
      <c r="E88" s="55"/>
      <c r="F88" s="56"/>
      <c r="G88" s="55"/>
      <c r="H88" s="55"/>
      <c r="I88" s="55"/>
      <c r="J88" s="54"/>
      <c r="K88" s="54"/>
      <c r="L88" s="54"/>
      <c r="M88" s="57"/>
      <c r="N88" s="58"/>
      <c r="O88" s="54"/>
      <c r="P88" s="54"/>
      <c r="Q88" s="54"/>
      <c r="R88" s="57"/>
      <c r="S88" s="58"/>
      <c r="T88" s="59"/>
      <c r="V88" s="8"/>
      <c r="W88" s="1251"/>
    </row>
    <row r="89" spans="1:25">
      <c r="A89" s="69">
        <v>52142</v>
      </c>
      <c r="B89" s="7" t="s">
        <v>72</v>
      </c>
      <c r="C89" s="38">
        <f>+IFERROR(VLOOKUP(A89,'2120_IS'!$D:$AH,31,FALSE),0)</f>
        <v>180723.52000000002</v>
      </c>
      <c r="D89" s="39"/>
      <c r="E89" s="39">
        <f>SUM(C89:D89)</f>
        <v>180723.52000000002</v>
      </c>
      <c r="F89" s="40"/>
      <c r="G89" s="39">
        <f>'Pro-forma Adj''s'!B45</f>
        <v>3282.1100000000151</v>
      </c>
      <c r="H89" s="39">
        <f>C89+D89+G89</f>
        <v>184005.63000000003</v>
      </c>
      <c r="I89" s="39"/>
      <c r="J89" s="200">
        <f>IF(($H89=0),0,IF(($M89="Actual"),"Actual",(VLOOKUP($M89,Ratios!$A$87:$D$90,2,FALSE)*$H89)))</f>
        <v>169203.70109225094</v>
      </c>
      <c r="K89" s="200">
        <f>IF(($H89=0),0,IF(($M89="Actual"),"Actual",(VLOOKUP($M89,Ratios!$A$87:$D$90,3,FALSE)*$H89)))</f>
        <v>13715.548804428048</v>
      </c>
      <c r="L89" s="200">
        <f>IF(($H89=0),0,IF(($M89="Actual"),"Actual",(VLOOKUP($M89,Ratios!$A$87:$D$90,4,FALSE)*$H89)))</f>
        <v>1086.3801033210334</v>
      </c>
      <c r="M89" s="1148" t="s">
        <v>28</v>
      </c>
      <c r="N89" s="8">
        <f t="shared" ref="N89:N90" si="44">H89-J89-K89-L89</f>
        <v>1.5916157281026244E-11</v>
      </c>
      <c r="O89" s="36">
        <f t="shared" ref="O89:O90" si="45">J89</f>
        <v>169203.70109225094</v>
      </c>
      <c r="P89" s="200">
        <f>J89*Ratios!$N$43</f>
        <v>168932.10606642067</v>
      </c>
      <c r="Q89" s="200">
        <f>O89-P89</f>
        <v>271.59502583026187</v>
      </c>
      <c r="R89" s="1138" t="s">
        <v>28</v>
      </c>
      <c r="S89" s="8">
        <f>SUM(P89:Q89)-O89</f>
        <v>0</v>
      </c>
      <c r="T89" s="47">
        <f>C89+D89+G89-J89-K89-L89</f>
        <v>1.5916157281026244E-11</v>
      </c>
      <c r="U89" s="13"/>
      <c r="V89" s="8">
        <f>IFERROR(VLOOKUP(A89,'[43]Consolidated IS'!$A$20:$M$193,13,FALSE),0)</f>
        <v>121596.07943060498</v>
      </c>
      <c r="W89" s="1426">
        <f t="shared" ref="W89:W151" si="46">O89-V89</f>
        <v>47607.621661645957</v>
      </c>
      <c r="X89" s="13"/>
      <c r="Y89" s="13"/>
    </row>
    <row r="90" spans="1:25">
      <c r="A90" s="69">
        <v>52146</v>
      </c>
      <c r="B90" s="7" t="s">
        <v>73</v>
      </c>
      <c r="C90" s="38">
        <f>+IFERROR(VLOOKUP(A90,'2120_IS'!$D:$AH,31,FALSE),0)</f>
        <v>10503.15</v>
      </c>
      <c r="D90" s="42"/>
      <c r="E90" s="39">
        <f>SUM(C90:D90)</f>
        <v>10503.15</v>
      </c>
      <c r="F90" s="40"/>
      <c r="G90" s="42"/>
      <c r="H90" s="39">
        <f>C90+D90+G90</f>
        <v>10503.15</v>
      </c>
      <c r="I90" s="39"/>
      <c r="J90" s="200">
        <f>IF(($H90=0),0,IF(($M90="Actual"),"Actual",(VLOOKUP($M90,Ratios!$A$87:$D$90,2,FALSE)*$H90)))</f>
        <v>9658.2471586715856</v>
      </c>
      <c r="K90" s="200">
        <f>IF(($H90=0),0,IF(($M90="Actual"),"Actual",(VLOOKUP($M90,Ratios!$A$87:$D$90,3,FALSE)*$H90)))</f>
        <v>782.89162361623619</v>
      </c>
      <c r="L90" s="200">
        <f>IF(($H90=0),0,IF(($M90="Actual"),"Actual",(VLOOKUP($M90,Ratios!$A$87:$D$90,4,FALSE)*$H90)))</f>
        <v>62.011217712177121</v>
      </c>
      <c r="M90" s="1148" t="s">
        <v>28</v>
      </c>
      <c r="N90" s="8">
        <f t="shared" si="44"/>
        <v>7.602807272633072E-13</v>
      </c>
      <c r="O90" s="36">
        <f t="shared" si="45"/>
        <v>9658.2471586715856</v>
      </c>
      <c r="P90" s="200">
        <f>J90*Ratios!$N$43</f>
        <v>9642.7443542435412</v>
      </c>
      <c r="Q90" s="200">
        <f>O90-P90</f>
        <v>15.502804428044328</v>
      </c>
      <c r="R90" s="1138" t="s">
        <v>28</v>
      </c>
      <c r="S90" s="8">
        <f>SUM(P90:Q90)-O90</f>
        <v>0</v>
      </c>
      <c r="T90" s="47">
        <f>C90+D90+G90-J90-K90-L90</f>
        <v>7.602807272633072E-13</v>
      </c>
      <c r="U90" s="13"/>
      <c r="V90" s="8">
        <f>IFERROR(VLOOKUP(A90,'[43]Consolidated IS'!$A$20:$M$193,13,FALSE),0)</f>
        <v>8310.0967544483992</v>
      </c>
      <c r="W90" s="1251">
        <f t="shared" si="46"/>
        <v>1348.1504042231863</v>
      </c>
      <c r="X90" s="13"/>
      <c r="Y90" s="13"/>
    </row>
    <row r="91" spans="1:25">
      <c r="A91" s="63">
        <v>42400</v>
      </c>
      <c r="B91" s="2" t="s">
        <v>74</v>
      </c>
      <c r="C91" s="43">
        <f>SUM(C89:C90)</f>
        <v>191226.67</v>
      </c>
      <c r="D91" s="43">
        <f>SUM(D89:D90)</f>
        <v>0</v>
      </c>
      <c r="E91" s="43">
        <f>SUM(E89:E90)</f>
        <v>191226.67</v>
      </c>
      <c r="F91" s="44"/>
      <c r="G91" s="43">
        <f>SUM(G89:G90)</f>
        <v>3282.1100000000151</v>
      </c>
      <c r="H91" s="43">
        <f>SUM(H89:H90)</f>
        <v>194508.78000000003</v>
      </c>
      <c r="I91" s="43"/>
      <c r="J91" s="43">
        <f>SUM(J89:J90)</f>
        <v>178861.94825092252</v>
      </c>
      <c r="K91" s="43">
        <f>SUM(K89:K90)</f>
        <v>14498.440428044285</v>
      </c>
      <c r="L91" s="43">
        <f>SUM(L89:L90)</f>
        <v>1148.3913210332105</v>
      </c>
      <c r="M91" s="45"/>
      <c r="N91" s="64"/>
      <c r="O91" s="43">
        <f>SUM(O89:O90)</f>
        <v>178861.94825092252</v>
      </c>
      <c r="P91" s="43">
        <f>SUM(P89:P90)</f>
        <v>178574.85042066421</v>
      </c>
      <c r="Q91" s="43">
        <f>SUM(Q89:Q90)</f>
        <v>287.0978302583062</v>
      </c>
      <c r="R91" s="76"/>
      <c r="S91" s="64">
        <f>SUM(P91:Q91)-O91</f>
        <v>0</v>
      </c>
      <c r="T91" s="45">
        <f>C91+D91+G91-J91-K91-L91</f>
        <v>1.2505552149377763E-11</v>
      </c>
      <c r="V91" s="8"/>
      <c r="W91" s="1251"/>
    </row>
    <row r="92" spans="1:25">
      <c r="A92" s="63"/>
      <c r="B92" s="2"/>
      <c r="C92" s="66"/>
      <c r="D92" s="66"/>
      <c r="E92" s="66"/>
      <c r="F92" s="67"/>
      <c r="G92" s="66"/>
      <c r="H92" s="66"/>
      <c r="I92" s="66"/>
      <c r="J92" s="66"/>
      <c r="K92" s="66"/>
      <c r="L92" s="66"/>
      <c r="M92" s="3"/>
      <c r="O92" s="66"/>
      <c r="P92" s="66"/>
      <c r="Q92" s="66"/>
      <c r="T92" s="47"/>
      <c r="V92" s="8">
        <f>IFERROR(VLOOKUP(A92,'[43]Consolidated IS'!$A$20:$M$193,13,FALSE),0)</f>
        <v>0</v>
      </c>
      <c r="W92" s="1251">
        <f t="shared" si="46"/>
        <v>0</v>
      </c>
    </row>
    <row r="93" spans="1:25">
      <c r="A93" s="81"/>
      <c r="B93" s="52" t="s">
        <v>75</v>
      </c>
      <c r="C93" s="54"/>
      <c r="D93" s="55"/>
      <c r="E93" s="55"/>
      <c r="F93" s="56"/>
      <c r="G93" s="55"/>
      <c r="H93" s="55"/>
      <c r="I93" s="55"/>
      <c r="J93" s="54"/>
      <c r="K93" s="54"/>
      <c r="L93" s="54"/>
      <c r="M93" s="57"/>
      <c r="N93" s="58"/>
      <c r="O93" s="54"/>
      <c r="P93" s="54"/>
      <c r="Q93" s="54"/>
      <c r="R93" s="57"/>
      <c r="S93" s="58"/>
      <c r="T93" s="59"/>
      <c r="V93" s="8">
        <f>IFERROR(VLOOKUP(A93,'[43]Consolidated IS'!$A$20:$M$193,13,FALSE),0)</f>
        <v>0</v>
      </c>
      <c r="W93" s="1251">
        <f t="shared" si="46"/>
        <v>0</v>
      </c>
    </row>
    <row r="94" spans="1:25">
      <c r="A94" s="69">
        <v>50086</v>
      </c>
      <c r="B94" s="7" t="s">
        <v>61</v>
      </c>
      <c r="C94" s="38">
        <f>+IFERROR(VLOOKUP(A94,'2120_IS'!$D:$AH,31,FALSE),0)</f>
        <v>7013.89</v>
      </c>
      <c r="D94" s="42"/>
      <c r="E94" s="39">
        <f t="shared" ref="E94:E99" si="47">SUM(C94:D94)</f>
        <v>7013.89</v>
      </c>
      <c r="F94" s="40"/>
      <c r="G94" s="42"/>
      <c r="H94" s="39">
        <f>C94+D94+G94</f>
        <v>7013.89</v>
      </c>
      <c r="I94" s="39"/>
      <c r="J94" s="200">
        <f>IF(($H94=0),0,IF(($M94="Actual"),"Actual",(VLOOKUP($M94,Ratios!$A$87:$D$90,2,FALSE)*$H94)))</f>
        <v>6449.6730184501848</v>
      </c>
      <c r="K94" s="200">
        <f>IF(($H94=0),0,IF(($M94="Actual"),"Actual",(VLOOKUP($M94,Ratios!$A$87:$D$90,3,FALSE)*$H94)))</f>
        <v>522.80656088560886</v>
      </c>
      <c r="L94" s="200">
        <f>IF(($H94=0),0,IF(($M94="Actual"),"Actual",(VLOOKUP($M94,Ratios!$A$87:$D$90,4,FALSE)*$H94)))</f>
        <v>41.41042066420664</v>
      </c>
      <c r="M94" s="1148" t="s">
        <v>28</v>
      </c>
      <c r="N94" s="8">
        <f t="shared" ref="N94:N99" si="48">H94-J94-K94-L94</f>
        <v>0</v>
      </c>
      <c r="O94" s="36">
        <f t="shared" ref="O94:O99" si="49">J94</f>
        <v>6449.6730184501848</v>
      </c>
      <c r="P94" s="200">
        <f>J94*Ratios!$N$43</f>
        <v>6439.3204132841329</v>
      </c>
      <c r="Q94" s="200">
        <f t="shared" ref="Q94:Q99" si="50">O94-P94</f>
        <v>10.352605166051944</v>
      </c>
      <c r="R94" s="1138" t="s">
        <v>28</v>
      </c>
      <c r="S94" s="8">
        <f t="shared" ref="S94:S100" si="51">SUM(P94:Q94)-O94</f>
        <v>0</v>
      </c>
      <c r="T94" s="47">
        <f t="shared" ref="T94:T100" si="52">C94+D94+G94-J94-K94-L94</f>
        <v>0</v>
      </c>
      <c r="U94" s="13"/>
      <c r="V94" s="8"/>
      <c r="W94" s="1251"/>
      <c r="X94" s="13"/>
      <c r="Y94" s="13"/>
    </row>
    <row r="95" spans="1:25">
      <c r="A95" s="69">
        <v>52087</v>
      </c>
      <c r="B95" s="7" t="s">
        <v>76</v>
      </c>
      <c r="C95" s="38">
        <f>+IFERROR(VLOOKUP(A95,'2120_IS'!$D:$AH,31,FALSE),0)</f>
        <v>600</v>
      </c>
      <c r="D95" s="42"/>
      <c r="E95" s="39">
        <f t="shared" ref="E95" si="53">SUM(C95:D95)</f>
        <v>600</v>
      </c>
      <c r="F95" s="40"/>
      <c r="G95" s="42"/>
      <c r="H95" s="39">
        <f t="shared" ref="H95" si="54">C95+D95+G95</f>
        <v>600</v>
      </c>
      <c r="I95" s="39"/>
      <c r="J95" s="200">
        <f>IF(($H95=0),0,IF(($M95="Actual"),"Actual",(VLOOKUP($M95,Ratios!$A$87:$D$90,2,FALSE)*$H95)))</f>
        <v>551.73431734317342</v>
      </c>
      <c r="K95" s="200">
        <f>IF(($H95=0),0,IF(($M95="Actual"),"Actual",(VLOOKUP($M95,Ratios!$A$87:$D$90,3,FALSE)*$H95)))</f>
        <v>44.723247232472325</v>
      </c>
      <c r="L95" s="200">
        <f>IF(($H95=0),0,IF(($M95="Actual"),"Actual",(VLOOKUP($M95,Ratios!$A$87:$D$90,4,FALSE)*$H95)))</f>
        <v>3.5424354243542435</v>
      </c>
      <c r="M95" s="1148" t="s">
        <v>28</v>
      </c>
      <c r="N95" s="8">
        <f t="shared" si="48"/>
        <v>1.5987211554602254E-14</v>
      </c>
      <c r="O95" s="36">
        <f t="shared" si="49"/>
        <v>551.73431734317342</v>
      </c>
      <c r="P95" s="200">
        <f>J95*Ratios!$N$43</f>
        <v>550.84870848708488</v>
      </c>
      <c r="Q95" s="200">
        <f t="shared" si="50"/>
        <v>0.88560885608853823</v>
      </c>
      <c r="R95" s="1138" t="s">
        <v>28</v>
      </c>
      <c r="S95" s="8">
        <f t="shared" si="51"/>
        <v>0</v>
      </c>
      <c r="T95" s="47">
        <f t="shared" si="52"/>
        <v>1.5987211554602254E-14</v>
      </c>
      <c r="U95" s="13"/>
      <c r="V95" s="8">
        <f>IFERROR(VLOOKUP(A95,'[43]Consolidated IS'!$A$20:$M$193,13,FALSE),0)</f>
        <v>993.73030604982193</v>
      </c>
      <c r="W95" s="1251">
        <f t="shared" si="46"/>
        <v>-441.99598870664852</v>
      </c>
      <c r="X95" s="13"/>
      <c r="Y95" s="13"/>
    </row>
    <row r="96" spans="1:25">
      <c r="A96" s="69">
        <v>50090</v>
      </c>
      <c r="B96" s="7" t="s">
        <v>55</v>
      </c>
      <c r="C96" s="38">
        <f>+IFERROR(VLOOKUP(A96,'2120_IS'!$D:$AH,31,FALSE),0)</f>
        <v>12610.830000000002</v>
      </c>
      <c r="D96" s="42"/>
      <c r="E96" s="39">
        <f t="shared" si="47"/>
        <v>12610.830000000002</v>
      </c>
      <c r="F96" s="40"/>
      <c r="G96" s="42"/>
      <c r="H96" s="39">
        <f>C96+D96+G96</f>
        <v>12610.830000000002</v>
      </c>
      <c r="I96" s="39"/>
      <c r="J96" s="200">
        <f>IF(($H96=0),0,IF(($M96="Actual"),"Actual",(VLOOKUP($M96,Ratios!$A$87:$D$90,2,FALSE)*$H96)))</f>
        <v>11596.379468634688</v>
      </c>
      <c r="K96" s="200">
        <f>IF(($H96=0),0,IF(($M96="Actual"),"Actual",(VLOOKUP($M96,Ratios!$A$87:$D$90,3,FALSE)*$H96)))</f>
        <v>939.99544649446511</v>
      </c>
      <c r="L96" s="200">
        <f>IF(($H96=0),0,IF(($M96="Actual"),"Actual",(VLOOKUP($M96,Ratios!$A$87:$D$90,4,FALSE)*$H96)))</f>
        <v>74.455084870848722</v>
      </c>
      <c r="M96" s="1148" t="s">
        <v>28</v>
      </c>
      <c r="N96" s="8">
        <f t="shared" si="48"/>
        <v>-3.2684965844964609E-13</v>
      </c>
      <c r="O96" s="36">
        <f t="shared" si="49"/>
        <v>11596.379468634688</v>
      </c>
      <c r="P96" s="200">
        <f>J96*Ratios!$N$43</f>
        <v>11577.765697416977</v>
      </c>
      <c r="Q96" s="200">
        <f t="shared" si="50"/>
        <v>18.613771217711474</v>
      </c>
      <c r="R96" s="1138" t="s">
        <v>28</v>
      </c>
      <c r="S96" s="8">
        <f t="shared" si="51"/>
        <v>0</v>
      </c>
      <c r="T96" s="47">
        <f t="shared" si="52"/>
        <v>-3.2684965844964609E-13</v>
      </c>
      <c r="U96" s="13"/>
      <c r="V96" s="8">
        <f>IFERROR(VLOOKUP(A96,'[43]Consolidated IS'!$A$20:$M$193,13,FALSE),0)</f>
        <v>6409.4468683274017</v>
      </c>
      <c r="W96" s="1251">
        <f t="shared" si="46"/>
        <v>5186.9326003072865</v>
      </c>
      <c r="X96" s="13"/>
      <c r="Y96" s="13"/>
    </row>
    <row r="97" spans="1:25">
      <c r="A97" s="69">
        <v>57165</v>
      </c>
      <c r="B97" s="7" t="s">
        <v>56</v>
      </c>
      <c r="C97" s="38">
        <f>+IFERROR(VLOOKUP(A97,'2120_IS'!$D:$AH,31,FALSE),0)</f>
        <v>1929.8499999999997</v>
      </c>
      <c r="D97" s="42"/>
      <c r="E97" s="39">
        <f t="shared" si="47"/>
        <v>1929.8499999999997</v>
      </c>
      <c r="F97" s="40"/>
      <c r="G97" s="42"/>
      <c r="H97" s="39">
        <f t="shared" ref="H97:H99" si="55">C97+D97+G97</f>
        <v>1929.8499999999997</v>
      </c>
      <c r="I97" s="39"/>
      <c r="J97" s="200">
        <f>IF(($H97=0),0,IF(($M97="Actual"),"Actual",(VLOOKUP($M97,Ratios!$A$87:$D$90,2,FALSE)*$H97)))</f>
        <v>1774.6074538745384</v>
      </c>
      <c r="K97" s="200">
        <f>IF(($H97=0),0,IF(($M97="Actual"),"Actual",(VLOOKUP($M97,Ratios!$A$87:$D$90,3,FALSE)*$H97)))</f>
        <v>143.84859778597783</v>
      </c>
      <c r="L97" s="200">
        <f>IF(($H97=0),0,IF(($M97="Actual"),"Actual",(VLOOKUP($M97,Ratios!$A$87:$D$90,4,FALSE)*$H97)))</f>
        <v>11.393948339483392</v>
      </c>
      <c r="M97" s="1148" t="s">
        <v>28</v>
      </c>
      <c r="N97" s="8">
        <f t="shared" si="48"/>
        <v>1.0835776720341528E-13</v>
      </c>
      <c r="O97" s="36">
        <f t="shared" si="49"/>
        <v>1774.6074538745384</v>
      </c>
      <c r="P97" s="200">
        <f>J97*Ratios!$N$43</f>
        <v>1771.7589667896675</v>
      </c>
      <c r="Q97" s="200">
        <f t="shared" si="50"/>
        <v>2.8484870848708397</v>
      </c>
      <c r="R97" s="1138" t="s">
        <v>28</v>
      </c>
      <c r="S97" s="8">
        <f t="shared" si="51"/>
        <v>0</v>
      </c>
      <c r="T97" s="47">
        <f t="shared" si="52"/>
        <v>1.0835776720341528E-13</v>
      </c>
      <c r="U97" s="13"/>
      <c r="V97" s="8">
        <f>IFERROR(VLOOKUP(A97,'[43]Consolidated IS'!$A$20:$M$193,13,FALSE),0)</f>
        <v>0</v>
      </c>
      <c r="W97" s="1251">
        <f t="shared" si="46"/>
        <v>1774.6074538745384</v>
      </c>
      <c r="X97" s="13"/>
      <c r="Y97" s="13"/>
    </row>
    <row r="98" spans="1:25">
      <c r="A98" s="69">
        <v>57255</v>
      </c>
      <c r="B98" s="7" t="s">
        <v>77</v>
      </c>
      <c r="C98" s="38">
        <f>+IFERROR(VLOOKUP(A98,'2120_IS'!$D:$AH,31,FALSE),0)</f>
        <v>16080.789999999999</v>
      </c>
      <c r="D98" s="42"/>
      <c r="E98" s="39">
        <f t="shared" si="47"/>
        <v>16080.789999999999</v>
      </c>
      <c r="F98" s="40"/>
      <c r="G98" s="42"/>
      <c r="H98" s="39">
        <f>C98+D98+G98</f>
        <v>16080.789999999999</v>
      </c>
      <c r="I98" s="39"/>
      <c r="J98" s="200">
        <f>IF(($H98=0),0,IF(($M98="Actual"),"Actual",(VLOOKUP($M98,Ratios!$A$87:$D$90,2,FALSE)*$H98)))</f>
        <v>14787.206154981548</v>
      </c>
      <c r="K98" s="200">
        <f>IF(($H98=0),0,IF(($M98="Actual"),"Actual",(VLOOKUP($M98,Ratios!$A$87:$D$90,3,FALSE)*$H98)))</f>
        <v>1198.6419114391144</v>
      </c>
      <c r="L98" s="200">
        <f>IF(($H98=0),0,IF(($M98="Actual"),"Actual",(VLOOKUP($M98,Ratios!$A$87:$D$90,4,FALSE)*$H98)))</f>
        <v>94.941933579335782</v>
      </c>
      <c r="M98" s="1148" t="s">
        <v>28</v>
      </c>
      <c r="N98" s="8">
        <f t="shared" si="48"/>
        <v>8.1001871876651421E-13</v>
      </c>
      <c r="O98" s="36">
        <f t="shared" si="49"/>
        <v>14787.206154981548</v>
      </c>
      <c r="P98" s="200">
        <f>J98*Ratios!$N$43</f>
        <v>14763.470671586714</v>
      </c>
      <c r="Q98" s="200">
        <f t="shared" si="50"/>
        <v>23.735483394833864</v>
      </c>
      <c r="R98" s="1138" t="s">
        <v>28</v>
      </c>
      <c r="S98" s="8">
        <f t="shared" si="51"/>
        <v>0</v>
      </c>
      <c r="T98" s="47">
        <f t="shared" si="52"/>
        <v>8.1001871876651421E-13</v>
      </c>
      <c r="U98" s="13"/>
      <c r="V98" s="8">
        <f>IFERROR(VLOOKUP(A98,'[43]Consolidated IS'!$A$20:$M$193,13,FALSE),0)</f>
        <v>17581.146797153026</v>
      </c>
      <c r="W98" s="1251">
        <f t="shared" si="46"/>
        <v>-2793.9406421714775</v>
      </c>
      <c r="X98" s="13"/>
      <c r="Y98" s="13"/>
    </row>
    <row r="99" spans="1:25">
      <c r="A99" s="87">
        <v>57324</v>
      </c>
      <c r="B99" s="1147" t="s">
        <v>78</v>
      </c>
      <c r="C99" s="38">
        <f>+IFERROR(VLOOKUP(A99,'2120_IS'!$D:$AH,31,FALSE),0)</f>
        <v>2767.5</v>
      </c>
      <c r="D99" s="39">
        <f>-C99</f>
        <v>-2767.5</v>
      </c>
      <c r="E99" s="39">
        <f t="shared" si="47"/>
        <v>0</v>
      </c>
      <c r="F99" s="40"/>
      <c r="G99" s="42"/>
      <c r="H99" s="39">
        <f t="shared" si="55"/>
        <v>0</v>
      </c>
      <c r="I99" s="39"/>
      <c r="J99" s="200">
        <f>IF(($H99=0),0,IF(($M99="Actual"),"Actual",(VLOOKUP($M99,Ratios!$A$87:$D$90,2,FALSE)*$H99)))</f>
        <v>0</v>
      </c>
      <c r="K99" s="200">
        <f>IF(($H99=0),0,IF(($M99="Actual"),"Actual",(VLOOKUP($M99,Ratios!$A$87:$D$90,3,FALSE)*$H99)))</f>
        <v>0</v>
      </c>
      <c r="L99" s="200">
        <f>IF(($H99=0),0,IF(($M99="Actual"),"Actual",(VLOOKUP($M99,Ratios!$A$87:$D$90,4,FALSE)*$H99)))</f>
        <v>0</v>
      </c>
      <c r="M99" s="1148" t="s">
        <v>28</v>
      </c>
      <c r="N99" s="8">
        <f t="shared" si="48"/>
        <v>0</v>
      </c>
      <c r="O99" s="36">
        <f t="shared" si="49"/>
        <v>0</v>
      </c>
      <c r="P99" s="200">
        <f>J99*Ratios!$N$43</f>
        <v>0</v>
      </c>
      <c r="Q99" s="200">
        <f t="shared" si="50"/>
        <v>0</v>
      </c>
      <c r="R99" s="1138" t="s">
        <v>28</v>
      </c>
      <c r="S99" s="8">
        <f t="shared" si="51"/>
        <v>0</v>
      </c>
      <c r="T99" s="47">
        <f t="shared" si="52"/>
        <v>0</v>
      </c>
      <c r="U99" s="13"/>
      <c r="V99" s="8">
        <f>IFERROR(VLOOKUP(A99,'[43]Consolidated IS'!$A$20:$M$193,13,FALSE),0)</f>
        <v>0</v>
      </c>
      <c r="W99" s="1251">
        <f t="shared" si="46"/>
        <v>0</v>
      </c>
      <c r="X99" s="13"/>
      <c r="Y99" s="13"/>
    </row>
    <row r="100" spans="1:25">
      <c r="A100" s="71">
        <v>42800</v>
      </c>
      <c r="B100" s="2" t="s">
        <v>75</v>
      </c>
      <c r="C100" s="43">
        <f>SUM(C94:C99)</f>
        <v>41002.86</v>
      </c>
      <c r="D100" s="43">
        <f>SUM(D94:D99)</f>
        <v>-2767.5</v>
      </c>
      <c r="E100" s="43">
        <f>SUM(E94:E99)</f>
        <v>38235.360000000001</v>
      </c>
      <c r="F100" s="44"/>
      <c r="G100" s="43">
        <f>SUM(G94:G99)</f>
        <v>0</v>
      </c>
      <c r="H100" s="43">
        <f>SUM(H94:H99)</f>
        <v>38235.360000000001</v>
      </c>
      <c r="I100" s="43"/>
      <c r="J100" s="43">
        <f>SUM(J94:J99)</f>
        <v>35159.600413284134</v>
      </c>
      <c r="K100" s="43">
        <f>SUM(K94:K99)</f>
        <v>2850.0157638376386</v>
      </c>
      <c r="L100" s="43">
        <f>SUM(L94:L99)</f>
        <v>225.7438228782288</v>
      </c>
      <c r="M100" s="45"/>
      <c r="N100" s="64"/>
      <c r="O100" s="43">
        <f>SUM(O94:O99)</f>
        <v>35159.600413284134</v>
      </c>
      <c r="P100" s="43">
        <f>SUM(P94:P99)</f>
        <v>35103.164457564577</v>
      </c>
      <c r="Q100" s="43">
        <f>SUM(Q94:Q99)</f>
        <v>56.435955719556659</v>
      </c>
      <c r="R100" s="76"/>
      <c r="S100" s="64">
        <f t="shared" si="51"/>
        <v>0</v>
      </c>
      <c r="T100" s="45">
        <f t="shared" si="52"/>
        <v>-3.4106051316484809E-13</v>
      </c>
      <c r="V100" s="8"/>
      <c r="W100" s="1251"/>
    </row>
    <row r="101" spans="1:25">
      <c r="A101" s="71"/>
      <c r="B101" s="2"/>
      <c r="C101" s="66"/>
      <c r="D101" s="66"/>
      <c r="E101" s="66"/>
      <c r="F101" s="67"/>
      <c r="G101" s="66"/>
      <c r="H101" s="66"/>
      <c r="I101" s="66"/>
      <c r="J101" s="66"/>
      <c r="K101" s="66"/>
      <c r="L101" s="66"/>
      <c r="M101" s="3"/>
      <c r="O101" s="66"/>
      <c r="P101" s="66"/>
      <c r="Q101" s="66"/>
      <c r="T101" s="47"/>
      <c r="V101" s="8">
        <f>IFERROR(VLOOKUP(A101,'[43]Consolidated IS'!$A$20:$M$193,13,FALSE),0)</f>
        <v>0</v>
      </c>
      <c r="W101" s="1251">
        <f t="shared" si="46"/>
        <v>0</v>
      </c>
    </row>
    <row r="102" spans="1:25">
      <c r="A102" s="81"/>
      <c r="B102" s="52" t="s">
        <v>79</v>
      </c>
      <c r="C102" s="54"/>
      <c r="D102" s="55"/>
      <c r="E102" s="55"/>
      <c r="F102" s="56"/>
      <c r="G102" s="55"/>
      <c r="H102" s="55"/>
      <c r="I102" s="55"/>
      <c r="J102" s="54"/>
      <c r="K102" s="54"/>
      <c r="L102" s="54"/>
      <c r="M102" s="57"/>
      <c r="N102" s="58"/>
      <c r="O102" s="54"/>
      <c r="P102" s="54"/>
      <c r="Q102" s="54"/>
      <c r="R102" s="57"/>
      <c r="S102" s="58"/>
      <c r="T102" s="59"/>
      <c r="U102" s="1147"/>
      <c r="V102" s="8">
        <f>IFERROR(VLOOKUP(A102,'[43]Consolidated IS'!$A$20:$M$193,13,FALSE),0)</f>
        <v>0</v>
      </c>
      <c r="W102" s="1251">
        <f t="shared" si="46"/>
        <v>0</v>
      </c>
    </row>
    <row r="103" spans="1:25">
      <c r="A103" s="87">
        <v>40101</v>
      </c>
      <c r="B103" s="83" t="s">
        <v>1902</v>
      </c>
      <c r="C103" s="38">
        <f>+IFERROR(VLOOKUP(A103,'2120_IS'!$D:$AH,31,FALSE),0)</f>
        <v>820298.85</v>
      </c>
      <c r="D103" s="1113">
        <f>-D104-D105</f>
        <v>-112262.44999999998</v>
      </c>
      <c r="E103" s="84">
        <f t="shared" ref="E103:E110" si="56">SUM(C103:D103)</f>
        <v>708036.4</v>
      </c>
      <c r="F103" s="85"/>
      <c r="G103" s="86"/>
      <c r="H103" s="84">
        <f>C103+D103+G103</f>
        <v>708036.4</v>
      </c>
      <c r="I103" s="84"/>
      <c r="J103" s="1148">
        <f>H103*Ratios!C77</f>
        <v>642884.43024418934</v>
      </c>
      <c r="K103" s="1148">
        <f>H103*Ratios!C78</f>
        <v>65151.969755810678</v>
      </c>
      <c r="L103" s="1148"/>
      <c r="M103" s="1148" t="s">
        <v>1904</v>
      </c>
      <c r="N103" s="200">
        <f t="shared" ref="N103:N110" si="57">H103-J103-K103-L103</f>
        <v>7.2759576141834259E-12</v>
      </c>
      <c r="O103" s="547">
        <f>J103</f>
        <v>642884.43024418934</v>
      </c>
      <c r="P103" s="1148">
        <f>J103</f>
        <v>642884.43024418934</v>
      </c>
      <c r="Q103" s="1148"/>
      <c r="R103" s="7" t="s">
        <v>19</v>
      </c>
      <c r="S103" s="8">
        <f>SUM(P103:Q103)-O103</f>
        <v>0</v>
      </c>
      <c r="T103" s="47">
        <f>C103+D103+G103-J103-K103-L103</f>
        <v>7.2759576141834259E-12</v>
      </c>
      <c r="U103" s="1189"/>
      <c r="V103" s="8">
        <f>IFERROR(VLOOKUP(A103,'[43]Consolidated IS'!$A$20:$M$193,13,FALSE),0)</f>
        <v>597524.06363553763</v>
      </c>
      <c r="W103" s="1426">
        <f t="shared" si="46"/>
        <v>45360.366608651704</v>
      </c>
    </row>
    <row r="104" spans="1:25">
      <c r="A104" s="87"/>
      <c r="B104" s="83" t="s">
        <v>22</v>
      </c>
      <c r="C104" s="38"/>
      <c r="D104" s="1113">
        <f>'Restating Adj''s'!B28</f>
        <v>84193.93</v>
      </c>
      <c r="E104" s="1113">
        <f t="shared" si="56"/>
        <v>84193.93</v>
      </c>
      <c r="F104" s="1181" t="s">
        <v>81</v>
      </c>
      <c r="G104" s="86"/>
      <c r="H104" s="1113">
        <f t="shared" ref="H104:H110" si="58">C104+D104+G104</f>
        <v>84193.93</v>
      </c>
      <c r="I104" s="84"/>
      <c r="J104" s="1148">
        <f>J13</f>
        <v>105599.25</v>
      </c>
      <c r="K104" s="1148">
        <f>K13</f>
        <v>5791.4799999999959</v>
      </c>
      <c r="L104" s="1148"/>
      <c r="M104" s="1148" t="s">
        <v>1905</v>
      </c>
      <c r="N104" s="200">
        <f>H104-J104-K104-L104</f>
        <v>-27196.800000000003</v>
      </c>
      <c r="O104" s="547">
        <f t="shared" ref="O104:O110" si="59">J104</f>
        <v>105599.25</v>
      </c>
      <c r="P104" s="1148">
        <f>J104</f>
        <v>105599.25</v>
      </c>
      <c r="Q104" s="1148"/>
      <c r="R104" s="7" t="s">
        <v>19</v>
      </c>
      <c r="T104" s="47">
        <f t="shared" ref="T104:T110" si="60">C104+D104+G104-J104-K104-L104</f>
        <v>-27196.800000000003</v>
      </c>
      <c r="U104" s="1189"/>
      <c r="V104" s="8">
        <f>IFERROR(VLOOKUP(A104,'[43]Consolidated IS'!$A$20:$M$193,13,FALSE),0)</f>
        <v>0</v>
      </c>
      <c r="W104" s="1426">
        <f t="shared" si="46"/>
        <v>105599.25</v>
      </c>
    </row>
    <row r="105" spans="1:25">
      <c r="A105" s="87"/>
      <c r="B105" s="1147" t="s">
        <v>1903</v>
      </c>
      <c r="C105" s="200"/>
      <c r="D105" s="1113">
        <f>'Restating Adj''s'!B25</f>
        <v>28068.519999999997</v>
      </c>
      <c r="E105" s="1113">
        <f t="shared" si="56"/>
        <v>28068.519999999997</v>
      </c>
      <c r="F105" s="1181" t="s">
        <v>81</v>
      </c>
      <c r="G105" s="1139"/>
      <c r="H105" s="1113">
        <f t="shared" si="58"/>
        <v>28068.519999999997</v>
      </c>
      <c r="I105" s="1113"/>
      <c r="J105" s="1148">
        <v>0</v>
      </c>
      <c r="K105" s="1148">
        <f>H105</f>
        <v>28068.519999999997</v>
      </c>
      <c r="L105" s="1148"/>
      <c r="M105" s="1148" t="s">
        <v>19</v>
      </c>
      <c r="N105" s="200">
        <f t="shared" si="57"/>
        <v>0</v>
      </c>
      <c r="O105" s="547">
        <f t="shared" si="59"/>
        <v>0</v>
      </c>
      <c r="P105" s="1148"/>
      <c r="Q105" s="1148"/>
      <c r="R105" s="7" t="s">
        <v>19</v>
      </c>
      <c r="T105" s="47">
        <f t="shared" si="60"/>
        <v>0</v>
      </c>
      <c r="U105" s="1189"/>
      <c r="V105" s="8">
        <f>IFERROR(VLOOKUP(A105,'[43]Consolidated IS'!$A$20:$M$193,13,FALSE),0)</f>
        <v>0</v>
      </c>
      <c r="W105" s="1426">
        <f t="shared" si="46"/>
        <v>0</v>
      </c>
    </row>
    <row r="106" spans="1:25">
      <c r="A106" s="87">
        <v>40121</v>
      </c>
      <c r="B106" s="83" t="s">
        <v>1896</v>
      </c>
      <c r="C106" s="38">
        <f>+IFERROR(VLOOKUP(A106,'2120_IS'!$D:$AH,31,FALSE),0)</f>
        <v>69801.97</v>
      </c>
      <c r="D106" s="1113">
        <f>-D107</f>
        <v>-14700.390000000001</v>
      </c>
      <c r="E106" s="84">
        <f t="shared" si="56"/>
        <v>55101.58</v>
      </c>
      <c r="F106" s="85"/>
      <c r="G106" s="86"/>
      <c r="H106" s="1113">
        <f t="shared" si="58"/>
        <v>55101.58</v>
      </c>
      <c r="I106" s="84"/>
      <c r="J106" s="1148">
        <f>H106*Ratios!$C$71</f>
        <v>42329.244297276775</v>
      </c>
      <c r="K106" s="1148">
        <f>H106*Ratios!$C$72</f>
        <v>12772.335702723221</v>
      </c>
      <c r="L106" s="1148"/>
      <c r="M106" s="1148" t="s">
        <v>1904</v>
      </c>
      <c r="N106" s="200">
        <f t="shared" si="57"/>
        <v>5.4569682106375694E-12</v>
      </c>
      <c r="O106" s="547">
        <f t="shared" si="59"/>
        <v>42329.244297276775</v>
      </c>
      <c r="P106" s="1148">
        <f>J106</f>
        <v>42329.244297276775</v>
      </c>
      <c r="Q106" s="1148"/>
      <c r="R106" s="7" t="s">
        <v>19</v>
      </c>
      <c r="S106" s="8">
        <f>SUM(P106:Q106)-O106</f>
        <v>0</v>
      </c>
      <c r="T106" s="47">
        <f t="shared" si="60"/>
        <v>5.4569682106375694E-12</v>
      </c>
      <c r="U106" s="1189"/>
      <c r="V106" s="8">
        <f>IFERROR(VLOOKUP(A106,'[43]Consolidated IS'!$A$20:$M$193,13,FALSE),0)</f>
        <v>37659.698008391075</v>
      </c>
      <c r="W106" s="1426">
        <f t="shared" si="46"/>
        <v>4669.5462888857001</v>
      </c>
    </row>
    <row r="107" spans="1:25">
      <c r="A107" s="87"/>
      <c r="B107" s="83" t="s">
        <v>22</v>
      </c>
      <c r="C107" s="200"/>
      <c r="D107" s="1113">
        <f>'Restating Adj''s'!B29</f>
        <v>14700.390000000001</v>
      </c>
      <c r="E107" s="1113">
        <f t="shared" si="56"/>
        <v>14700.390000000001</v>
      </c>
      <c r="F107" s="1181" t="s">
        <v>81</v>
      </c>
      <c r="G107" s="86"/>
      <c r="H107" s="1113">
        <f t="shared" si="58"/>
        <v>14700.390000000001</v>
      </c>
      <c r="I107" s="84"/>
      <c r="J107" s="1148"/>
      <c r="K107" s="1148"/>
      <c r="L107" s="1148"/>
      <c r="M107" s="1148"/>
      <c r="N107" s="200">
        <f t="shared" si="57"/>
        <v>14700.390000000001</v>
      </c>
      <c r="O107" s="547">
        <f t="shared" si="59"/>
        <v>0</v>
      </c>
      <c r="P107" s="1148"/>
      <c r="Q107" s="1148"/>
      <c r="R107" s="7" t="s">
        <v>19</v>
      </c>
      <c r="T107" s="47">
        <f t="shared" si="60"/>
        <v>14700.390000000001</v>
      </c>
      <c r="U107" s="1188"/>
      <c r="V107" s="8">
        <f>IFERROR(VLOOKUP(A107,'[43]Consolidated IS'!$A$20:$M$193,13,FALSE),0)</f>
        <v>0</v>
      </c>
      <c r="W107" s="1426">
        <f t="shared" si="46"/>
        <v>0</v>
      </c>
    </row>
    <row r="108" spans="1:25">
      <c r="A108" s="87">
        <v>40131</v>
      </c>
      <c r="B108" s="199" t="s">
        <v>403</v>
      </c>
      <c r="C108" s="38">
        <f>+IFERROR(VLOOKUP(A108,'2120_IS'!$D:$AH,31,FALSE),0)</f>
        <v>157419.25999999998</v>
      </c>
      <c r="D108" s="1113">
        <f>-D109-D110</f>
        <v>-22381.969999999998</v>
      </c>
      <c r="E108" s="84">
        <f t="shared" si="56"/>
        <v>135037.28999999998</v>
      </c>
      <c r="F108" s="85"/>
      <c r="G108" s="86"/>
      <c r="H108" s="1113">
        <f t="shared" si="58"/>
        <v>135037.28999999998</v>
      </c>
      <c r="I108" s="84"/>
      <c r="J108" s="1252">
        <f>H108*Ratios!$C$71</f>
        <v>103736.1621509258</v>
      </c>
      <c r="K108" s="1252">
        <f>H108*Ratios!$C$72</f>
        <v>31301.127849074186</v>
      </c>
      <c r="L108" s="1148"/>
      <c r="M108" s="1148" t="s">
        <v>1904</v>
      </c>
      <c r="N108" s="200">
        <f t="shared" si="57"/>
        <v>-3.637978807091713E-12</v>
      </c>
      <c r="O108" s="547">
        <f t="shared" si="59"/>
        <v>103736.1621509258</v>
      </c>
      <c r="P108" s="1148">
        <f>J108</f>
        <v>103736.1621509258</v>
      </c>
      <c r="Q108" s="1148"/>
      <c r="R108" s="7" t="s">
        <v>19</v>
      </c>
      <c r="S108" s="8">
        <f>SUM(P108:Q108)-O108</f>
        <v>0</v>
      </c>
      <c r="T108" s="47">
        <f t="shared" si="60"/>
        <v>-3.637978807091713E-12</v>
      </c>
      <c r="U108" s="1189"/>
      <c r="V108" s="8">
        <f>IFERROR(VLOOKUP(A108,'[43]Consolidated IS'!$A$20:$M$193,13,FALSE),0)</f>
        <v>95373.065035478648</v>
      </c>
      <c r="W108" s="1426">
        <f t="shared" si="46"/>
        <v>8363.0971154471481</v>
      </c>
    </row>
    <row r="109" spans="1:25">
      <c r="A109" s="87"/>
      <c r="B109" s="83" t="s">
        <v>22</v>
      </c>
      <c r="C109" s="38">
        <f>+IFERROR(VLOOKUP(A109,'2120_IS'!$D:$AH,31,FALSE),0)</f>
        <v>0</v>
      </c>
      <c r="D109" s="1113">
        <f>'Restating Adj''s'!B30</f>
        <v>12496.41</v>
      </c>
      <c r="E109" s="84">
        <f t="shared" si="56"/>
        <v>12496.41</v>
      </c>
      <c r="F109" s="1181" t="s">
        <v>81</v>
      </c>
      <c r="G109" s="86"/>
      <c r="H109" s="1113">
        <f t="shared" si="58"/>
        <v>12496.41</v>
      </c>
      <c r="I109" s="84"/>
      <c r="J109" s="1148"/>
      <c r="K109" s="1148"/>
      <c r="L109" s="1148"/>
      <c r="M109" s="1148"/>
      <c r="N109" s="200">
        <f t="shared" si="57"/>
        <v>12496.41</v>
      </c>
      <c r="O109" s="547">
        <f t="shared" si="59"/>
        <v>0</v>
      </c>
      <c r="P109" s="1148"/>
      <c r="Q109" s="1148"/>
      <c r="R109" s="7" t="s">
        <v>19</v>
      </c>
      <c r="S109" s="8">
        <f>SUM(P109:Q109)-O109</f>
        <v>0</v>
      </c>
      <c r="T109" s="47">
        <f t="shared" si="60"/>
        <v>12496.41</v>
      </c>
      <c r="U109" s="1187"/>
      <c r="V109" s="8">
        <f>IFERROR(VLOOKUP(A109,'[43]Consolidated IS'!$A$20:$M$193,13,FALSE),0)</f>
        <v>0</v>
      </c>
      <c r="W109" s="1426">
        <f t="shared" si="46"/>
        <v>0</v>
      </c>
    </row>
    <row r="110" spans="1:25">
      <c r="A110" s="87"/>
      <c r="B110" s="1147" t="s">
        <v>330</v>
      </c>
      <c r="C110" s="200"/>
      <c r="D110" s="1113">
        <f>'Restating Adj''s'!B24</f>
        <v>9885.5599999999977</v>
      </c>
      <c r="E110" s="1113">
        <f t="shared" si="56"/>
        <v>9885.5599999999977</v>
      </c>
      <c r="F110" s="1181" t="s">
        <v>81</v>
      </c>
      <c r="G110" s="1139"/>
      <c r="H110" s="1113">
        <f t="shared" si="58"/>
        <v>9885.5599999999977</v>
      </c>
      <c r="I110" s="1113"/>
      <c r="J110" s="1148"/>
      <c r="K110" s="1148"/>
      <c r="L110" s="1148">
        <f>H110</f>
        <v>9885.5599999999977</v>
      </c>
      <c r="M110" s="1148" t="s">
        <v>19</v>
      </c>
      <c r="N110" s="200">
        <f t="shared" si="57"/>
        <v>0</v>
      </c>
      <c r="O110" s="547">
        <f t="shared" si="59"/>
        <v>0</v>
      </c>
      <c r="P110" s="1148"/>
      <c r="Q110" s="1148"/>
      <c r="R110" s="7" t="s">
        <v>19</v>
      </c>
      <c r="T110" s="47">
        <f t="shared" si="60"/>
        <v>0</v>
      </c>
      <c r="U110" s="2"/>
      <c r="V110" s="8">
        <f>IFERROR(VLOOKUP(A110,'[43]Consolidated IS'!$A$20:$M$193,13,FALSE),0)</f>
        <v>0</v>
      </c>
      <c r="W110" s="1426">
        <f t="shared" si="46"/>
        <v>0</v>
      </c>
    </row>
    <row r="111" spans="1:25">
      <c r="A111" s="71">
        <v>43600</v>
      </c>
      <c r="B111" s="2" t="s">
        <v>79</v>
      </c>
      <c r="C111" s="43">
        <f>SUM(C103:C110)</f>
        <v>1047520.08</v>
      </c>
      <c r="D111" s="43">
        <f>SUM(D103:D110)</f>
        <v>0</v>
      </c>
      <c r="E111" s="43">
        <f>SUM(E103:E110)</f>
        <v>1047520.0800000001</v>
      </c>
      <c r="F111" s="44"/>
      <c r="G111" s="43">
        <f>SUM(G103:G110)</f>
        <v>0</v>
      </c>
      <c r="H111" s="43">
        <f>SUM(H103:H110)</f>
        <v>1047520.0800000001</v>
      </c>
      <c r="I111" s="43"/>
      <c r="J111" s="43">
        <f>SUM(J103:J110)</f>
        <v>894549.08669239201</v>
      </c>
      <c r="K111" s="43">
        <f>SUM(K103:K110)</f>
        <v>143085.43330760807</v>
      </c>
      <c r="L111" s="43">
        <f>SUM(L103:L110)</f>
        <v>9885.5599999999977</v>
      </c>
      <c r="M111" s="43">
        <f>SUM(M103:M109)</f>
        <v>0</v>
      </c>
      <c r="N111" s="43">
        <f>SUM(N103:N110)</f>
        <v>9.0949470177292824E-12</v>
      </c>
      <c r="O111" s="43">
        <f>SUM(O103:O110)</f>
        <v>894549.08669239201</v>
      </c>
      <c r="P111" s="43">
        <f>SUM(P103:P110)</f>
        <v>894549.08669239201</v>
      </c>
      <c r="Q111" s="43">
        <f>SUM(Q103:Q110)</f>
        <v>0</v>
      </c>
      <c r="R111" s="76"/>
      <c r="S111" s="64">
        <f>SUM(P111:Q111)-O111</f>
        <v>0</v>
      </c>
      <c r="T111" s="43">
        <f>SUM(T103:T110)</f>
        <v>9.0949470177292824E-12</v>
      </c>
      <c r="V111" s="1253">
        <f t="shared" ref="V111:W111" si="61">SUM(V103:V110)</f>
        <v>730556.82667940739</v>
      </c>
      <c r="W111" s="1430">
        <f t="shared" si="61"/>
        <v>163992.26001298457</v>
      </c>
    </row>
    <row r="112" spans="1:25">
      <c r="A112" s="71"/>
      <c r="B112" s="2"/>
      <c r="C112" s="66"/>
      <c r="D112" s="66"/>
      <c r="E112" s="66"/>
      <c r="F112" s="67"/>
      <c r="G112" s="66"/>
      <c r="H112" s="66"/>
      <c r="I112" s="66"/>
      <c r="J112" s="66"/>
      <c r="K112" s="66"/>
      <c r="L112" s="66"/>
      <c r="M112" s="88"/>
      <c r="N112" s="198"/>
      <c r="O112" s="66"/>
      <c r="P112" s="66"/>
      <c r="Q112" s="66"/>
      <c r="T112" s="47"/>
      <c r="V112" s="8">
        <f>IFERROR(VLOOKUP(A112,'[43]Consolidated IS'!$A$20:$M$193,13,FALSE),0)</f>
        <v>0</v>
      </c>
      <c r="W112" s="1251">
        <f t="shared" si="46"/>
        <v>0</v>
      </c>
    </row>
    <row r="113" spans="1:25">
      <c r="A113" s="68">
        <v>43800</v>
      </c>
      <c r="B113" s="52" t="s">
        <v>82</v>
      </c>
      <c r="C113" s="54"/>
      <c r="D113" s="55"/>
      <c r="E113" s="55"/>
      <c r="F113" s="56"/>
      <c r="G113" s="55"/>
      <c r="H113" s="55"/>
      <c r="I113" s="55"/>
      <c r="J113" s="54"/>
      <c r="K113" s="54"/>
      <c r="L113" s="54"/>
      <c r="M113" s="57"/>
      <c r="N113" s="58"/>
      <c r="O113" s="54"/>
      <c r="P113" s="54"/>
      <c r="Q113" s="54"/>
      <c r="R113" s="57"/>
      <c r="S113" s="58"/>
      <c r="T113" s="59"/>
      <c r="V113" s="8">
        <f>IFERROR(VLOOKUP(A113,'[43]Consolidated IS'!$A$20:$M$193,13,FALSE),0)</f>
        <v>0</v>
      </c>
      <c r="W113" s="1251">
        <f t="shared" si="46"/>
        <v>0</v>
      </c>
    </row>
    <row r="114" spans="1:25">
      <c r="A114" s="82">
        <v>44161</v>
      </c>
      <c r="B114" s="83" t="s">
        <v>237</v>
      </c>
      <c r="C114" s="38">
        <f>+IFERROR(VLOOKUP(A114,'2120_IS'!$D:$AH,31,FALSE),0)</f>
        <v>7262.7000000000007</v>
      </c>
      <c r="D114" s="39"/>
      <c r="E114" s="39">
        <f t="shared" ref="E114:E115" si="62">SUM(C114:D114)</f>
        <v>7262.7000000000007</v>
      </c>
      <c r="F114" s="40"/>
      <c r="G114" s="39"/>
      <c r="H114" s="39">
        <f>C114+D114+G114</f>
        <v>7262.7000000000007</v>
      </c>
      <c r="I114" s="39"/>
      <c r="J114" s="38">
        <v>0</v>
      </c>
      <c r="K114" s="1148">
        <f>+H114</f>
        <v>7262.7000000000007</v>
      </c>
      <c r="L114" s="1148">
        <v>0</v>
      </c>
      <c r="M114" s="1148" t="s">
        <v>19</v>
      </c>
      <c r="N114" s="8">
        <f t="shared" ref="N114:N115" si="63">H114-J114-K114-L114</f>
        <v>0</v>
      </c>
      <c r="O114" s="36">
        <f t="shared" ref="O114:O115" si="64">J114</f>
        <v>0</v>
      </c>
      <c r="P114" s="200"/>
      <c r="Q114" s="38"/>
      <c r="R114" s="7" t="s">
        <v>19</v>
      </c>
      <c r="S114" s="8">
        <f>SUM(P114:Q114)-O114</f>
        <v>0</v>
      </c>
      <c r="T114" s="47">
        <f>C114+D114+G114-J114-K114-L114</f>
        <v>0</v>
      </c>
      <c r="V114" s="8">
        <f>IFERROR(VLOOKUP(A114,'[43]Consolidated IS'!$A$20:$M$193,13,FALSE),0)</f>
        <v>0</v>
      </c>
      <c r="W114" s="1251">
        <f t="shared" si="46"/>
        <v>0</v>
      </c>
    </row>
    <row r="115" spans="1:25">
      <c r="A115" s="1254">
        <v>44168</v>
      </c>
      <c r="B115" s="1255" t="s">
        <v>238</v>
      </c>
      <c r="C115" s="38">
        <f>+IFERROR(VLOOKUP(A115,'2120_IS'!$D:$AH,31,FALSE),0)</f>
        <v>1225.42</v>
      </c>
      <c r="D115" s="39"/>
      <c r="E115" s="39">
        <f t="shared" si="62"/>
        <v>1225.42</v>
      </c>
      <c r="F115" s="40"/>
      <c r="G115" s="39"/>
      <c r="H115" s="39">
        <f>C115+D115+G115</f>
        <v>1225.42</v>
      </c>
      <c r="I115" s="39"/>
      <c r="J115" s="1252">
        <f>H115</f>
        <v>1225.42</v>
      </c>
      <c r="K115" s="1252">
        <v>0</v>
      </c>
      <c r="L115" s="1252">
        <v>0</v>
      </c>
      <c r="M115" s="1252" t="s">
        <v>19</v>
      </c>
      <c r="N115" s="8">
        <f t="shared" si="63"/>
        <v>0</v>
      </c>
      <c r="O115" s="36">
        <f t="shared" si="64"/>
        <v>1225.42</v>
      </c>
      <c r="P115" s="200"/>
      <c r="Q115" s="38">
        <f>O115</f>
        <v>1225.42</v>
      </c>
      <c r="R115" s="7" t="s">
        <v>19</v>
      </c>
      <c r="S115" s="8">
        <f>SUM(P115:Q115)-O115</f>
        <v>0</v>
      </c>
      <c r="T115" s="47">
        <f>C115+D115+G115-J115-K115-L115</f>
        <v>0</v>
      </c>
      <c r="V115" s="8">
        <f>IFERROR(VLOOKUP(A115,'[43]Consolidated IS'!$A$20:$M$193,13,FALSE),0)</f>
        <v>342.52956521739128</v>
      </c>
      <c r="W115" s="1251">
        <f t="shared" si="46"/>
        <v>882.89043478260874</v>
      </c>
    </row>
    <row r="116" spans="1:25">
      <c r="A116" s="71">
        <v>43800</v>
      </c>
      <c r="B116" s="2" t="s">
        <v>82</v>
      </c>
      <c r="C116" s="43">
        <f>SUM(C114:C115)</f>
        <v>8488.1200000000008</v>
      </c>
      <c r="D116" s="43">
        <f>SUM(D114:D115)</f>
        <v>0</v>
      </c>
      <c r="E116" s="43">
        <f>SUM(E114:E115)</f>
        <v>8488.1200000000008</v>
      </c>
      <c r="F116" s="44"/>
      <c r="G116" s="43">
        <f>SUM(G114:G115)</f>
        <v>0</v>
      </c>
      <c r="H116" s="43">
        <f>SUM(H114:H115)</f>
        <v>8488.1200000000008</v>
      </c>
      <c r="I116" s="43"/>
      <c r="J116" s="43">
        <f>SUM(J114:J115)</f>
        <v>1225.42</v>
      </c>
      <c r="K116" s="43">
        <f>SUM(K114:K115)</f>
        <v>7262.7000000000007</v>
      </c>
      <c r="L116" s="43">
        <f>SUM(L114:L115)</f>
        <v>0</v>
      </c>
      <c r="M116" s="45"/>
      <c r="N116" s="64"/>
      <c r="O116" s="43">
        <f>SUM(O114:O115)</f>
        <v>1225.42</v>
      </c>
      <c r="P116" s="43">
        <f>SUM(P114:P115)</f>
        <v>0</v>
      </c>
      <c r="Q116" s="43">
        <f>SUM(Q114:Q115)</f>
        <v>1225.42</v>
      </c>
      <c r="R116" s="76"/>
      <c r="S116" s="43">
        <f>SUM(S114:S115)</f>
        <v>0</v>
      </c>
      <c r="T116" s="45">
        <f>C116+D116+G116-J116-K116-L116</f>
        <v>0</v>
      </c>
      <c r="V116" s="8"/>
      <c r="W116" s="1251"/>
    </row>
    <row r="117" spans="1:25">
      <c r="A117" s="71"/>
      <c r="B117" s="2"/>
      <c r="C117" s="66"/>
      <c r="D117" s="66"/>
      <c r="E117" s="66"/>
      <c r="F117" s="67"/>
      <c r="G117" s="66"/>
      <c r="H117" s="66"/>
      <c r="I117" s="66"/>
      <c r="J117" s="66"/>
      <c r="K117" s="66"/>
      <c r="L117" s="66"/>
      <c r="M117" s="3"/>
      <c r="O117" s="66"/>
      <c r="P117" s="66"/>
      <c r="Q117" s="66"/>
      <c r="T117" s="47"/>
      <c r="V117" s="8">
        <f>IFERROR(VLOOKUP(A117,'[43]Consolidated IS'!$A$20:$M$193,13,FALSE),0)</f>
        <v>0</v>
      </c>
      <c r="W117" s="1251">
        <f t="shared" si="46"/>
        <v>0</v>
      </c>
    </row>
    <row r="118" spans="1:25" hidden="1">
      <c r="A118" s="68">
        <v>44000</v>
      </c>
      <c r="B118" s="52" t="s">
        <v>83</v>
      </c>
      <c r="C118" s="54"/>
      <c r="D118" s="55"/>
      <c r="E118" s="55"/>
      <c r="F118" s="56"/>
      <c r="G118" s="55"/>
      <c r="H118" s="55"/>
      <c r="I118" s="55"/>
      <c r="J118" s="54"/>
      <c r="K118" s="54"/>
      <c r="L118" s="54"/>
      <c r="M118" s="57"/>
      <c r="N118" s="58"/>
      <c r="O118" s="54"/>
      <c r="P118" s="54"/>
      <c r="Q118" s="54"/>
      <c r="R118" s="57"/>
      <c r="S118" s="58"/>
      <c r="T118" s="59"/>
      <c r="V118" s="8">
        <f>IFERROR(VLOOKUP(A118,'[43]Consolidated IS'!$A$20:$M$193,13,FALSE),0)</f>
        <v>0</v>
      </c>
      <c r="W118" s="1251">
        <f t="shared" si="46"/>
        <v>0</v>
      </c>
    </row>
    <row r="119" spans="1:25" hidden="1">
      <c r="A119" s="89">
        <v>44000</v>
      </c>
      <c r="B119" s="77" t="s">
        <v>83</v>
      </c>
      <c r="C119" s="45">
        <f>+IFERROR(VLOOKUP(#REF!,'2120_IS'!$D:$AH,31,FALSE),0)</f>
        <v>0</v>
      </c>
      <c r="D119" s="43">
        <v>0</v>
      </c>
      <c r="E119" s="90">
        <f>SUM(C119:D119)</f>
        <v>0</v>
      </c>
      <c r="F119" s="44"/>
      <c r="G119" s="43">
        <v>0</v>
      </c>
      <c r="H119" s="43">
        <v>0</v>
      </c>
      <c r="I119" s="91"/>
      <c r="J119" s="43">
        <v>0</v>
      </c>
      <c r="K119" s="43">
        <v>0</v>
      </c>
      <c r="L119" s="43">
        <v>0</v>
      </c>
      <c r="M119" s="45"/>
      <c r="N119" s="64"/>
      <c r="O119" s="43"/>
      <c r="P119" s="43"/>
      <c r="Q119" s="43"/>
      <c r="R119" s="76"/>
      <c r="S119" s="64">
        <f>SUM(P119:Q119)-O119</f>
        <v>0</v>
      </c>
      <c r="T119" s="45">
        <f>C119+D119+G119-J119-K119-L119</f>
        <v>0</v>
      </c>
      <c r="V119" s="8">
        <f>IFERROR(VLOOKUP(A119,'[43]Consolidated IS'!$A$20:$M$193,13,FALSE),0)</f>
        <v>0</v>
      </c>
      <c r="W119" s="1251">
        <f t="shared" si="46"/>
        <v>0</v>
      </c>
    </row>
    <row r="120" spans="1:25">
      <c r="A120" s="89"/>
      <c r="B120" s="77"/>
      <c r="C120" s="38"/>
      <c r="D120" s="66"/>
      <c r="E120" s="39"/>
      <c r="F120" s="67"/>
      <c r="G120" s="66"/>
      <c r="H120" s="66"/>
      <c r="I120" s="42"/>
      <c r="J120" s="66"/>
      <c r="K120" s="66"/>
      <c r="L120" s="66"/>
      <c r="M120" s="3"/>
      <c r="O120" s="66"/>
      <c r="P120" s="66"/>
      <c r="Q120" s="66"/>
      <c r="T120" s="47"/>
      <c r="V120" s="8">
        <f>IFERROR(VLOOKUP(A120,'[43]Consolidated IS'!$A$20:$M$193,13,FALSE),0)</f>
        <v>0</v>
      </c>
      <c r="W120" s="1251">
        <f t="shared" si="46"/>
        <v>0</v>
      </c>
    </row>
    <row r="121" spans="1:25">
      <c r="A121" s="68">
        <v>44300</v>
      </c>
      <c r="B121" s="52" t="s">
        <v>84</v>
      </c>
      <c r="C121" s="54"/>
      <c r="D121" s="55"/>
      <c r="E121" s="55"/>
      <c r="F121" s="56"/>
      <c r="G121" s="55"/>
      <c r="H121" s="55"/>
      <c r="I121" s="55"/>
      <c r="J121" s="54"/>
      <c r="K121" s="54"/>
      <c r="L121" s="54"/>
      <c r="M121" s="57"/>
      <c r="N121" s="58"/>
      <c r="O121" s="54"/>
      <c r="P121" s="54"/>
      <c r="Q121" s="54"/>
      <c r="R121" s="57"/>
      <c r="S121" s="58"/>
      <c r="T121" s="59"/>
      <c r="V121" s="8">
        <f>IFERROR(VLOOKUP(A121,'[43]Consolidated IS'!$A$20:$M$193,13,FALSE),0)</f>
        <v>0</v>
      </c>
      <c r="W121" s="1251">
        <f t="shared" si="46"/>
        <v>0</v>
      </c>
    </row>
    <row r="122" spans="1:25">
      <c r="A122" s="69">
        <v>43002</v>
      </c>
      <c r="B122" s="7" t="s">
        <v>85</v>
      </c>
      <c r="C122" s="38">
        <f>+IFERROR(VLOOKUP(A122,'2120_IS'!$D:$AH,31,FALSE),0)</f>
        <v>17031</v>
      </c>
      <c r="D122" s="39">
        <f>'Restating Adj''s'!S38</f>
        <v>-2268.8359853125457</v>
      </c>
      <c r="E122" s="39">
        <f>SUM(C122:D122)</f>
        <v>14762.164014687454</v>
      </c>
      <c r="F122" s="1181" t="s">
        <v>86</v>
      </c>
      <c r="G122" s="42"/>
      <c r="H122" s="39">
        <f>C122+D122+G122</f>
        <v>14762.164014687454</v>
      </c>
      <c r="I122" s="39"/>
      <c r="J122" s="38">
        <f>H122</f>
        <v>14762.164014687454</v>
      </c>
      <c r="K122" s="38">
        <v>0</v>
      </c>
      <c r="L122" s="38">
        <v>0</v>
      </c>
      <c r="M122" s="62" t="s">
        <v>19</v>
      </c>
      <c r="N122" s="8">
        <f t="shared" ref="N122" si="65">H122-J122-K122-L122</f>
        <v>0</v>
      </c>
      <c r="O122" s="36">
        <f>J122</f>
        <v>14762.164014687454</v>
      </c>
      <c r="P122" s="200">
        <f>J122*J19</f>
        <v>12966.120248323805</v>
      </c>
      <c r="Q122" s="200">
        <f>O122-P122</f>
        <v>1796.0437663636494</v>
      </c>
      <c r="R122" s="7" t="s">
        <v>87</v>
      </c>
      <c r="S122" s="8">
        <f>SUM(P122:Q122)-O122</f>
        <v>0</v>
      </c>
      <c r="T122" s="47">
        <f>C122+D122+G122-J122-K122-L122</f>
        <v>0</v>
      </c>
      <c r="V122" s="8">
        <f>IFERROR(VLOOKUP(A122,'[43]Consolidated IS'!$A$20:$M$193,13,FALSE),0)</f>
        <v>11515.873279706742</v>
      </c>
      <c r="W122" s="1251">
        <f t="shared" si="46"/>
        <v>3246.2907349807119</v>
      </c>
    </row>
    <row r="123" spans="1:25">
      <c r="A123" s="89">
        <v>44300</v>
      </c>
      <c r="B123" s="77" t="s">
        <v>84</v>
      </c>
      <c r="C123" s="43">
        <f>SUM(C122)</f>
        <v>17031</v>
      </c>
      <c r="D123" s="43">
        <f>SUM(D122)</f>
        <v>-2268.8359853125457</v>
      </c>
      <c r="E123" s="43">
        <f>SUM(E122)</f>
        <v>14762.164014687454</v>
      </c>
      <c r="F123" s="44"/>
      <c r="G123" s="43">
        <f>SUM(G122)</f>
        <v>0</v>
      </c>
      <c r="H123" s="43">
        <f>SUM(H122)</f>
        <v>14762.164014687454</v>
      </c>
      <c r="I123" s="43"/>
      <c r="J123" s="43">
        <f>SUM(J122)</f>
        <v>14762.164014687454</v>
      </c>
      <c r="K123" s="43">
        <f>SUM(K122)</f>
        <v>0</v>
      </c>
      <c r="L123" s="43">
        <f>SUM(L122)</f>
        <v>0</v>
      </c>
      <c r="M123" s="45"/>
      <c r="N123" s="64"/>
      <c r="O123" s="43">
        <f>SUM(O122)</f>
        <v>14762.164014687454</v>
      </c>
      <c r="P123" s="43">
        <f>SUM(P122)</f>
        <v>12966.120248323805</v>
      </c>
      <c r="Q123" s="43">
        <f>SUM(Q122)</f>
        <v>1796.0437663636494</v>
      </c>
      <c r="R123" s="76"/>
      <c r="S123" s="64">
        <f>SUM(P123:Q123)-O123</f>
        <v>0</v>
      </c>
      <c r="T123" s="45">
        <f>C123+D123+G123-J123-K123-L123</f>
        <v>0</v>
      </c>
      <c r="V123" s="8"/>
      <c r="W123" s="1251"/>
    </row>
    <row r="124" spans="1:25">
      <c r="A124" s="89"/>
      <c r="B124" s="77"/>
      <c r="C124" s="66"/>
      <c r="D124" s="66"/>
      <c r="E124" s="66"/>
      <c r="F124" s="67"/>
      <c r="G124" s="66"/>
      <c r="H124" s="66"/>
      <c r="I124" s="66"/>
      <c r="J124" s="66"/>
      <c r="K124" s="66"/>
      <c r="L124" s="66"/>
      <c r="M124" s="3"/>
      <c r="O124" s="66"/>
      <c r="P124" s="66"/>
      <c r="Q124" s="66"/>
      <c r="T124" s="47"/>
      <c r="V124" s="8">
        <f>IFERROR(VLOOKUP(A124,'[43]Consolidated IS'!$A$20:$M$193,13,FALSE),0)</f>
        <v>0</v>
      </c>
      <c r="W124" s="1251">
        <f t="shared" si="46"/>
        <v>0</v>
      </c>
    </row>
    <row r="125" spans="1:25">
      <c r="A125" s="68">
        <v>44500</v>
      </c>
      <c r="B125" s="52" t="s">
        <v>88</v>
      </c>
      <c r="C125" s="54"/>
      <c r="D125" s="55"/>
      <c r="E125" s="55"/>
      <c r="F125" s="56"/>
      <c r="G125" s="55"/>
      <c r="H125" s="55"/>
      <c r="I125" s="55"/>
      <c r="J125" s="54"/>
      <c r="K125" s="54"/>
      <c r="L125" s="54"/>
      <c r="M125" s="57"/>
      <c r="N125" s="58"/>
      <c r="O125" s="54"/>
      <c r="P125" s="54"/>
      <c r="Q125" s="54"/>
      <c r="R125" s="57"/>
      <c r="S125" s="58"/>
      <c r="T125" s="59"/>
      <c r="V125" s="8">
        <f>IFERROR(VLOOKUP(A125,'[43]Consolidated IS'!$A$20:$M$193,13,FALSE),0)</f>
        <v>0</v>
      </c>
      <c r="W125" s="1251">
        <f t="shared" si="46"/>
        <v>0</v>
      </c>
    </row>
    <row r="126" spans="1:25">
      <c r="A126" s="35">
        <v>60225</v>
      </c>
      <c r="B126" s="7" t="s">
        <v>89</v>
      </c>
      <c r="C126" s="38">
        <f>+IFERROR(VLOOKUP(A126,'2120_IS'!$D:$AH,31,FALSE),0)</f>
        <v>2277</v>
      </c>
      <c r="D126" s="42"/>
      <c r="E126" s="39">
        <f>SUM(C126:D126)</f>
        <v>2277</v>
      </c>
      <c r="F126" s="40"/>
      <c r="G126" s="42"/>
      <c r="H126" s="39">
        <f>C126+D126+G126</f>
        <v>2277</v>
      </c>
      <c r="I126" s="42"/>
      <c r="J126" s="200">
        <f>IF(($H126=0),0,IF(($M126="Actual"),"Actual",(VLOOKUP($M126,Ratios!$A$87:$D$90,2,FALSE)*$H126)))</f>
        <v>1990.6936301127791</v>
      </c>
      <c r="K126" s="200">
        <f>IF(($H126=0),0,IF(($M126="Actual"),"Actual",(VLOOKUP($M126,Ratios!$A$87:$D$90,3,FALSE)*$H126)))</f>
        <v>284.48182527223059</v>
      </c>
      <c r="L126" s="200">
        <f>IF(($H126=0),0,IF(($M126="Actual"),"Actual",(VLOOKUP($M126,Ratios!$A$87:$D$90,4,FALSE)*$H126)))</f>
        <v>1.8245446149908728</v>
      </c>
      <c r="M126" s="1252" t="s">
        <v>589</v>
      </c>
      <c r="N126" s="8">
        <f t="shared" ref="N126" si="66">H126-J126-K126-L126</f>
        <v>-6.1373128801278654E-13</v>
      </c>
      <c r="O126" s="36">
        <f t="shared" ref="O126" si="67">J126</f>
        <v>1990.6936301127791</v>
      </c>
      <c r="P126" s="1148">
        <f>J126*Ratios!$J$9</f>
        <v>1976.0212200305439</v>
      </c>
      <c r="Q126" s="200">
        <f>O126-P126</f>
        <v>14.672410082235274</v>
      </c>
      <c r="R126" s="7" t="s">
        <v>589</v>
      </c>
      <c r="S126" s="8">
        <f>SUM(P126:Q126)-O126</f>
        <v>0</v>
      </c>
      <c r="T126" s="47">
        <f>C126+D126+G126-J126-K126-L126</f>
        <v>-6.1373128801278654E-13</v>
      </c>
      <c r="U126" s="13"/>
      <c r="V126" s="8">
        <f>IFERROR(VLOOKUP(A126,'[43]Consolidated IS'!$A$20:$M$193,13,FALSE),0)</f>
        <v>495.06983132245983</v>
      </c>
      <c r="W126" s="1251">
        <f t="shared" si="46"/>
        <v>1495.6237987903194</v>
      </c>
      <c r="X126" s="13"/>
      <c r="Y126" s="13"/>
    </row>
    <row r="127" spans="1:25">
      <c r="A127" s="71">
        <v>44500</v>
      </c>
      <c r="B127" s="2" t="s">
        <v>90</v>
      </c>
      <c r="C127" s="43">
        <f>SUM(C126:C126)</f>
        <v>2277</v>
      </c>
      <c r="D127" s="43">
        <f>SUM(D126:D126)</f>
        <v>0</v>
      </c>
      <c r="E127" s="43">
        <f>SUM(E126:E126)</f>
        <v>2277</v>
      </c>
      <c r="F127" s="44"/>
      <c r="G127" s="43">
        <f>SUM(G126:G126)</f>
        <v>0</v>
      </c>
      <c r="H127" s="43">
        <f>SUM(H126:H126)</f>
        <v>2277</v>
      </c>
      <c r="I127" s="43"/>
      <c r="J127" s="43">
        <f>SUM(J126:J126)</f>
        <v>1990.6936301127791</v>
      </c>
      <c r="K127" s="43">
        <f>SUM(K126:K126)</f>
        <v>284.48182527223059</v>
      </c>
      <c r="L127" s="1253">
        <f>SUM(L126:L126)</f>
        <v>1.8245446149908728</v>
      </c>
      <c r="M127" s="45"/>
      <c r="N127" s="64"/>
      <c r="O127" s="43">
        <f>SUM(O126:O126)</f>
        <v>1990.6936301127791</v>
      </c>
      <c r="P127" s="43">
        <f>SUM(P126:P126)</f>
        <v>1976.0212200305439</v>
      </c>
      <c r="Q127" s="43">
        <f>SUM(Q126:Q126)</f>
        <v>14.672410082235274</v>
      </c>
      <c r="R127" s="76"/>
      <c r="S127" s="64">
        <f>SUM(P127:Q127)-O127</f>
        <v>0</v>
      </c>
      <c r="T127" s="45">
        <f>C127+D127+G127-J127-K127-L127</f>
        <v>-6.1373128801278654E-13</v>
      </c>
      <c r="V127" s="8"/>
      <c r="W127" s="1251"/>
    </row>
    <row r="128" spans="1:25">
      <c r="A128" s="71"/>
      <c r="B128" s="2"/>
      <c r="C128" s="66"/>
      <c r="D128" s="66"/>
      <c r="E128" s="66"/>
      <c r="F128" s="67"/>
      <c r="G128" s="66"/>
      <c r="H128" s="66"/>
      <c r="I128" s="66"/>
      <c r="J128" s="66"/>
      <c r="K128" s="66"/>
      <c r="L128" s="66"/>
      <c r="M128" s="3"/>
      <c r="O128" s="66"/>
      <c r="P128" s="66"/>
      <c r="Q128" s="66"/>
      <c r="T128" s="47"/>
      <c r="V128" s="8"/>
      <c r="W128" s="1251"/>
    </row>
    <row r="129" spans="1:25">
      <c r="A129" s="68">
        <v>45300</v>
      </c>
      <c r="B129" s="52" t="s">
        <v>91</v>
      </c>
      <c r="C129" s="54"/>
      <c r="D129" s="55"/>
      <c r="E129" s="55"/>
      <c r="F129" s="56"/>
      <c r="G129" s="55"/>
      <c r="H129" s="55"/>
      <c r="I129" s="55"/>
      <c r="J129" s="54"/>
      <c r="K129" s="54"/>
      <c r="L129" s="54"/>
      <c r="M129" s="57"/>
      <c r="N129" s="58"/>
      <c r="O129" s="54"/>
      <c r="P129" s="54"/>
      <c r="Q129" s="54"/>
      <c r="R129" s="57"/>
      <c r="S129" s="58"/>
      <c r="T129" s="59"/>
      <c r="V129" s="8"/>
      <c r="W129" s="1251"/>
    </row>
    <row r="130" spans="1:25">
      <c r="A130" s="69">
        <v>59340</v>
      </c>
      <c r="B130" s="7" t="s">
        <v>92</v>
      </c>
      <c r="C130" s="38">
        <f>+IFERROR(VLOOKUP(A130,'2120_IS'!$D:$AH,31,FALSE),0)</f>
        <v>17061.599999999995</v>
      </c>
      <c r="D130" s="42"/>
      <c r="E130" s="39">
        <f>SUM(C130:D130)</f>
        <v>17061.599999999995</v>
      </c>
      <c r="F130" s="40"/>
      <c r="G130" s="42"/>
      <c r="H130" s="39">
        <f>C130+D130+G130</f>
        <v>17061.599999999995</v>
      </c>
      <c r="I130" s="39"/>
      <c r="J130" s="200">
        <f>IF(($H130=0),0,IF(($M130="Actual"),"Actual",(VLOOKUP($M130,Ratios!$A$87:$D$90,2,FALSE)*$H130)))</f>
        <v>15689.117047970474</v>
      </c>
      <c r="K130" s="200">
        <f>IF(($H130=0),0,IF(($M130="Actual"),"Actual",(VLOOKUP($M130,Ratios!$A$87:$D$90,3,FALSE)*$H130)))</f>
        <v>1271.7502583025828</v>
      </c>
      <c r="L130" s="200">
        <f>IF(($H130=0),0,IF(($M130="Actual"),"Actual",(VLOOKUP($M130,Ratios!$A$87:$D$90,4,FALSE)*$H130)))</f>
        <v>100.73269372693724</v>
      </c>
      <c r="M130" s="1252" t="s">
        <v>28</v>
      </c>
      <c r="N130" s="8">
        <f t="shared" ref="N130:N133" si="68">H130-J130-K130-L130</f>
        <v>6.5369931689929217E-13</v>
      </c>
      <c r="O130" s="36">
        <f t="shared" ref="O130:O133" si="69">J130</f>
        <v>15689.117047970474</v>
      </c>
      <c r="P130" s="200">
        <f>J130*Ratios!$N$43</f>
        <v>15663.933874538739</v>
      </c>
      <c r="Q130" s="200">
        <f>O130-P130</f>
        <v>25.183173431734758</v>
      </c>
      <c r="R130" s="1138" t="s">
        <v>28</v>
      </c>
      <c r="S130" s="8">
        <f>SUM(P130:Q130)-O130</f>
        <v>0</v>
      </c>
      <c r="T130" s="47">
        <f>C130+D130+G130-J130-K130-L130</f>
        <v>6.5369931689929217E-13</v>
      </c>
      <c r="U130" s="13"/>
      <c r="V130" s="8">
        <f>IFERROR(VLOOKUP(A130,'[43]Consolidated IS'!$A$20:$M$193,13,FALSE),0)</f>
        <v>18070.494448398578</v>
      </c>
      <c r="W130" s="1251">
        <f t="shared" si="46"/>
        <v>-2381.377400428104</v>
      </c>
      <c r="X130" s="13"/>
      <c r="Y130" s="13"/>
    </row>
    <row r="131" spans="1:25">
      <c r="A131" s="69">
        <v>59341</v>
      </c>
      <c r="B131" s="7" t="s">
        <v>93</v>
      </c>
      <c r="C131" s="38">
        <f>+IFERROR(VLOOKUP(A131,'2120_IS'!$D:$AH,31,FALSE),0)</f>
        <v>2515.33</v>
      </c>
      <c r="D131" s="42"/>
      <c r="E131" s="39">
        <f>SUM(C131:D131)</f>
        <v>2515.33</v>
      </c>
      <c r="F131" s="40"/>
      <c r="G131" s="42"/>
      <c r="H131" s="39">
        <f>C131+D131+G131</f>
        <v>2515.33</v>
      </c>
      <c r="I131" s="39"/>
      <c r="J131" s="200">
        <f>IF(($H131=0),0,IF(($M131="Actual"),"Actual",(VLOOKUP($M131,Ratios!$A$87:$D$90,2,FALSE)*$H131)))</f>
        <v>2312.989800738007</v>
      </c>
      <c r="K131" s="200">
        <f>IF(($H131=0),0,IF(($M131="Actual"),"Actual",(VLOOKUP($M131,Ratios!$A$87:$D$90,3,FALSE)*$H131)))</f>
        <v>187.48954243542437</v>
      </c>
      <c r="L131" s="200">
        <f>IF(($H131=0),0,IF(($M131="Actual"),"Actual",(VLOOKUP($M131,Ratios!$A$87:$D$90,4,FALSE)*$H131)))</f>
        <v>14.850656826568265</v>
      </c>
      <c r="M131" s="1252" t="s">
        <v>28</v>
      </c>
      <c r="N131" s="8">
        <f t="shared" si="68"/>
        <v>2.5934809855243657E-13</v>
      </c>
      <c r="O131" s="36">
        <f t="shared" si="69"/>
        <v>2312.989800738007</v>
      </c>
      <c r="P131" s="200">
        <f>J131*Ratios!$N$43</f>
        <v>2309.2771365313652</v>
      </c>
      <c r="Q131" s="200">
        <f>O131-P131</f>
        <v>3.7126642066418754</v>
      </c>
      <c r="R131" s="1138" t="s">
        <v>28</v>
      </c>
      <c r="S131" s="8">
        <f>SUM(P131:Q131)-O131</f>
        <v>0</v>
      </c>
      <c r="T131" s="47">
        <f>C131+D131+G131-J131-K131-L131</f>
        <v>2.5934809855243657E-13</v>
      </c>
      <c r="U131" s="13"/>
      <c r="V131" s="8">
        <f>IFERROR(VLOOKUP(A131,'[43]Consolidated IS'!$A$20:$M$193,13,FALSE),0)</f>
        <v>0</v>
      </c>
      <c r="W131" s="1251">
        <f t="shared" si="46"/>
        <v>2312.989800738007</v>
      </c>
      <c r="X131" s="13"/>
      <c r="Y131" s="13"/>
    </row>
    <row r="132" spans="1:25">
      <c r="A132" s="69">
        <v>59342</v>
      </c>
      <c r="B132" s="7" t="s">
        <v>94</v>
      </c>
      <c r="C132" s="38">
        <f>+IFERROR(VLOOKUP(A132,'2120_IS'!$D:$AH,31,FALSE),0)</f>
        <v>0</v>
      </c>
      <c r="D132" s="42"/>
      <c r="E132" s="39">
        <f>SUM(C132:D132)</f>
        <v>0</v>
      </c>
      <c r="F132" s="40"/>
      <c r="G132" s="42"/>
      <c r="H132" s="39">
        <f>C132+D132+G132</f>
        <v>0</v>
      </c>
      <c r="I132" s="39"/>
      <c r="J132" s="200">
        <f>IF(($H132=0),0,IF(($M132="Actual"),"Actual",(VLOOKUP($M132,Ratios!$A$87:$D$90,2,FALSE)*$H132)))</f>
        <v>0</v>
      </c>
      <c r="K132" s="200">
        <f>IF(($H132=0),0,IF(($M132="Actual"),"Actual",(VLOOKUP($M132,Ratios!$A$87:$D$90,3,FALSE)*$H132)))</f>
        <v>0</v>
      </c>
      <c r="L132" s="200">
        <f>IF(($H132=0),0,IF(($M132="Actual"),"Actual",(VLOOKUP($M132,Ratios!$A$87:$D$90,4,FALSE)*$H132)))</f>
        <v>0</v>
      </c>
      <c r="M132" s="1252" t="s">
        <v>28</v>
      </c>
      <c r="N132" s="8">
        <f t="shared" si="68"/>
        <v>0</v>
      </c>
      <c r="O132" s="36">
        <f t="shared" si="69"/>
        <v>0</v>
      </c>
      <c r="P132" s="200">
        <f>J132*Ratios!$N$43</f>
        <v>0</v>
      </c>
      <c r="Q132" s="200">
        <f>O132-P132</f>
        <v>0</v>
      </c>
      <c r="R132" s="1138" t="s">
        <v>28</v>
      </c>
      <c r="S132" s="8">
        <f>SUM(P132:Q132)-O132</f>
        <v>0</v>
      </c>
      <c r="T132" s="47">
        <f>C132+D132+G132-J132-K132-L132</f>
        <v>0</v>
      </c>
      <c r="U132" s="13"/>
      <c r="V132" s="8">
        <f>IFERROR(VLOOKUP(A132,'[43]Consolidated IS'!$A$20:$M$193,13,FALSE),0)</f>
        <v>0</v>
      </c>
      <c r="W132" s="1251">
        <f t="shared" si="46"/>
        <v>0</v>
      </c>
      <c r="X132" s="13"/>
      <c r="Y132" s="13"/>
    </row>
    <row r="133" spans="1:25">
      <c r="A133" s="69">
        <v>70271</v>
      </c>
      <c r="B133" s="7" t="s">
        <v>95</v>
      </c>
      <c r="C133" s="38">
        <f>+IFERROR(VLOOKUP(A133,'2120_IS'!$D:$AH,31,FALSE),0)</f>
        <v>0</v>
      </c>
      <c r="D133" s="42"/>
      <c r="E133" s="39">
        <f>SUM(C133:D133)</f>
        <v>0</v>
      </c>
      <c r="F133" s="40"/>
      <c r="G133" s="42"/>
      <c r="H133" s="39">
        <f>C133+D133+G133</f>
        <v>0</v>
      </c>
      <c r="I133" s="39"/>
      <c r="J133" s="200">
        <f>IF(($H133=0),0,IF(($M133="Actual"),"Actual",(VLOOKUP($M133,Ratios!$A$87:$D$90,2,FALSE)*$H133)))</f>
        <v>0</v>
      </c>
      <c r="K133" s="200">
        <f>IF(($H133=0),0,IF(($M133="Actual"),"Actual",(VLOOKUP($M133,Ratios!$A$87:$D$90,3,FALSE)*$H133)))</f>
        <v>0</v>
      </c>
      <c r="L133" s="200">
        <f>IF(($H133=0),0,IF(($M133="Actual"),"Actual",(VLOOKUP($M133,Ratios!$A$87:$D$90,4,FALSE)*$H133)))</f>
        <v>0</v>
      </c>
      <c r="M133" s="1252" t="s">
        <v>28</v>
      </c>
      <c r="N133" s="8">
        <f t="shared" si="68"/>
        <v>0</v>
      </c>
      <c r="O133" s="36">
        <f t="shared" si="69"/>
        <v>0</v>
      </c>
      <c r="P133" s="200">
        <f>J133*Ratios!$N$43</f>
        <v>0</v>
      </c>
      <c r="Q133" s="200">
        <f>O133-P133</f>
        <v>0</v>
      </c>
      <c r="R133" s="1138" t="s">
        <v>28</v>
      </c>
      <c r="S133" s="8">
        <f>SUM(P133:Q133)-O133</f>
        <v>0</v>
      </c>
      <c r="T133" s="47">
        <f>C133+D133+G133-J133-K133-L133</f>
        <v>0</v>
      </c>
      <c r="U133" s="13"/>
      <c r="V133" s="8">
        <f>IFERROR(VLOOKUP(A133,'[43]Consolidated IS'!$A$20:$M$193,13,FALSE),0)</f>
        <v>0</v>
      </c>
      <c r="W133" s="1251">
        <f t="shared" si="46"/>
        <v>0</v>
      </c>
      <c r="X133" s="13"/>
      <c r="Y133" s="13"/>
    </row>
    <row r="134" spans="1:25">
      <c r="A134" s="89">
        <v>45300</v>
      </c>
      <c r="B134" s="2" t="s">
        <v>91</v>
      </c>
      <c r="C134" s="43">
        <f>SUM(C130:C133)</f>
        <v>19576.929999999993</v>
      </c>
      <c r="D134" s="43">
        <f>SUM(D130:D133)</f>
        <v>0</v>
      </c>
      <c r="E134" s="43">
        <f>SUM(E130:E133)</f>
        <v>19576.929999999993</v>
      </c>
      <c r="F134" s="44"/>
      <c r="G134" s="43">
        <f>SUM(G130:G133)</f>
        <v>0</v>
      </c>
      <c r="H134" s="43">
        <f>SUM(H130:H133)</f>
        <v>19576.929999999993</v>
      </c>
      <c r="I134" s="43"/>
      <c r="J134" s="43">
        <f t="shared" ref="J134:L134" si="70">SUM(J130:J133)</f>
        <v>18002.106848708481</v>
      </c>
      <c r="K134" s="43">
        <f t="shared" si="70"/>
        <v>1459.239800738007</v>
      </c>
      <c r="L134" s="1253">
        <f t="shared" si="70"/>
        <v>115.58335055350551</v>
      </c>
      <c r="M134" s="45"/>
      <c r="N134" s="64"/>
      <c r="O134" s="43">
        <f>SUM(O130:O133)</f>
        <v>18002.106848708481</v>
      </c>
      <c r="P134" s="43">
        <f>SUM(P130:P133)</f>
        <v>17973.211011070103</v>
      </c>
      <c r="Q134" s="43">
        <f>SUM(Q130:Q133)</f>
        <v>28.895837638376634</v>
      </c>
      <c r="R134" s="76"/>
      <c r="S134" s="64">
        <f>SUM(P134:Q134)-O134</f>
        <v>0</v>
      </c>
      <c r="T134" s="45">
        <f>C134+D134+G134-J134-K134-L134</f>
        <v>-7.9580786405131221E-13</v>
      </c>
      <c r="V134" s="8">
        <f>IFERROR(VLOOKUP(A134,'[43]Consolidated IS'!$A$20:$M$193,13,FALSE),0)</f>
        <v>22135.448185053381</v>
      </c>
      <c r="W134" s="1251">
        <f t="shared" si="46"/>
        <v>-4133.3413363448999</v>
      </c>
    </row>
    <row r="135" spans="1:25">
      <c r="A135" s="89"/>
      <c r="B135" s="2"/>
      <c r="C135" s="66"/>
      <c r="D135" s="66"/>
      <c r="E135" s="66"/>
      <c r="F135" s="67"/>
      <c r="G135" s="66"/>
      <c r="H135" s="66"/>
      <c r="I135" s="66"/>
      <c r="J135" s="66"/>
      <c r="K135" s="66"/>
      <c r="L135" s="66"/>
      <c r="M135" s="3"/>
      <c r="O135" s="66"/>
      <c r="P135" s="66"/>
      <c r="Q135" s="66"/>
      <c r="T135" s="47"/>
      <c r="V135" s="8">
        <f>IFERROR(VLOOKUP(A135,'[43]Consolidated IS'!$A$20:$M$193,13,FALSE),0)</f>
        <v>0</v>
      </c>
      <c r="W135" s="1251">
        <f t="shared" si="46"/>
        <v>0</v>
      </c>
    </row>
    <row r="136" spans="1:25">
      <c r="A136" s="68">
        <v>45400</v>
      </c>
      <c r="B136" s="52" t="s">
        <v>96</v>
      </c>
      <c r="C136" s="54"/>
      <c r="D136" s="55"/>
      <c r="E136" s="55"/>
      <c r="F136" s="56"/>
      <c r="G136" s="55"/>
      <c r="H136" s="55"/>
      <c r="I136" s="55"/>
      <c r="J136" s="54"/>
      <c r="K136" s="54"/>
      <c r="L136" s="54"/>
      <c r="M136" s="57"/>
      <c r="N136" s="58"/>
      <c r="O136" s="54"/>
      <c r="P136" s="54"/>
      <c r="Q136" s="54"/>
      <c r="R136" s="57"/>
      <c r="S136" s="58"/>
      <c r="T136" s="59"/>
      <c r="V136" s="8">
        <f>IFERROR(VLOOKUP(A136,'[43]Consolidated IS'!$A$20:$M$193,13,FALSE),0)</f>
        <v>-1300.430177935943</v>
      </c>
      <c r="W136" s="1426">
        <f t="shared" si="46"/>
        <v>1300.430177935943</v>
      </c>
    </row>
    <row r="137" spans="1:25">
      <c r="A137" s="69">
        <v>59343</v>
      </c>
      <c r="B137" s="7" t="s">
        <v>97</v>
      </c>
      <c r="C137" s="38">
        <f>+IFERROR(VLOOKUP(A137,'2120_IS'!$D:$AH,31,FALSE),0)</f>
        <v>658.51000000000022</v>
      </c>
      <c r="D137" s="42"/>
      <c r="E137" s="39">
        <f>SUM(C137:D137)</f>
        <v>658.51000000000022</v>
      </c>
      <c r="F137" s="40"/>
      <c r="G137" s="42"/>
      <c r="H137" s="39">
        <f>C137+D137+G137</f>
        <v>658.51000000000022</v>
      </c>
      <c r="I137" s="39"/>
      <c r="J137" s="200">
        <f>IF(($H137=0),0,IF(($M137="Actual"),"Actual",(VLOOKUP($M137,Ratios!$A$87:$D$90,2,FALSE)*$H137)))</f>
        <v>605.5376088560887</v>
      </c>
      <c r="K137" s="200">
        <f>IF(($H137=0),0,IF(($M137="Actual"),"Actual",(VLOOKUP($M137,Ratios!$A$87:$D$90,3,FALSE)*$H137)))</f>
        <v>49.084509225092269</v>
      </c>
      <c r="L137" s="200">
        <f>IF(($H137=0),0,IF(($M137="Actual"),"Actual",(VLOOKUP($M137,Ratios!$A$87:$D$90,4,FALSE)*$H137)))</f>
        <v>3.8878819188191893</v>
      </c>
      <c r="M137" s="1252" t="s">
        <v>28</v>
      </c>
      <c r="N137" s="8">
        <f t="shared" ref="N137:N140" si="71">H137-J137-K137-L137</f>
        <v>6.4392935428259079E-14</v>
      </c>
      <c r="O137" s="36">
        <f t="shared" ref="O137:O140" si="72">J137</f>
        <v>605.5376088560887</v>
      </c>
      <c r="P137" s="200">
        <f>J137*Ratios!$N$43</f>
        <v>604.56563837638396</v>
      </c>
      <c r="Q137" s="200">
        <f>O137-P137</f>
        <v>0.97197047970473704</v>
      </c>
      <c r="R137" s="1138" t="s">
        <v>28</v>
      </c>
      <c r="S137" s="8">
        <f>SUM(P137:Q137)-O137</f>
        <v>0</v>
      </c>
      <c r="T137" s="47">
        <f>C137+D137+G137-J137-K137-L137</f>
        <v>6.4392935428259079E-14</v>
      </c>
      <c r="U137" s="13"/>
      <c r="V137" s="8">
        <f>IFERROR(VLOOKUP(A137,'[43]Consolidated IS'!$A$20:$M$193,13,FALSE),0)</f>
        <v>4064.9537366548043</v>
      </c>
      <c r="W137" s="1426">
        <f t="shared" si="46"/>
        <v>-3459.4161277987155</v>
      </c>
      <c r="X137" s="13"/>
      <c r="Y137" s="13"/>
    </row>
    <row r="138" spans="1:25">
      <c r="A138" s="87">
        <v>59344</v>
      </c>
      <c r="B138" s="1147" t="s">
        <v>98</v>
      </c>
      <c r="C138" s="38">
        <f>+IFERROR(VLOOKUP(A138,'2120_IS'!$D:$AH,31,FALSE),0)</f>
        <v>54515.040000000001</v>
      </c>
      <c r="D138" s="85">
        <f>'Restating Adj''s'!Q36</f>
        <v>-27257.52</v>
      </c>
      <c r="E138" s="39">
        <f>SUM(C138:D138)</f>
        <v>27257.52</v>
      </c>
      <c r="F138" s="1181" t="s">
        <v>99</v>
      </c>
      <c r="G138" s="42"/>
      <c r="H138" s="39">
        <f>C138+D138+G138</f>
        <v>27257.52</v>
      </c>
      <c r="I138" s="39"/>
      <c r="J138" s="200">
        <f>H138</f>
        <v>27257.52</v>
      </c>
      <c r="K138" s="200">
        <v>0</v>
      </c>
      <c r="L138" s="200">
        <v>0</v>
      </c>
      <c r="M138" s="1252" t="s">
        <v>19</v>
      </c>
      <c r="N138" s="8">
        <f t="shared" si="71"/>
        <v>0</v>
      </c>
      <c r="O138" s="36">
        <f t="shared" si="72"/>
        <v>27257.52</v>
      </c>
      <c r="P138" s="200">
        <f>J138*Ratios!$N$43</f>
        <v>27213.767961476726</v>
      </c>
      <c r="Q138" s="200">
        <f>O138-P138</f>
        <v>43.752038523274678</v>
      </c>
      <c r="R138" s="1138" t="s">
        <v>28</v>
      </c>
      <c r="S138" s="8">
        <f>SUM(P138:Q138)-O138</f>
        <v>0</v>
      </c>
      <c r="T138" s="47">
        <f>C138+D138+G138-J138-K138-L138</f>
        <v>0</v>
      </c>
      <c r="U138" s="13"/>
      <c r="V138" s="8">
        <f>IFERROR(VLOOKUP(A138,'[43]Consolidated IS'!$A$20:$M$193,13,FALSE),0)</f>
        <v>0</v>
      </c>
      <c r="W138" s="1426">
        <f t="shared" si="46"/>
        <v>27257.52</v>
      </c>
      <c r="X138" s="13"/>
      <c r="Y138" s="13"/>
    </row>
    <row r="139" spans="1:25">
      <c r="A139" s="69">
        <v>59500</v>
      </c>
      <c r="B139" s="7" t="s">
        <v>100</v>
      </c>
      <c r="C139" s="38">
        <f>+IFERROR(VLOOKUP(A139,'2120_IS'!$D:$AH,31,FALSE),0)</f>
        <v>8175</v>
      </c>
      <c r="D139" s="42"/>
      <c r="E139" s="39">
        <f>SUM(C139:D139)</f>
        <v>8175</v>
      </c>
      <c r="F139" s="40"/>
      <c r="G139" s="42"/>
      <c r="H139" s="39">
        <f>C139+D139+G139</f>
        <v>8175</v>
      </c>
      <c r="I139" s="39"/>
      <c r="J139" s="200">
        <f>IF(($H139=0),0,IF(($M139="Actual"),"Actual",(VLOOKUP($M139,Ratios!$A$87:$D$90,2,FALSE)*$H139)))</f>
        <v>7517.3800738007376</v>
      </c>
      <c r="K139" s="200">
        <f>IF(($H139=0),0,IF(($M139="Actual"),"Actual",(VLOOKUP($M139,Ratios!$A$87:$D$90,3,FALSE)*$H139)))</f>
        <v>609.35424354243548</v>
      </c>
      <c r="L139" s="200">
        <f>IF(($H139=0),0,IF(($M139="Actual"),"Actual",(VLOOKUP($M139,Ratios!$A$87:$D$90,4,FALSE)*$H139)))</f>
        <v>48.26568265682657</v>
      </c>
      <c r="M139" s="1252" t="s">
        <v>28</v>
      </c>
      <c r="N139" s="8">
        <f t="shared" si="71"/>
        <v>3.5527136788005009E-13</v>
      </c>
      <c r="O139" s="36">
        <f t="shared" si="72"/>
        <v>7517.3800738007376</v>
      </c>
      <c r="P139" s="200">
        <f>J139*Ratios!$N$43</f>
        <v>7505.3136531365308</v>
      </c>
      <c r="Q139" s="200">
        <f>O139-P139</f>
        <v>12.066420664206817</v>
      </c>
      <c r="R139" s="1138" t="s">
        <v>28</v>
      </c>
      <c r="S139" s="8">
        <f>SUM(P139:Q139)-O139</f>
        <v>0</v>
      </c>
      <c r="T139" s="47">
        <f>C139+D139+G139-J139-K139-L139</f>
        <v>3.5527136788005009E-13</v>
      </c>
      <c r="U139" s="13"/>
      <c r="V139" s="8">
        <f>IFERROR(VLOOKUP(A139,'[43]Consolidated IS'!$A$20:$M$193,13,FALSE),0)</f>
        <v>-1432.416918149466</v>
      </c>
      <c r="W139" s="1426">
        <f t="shared" si="46"/>
        <v>8949.7969919502029</v>
      </c>
      <c r="X139" s="13"/>
      <c r="Y139" s="13"/>
    </row>
    <row r="140" spans="1:25">
      <c r="A140" s="35">
        <v>57370</v>
      </c>
      <c r="B140" s="7" t="s">
        <v>101</v>
      </c>
      <c r="C140" s="38">
        <f>+IFERROR(VLOOKUP(A140,'2120_IS'!$D:$AH,31,FALSE),0)</f>
        <v>113.61000000000004</v>
      </c>
      <c r="D140" s="42"/>
      <c r="E140" s="39">
        <f>SUM(C140:D140)</f>
        <v>113.61000000000004</v>
      </c>
      <c r="F140" s="40"/>
      <c r="G140" s="42"/>
      <c r="H140" s="39">
        <f>C140+D140+G140</f>
        <v>113.61000000000004</v>
      </c>
      <c r="I140" s="39"/>
      <c r="J140" s="200">
        <f>IF(($H140=0),0,IF(($M140="Actual"),"Actual",(VLOOKUP($M140,Ratios!$A$87:$D$90,2,FALSE)*$H140)))</f>
        <v>104.47089298892993</v>
      </c>
      <c r="K140" s="200">
        <f>IF(($H140=0),0,IF(($M140="Actual"),"Actual",(VLOOKUP($M140,Ratios!$A$87:$D$90,3,FALSE)*$H140)))</f>
        <v>8.4683468634686374</v>
      </c>
      <c r="L140" s="200">
        <f>IF(($H140=0),0,IF(($M140="Actual"),"Actual",(VLOOKUP($M140,Ratios!$A$87:$D$90,4,FALSE)*$H140)))</f>
        <v>0.67076014760147629</v>
      </c>
      <c r="M140" s="1252" t="s">
        <v>28</v>
      </c>
      <c r="N140" s="8">
        <f t="shared" si="71"/>
        <v>-4.3298697960381105E-15</v>
      </c>
      <c r="O140" s="36">
        <f t="shared" si="72"/>
        <v>104.47089298892993</v>
      </c>
      <c r="P140" s="200">
        <f>J140*Ratios!$N$43</f>
        <v>104.30320295202957</v>
      </c>
      <c r="Q140" s="200">
        <f>O140-P140</f>
        <v>0.16769003690036755</v>
      </c>
      <c r="R140" s="1138" t="s">
        <v>28</v>
      </c>
      <c r="S140" s="8">
        <f>SUM(P140:Q140)-O140</f>
        <v>0</v>
      </c>
      <c r="T140" s="47">
        <f>C140+D140+G140-J140-K140-L140</f>
        <v>-4.3298697960381105E-15</v>
      </c>
      <c r="U140" s="13"/>
      <c r="V140" s="8">
        <f>IFERROR(VLOOKUP(A140,'[43]Consolidated IS'!$A$20:$M$193,13,FALSE),0)</f>
        <v>131.98674021352312</v>
      </c>
      <c r="W140" s="1426">
        <f t="shared" si="46"/>
        <v>-27.515847224593188</v>
      </c>
      <c r="X140" s="13"/>
      <c r="Y140" s="13"/>
    </row>
    <row r="141" spans="1:25">
      <c r="A141" s="71">
        <v>45400</v>
      </c>
      <c r="B141" s="2" t="s">
        <v>96</v>
      </c>
      <c r="C141" s="43">
        <f>SUM(C137:C140)</f>
        <v>63462.16</v>
      </c>
      <c r="D141" s="43">
        <f>SUM(D137:D140)</f>
        <v>-27257.52</v>
      </c>
      <c r="E141" s="43">
        <f>SUM(E137:E140)</f>
        <v>36204.639999999999</v>
      </c>
      <c r="F141" s="44"/>
      <c r="G141" s="43">
        <f>SUM(G137:G140)</f>
        <v>0</v>
      </c>
      <c r="H141" s="43">
        <f>SUM(H137:H140)</f>
        <v>36204.639999999999</v>
      </c>
      <c r="I141" s="43"/>
      <c r="J141" s="43">
        <f t="shared" ref="J141:L141" si="73">SUM(J137:J140)</f>
        <v>35484.908575645757</v>
      </c>
      <c r="K141" s="43">
        <f t="shared" si="73"/>
        <v>666.9070996309963</v>
      </c>
      <c r="L141" s="43">
        <f t="shared" si="73"/>
        <v>52.824324723247237</v>
      </c>
      <c r="M141" s="45"/>
      <c r="N141" s="64"/>
      <c r="O141" s="43">
        <f>SUM(O137:O140)</f>
        <v>35484.908575645757</v>
      </c>
      <c r="P141" s="43">
        <f>SUM(P137:P140)</f>
        <v>35427.950455941675</v>
      </c>
      <c r="Q141" s="43">
        <f>SUM(Q137:Q140)</f>
        <v>56.958119704086599</v>
      </c>
      <c r="R141" s="76"/>
      <c r="S141" s="64">
        <f>SUM(P141:Q141)-O141</f>
        <v>0</v>
      </c>
      <c r="T141" s="45">
        <f>C141+D141+G141-J141-K141-L141</f>
        <v>-1.2008172234345693E-12</v>
      </c>
      <c r="V141" s="198">
        <f>IFERROR(VLOOKUP(A141,'[43]Consolidated IS'!$A$20:$M$193,13,FALSE),0)</f>
        <v>-1300.430177935943</v>
      </c>
      <c r="W141" s="1427">
        <f t="shared" si="46"/>
        <v>36785.338753581702</v>
      </c>
    </row>
    <row r="142" spans="1:25">
      <c r="A142" s="71"/>
      <c r="B142" s="2"/>
      <c r="C142" s="66"/>
      <c r="D142" s="66"/>
      <c r="E142" s="66"/>
      <c r="F142" s="67"/>
      <c r="G142" s="66"/>
      <c r="H142" s="66"/>
      <c r="I142" s="66"/>
      <c r="J142" s="66"/>
      <c r="K142" s="66"/>
      <c r="L142" s="66"/>
      <c r="M142" s="3"/>
      <c r="O142" s="66"/>
      <c r="P142" s="66"/>
      <c r="Q142" s="66"/>
      <c r="T142" s="47"/>
      <c r="V142" s="8">
        <f>IFERROR(VLOOKUP(A142,'[43]Consolidated IS'!$A$20:$M$193,13,FALSE),0)</f>
        <v>0</v>
      </c>
      <c r="W142" s="1251">
        <f t="shared" si="46"/>
        <v>0</v>
      </c>
    </row>
    <row r="143" spans="1:25">
      <c r="A143" s="68">
        <v>46130</v>
      </c>
      <c r="B143" s="52" t="s">
        <v>102</v>
      </c>
      <c r="C143" s="54"/>
      <c r="D143" s="55"/>
      <c r="E143" s="55"/>
      <c r="F143" s="56"/>
      <c r="G143" s="55"/>
      <c r="H143" s="55"/>
      <c r="I143" s="55"/>
      <c r="J143" s="54"/>
      <c r="K143" s="54"/>
      <c r="L143" s="54"/>
      <c r="M143" s="57"/>
      <c r="N143" s="58"/>
      <c r="O143" s="54"/>
      <c r="P143" s="54"/>
      <c r="Q143" s="54"/>
      <c r="R143" s="57"/>
      <c r="S143" s="58"/>
      <c r="T143" s="59"/>
      <c r="V143" s="8">
        <f>IFERROR(VLOOKUP(A143,'[43]Consolidated IS'!$A$20:$M$193,13,FALSE),0)</f>
        <v>106510.35289215225</v>
      </c>
      <c r="W143" s="1426">
        <f t="shared" si="46"/>
        <v>-106510.35289215225</v>
      </c>
    </row>
    <row r="144" spans="1:25">
      <c r="A144" s="69">
        <v>70010</v>
      </c>
      <c r="B144" s="7" t="s">
        <v>31</v>
      </c>
      <c r="C144" s="38">
        <f>+IFERROR(VLOOKUP(A144,'2120_IS'!$D:$AH,31,FALSE),0)</f>
        <v>120682.12000000001</v>
      </c>
      <c r="D144" s="1113">
        <f>'Restating Adj''s'!V39</f>
        <v>5454.0757480176189</v>
      </c>
      <c r="E144" s="39">
        <f t="shared" ref="E144:E149" si="74">SUM(C144:D144)</f>
        <v>126136.19574801764</v>
      </c>
      <c r="F144" s="1470" t="s">
        <v>103</v>
      </c>
      <c r="G144" s="39">
        <f>'Pro-forma Adj''s'!B11</f>
        <v>1050.6793578387837</v>
      </c>
      <c r="H144" s="39">
        <f t="shared" ref="H144:H149" si="75">C144+D144+G144</f>
        <v>127186.87510585642</v>
      </c>
      <c r="I144" s="39"/>
      <c r="J144" s="200">
        <f>IF(($H144=0),0,IF(($M144="Actual"),"Actual",(VLOOKUP($M144,Ratios!$A$87:$D$90,2,FALSE)*$H144)))</f>
        <v>116955.60618590192</v>
      </c>
      <c r="K144" s="200">
        <f>IF(($H144=0),0,IF(($M144="Actual"),"Actual",(VLOOKUP($M144,Ratios!$A$87:$D$90,3,FALSE)*$H144)))</f>
        <v>9480.3501001413279</v>
      </c>
      <c r="L144" s="200">
        <f>IF(($H144=0),0,IF(($M144="Actual"),"Actual",(VLOOKUP($M144,Ratios!$A$87:$D$90,4,FALSE)*$H144)))</f>
        <v>750.91881981317442</v>
      </c>
      <c r="M144" s="1252" t="s">
        <v>28</v>
      </c>
      <c r="N144" s="8">
        <f t="shared" ref="N144:N149" si="76">H144-J144-K144-L144</f>
        <v>-3.865352482534945E-12</v>
      </c>
      <c r="O144" s="36">
        <f t="shared" ref="O144:O149" si="77">J144</f>
        <v>116955.60618590192</v>
      </c>
      <c r="P144" s="1148">
        <f>J144*Ratios!$J$9</f>
        <v>116093.58473296808</v>
      </c>
      <c r="Q144" s="200">
        <f t="shared" ref="Q144:Q149" si="78">O144-P144</f>
        <v>862.02145293384092</v>
      </c>
      <c r="R144" s="7" t="s">
        <v>589</v>
      </c>
      <c r="S144" s="8">
        <f t="shared" ref="S144:S150" si="79">SUM(P144:Q144)-O144</f>
        <v>0</v>
      </c>
      <c r="T144" s="47">
        <f t="shared" ref="T144:T150" si="80">C144+D144+G144-J144-K144-L144</f>
        <v>-3.865352482534945E-12</v>
      </c>
      <c r="U144" s="13"/>
      <c r="V144" s="8">
        <f>IFERROR(VLOOKUP(A144,'[43]Consolidated IS'!$A$20:$M$193,13,FALSE),0)</f>
        <v>40715.969471889075</v>
      </c>
      <c r="W144" s="1426">
        <f t="shared" si="46"/>
        <v>76239.636714012857</v>
      </c>
      <c r="X144" s="13"/>
      <c r="Y144" s="13"/>
    </row>
    <row r="145" spans="1:25">
      <c r="A145" s="69">
        <v>70020</v>
      </c>
      <c r="B145" s="7" t="s">
        <v>40</v>
      </c>
      <c r="C145" s="38">
        <f>+IFERROR(VLOOKUP(A145,'2120_IS'!$D:$AH,31,FALSE),0)</f>
        <v>64972.23</v>
      </c>
      <c r="D145" s="1113">
        <f>'Restating Adj''s'!R39</f>
        <v>4845.2178919393982</v>
      </c>
      <c r="E145" s="39">
        <f t="shared" si="74"/>
        <v>69817.447891939402</v>
      </c>
      <c r="F145" s="1226" t="s">
        <v>67</v>
      </c>
      <c r="G145" s="39"/>
      <c r="H145" s="39">
        <f t="shared" si="75"/>
        <v>69817.447891939402</v>
      </c>
      <c r="I145" s="39"/>
      <c r="J145" s="200">
        <f>IF(($H145=0),0,IF(($M145="Actual"),"Actual",(VLOOKUP($M145,Ratios!$A$87:$D$90,2,FALSE)*$H145)))</f>
        <v>61038.712687402127</v>
      </c>
      <c r="K145" s="200">
        <f>IF(($H145=0),0,IF(($M145="Actual"),"Actual",(VLOOKUP($M145,Ratios!$A$87:$D$90,3,FALSE)*$H145)))</f>
        <v>8722.7909583433338</v>
      </c>
      <c r="L145" s="200">
        <f>IF(($H145=0),0,IF(($M145="Actual"),"Actual",(VLOOKUP($M145,Ratios!$A$87:$D$90,4,FALSE)*$H145)))</f>
        <v>55.944246193958669</v>
      </c>
      <c r="M145" s="1252" t="s">
        <v>589</v>
      </c>
      <c r="N145" s="8">
        <f t="shared" si="76"/>
        <v>-1.7088552795030409E-11</v>
      </c>
      <c r="O145" s="36">
        <f t="shared" si="77"/>
        <v>61038.712687402127</v>
      </c>
      <c r="P145" s="1148">
        <f>J145*Ratios!$J$9</f>
        <v>60588.826773319721</v>
      </c>
      <c r="Q145" s="200">
        <f t="shared" si="78"/>
        <v>449.88591408240609</v>
      </c>
      <c r="R145" s="7" t="s">
        <v>589</v>
      </c>
      <c r="S145" s="8">
        <f t="shared" si="79"/>
        <v>0</v>
      </c>
      <c r="T145" s="47">
        <f t="shared" si="80"/>
        <v>-1.7088552795030409E-11</v>
      </c>
      <c r="U145" s="13"/>
      <c r="V145" s="8">
        <f>IFERROR(VLOOKUP(A145,'[43]Consolidated IS'!$A$20:$M$193,13,FALSE),0)</f>
        <v>55743.832762791506</v>
      </c>
      <c r="W145" s="1426">
        <f t="shared" si="46"/>
        <v>5294.8799246106209</v>
      </c>
      <c r="X145" s="13"/>
      <c r="Y145" s="13"/>
    </row>
    <row r="146" spans="1:25">
      <c r="A146" s="69">
        <v>70025</v>
      </c>
      <c r="B146" s="7" t="s">
        <v>69</v>
      </c>
      <c r="C146" s="38">
        <f>+IFERROR(VLOOKUP(A146,'2120_IS'!$D:$AH,31,FALSE),0)</f>
        <v>1137.9000000000001</v>
      </c>
      <c r="D146" s="1113"/>
      <c r="E146" s="39">
        <f t="shared" si="74"/>
        <v>1137.9000000000001</v>
      </c>
      <c r="F146" s="40"/>
      <c r="G146" s="42"/>
      <c r="H146" s="39">
        <f t="shared" si="75"/>
        <v>1137.9000000000001</v>
      </c>
      <c r="I146" s="39"/>
      <c r="J146" s="200">
        <f>IF(($H146=0),0,IF(($M146="Actual"),"Actual",(VLOOKUP($M146,Ratios!$A$87:$D$90,2,FALSE)*$H146)))</f>
        <v>994.82225810510829</v>
      </c>
      <c r="K146" s="200">
        <f>IF(($H146=0),0,IF(($M146="Actual"),"Actual",(VLOOKUP($M146,Ratios!$A$87:$D$90,3,FALSE)*$H146)))</f>
        <v>142.16595036331631</v>
      </c>
      <c r="L146" s="200">
        <f>IF(($H146=0),0,IF(($M146="Actual"),"Actual",(VLOOKUP($M146,Ratios!$A$87:$D$90,4,FALSE)*$H146)))</f>
        <v>0.91179153157580772</v>
      </c>
      <c r="M146" s="1252" t="s">
        <v>589</v>
      </c>
      <c r="N146" s="8">
        <f t="shared" si="76"/>
        <v>-3.1918911957973251E-13</v>
      </c>
      <c r="O146" s="36">
        <f t="shared" si="77"/>
        <v>994.82225810510829</v>
      </c>
      <c r="P146" s="1148">
        <f>J146*Ratios!$J$9</f>
        <v>987.48991931170667</v>
      </c>
      <c r="Q146" s="200">
        <f t="shared" si="78"/>
        <v>7.3323387934016182</v>
      </c>
      <c r="R146" s="7" t="s">
        <v>589</v>
      </c>
      <c r="S146" s="8">
        <f t="shared" si="79"/>
        <v>0</v>
      </c>
      <c r="T146" s="47">
        <f t="shared" si="80"/>
        <v>-3.1918911957973251E-13</v>
      </c>
      <c r="U146" s="13"/>
      <c r="V146" s="8">
        <f>IFERROR(VLOOKUP(A146,'[43]Consolidated IS'!$A$20:$M$193,13,FALSE),0)</f>
        <v>554.74832590813401</v>
      </c>
      <c r="W146" s="1426">
        <f t="shared" si="46"/>
        <v>440.07393219697428</v>
      </c>
      <c r="X146" s="13"/>
      <c r="Y146" s="13"/>
    </row>
    <row r="147" spans="1:25">
      <c r="A147" s="69">
        <v>70036</v>
      </c>
      <c r="B147" s="7" t="s">
        <v>36</v>
      </c>
      <c r="C147" s="38">
        <f>+IFERROR(VLOOKUP(A147,'2120_IS'!$D:$AH,31,FALSE),0)</f>
        <v>532</v>
      </c>
      <c r="D147" s="42"/>
      <c r="E147" s="39">
        <f t="shared" si="74"/>
        <v>532</v>
      </c>
      <c r="F147" s="40"/>
      <c r="G147" s="42"/>
      <c r="H147" s="39">
        <f t="shared" si="75"/>
        <v>532</v>
      </c>
      <c r="I147" s="39"/>
      <c r="J147" s="200">
        <f>IF(($H147=0),0,IF(($M147="Actual"),"Actual",(VLOOKUP($M147,Ratios!$A$87:$D$90,2,FALSE)*$H147)))</f>
        <v>465.10716346947669</v>
      </c>
      <c r="K147" s="200">
        <f>IF(($H147=0),0,IF(($M147="Actual"),"Actual",(VLOOKUP($M147,Ratios!$A$87:$D$90,3,FALSE)*$H147)))</f>
        <v>66.46654854845265</v>
      </c>
      <c r="L147" s="200">
        <f>IF(($H147=0),0,IF(($M147="Actual"),"Actual",(VLOOKUP($M147,Ratios!$A$87:$D$90,4,FALSE)*$H147)))</f>
        <v>0.42628798207077045</v>
      </c>
      <c r="M147" s="1252" t="s">
        <v>589</v>
      </c>
      <c r="N147" s="8">
        <f t="shared" si="76"/>
        <v>-1.0891287871572786E-13</v>
      </c>
      <c r="O147" s="36">
        <f t="shared" si="77"/>
        <v>465.10716346947669</v>
      </c>
      <c r="P147" s="1148">
        <f>J147*Ratios!$J$9</f>
        <v>461.6790904946198</v>
      </c>
      <c r="Q147" s="200">
        <f t="shared" si="78"/>
        <v>3.4280729748568888</v>
      </c>
      <c r="R147" s="7" t="s">
        <v>589</v>
      </c>
      <c r="S147" s="8">
        <f t="shared" si="79"/>
        <v>0</v>
      </c>
      <c r="T147" s="47">
        <f t="shared" si="80"/>
        <v>-1.0891287871572786E-13</v>
      </c>
      <c r="U147" s="13"/>
      <c r="V147" s="8">
        <f>IFERROR(VLOOKUP(A147,'[43]Consolidated IS'!$A$20:$M$193,13,FALSE),0)</f>
        <v>6133.5058173006373</v>
      </c>
      <c r="W147" s="1426">
        <f t="shared" si="46"/>
        <v>-5668.398653831161</v>
      </c>
      <c r="X147" s="13"/>
      <c r="Y147" s="13"/>
    </row>
    <row r="148" spans="1:25">
      <c r="A148" s="69">
        <v>70065</v>
      </c>
      <c r="B148" s="7" t="s">
        <v>104</v>
      </c>
      <c r="C148" s="38">
        <f>+IFERROR(VLOOKUP(A148,'2120_IS'!$D:$AH,31,FALSE),0)</f>
        <v>5287.7999999999993</v>
      </c>
      <c r="D148" s="42"/>
      <c r="E148" s="39">
        <f t="shared" si="74"/>
        <v>5287.7999999999993</v>
      </c>
      <c r="F148" s="40"/>
      <c r="G148" s="42"/>
      <c r="H148" s="39">
        <f t="shared" si="75"/>
        <v>5287.7999999999993</v>
      </c>
      <c r="I148" s="39"/>
      <c r="J148" s="200">
        <f>IF(($H148=0),0,IF(($M148="Actual"),"Actual",(VLOOKUP($M148,Ratios!$A$87:$D$90,2,FALSE)*$H148)))</f>
        <v>4622.9204116426663</v>
      </c>
      <c r="K148" s="200">
        <f>IF(($H148=0),0,IF(($M148="Actual"),"Actual",(VLOOKUP($M148,Ratios!$A$87:$D$90,3,FALSE)*$H148)))</f>
        <v>660.64251017764639</v>
      </c>
      <c r="L148" s="200">
        <f>IF(($H148=0),0,IF(($M148="Actual"),"Actual",(VLOOKUP($M148,Ratios!$A$87:$D$90,4,FALSE)*$H148)))</f>
        <v>4.2370781796876313</v>
      </c>
      <c r="M148" s="1252" t="s">
        <v>589</v>
      </c>
      <c r="N148" s="8">
        <f t="shared" si="76"/>
        <v>-1.0400569294688466E-12</v>
      </c>
      <c r="O148" s="36">
        <f t="shared" si="77"/>
        <v>4622.9204116426663</v>
      </c>
      <c r="P148" s="1148">
        <f>J148*Ratios!$J$9</f>
        <v>4588.8471705215225</v>
      </c>
      <c r="Q148" s="200">
        <f t="shared" si="78"/>
        <v>34.073241121143838</v>
      </c>
      <c r="R148" s="7" t="s">
        <v>589</v>
      </c>
      <c r="S148" s="8">
        <f t="shared" si="79"/>
        <v>0</v>
      </c>
      <c r="T148" s="47">
        <f t="shared" si="80"/>
        <v>-1.0400569294688466E-12</v>
      </c>
      <c r="U148" s="13"/>
      <c r="V148" s="8">
        <f>IFERROR(VLOOKUP(A148,'[43]Consolidated IS'!$A$20:$M$193,13,FALSE),0)</f>
        <v>2972.7065228757378</v>
      </c>
      <c r="W148" s="1426">
        <f t="shared" si="46"/>
        <v>1650.2138887669284</v>
      </c>
      <c r="X148" s="13"/>
      <c r="Y148" s="13"/>
    </row>
    <row r="149" spans="1:25">
      <c r="A149" s="35">
        <v>70070</v>
      </c>
      <c r="B149" s="7" t="s">
        <v>105</v>
      </c>
      <c r="C149" s="38">
        <f>+IFERROR(VLOOKUP(A149,'2120_IS'!$D:$AH,31,FALSE),0)</f>
        <v>3025.7000000000003</v>
      </c>
      <c r="D149" s="42"/>
      <c r="E149" s="39">
        <f t="shared" si="74"/>
        <v>3025.7000000000003</v>
      </c>
      <c r="F149" s="40"/>
      <c r="G149" s="42"/>
      <c r="H149" s="39">
        <f t="shared" si="75"/>
        <v>3025.7000000000003</v>
      </c>
      <c r="I149" s="39"/>
      <c r="J149" s="200">
        <f>IF(($H149=0),0,IF(($M149="Actual"),"Actual",(VLOOKUP($M149,Ratios!$A$87:$D$90,2,FALSE)*$H149)))</f>
        <v>2645.2532791533754</v>
      </c>
      <c r="K149" s="200">
        <f>IF(($H149=0),0,IF(($M149="Actual"),"Actual",(VLOOKUP($M149,Ratios!$A$87:$D$90,3,FALSE)*$H149)))</f>
        <v>378.02224801325792</v>
      </c>
      <c r="L149" s="200">
        <f>IF(($H149=0),0,IF(($M149="Actual"),"Actual",(VLOOKUP($M149,Ratios!$A$87:$D$90,4,FALSE)*$H149)))</f>
        <v>2.4244728333675383</v>
      </c>
      <c r="M149" s="1252" t="s">
        <v>589</v>
      </c>
      <c r="N149" s="8">
        <f t="shared" si="76"/>
        <v>-5.7553961596568115E-13</v>
      </c>
      <c r="O149" s="36">
        <f t="shared" si="77"/>
        <v>2645.2532791533754</v>
      </c>
      <c r="P149" s="1148">
        <f>J149*Ratios!$J$9</f>
        <v>2625.7564362961862</v>
      </c>
      <c r="Q149" s="200">
        <f t="shared" si="78"/>
        <v>19.496842857189222</v>
      </c>
      <c r="R149" s="7" t="s">
        <v>589</v>
      </c>
      <c r="S149" s="8">
        <f t="shared" si="79"/>
        <v>0</v>
      </c>
      <c r="T149" s="47">
        <f t="shared" si="80"/>
        <v>-5.7553961596568115E-13</v>
      </c>
      <c r="U149" s="13"/>
      <c r="V149" s="8">
        <f>IFERROR(VLOOKUP(A149,'[43]Consolidated IS'!$A$20:$M$193,13,FALSE),0)</f>
        <v>389.58999138715797</v>
      </c>
      <c r="W149" s="1426">
        <f t="shared" si="46"/>
        <v>2255.6632877662173</v>
      </c>
      <c r="X149" s="13"/>
      <c r="Y149" s="13"/>
    </row>
    <row r="150" spans="1:25">
      <c r="A150" s="71">
        <v>46130</v>
      </c>
      <c r="B150" s="2" t="s">
        <v>106</v>
      </c>
      <c r="C150" s="43">
        <f>SUM(C144:C149)</f>
        <v>195637.75</v>
      </c>
      <c r="D150" s="43">
        <f>SUM(D144:D149)</f>
        <v>10299.293639957017</v>
      </c>
      <c r="E150" s="43">
        <f>SUM(E144:E149)</f>
        <v>205937.04363995703</v>
      </c>
      <c r="F150" s="44"/>
      <c r="G150" s="43">
        <f>SUM(G144:G149)</f>
        <v>1050.6793578387837</v>
      </c>
      <c r="H150" s="43">
        <f>SUM(H144:H149)</f>
        <v>206987.72299779582</v>
      </c>
      <c r="I150" s="43"/>
      <c r="J150" s="43">
        <f>SUM(J144:J149)</f>
        <v>186722.42198567468</v>
      </c>
      <c r="K150" s="43">
        <f>SUM(K144:K149)</f>
        <v>19450.438315587333</v>
      </c>
      <c r="L150" s="43">
        <f>SUM(L144:L149)</f>
        <v>814.86269653383476</v>
      </c>
      <c r="M150" s="45"/>
      <c r="N150" s="64"/>
      <c r="O150" s="43">
        <f>SUM(O144:O149)</f>
        <v>186722.42198567468</v>
      </c>
      <c r="P150" s="43">
        <f>SUM(P144:P149)</f>
        <v>185346.18412291186</v>
      </c>
      <c r="Q150" s="43">
        <f>SUM(Q144:Q149)</f>
        <v>1376.2378627628384</v>
      </c>
      <c r="R150" s="76"/>
      <c r="S150" s="64">
        <f t="shared" si="79"/>
        <v>0</v>
      </c>
      <c r="T150" s="45">
        <f t="shared" si="80"/>
        <v>-2.6716406864579767E-11</v>
      </c>
      <c r="V150" s="198">
        <f>IFERROR(VLOOKUP(A150,'[43]Consolidated IS'!$A$20:$M$193,13,FALSE),0)</f>
        <v>106510.35289215225</v>
      </c>
      <c r="W150" s="1427">
        <f t="shared" si="46"/>
        <v>80212.069093522427</v>
      </c>
    </row>
    <row r="151" spans="1:25">
      <c r="A151" s="71"/>
      <c r="B151" s="2"/>
      <c r="C151" s="66"/>
      <c r="D151" s="66"/>
      <c r="E151" s="66"/>
      <c r="F151" s="67"/>
      <c r="G151" s="66"/>
      <c r="H151" s="66"/>
      <c r="I151" s="66"/>
      <c r="J151" s="66"/>
      <c r="K151" s="66"/>
      <c r="L151" s="66"/>
      <c r="M151" s="3"/>
      <c r="O151" s="66"/>
      <c r="P151" s="66"/>
      <c r="Q151" s="66"/>
      <c r="T151" s="47"/>
      <c r="V151" s="8">
        <f>IFERROR(VLOOKUP(A151,'[43]Consolidated IS'!$A$20:$M$193,13,FALSE),0)</f>
        <v>0</v>
      </c>
      <c r="W151" s="1251">
        <f t="shared" si="46"/>
        <v>0</v>
      </c>
    </row>
    <row r="152" spans="1:25">
      <c r="A152" s="68">
        <v>70149</v>
      </c>
      <c r="B152" s="52" t="s">
        <v>107</v>
      </c>
      <c r="C152" s="54"/>
      <c r="D152" s="55"/>
      <c r="E152" s="55"/>
      <c r="F152" s="56"/>
      <c r="G152" s="55"/>
      <c r="H152" s="55"/>
      <c r="I152" s="55"/>
      <c r="J152" s="54"/>
      <c r="K152" s="54"/>
      <c r="L152" s="54"/>
      <c r="M152" s="57"/>
      <c r="N152" s="58"/>
      <c r="O152" s="54"/>
      <c r="P152" s="54"/>
      <c r="Q152" s="54"/>
      <c r="R152" s="57"/>
      <c r="S152" s="58"/>
      <c r="T152" s="59"/>
      <c r="V152" s="8"/>
      <c r="W152" s="1251"/>
    </row>
    <row r="153" spans="1:25">
      <c r="A153" s="35">
        <v>70149</v>
      </c>
      <c r="B153" s="7" t="s">
        <v>108</v>
      </c>
      <c r="C153" s="38">
        <f>+IFERROR(VLOOKUP(A153,'2120_IS'!$D:$AH,31,FALSE),0)</f>
        <v>71955.100000000006</v>
      </c>
      <c r="D153" s="1113">
        <f>'Restating Adj''s'!P40</f>
        <v>-12037.034042778607</v>
      </c>
      <c r="E153" s="39">
        <f>SUM(C153:D153)</f>
        <v>59918.065957221399</v>
      </c>
      <c r="F153" s="1181" t="s">
        <v>109</v>
      </c>
      <c r="G153" s="39"/>
      <c r="H153" s="39">
        <f>C153+D153+G153</f>
        <v>59918.065957221399</v>
      </c>
      <c r="I153" s="39"/>
      <c r="J153" s="1114">
        <f>$H$153*J19</f>
        <v>52628.113837195997</v>
      </c>
      <c r="K153" s="1252">
        <f>$H$153*K19</f>
        <v>7034.03164654797</v>
      </c>
      <c r="L153" s="1252">
        <f>$H$153*L19</f>
        <v>255.92047347741581</v>
      </c>
      <c r="M153" s="1255" t="s">
        <v>87</v>
      </c>
      <c r="N153" s="8">
        <f t="shared" ref="N153" si="81">H153-J153-K153-L153</f>
        <v>1.6285639503621496E-11</v>
      </c>
      <c r="O153" s="36">
        <f t="shared" ref="O153" si="82">J153</f>
        <v>52628.113837195997</v>
      </c>
      <c r="P153" s="200">
        <f>$O$153*P19</f>
        <v>52519.087338018217</v>
      </c>
      <c r="Q153" s="1251">
        <f>$O$153*Q19</f>
        <v>109.02649917777032</v>
      </c>
      <c r="S153" s="8">
        <f>SUM(P153:Q153)-O153</f>
        <v>0</v>
      </c>
      <c r="T153" s="47">
        <f>C153+D153+G153-J153-K153-L153</f>
        <v>1.6285639503621496E-11</v>
      </c>
      <c r="V153" s="8">
        <f>IFERROR(VLOOKUP(A153,'[43]Consolidated IS'!$A$20:$M$193,13,FALSE),0)</f>
        <v>68865.049094081958</v>
      </c>
      <c r="W153" s="1251">
        <f t="shared" ref="W153:W216" si="83">O153-V153</f>
        <v>-16236.935256885961</v>
      </c>
    </row>
    <row r="154" spans="1:25">
      <c r="A154" s="71">
        <v>46100</v>
      </c>
      <c r="B154" s="2" t="s">
        <v>107</v>
      </c>
      <c r="C154" s="43">
        <f>SUM(C153)</f>
        <v>71955.100000000006</v>
      </c>
      <c r="D154" s="43">
        <f>SUM(D153)</f>
        <v>-12037.034042778607</v>
      </c>
      <c r="E154" s="43">
        <f>SUM(E153)</f>
        <v>59918.065957221399</v>
      </c>
      <c r="F154" s="92"/>
      <c r="G154" s="43">
        <f>SUM(G153)</f>
        <v>0</v>
      </c>
      <c r="H154" s="43">
        <f>SUM(H153)</f>
        <v>59918.065957221399</v>
      </c>
      <c r="I154" s="43"/>
      <c r="J154" s="43">
        <f>SUM(J153)</f>
        <v>52628.113837195997</v>
      </c>
      <c r="K154" s="43">
        <f>SUM(K153)</f>
        <v>7034.03164654797</v>
      </c>
      <c r="L154" s="43">
        <f>SUM(L153)</f>
        <v>255.92047347741581</v>
      </c>
      <c r="M154" s="93"/>
      <c r="N154" s="64"/>
      <c r="O154" s="43">
        <f>SUM(O153)</f>
        <v>52628.113837195997</v>
      </c>
      <c r="P154" s="43">
        <f>SUM(P153)</f>
        <v>52519.087338018217</v>
      </c>
      <c r="Q154" s="43">
        <f>SUM(Q153)</f>
        <v>109.02649917777032</v>
      </c>
      <c r="R154" s="76" t="s">
        <v>87</v>
      </c>
      <c r="S154" s="64">
        <f>SUM(P154:Q154)-O154</f>
        <v>0</v>
      </c>
      <c r="T154" s="45">
        <f>C154+D154+G154-J154-K154-L154</f>
        <v>1.6285639503621496E-11</v>
      </c>
      <c r="V154" s="198">
        <f>IFERROR(VLOOKUP(A154,'[43]Consolidated IS'!$A$20:$M$193,13,FALSE),0)</f>
        <v>68865.049094081958</v>
      </c>
      <c r="W154" s="66">
        <f t="shared" si="83"/>
        <v>-16236.935256885961</v>
      </c>
    </row>
    <row r="155" spans="1:25">
      <c r="A155" s="71"/>
      <c r="B155" s="2"/>
      <c r="C155" s="66"/>
      <c r="D155" s="66"/>
      <c r="E155" s="66"/>
      <c r="F155" s="67"/>
      <c r="G155" s="66"/>
      <c r="H155" s="66"/>
      <c r="I155" s="66"/>
      <c r="J155" s="66"/>
      <c r="K155" s="66"/>
      <c r="L155" s="66"/>
      <c r="M155" s="3"/>
      <c r="O155" s="66"/>
      <c r="P155" s="66"/>
      <c r="Q155" s="66"/>
      <c r="T155" s="47"/>
      <c r="V155" s="8">
        <f>IFERROR(VLOOKUP(A155,'[43]Consolidated IS'!$A$20:$M$193,13,FALSE),0)</f>
        <v>0</v>
      </c>
      <c r="W155" s="1251">
        <f t="shared" si="83"/>
        <v>0</v>
      </c>
    </row>
    <row r="156" spans="1:25">
      <c r="A156" s="68">
        <v>46200</v>
      </c>
      <c r="B156" s="52" t="s">
        <v>110</v>
      </c>
      <c r="C156" s="54"/>
      <c r="D156" s="55"/>
      <c r="E156" s="55"/>
      <c r="F156" s="56"/>
      <c r="G156" s="55"/>
      <c r="H156" s="55"/>
      <c r="I156" s="55"/>
      <c r="J156" s="54"/>
      <c r="K156" s="54"/>
      <c r="L156" s="54"/>
      <c r="M156" s="57"/>
      <c r="N156" s="58"/>
      <c r="O156" s="54"/>
      <c r="P156" s="54"/>
      <c r="Q156" s="54"/>
      <c r="R156" s="57"/>
      <c r="S156" s="58"/>
      <c r="T156" s="59"/>
      <c r="V156" s="8"/>
      <c r="W156" s="1251"/>
    </row>
    <row r="157" spans="1:25">
      <c r="A157" s="35">
        <v>70147</v>
      </c>
      <c r="B157" s="7" t="s">
        <v>113</v>
      </c>
      <c r="C157" s="38">
        <f>+IFERROR(VLOOKUP(A157,'2120_IS'!$D:$AH,31,FALSE),0)</f>
        <v>183.21</v>
      </c>
      <c r="D157" s="42"/>
      <c r="E157" s="39">
        <f t="shared" ref="E157:E163" si="84">SUM(C157:D157)</f>
        <v>183.21</v>
      </c>
      <c r="G157" s="42"/>
      <c r="H157" s="39">
        <f>C157+D157+G157</f>
        <v>183.21</v>
      </c>
      <c r="I157" s="39"/>
      <c r="J157" s="200">
        <f>IF(($H157=0),0,IF(($M157="Actual"),"Actual",(VLOOKUP($M157,Ratios!$A$87:$D$90,2,FALSE)*$H157)))</f>
        <v>160.17346507376473</v>
      </c>
      <c r="K157" s="200">
        <f>IF(($H157=0),0,IF(($M157="Actual"),"Actual",(VLOOKUP($M157,Ratios!$A$87:$D$90,3,FALSE)*$H157)))</f>
        <v>22.889729999176712</v>
      </c>
      <c r="L157" s="200">
        <f>IF(($H157=0),0,IF(($M157="Actual"),"Actual",(VLOOKUP($M157,Ratios!$A$87:$D$90,4,FALSE)*$H157)))</f>
        <v>0.14680492705862003</v>
      </c>
      <c r="M157" s="1252" t="s">
        <v>589</v>
      </c>
      <c r="N157" s="8">
        <f t="shared" ref="N157:N163" si="85">H157-J157-K157-L157</f>
        <v>-5.5511151231257827E-14</v>
      </c>
      <c r="O157" s="36">
        <f t="shared" ref="O157:O163" si="86">J157</f>
        <v>160.17346507376473</v>
      </c>
      <c r="P157" s="1148">
        <f>J157*Ratios!$J$9</f>
        <v>158.9929063336829</v>
      </c>
      <c r="Q157" s="200">
        <f>O157-P157</f>
        <v>1.1805587400818354</v>
      </c>
      <c r="R157" s="7" t="s">
        <v>589</v>
      </c>
      <c r="S157" s="8">
        <f t="shared" ref="S157:S164" si="87">SUM(P157:Q157)-O157</f>
        <v>0</v>
      </c>
      <c r="T157" s="47">
        <f t="shared" ref="T157:T164" si="88">C157+D157+G157-J157-K157-L157</f>
        <v>-5.5511151231257827E-14</v>
      </c>
      <c r="U157" s="13"/>
      <c r="V157" s="8">
        <f>IFERROR(VLOOKUP(A157,'[43]Consolidated IS'!$A$20:$M$193,13,FALSE),0)</f>
        <v>1799.8595030445492</v>
      </c>
      <c r="W157" s="1251">
        <f t="shared" si="83"/>
        <v>-1639.6860379707846</v>
      </c>
      <c r="X157" s="13"/>
      <c r="Y157" s="13"/>
    </row>
    <row r="158" spans="1:25">
      <c r="A158" s="35">
        <v>70185</v>
      </c>
      <c r="B158" s="7" t="s">
        <v>112</v>
      </c>
      <c r="C158" s="38">
        <f>+IFERROR(VLOOKUP(A158,'2120_IS'!$D:$AH,31,FALSE),0)</f>
        <v>359.98</v>
      </c>
      <c r="D158" s="42"/>
      <c r="E158" s="39">
        <f t="shared" si="84"/>
        <v>359.98</v>
      </c>
      <c r="G158" s="42"/>
      <c r="H158" s="39">
        <f t="shared" ref="H158:H163" si="89">C158+D158+G158</f>
        <v>359.98</v>
      </c>
      <c r="I158" s="39"/>
      <c r="J158" s="200">
        <f>IF(($H158=0),0,IF(($M158="Actual"),"Actual",(VLOOKUP($M158,Ratios!$A$87:$D$90,2,FALSE)*$H158)))</f>
        <v>314.71668553710947</v>
      </c>
      <c r="K158" s="200">
        <f>IF(($H158=0),0,IF(($M158="Actual"),"Actual",(VLOOKUP($M158,Ratios!$A$87:$D$90,3,FALSE)*$H158)))</f>
        <v>44.974864936977418</v>
      </c>
      <c r="L158" s="200">
        <f>IF(($H158=0),0,IF(($M158="Actual"),"Actual",(VLOOKUP($M158,Ratios!$A$87:$D$90,4,FALSE)*$H158)))</f>
        <v>0.28844952591322548</v>
      </c>
      <c r="M158" s="1252" t="s">
        <v>589</v>
      </c>
      <c r="N158" s="8">
        <f t="shared" si="85"/>
        <v>-9.5590202420225978E-14</v>
      </c>
      <c r="O158" s="36">
        <f t="shared" si="86"/>
        <v>314.71668553710947</v>
      </c>
      <c r="P158" s="1148">
        <f>J158*Ratios!$J$9</f>
        <v>312.3970657824309</v>
      </c>
      <c r="Q158" s="200">
        <f>O158-P158</f>
        <v>2.3196197546785697</v>
      </c>
      <c r="R158" s="7" t="s">
        <v>589</v>
      </c>
      <c r="S158" s="8">
        <f t="shared" si="87"/>
        <v>0</v>
      </c>
      <c r="T158" s="47">
        <f t="shared" si="88"/>
        <v>-9.5590202420225978E-14</v>
      </c>
      <c r="U158" s="13"/>
      <c r="V158" s="8">
        <f>IFERROR(VLOOKUP(A158,'[43]Consolidated IS'!$A$20:$M$193,13,FALSE),0)</f>
        <v>454.28243519611124</v>
      </c>
      <c r="W158" s="1251">
        <f t="shared" si="83"/>
        <v>-139.56574965900177</v>
      </c>
      <c r="X158" s="13"/>
      <c r="Y158" s="13"/>
    </row>
    <row r="159" spans="1:25">
      <c r="A159" s="69">
        <v>70210</v>
      </c>
      <c r="B159" s="7" t="s">
        <v>114</v>
      </c>
      <c r="C159" s="38">
        <f>+IFERROR(VLOOKUP(A159,'2120_IS'!$D:$AH,31,FALSE),0)</f>
        <v>7463.7000000000007</v>
      </c>
      <c r="D159" s="42"/>
      <c r="E159" s="39">
        <f t="shared" si="84"/>
        <v>7463.7000000000007</v>
      </c>
      <c r="G159" s="42"/>
      <c r="H159" s="39">
        <f>C159+D159+G159</f>
        <v>7463.7000000000007</v>
      </c>
      <c r="I159" s="39"/>
      <c r="J159" s="200">
        <f>IF(($H159=0),0,IF(($M159="Actual"),"Actual",(VLOOKUP($M159,Ratios!$A$87:$D$90,2,FALSE)*$H159)))</f>
        <v>6525.2261954645364</v>
      </c>
      <c r="K159" s="200">
        <f>IF(($H159=0),0,IF(($M159="Actual"),"Actual",(VLOOKUP($M159,Ratios!$A$87:$D$90,3,FALSE)*$H159)))</f>
        <v>932.49319248324457</v>
      </c>
      <c r="L159" s="200">
        <f>IF(($H159=0),0,IF(($M159="Actual"),"Actual",(VLOOKUP($M159,Ratios!$A$87:$D$90,4,FALSE)*$H159)))</f>
        <v>5.9806120522210708</v>
      </c>
      <c r="M159" s="1252" t="s">
        <v>589</v>
      </c>
      <c r="N159" s="8">
        <f t="shared" si="85"/>
        <v>-1.3447021274259896E-12</v>
      </c>
      <c r="O159" s="36">
        <f t="shared" si="86"/>
        <v>6525.2261954645364</v>
      </c>
      <c r="P159" s="1148">
        <f>J159*Ratios!$J$9</f>
        <v>6477.1320070013044</v>
      </c>
      <c r="Q159" s="200">
        <f>O159-P159</f>
        <v>48.094188463232058</v>
      </c>
      <c r="R159" s="7" t="s">
        <v>589</v>
      </c>
      <c r="S159" s="8">
        <f t="shared" si="87"/>
        <v>0</v>
      </c>
      <c r="T159" s="47">
        <f t="shared" si="88"/>
        <v>-1.3447021274259896E-12</v>
      </c>
      <c r="U159" s="13"/>
      <c r="V159" s="8">
        <f>IFERROR(VLOOKUP(A159,'[43]Consolidated IS'!$A$20:$M$193,13,FALSE),0)</f>
        <v>6242.9445276688512</v>
      </c>
      <c r="W159" s="1251">
        <f t="shared" si="83"/>
        <v>282.28166779568528</v>
      </c>
      <c r="X159" s="13"/>
      <c r="Y159" s="13"/>
    </row>
    <row r="160" spans="1:25">
      <c r="A160" s="35">
        <v>70245</v>
      </c>
      <c r="B160" s="7" t="s">
        <v>115</v>
      </c>
      <c r="C160" s="38">
        <f>+IFERROR(VLOOKUP(A160,'2120_IS'!$D:$AH,31,FALSE),0)</f>
        <v>149.10000000000002</v>
      </c>
      <c r="D160" s="42"/>
      <c r="E160" s="39">
        <f t="shared" si="84"/>
        <v>149.10000000000002</v>
      </c>
      <c r="G160" s="42"/>
      <c r="H160" s="39">
        <f t="shared" si="89"/>
        <v>149.10000000000002</v>
      </c>
      <c r="I160" s="39"/>
      <c r="J160" s="200">
        <f>IF(($H160=0),0,IF(($M160="Actual"),"Actual",(VLOOKUP($M160,Ratios!$A$87:$D$90,2,FALSE)*$H160)))</f>
        <v>137.10597785977862</v>
      </c>
      <c r="K160" s="200">
        <f>IF(($H160=0),0,IF(($M160="Actual"),"Actual",(VLOOKUP($M160,Ratios!$A$87:$D$90,3,FALSE)*$H160)))</f>
        <v>11.113726937269375</v>
      </c>
      <c r="L160" s="200">
        <f>IF(($H160=0),0,IF(($M160="Actual"),"Actual",(VLOOKUP($M160,Ratios!$A$87:$D$90,4,FALSE)*$H160)))</f>
        <v>0.88029520295202968</v>
      </c>
      <c r="M160" s="1252" t="s">
        <v>28</v>
      </c>
      <c r="N160" s="8">
        <f t="shared" si="85"/>
        <v>-8.8817841970012523E-16</v>
      </c>
      <c r="O160" s="36">
        <f t="shared" si="86"/>
        <v>137.10597785977862</v>
      </c>
      <c r="P160" s="200">
        <f>J160*Ratios!$N$43</f>
        <v>136.88590405904063</v>
      </c>
      <c r="Q160" s="200">
        <f>O160-P160</f>
        <v>0.22007380073799254</v>
      </c>
      <c r="R160" s="1138" t="s">
        <v>28</v>
      </c>
      <c r="S160" s="8">
        <f t="shared" si="87"/>
        <v>0</v>
      </c>
      <c r="T160" s="47">
        <f t="shared" si="88"/>
        <v>-8.8817841970012523E-16</v>
      </c>
      <c r="U160" s="13"/>
      <c r="V160" s="8">
        <f>IFERROR(VLOOKUP(A160,'[43]Consolidated IS'!$A$20:$M$193,13,FALSE),0)</f>
        <v>537.53244128113874</v>
      </c>
      <c r="W160" s="1251">
        <f t="shared" si="83"/>
        <v>-400.42646342136015</v>
      </c>
      <c r="X160" s="13"/>
      <c r="Y160" s="13"/>
    </row>
    <row r="161" spans="1:25">
      <c r="A161" s="82">
        <v>70300</v>
      </c>
      <c r="B161" s="83" t="s">
        <v>116</v>
      </c>
      <c r="C161" s="38">
        <f>+IFERROR(VLOOKUP(A161,'2120_IS'!$D:$AH,31,FALSE),0)</f>
        <v>17042.280000000002</v>
      </c>
      <c r="D161" s="42"/>
      <c r="E161" s="39">
        <f t="shared" si="84"/>
        <v>17042.280000000002</v>
      </c>
      <c r="G161" s="42"/>
      <c r="H161" s="39">
        <f t="shared" si="89"/>
        <v>17042.280000000002</v>
      </c>
      <c r="I161" s="39"/>
      <c r="J161" s="200">
        <f>IF(($H161=0),0,IF(($M161="Actual"),"Actual",(VLOOKUP($M161,Ratios!$A$87:$D$90,2,FALSE)*$H161)))</f>
        <v>16762.422061929996</v>
      </c>
      <c r="K161" s="200">
        <f>IF(($H161=0),0,IF(($M161="Actual"),"Actual",(VLOOKUP($M161,Ratios!$A$87:$D$90,3,FALSE)*$H161)))</f>
        <v>264.4945559580313</v>
      </c>
      <c r="L161" s="200">
        <f>IF(($H161=0),0,IF(($M161="Actual"),"Actual",(VLOOKUP($M161,Ratios!$A$87:$D$90,4,FALSE)*$H161)))</f>
        <v>15.363382111975671</v>
      </c>
      <c r="M161" s="1252" t="s">
        <v>590</v>
      </c>
      <c r="N161" s="8">
        <f t="shared" si="85"/>
        <v>-3.3040237212844659E-13</v>
      </c>
      <c r="O161" s="36">
        <f t="shared" si="86"/>
        <v>16762.422061929996</v>
      </c>
      <c r="P161" s="1148">
        <f>J161*Ratios!$J$9</f>
        <v>16638.874607543348</v>
      </c>
      <c r="Q161" s="200">
        <f t="shared" ref="Q161" si="90">O161-P161</f>
        <v>123.54745438664759</v>
      </c>
      <c r="R161" s="7" t="s">
        <v>589</v>
      </c>
      <c r="S161" s="8">
        <f t="shared" si="87"/>
        <v>0</v>
      </c>
      <c r="T161" s="47">
        <f t="shared" si="88"/>
        <v>-3.3040237212844659E-13</v>
      </c>
      <c r="U161" s="13"/>
      <c r="V161" s="8">
        <f>IFERROR(VLOOKUP(A161,'[43]Consolidated IS'!$A$20:$M$193,13,FALSE),0)</f>
        <v>16808.548147414134</v>
      </c>
      <c r="W161" s="1251">
        <f t="shared" si="83"/>
        <v>-46.126085484138457</v>
      </c>
      <c r="X161" s="13"/>
      <c r="Y161" s="13"/>
    </row>
    <row r="162" spans="1:25">
      <c r="B162" s="7" t="s">
        <v>117</v>
      </c>
      <c r="C162" s="38">
        <f>+IFERROR(VLOOKUP(A162,'2120_IS'!$D:$AH,31,FALSE),0)</f>
        <v>0</v>
      </c>
      <c r="D162" s="42"/>
      <c r="E162" s="39">
        <f t="shared" si="84"/>
        <v>0</v>
      </c>
      <c r="G162" s="1256">
        <f>'Pro-forma Adj''s'!B36</f>
        <v>1636.5949183347896</v>
      </c>
      <c r="H162" s="39">
        <f>C162+D162+G162</f>
        <v>1636.5949183347896</v>
      </c>
      <c r="I162" s="39"/>
      <c r="J162" s="200">
        <f>H162</f>
        <v>1636.5949183347896</v>
      </c>
      <c r="K162" s="200">
        <v>0</v>
      </c>
      <c r="L162" s="200">
        <v>0</v>
      </c>
      <c r="M162" s="1255" t="s">
        <v>19</v>
      </c>
      <c r="N162" s="8">
        <f t="shared" si="85"/>
        <v>0</v>
      </c>
      <c r="O162" s="36">
        <f t="shared" si="86"/>
        <v>1636.5949183347896</v>
      </c>
      <c r="P162" s="1148">
        <f>J162*Ratios!$J$9</f>
        <v>1624.5323932846893</v>
      </c>
      <c r="Q162" s="200">
        <f>O162-P162</f>
        <v>12.062525050100248</v>
      </c>
      <c r="R162" s="7" t="s">
        <v>589</v>
      </c>
      <c r="S162" s="8">
        <f t="shared" si="87"/>
        <v>0</v>
      </c>
      <c r="T162" s="47">
        <f t="shared" si="88"/>
        <v>0</v>
      </c>
      <c r="V162" s="8">
        <f>IFERROR(VLOOKUP(A162,'[43]Consolidated IS'!$A$20:$M$193,13,FALSE),0)</f>
        <v>0</v>
      </c>
      <c r="W162" s="1251">
        <f t="shared" si="83"/>
        <v>1636.5949183347896</v>
      </c>
    </row>
    <row r="163" spans="1:25">
      <c r="A163" s="35">
        <v>70320</v>
      </c>
      <c r="B163" s="7" t="s">
        <v>118</v>
      </c>
      <c r="C163" s="38">
        <f>+IFERROR(VLOOKUP(A163,'2120_IS'!$D:$AH,31,FALSE),0)</f>
        <v>1874.09</v>
      </c>
      <c r="D163" s="42"/>
      <c r="E163" s="39">
        <f t="shared" si="84"/>
        <v>1874.09</v>
      </c>
      <c r="G163" s="42"/>
      <c r="H163" s="39">
        <f t="shared" si="89"/>
        <v>1874.09</v>
      </c>
      <c r="I163" s="39"/>
      <c r="J163" s="200">
        <f>IF(($H163=0),0,IF(($M163="Actual"),"Actual",(VLOOKUP($M163,Ratios!$A$87:$D$90,2,FALSE)*$H163)))</f>
        <v>1843.3148359281961</v>
      </c>
      <c r="K163" s="200">
        <f>IF(($H163=0),0,IF(($M163="Actual"),"Actual",(VLOOKUP($M163,Ratios!$A$87:$D$90,3,FALSE)*$H163)))</f>
        <v>29.08569759300908</v>
      </c>
      <c r="L163" s="200">
        <f>IF(($H163=0),0,IF(($M163="Actual"),"Actual",(VLOOKUP($M163,Ratios!$A$87:$D$90,4,FALSE)*$H163)))</f>
        <v>1.6894664787946496</v>
      </c>
      <c r="M163" s="1252" t="s">
        <v>590</v>
      </c>
      <c r="N163" s="8">
        <f t="shared" si="85"/>
        <v>9.9475983006414026E-14</v>
      </c>
      <c r="O163" s="36">
        <f t="shared" si="86"/>
        <v>1843.3148359281961</v>
      </c>
      <c r="P163" s="1148">
        <f>J163*Ratios!$J$9</f>
        <v>1829.7286814470192</v>
      </c>
      <c r="Q163" s="200">
        <f>O163-P163</f>
        <v>13.586154481176891</v>
      </c>
      <c r="R163" s="7" t="s">
        <v>589</v>
      </c>
      <c r="S163" s="8">
        <f t="shared" si="87"/>
        <v>0</v>
      </c>
      <c r="T163" s="47">
        <f t="shared" si="88"/>
        <v>9.9475983006414026E-14</v>
      </c>
      <c r="U163" s="13"/>
      <c r="V163" s="8">
        <f>IFERROR(VLOOKUP(A163,'[43]Consolidated IS'!$A$20:$M$193,13,FALSE),0)</f>
        <v>2005.3176170989043</v>
      </c>
      <c r="W163" s="1251">
        <f t="shared" si="83"/>
        <v>-162.0027811707082</v>
      </c>
      <c r="X163" s="13"/>
      <c r="Y163" s="13"/>
    </row>
    <row r="164" spans="1:25">
      <c r="A164" s="71">
        <v>46200</v>
      </c>
      <c r="B164" s="2" t="s">
        <v>119</v>
      </c>
      <c r="C164" s="43">
        <f>SUM(C157:C163)</f>
        <v>27072.360000000004</v>
      </c>
      <c r="D164" s="43">
        <f>SUM(D157:D163)</f>
        <v>0</v>
      </c>
      <c r="E164" s="43">
        <f>SUM(E157:E163)</f>
        <v>27072.360000000004</v>
      </c>
      <c r="F164" s="92"/>
      <c r="G164" s="43">
        <f>SUM(G157:G163)</f>
        <v>1636.5949183347896</v>
      </c>
      <c r="H164" s="43">
        <f>SUM(H157:H163)</f>
        <v>28708.954918334795</v>
      </c>
      <c r="I164" s="43"/>
      <c r="J164" s="43">
        <f>SUM(J157:J163)</f>
        <v>27379.55414012817</v>
      </c>
      <c r="K164" s="43">
        <f>SUM(K157:K163)</f>
        <v>1305.0517679077086</v>
      </c>
      <c r="L164" s="43">
        <f>SUM(L157:L163)</f>
        <v>24.349010298915267</v>
      </c>
      <c r="M164" s="94"/>
      <c r="N164" s="197"/>
      <c r="O164" s="43">
        <f>SUM(O157:O163)</f>
        <v>27379.55414012817</v>
      </c>
      <c r="P164" s="43">
        <f>SUM(P157:P163)</f>
        <v>27178.543565451517</v>
      </c>
      <c r="Q164" s="43">
        <f>SUM(Q157:Q163)</f>
        <v>201.01057467665518</v>
      </c>
      <c r="R164" s="76"/>
      <c r="S164" s="64">
        <f t="shared" si="87"/>
        <v>0</v>
      </c>
      <c r="T164" s="45">
        <f t="shared" si="88"/>
        <v>1.6697754290362354E-12</v>
      </c>
      <c r="V164" s="8">
        <f>IFERROR(VLOOKUP(A164,'[43]Consolidated IS'!$A$20:$M$193,13,FALSE),0)</f>
        <v>32194.98295572749</v>
      </c>
      <c r="W164" s="1251">
        <f t="shared" si="83"/>
        <v>-4815.4288155993199</v>
      </c>
    </row>
    <row r="165" spans="1:25">
      <c r="A165" s="95"/>
      <c r="B165" s="2"/>
      <c r="C165" s="66"/>
      <c r="D165" s="66"/>
      <c r="E165" s="66"/>
      <c r="F165" s="67"/>
      <c r="G165" s="66"/>
      <c r="H165" s="66"/>
      <c r="I165" s="66"/>
      <c r="J165" s="66"/>
      <c r="K165" s="66"/>
      <c r="L165" s="66"/>
      <c r="M165" s="88"/>
      <c r="N165" s="198"/>
      <c r="O165" s="66"/>
      <c r="P165" s="66"/>
      <c r="Q165" s="66"/>
      <c r="T165" s="47"/>
      <c r="V165" s="8">
        <f>IFERROR(VLOOKUP(A165,'[43]Consolidated IS'!$A$20:$M$193,13,FALSE),0)</f>
        <v>0</v>
      </c>
      <c r="W165" s="1251">
        <f t="shared" si="83"/>
        <v>0</v>
      </c>
    </row>
    <row r="166" spans="1:25" hidden="1">
      <c r="A166" s="68">
        <v>46300</v>
      </c>
      <c r="B166" s="52" t="s">
        <v>120</v>
      </c>
      <c r="C166" s="54"/>
      <c r="D166" s="55"/>
      <c r="E166" s="55"/>
      <c r="F166" s="56"/>
      <c r="G166" s="55"/>
      <c r="H166" s="55"/>
      <c r="I166" s="55"/>
      <c r="J166" s="54"/>
      <c r="K166" s="54"/>
      <c r="L166" s="54"/>
      <c r="M166" s="57"/>
      <c r="N166" s="58"/>
      <c r="O166" s="54"/>
      <c r="P166" s="54"/>
      <c r="Q166" s="54"/>
      <c r="R166" s="57"/>
      <c r="S166" s="58"/>
      <c r="T166" s="59"/>
      <c r="V166" s="8">
        <f>IFERROR(VLOOKUP(A166,'[43]Consolidated IS'!$A$20:$M$193,13,FALSE),0)</f>
        <v>0</v>
      </c>
      <c r="W166" s="1251">
        <f t="shared" si="83"/>
        <v>0</v>
      </c>
    </row>
    <row r="167" spans="1:25" hidden="1">
      <c r="A167" s="35">
        <v>70235</v>
      </c>
      <c r="B167" s="7" t="s">
        <v>121</v>
      </c>
      <c r="C167" s="38">
        <f>+IFERROR(VLOOKUP(A167,'2120_IS'!$D:$AH,31,FALSE),0)</f>
        <v>0</v>
      </c>
      <c r="D167" s="42"/>
      <c r="E167" s="39">
        <f>SUM(C167:D167)</f>
        <v>0</v>
      </c>
      <c r="G167" s="42"/>
      <c r="H167" s="39">
        <f>C167+D167+G167</f>
        <v>0</v>
      </c>
      <c r="I167" s="39"/>
      <c r="J167" s="38">
        <v>0</v>
      </c>
      <c r="K167" s="38">
        <v>0</v>
      </c>
      <c r="L167" s="38">
        <v>0</v>
      </c>
      <c r="M167" s="192" t="s">
        <v>19</v>
      </c>
      <c r="N167" s="8">
        <f t="shared" ref="N167" si="91">H167-J167-K167</f>
        <v>0</v>
      </c>
      <c r="O167" s="36">
        <f t="shared" ref="O167" si="92">J167</f>
        <v>0</v>
      </c>
      <c r="P167" s="38"/>
      <c r="Q167" s="38"/>
      <c r="S167" s="8">
        <f>SUM(P167:Q167)-O167</f>
        <v>0</v>
      </c>
      <c r="T167" s="47">
        <f>C167+D167+G167-J167-K167-L167</f>
        <v>0</v>
      </c>
      <c r="U167" s="13"/>
      <c r="V167" s="8">
        <f>IFERROR(VLOOKUP(A167,'[43]Consolidated IS'!$A$20:$M$193,13,FALSE),0)</f>
        <v>0</v>
      </c>
      <c r="W167" s="1251">
        <f t="shared" si="83"/>
        <v>0</v>
      </c>
      <c r="X167" s="13"/>
      <c r="Y167" s="13"/>
    </row>
    <row r="168" spans="1:25" hidden="1">
      <c r="A168" s="71">
        <v>46300</v>
      </c>
      <c r="B168" s="2" t="s">
        <v>120</v>
      </c>
      <c r="C168" s="43">
        <f>SUM(C167)</f>
        <v>0</v>
      </c>
      <c r="D168" s="43">
        <f>SUM(D167)</f>
        <v>0</v>
      </c>
      <c r="E168" s="43">
        <f>SUM(E167)</f>
        <v>0</v>
      </c>
      <c r="F168" s="92"/>
      <c r="G168" s="43">
        <f>SUM(G167)</f>
        <v>0</v>
      </c>
      <c r="H168" s="43">
        <f>SUM(H167)</f>
        <v>0</v>
      </c>
      <c r="I168" s="43"/>
      <c r="J168" s="43">
        <f>SUM(J167)</f>
        <v>0</v>
      </c>
      <c r="K168" s="43">
        <f>SUM(K167)</f>
        <v>0</v>
      </c>
      <c r="L168" s="43"/>
      <c r="M168" s="93"/>
      <c r="N168" s="64"/>
      <c r="O168" s="43"/>
      <c r="P168" s="43"/>
      <c r="Q168" s="43"/>
      <c r="R168" s="76"/>
      <c r="S168" s="64">
        <f>SUM(P168:Q168)-O168</f>
        <v>0</v>
      </c>
      <c r="T168" s="45">
        <f>C168+D168+G168-J168-K168-L168</f>
        <v>0</v>
      </c>
      <c r="V168" s="8">
        <f>IFERROR(VLOOKUP(A168,'[43]Consolidated IS'!$A$20:$M$193,13,FALSE),0)</f>
        <v>0</v>
      </c>
      <c r="W168" s="1251">
        <f t="shared" si="83"/>
        <v>0</v>
      </c>
    </row>
    <row r="169" spans="1:25" hidden="1">
      <c r="A169" s="71"/>
      <c r="B169" s="2"/>
      <c r="C169" s="66"/>
      <c r="D169" s="66"/>
      <c r="E169" s="66"/>
      <c r="F169" s="67"/>
      <c r="G169" s="66"/>
      <c r="H169" s="66"/>
      <c r="I169" s="66"/>
      <c r="J169" s="66"/>
      <c r="K169" s="66"/>
      <c r="L169" s="66"/>
      <c r="M169" s="3"/>
      <c r="O169" s="66"/>
      <c r="P169" s="66"/>
      <c r="Q169" s="66"/>
      <c r="T169" s="47"/>
      <c r="V169" s="8">
        <f>IFERROR(VLOOKUP(A169,'[43]Consolidated IS'!$A$20:$M$193,13,FALSE),0)</f>
        <v>0</v>
      </c>
      <c r="W169" s="1251">
        <f t="shared" si="83"/>
        <v>0</v>
      </c>
    </row>
    <row r="170" spans="1:25">
      <c r="A170" s="68">
        <v>46400</v>
      </c>
      <c r="B170" s="52" t="s">
        <v>122</v>
      </c>
      <c r="C170" s="54"/>
      <c r="D170" s="55"/>
      <c r="E170" s="55"/>
      <c r="F170" s="56"/>
      <c r="G170" s="55"/>
      <c r="H170" s="55"/>
      <c r="I170" s="55"/>
      <c r="J170" s="54"/>
      <c r="K170" s="54"/>
      <c r="L170" s="54"/>
      <c r="M170" s="57"/>
      <c r="N170" s="58"/>
      <c r="O170" s="54"/>
      <c r="P170" s="54"/>
      <c r="Q170" s="54"/>
      <c r="R170" s="57"/>
      <c r="S170" s="58"/>
      <c r="T170" s="59"/>
      <c r="V170" s="8"/>
      <c r="W170" s="1251"/>
    </row>
    <row r="171" spans="1:25">
      <c r="A171" s="35">
        <v>52150</v>
      </c>
      <c r="B171" s="7" t="s">
        <v>122</v>
      </c>
      <c r="C171" s="38">
        <f>+IFERROR(VLOOKUP(A171,'2120_IS'!$D:$AH,31,FALSE),0)</f>
        <v>1505.4200000000003</v>
      </c>
      <c r="D171" s="42"/>
      <c r="E171" s="39">
        <f>SUM(C171:D171)</f>
        <v>1505.4200000000003</v>
      </c>
      <c r="G171" s="42"/>
      <c r="H171" s="39">
        <f>C171+D171+G171</f>
        <v>1505.4200000000003</v>
      </c>
      <c r="I171" s="39"/>
      <c r="J171" s="200">
        <f>IF(($H171=0),0,IF(($M171="Actual"),"Actual",(VLOOKUP($M171,Ratios!$A$87:$D$90,2,FALSE)*$H171)))</f>
        <v>1384.3197933579338</v>
      </c>
      <c r="K171" s="200">
        <f>IF(($H171=0),0,IF(($M171="Actual"),"Actual",(VLOOKUP($M171,Ratios!$A$87:$D$90,3,FALSE)*$H171)))</f>
        <v>112.21211808118083</v>
      </c>
      <c r="L171" s="200">
        <f>IF(($H171=0),0,IF(($M171="Actual"),"Actual",(VLOOKUP($M171,Ratios!$A$87:$D$90,4,FALSE)*$H171)))</f>
        <v>8.8880885608856097</v>
      </c>
      <c r="M171" s="1252" t="s">
        <v>28</v>
      </c>
      <c r="N171" s="8">
        <f t="shared" ref="N171" si="93">H171-J171-K171-L171</f>
        <v>5.3290705182007514E-14</v>
      </c>
      <c r="O171" s="36">
        <f t="shared" ref="O171" si="94">J171</f>
        <v>1384.3197933579338</v>
      </c>
      <c r="P171" s="200">
        <f>J171*Ratios!$N$43</f>
        <v>1382.0977712177123</v>
      </c>
      <c r="Q171" s="200">
        <f>O171-P171</f>
        <v>2.2220221402214975</v>
      </c>
      <c r="R171" s="1138" t="s">
        <v>28</v>
      </c>
      <c r="S171" s="8">
        <f>SUM(P171:Q171)-O171</f>
        <v>0</v>
      </c>
      <c r="T171" s="47">
        <f>C171+D171+G171-J171-K171-L171</f>
        <v>5.3290705182007514E-14</v>
      </c>
      <c r="U171" s="13"/>
      <c r="V171" s="8">
        <f>IFERROR(VLOOKUP(A171,'[43]Consolidated IS'!$A$20:$M$193,13,FALSE),0)</f>
        <v>1158.5056107362716</v>
      </c>
      <c r="W171" s="1251">
        <f t="shared" si="83"/>
        <v>225.81418262166221</v>
      </c>
      <c r="X171" s="13"/>
      <c r="Y171" s="13"/>
    </row>
    <row r="172" spans="1:25">
      <c r="A172" s="71">
        <v>46400</v>
      </c>
      <c r="B172" s="2" t="s">
        <v>122</v>
      </c>
      <c r="C172" s="43">
        <f>SUM(C171:C171)</f>
        <v>1505.4200000000003</v>
      </c>
      <c r="D172" s="43">
        <f>SUM(D171:D171)</f>
        <v>0</v>
      </c>
      <c r="E172" s="43">
        <f>SUM(E171:E171)</f>
        <v>1505.4200000000003</v>
      </c>
      <c r="F172" s="92"/>
      <c r="G172" s="43">
        <f>SUM(G171:G171)</f>
        <v>0</v>
      </c>
      <c r="H172" s="43">
        <f>SUM(H171:H171)</f>
        <v>1505.4200000000003</v>
      </c>
      <c r="I172" s="43"/>
      <c r="J172" s="43">
        <f>SUM(J171:J171)</f>
        <v>1384.3197933579338</v>
      </c>
      <c r="K172" s="43">
        <f>SUM(K171:K171)</f>
        <v>112.21211808118083</v>
      </c>
      <c r="L172" s="43">
        <f>SUM(L171:L171)</f>
        <v>8.8880885608856097</v>
      </c>
      <c r="M172" s="93"/>
      <c r="N172" s="64"/>
      <c r="O172" s="43">
        <f>SUM(O171:O171)</f>
        <v>1384.3197933579338</v>
      </c>
      <c r="P172" s="43">
        <f>SUM(P171:P171)</f>
        <v>1382.0977712177123</v>
      </c>
      <c r="Q172" s="43">
        <f>SUM(Q171:Q171)</f>
        <v>2.2220221402214975</v>
      </c>
      <c r="R172" s="76"/>
      <c r="S172" s="64">
        <f>SUM(P172:Q172)-O172</f>
        <v>0</v>
      </c>
      <c r="T172" s="45">
        <f>C172+D172+G172-J172-K172-L172</f>
        <v>5.3290705182007514E-14</v>
      </c>
      <c r="V172" s="8">
        <f>IFERROR(VLOOKUP(A172,'[43]Consolidated IS'!$A$20:$M$193,13,FALSE),0)</f>
        <v>1158.5056107362716</v>
      </c>
      <c r="W172" s="1251">
        <f t="shared" si="83"/>
        <v>225.81418262166221</v>
      </c>
    </row>
    <row r="173" spans="1:25">
      <c r="A173" s="71"/>
      <c r="B173" s="2"/>
      <c r="C173" s="66"/>
      <c r="D173" s="66"/>
      <c r="E173" s="66"/>
      <c r="F173" s="67"/>
      <c r="G173" s="66"/>
      <c r="H173" s="66"/>
      <c r="I173" s="66"/>
      <c r="J173" s="66"/>
      <c r="K173" s="66"/>
      <c r="L173" s="66"/>
      <c r="M173" s="3"/>
      <c r="O173" s="66"/>
      <c r="P173" s="66"/>
      <c r="Q173" s="66"/>
      <c r="T173" s="47"/>
      <c r="V173" s="8">
        <f>IFERROR(VLOOKUP(A173,'[43]Consolidated IS'!$A$20:$M$193,13,FALSE),0)</f>
        <v>0</v>
      </c>
      <c r="W173" s="1251">
        <f t="shared" si="83"/>
        <v>0</v>
      </c>
    </row>
    <row r="174" spans="1:25">
      <c r="A174" s="68">
        <v>46410</v>
      </c>
      <c r="B174" s="52" t="s">
        <v>123</v>
      </c>
      <c r="C174" s="54"/>
      <c r="D174" s="55"/>
      <c r="E174" s="55"/>
      <c r="F174" s="56"/>
      <c r="G174" s="55"/>
      <c r="H174" s="55"/>
      <c r="I174" s="55"/>
      <c r="J174" s="54"/>
      <c r="K174" s="54"/>
      <c r="L174" s="54"/>
      <c r="M174" s="57"/>
      <c r="N174" s="58"/>
      <c r="O174" s="54"/>
      <c r="P174" s="54"/>
      <c r="Q174" s="54"/>
      <c r="R174" s="57"/>
      <c r="S174" s="58"/>
      <c r="T174" s="59"/>
      <c r="V174" s="8"/>
      <c r="W174" s="1251"/>
    </row>
    <row r="175" spans="1:25">
      <c r="A175" s="35">
        <v>70165</v>
      </c>
      <c r="B175" s="7" t="s">
        <v>123</v>
      </c>
      <c r="C175" s="38">
        <f>+IFERROR(VLOOKUP(A175,'2120_IS'!$D:$AH,31,FALSE),0)</f>
        <v>21810.89</v>
      </c>
      <c r="D175" s="42"/>
      <c r="E175" s="39">
        <f>SUM(C175:D175)</f>
        <v>21810.89</v>
      </c>
      <c r="G175" s="42"/>
      <c r="H175" s="39">
        <f>C175+D175+G175</f>
        <v>21810.89</v>
      </c>
      <c r="I175" s="39"/>
      <c r="J175" s="200">
        <f>IF(($H175=0),0,IF(($M175="Actual"),"Actual",(VLOOKUP($M175,Ratios!$A$87:$D$90,2,FALSE)*$H175)))</f>
        <v>20056.360841328413</v>
      </c>
      <c r="K175" s="200">
        <f>IF(($H175=0),0,IF(($M175="Actual"),"Actual",(VLOOKUP($M175,Ratios!$A$87:$D$90,3,FALSE)*$H175)))</f>
        <v>1625.7563763837638</v>
      </c>
      <c r="L175" s="200">
        <f>IF(($H175=0),0,IF(($M175="Actual"),"Actual",(VLOOKUP($M175,Ratios!$A$87:$D$90,4,FALSE)*$H175)))</f>
        <v>128.77278228782288</v>
      </c>
      <c r="M175" s="1252" t="s">
        <v>28</v>
      </c>
      <c r="N175" s="8">
        <f t="shared" ref="N175" si="95">H175-J175-K175-L175</f>
        <v>0</v>
      </c>
      <c r="O175" s="36">
        <f t="shared" ref="O175" si="96">J175</f>
        <v>20056.360841328413</v>
      </c>
      <c r="P175" s="1148">
        <f>J175*Ratios!$J$9</f>
        <v>19908.535406731233</v>
      </c>
      <c r="Q175" s="200">
        <f>O175-P175</f>
        <v>147.82543459717999</v>
      </c>
      <c r="R175" s="7" t="s">
        <v>589</v>
      </c>
      <c r="S175" s="8">
        <f>SUM(P175:Q175)-O175</f>
        <v>0</v>
      </c>
      <c r="T175" s="47">
        <f>C175+D175+G175-J175-K175-L175</f>
        <v>0</v>
      </c>
      <c r="U175" s="13"/>
      <c r="V175" s="8">
        <f>IFERROR(VLOOKUP(A175,'[43]Consolidated IS'!$A$20:$M$193,13,FALSE),0)</f>
        <v>10198.953431631602</v>
      </c>
      <c r="W175" s="1251">
        <f t="shared" si="83"/>
        <v>9857.4074096968106</v>
      </c>
      <c r="X175" s="13"/>
      <c r="Y175" s="13"/>
    </row>
    <row r="176" spans="1:25">
      <c r="A176" s="71">
        <v>46410</v>
      </c>
      <c r="B176" s="2" t="s">
        <v>123</v>
      </c>
      <c r="C176" s="43">
        <f>SUM(C175:C175)</f>
        <v>21810.89</v>
      </c>
      <c r="D176" s="43">
        <f>SUM(D175:D175)</f>
        <v>0</v>
      </c>
      <c r="E176" s="43">
        <f>SUM(E175:E175)</f>
        <v>21810.89</v>
      </c>
      <c r="F176" s="92"/>
      <c r="G176" s="43">
        <f>SUM(G175:G175)</f>
        <v>0</v>
      </c>
      <c r="H176" s="43">
        <f>SUM(H175:H175)</f>
        <v>21810.89</v>
      </c>
      <c r="I176" s="43"/>
      <c r="J176" s="43">
        <f>SUM(J175:J175)</f>
        <v>20056.360841328413</v>
      </c>
      <c r="K176" s="43">
        <f>SUM(K175:K175)</f>
        <v>1625.7563763837638</v>
      </c>
      <c r="L176" s="43">
        <f>SUM(L175:L175)</f>
        <v>128.77278228782288</v>
      </c>
      <c r="M176" s="93"/>
      <c r="N176" s="64"/>
      <c r="O176" s="43">
        <f>SUM(O175:O175)</f>
        <v>20056.360841328413</v>
      </c>
      <c r="P176" s="43">
        <f>SUM(P175:P175)</f>
        <v>19908.535406731233</v>
      </c>
      <c r="Q176" s="43">
        <f>SUM(Q175:Q175)</f>
        <v>147.82543459717999</v>
      </c>
      <c r="R176" s="76"/>
      <c r="S176" s="64">
        <f>SUM(P176:Q176)-O176</f>
        <v>0</v>
      </c>
      <c r="T176" s="45">
        <f>C176+D176+G176-J176-K176-L176</f>
        <v>0</v>
      </c>
      <c r="V176" s="8">
        <f>IFERROR(VLOOKUP(A176,'[43]Consolidated IS'!$A$20:$M$193,13,FALSE),0)</f>
        <v>10198.953431631602</v>
      </c>
      <c r="W176" s="1251">
        <f t="shared" si="83"/>
        <v>9857.4074096968106</v>
      </c>
    </row>
    <row r="177" spans="1:25">
      <c r="A177" s="71"/>
      <c r="B177" s="2"/>
      <c r="C177" s="66"/>
      <c r="D177" s="66"/>
      <c r="E177" s="66"/>
      <c r="F177" s="67"/>
      <c r="G177" s="66"/>
      <c r="H177" s="66"/>
      <c r="I177" s="66"/>
      <c r="J177" s="66"/>
      <c r="K177" s="66"/>
      <c r="L177" s="66"/>
      <c r="M177" s="3"/>
      <c r="O177" s="66"/>
      <c r="P177" s="66"/>
      <c r="Q177" s="66"/>
      <c r="T177" s="47"/>
      <c r="V177" s="8">
        <f>IFERROR(VLOOKUP(A177,'[43]Consolidated IS'!$A$20:$M$193,13,FALSE),0)</f>
        <v>0</v>
      </c>
      <c r="W177" s="1251">
        <f t="shared" si="83"/>
        <v>0</v>
      </c>
    </row>
    <row r="178" spans="1:25">
      <c r="A178" s="68">
        <v>46500</v>
      </c>
      <c r="B178" s="52" t="s">
        <v>124</v>
      </c>
      <c r="C178" s="54"/>
      <c r="D178" s="55"/>
      <c r="E178" s="55"/>
      <c r="F178" s="56"/>
      <c r="G178" s="55"/>
      <c r="H178" s="55"/>
      <c r="I178" s="55"/>
      <c r="J178" s="54"/>
      <c r="K178" s="54"/>
      <c r="L178" s="54"/>
      <c r="M178" s="57"/>
      <c r="N178" s="58"/>
      <c r="O178" s="54"/>
      <c r="P178" s="54"/>
      <c r="Q178" s="54"/>
      <c r="R178" s="57"/>
      <c r="S178" s="58"/>
      <c r="T178" s="59"/>
      <c r="V178" s="8"/>
      <c r="W178" s="1251"/>
    </row>
    <row r="179" spans="1:25">
      <c r="A179" s="35">
        <v>50060</v>
      </c>
      <c r="B179" s="7" t="s">
        <v>125</v>
      </c>
      <c r="C179" s="38">
        <f>+IFERROR(VLOOKUP(A179,'2120_IS'!$D:$AH,31,FALSE),0)</f>
        <v>86850.440000000017</v>
      </c>
      <c r="D179" s="39"/>
      <c r="E179" s="39">
        <f>SUM(C179:D179)</f>
        <v>86850.440000000017</v>
      </c>
      <c r="G179" s="42"/>
      <c r="H179" s="39">
        <f>C179+D179+G179</f>
        <v>86850.440000000017</v>
      </c>
      <c r="I179" s="39"/>
      <c r="J179" s="200">
        <f>IF(($H179=0),0,IF(($M179="Actual"),"Actual",(VLOOKUP($M179,Ratios!$A$87:$D$90,2,FALSE)*$H179)))</f>
        <v>79863.947040590414</v>
      </c>
      <c r="K179" s="200">
        <f>IF(($H179=0),0,IF(($M179="Actual"),"Actual",(VLOOKUP($M179,Ratios!$A$87:$D$90,3,FALSE)*$H179)))</f>
        <v>6473.7228339483408</v>
      </c>
      <c r="L179" s="200">
        <f>IF(($H179=0),0,IF(($M179="Actual"),"Actual",(VLOOKUP($M179,Ratios!$A$87:$D$90,4,FALSE)*$H179)))</f>
        <v>512.77012546125468</v>
      </c>
      <c r="M179" s="1252" t="s">
        <v>28</v>
      </c>
      <c r="N179" s="8">
        <f t="shared" ref="N179:N182" si="97">H179-J179-K179-L179</f>
        <v>7.3896444519050419E-12</v>
      </c>
      <c r="O179" s="36">
        <f t="shared" ref="O179:O182" si="98">J179</f>
        <v>79863.947040590414</v>
      </c>
      <c r="P179" s="200">
        <f>J179*Ratios!$N$43</f>
        <v>79735.754509225095</v>
      </c>
      <c r="Q179" s="200">
        <f>O179-P179</f>
        <v>128.19253136531916</v>
      </c>
      <c r="R179" s="1138" t="s">
        <v>28</v>
      </c>
      <c r="S179" s="8">
        <f>SUM(P179:Q179)-O179</f>
        <v>0</v>
      </c>
      <c r="T179" s="47">
        <f>C179+D179+G179-J179-K179-L179</f>
        <v>7.3896444519050419E-12</v>
      </c>
      <c r="U179" s="13"/>
      <c r="V179" s="8">
        <f>IFERROR(VLOOKUP(A179,'[43]Consolidated IS'!$A$20:$M$193,13,FALSE),0)</f>
        <v>78623.030483985785</v>
      </c>
      <c r="W179" s="1251">
        <f t="shared" si="83"/>
        <v>1240.9165566046286</v>
      </c>
      <c r="X179" s="13"/>
      <c r="Y179" s="13"/>
    </row>
    <row r="180" spans="1:25">
      <c r="A180" s="35">
        <v>52060</v>
      </c>
      <c r="B180" s="7" t="s">
        <v>125</v>
      </c>
      <c r="C180" s="38">
        <f>+IFERROR(VLOOKUP(A180,'2120_IS'!$D:$AH,31,FALSE),0)</f>
        <v>19018.75</v>
      </c>
      <c r="D180" s="42"/>
      <c r="E180" s="39">
        <f>SUM(C180:D180)</f>
        <v>19018.75</v>
      </c>
      <c r="G180" s="42"/>
      <c r="H180" s="39">
        <f>C180+D180+G180</f>
        <v>19018.75</v>
      </c>
      <c r="I180" s="39"/>
      <c r="J180" s="200">
        <f>IF(($H180=0),0,IF(($M180="Actual"),"Actual",(VLOOKUP($M180,Ratios!$A$87:$D$90,2,FALSE)*$H180)))</f>
        <v>17488.828413284133</v>
      </c>
      <c r="K180" s="200">
        <f>IF(($H180=0),0,IF(($M180="Actual"),"Actual",(VLOOKUP($M180,Ratios!$A$87:$D$90,3,FALSE)*$H180)))</f>
        <v>1417.6337638376385</v>
      </c>
      <c r="L180" s="200">
        <f>IF(($H180=0),0,IF(($M180="Actual"),"Actual",(VLOOKUP($M180,Ratios!$A$87:$D$90,4,FALSE)*$H180)))</f>
        <v>112.28782287822878</v>
      </c>
      <c r="M180" s="1252" t="s">
        <v>28</v>
      </c>
      <c r="N180" s="8">
        <f t="shared" si="97"/>
        <v>0</v>
      </c>
      <c r="O180" s="36">
        <f t="shared" si="98"/>
        <v>17488.828413284133</v>
      </c>
      <c r="P180" s="200">
        <f>J180*Ratios!$N$43</f>
        <v>17460.756457564577</v>
      </c>
      <c r="Q180" s="200">
        <f>O180-P180</f>
        <v>28.071955719555262</v>
      </c>
      <c r="R180" s="1138" t="s">
        <v>28</v>
      </c>
      <c r="S180" s="8">
        <f>SUM(P180:Q180)-O180</f>
        <v>0</v>
      </c>
      <c r="T180" s="47">
        <f>C180+D180+G180-J180-K180-L180</f>
        <v>0</v>
      </c>
      <c r="U180" s="13"/>
      <c r="V180" s="8">
        <f>IFERROR(VLOOKUP(A180,'[43]Consolidated IS'!$A$20:$M$193,13,FALSE),0)</f>
        <v>17802.864284697513</v>
      </c>
      <c r="W180" s="1251">
        <f t="shared" si="83"/>
        <v>-314.03587141337994</v>
      </c>
      <c r="X180" s="13"/>
      <c r="Y180" s="13"/>
    </row>
    <row r="181" spans="1:25">
      <c r="A181" s="35">
        <v>56060</v>
      </c>
      <c r="B181" s="7" t="s">
        <v>125</v>
      </c>
      <c r="C181" s="38">
        <f>+IFERROR(VLOOKUP(A181,'2120_IS'!$D:$AH,31,FALSE),0)</f>
        <v>5444.08</v>
      </c>
      <c r="D181" s="84"/>
      <c r="E181" s="39">
        <f>SUM(C181:D181)</f>
        <v>5444.08</v>
      </c>
      <c r="G181" s="39"/>
      <c r="H181" s="39">
        <f>C181+D181+G181</f>
        <v>5444.08</v>
      </c>
      <c r="I181" s="39"/>
      <c r="J181" s="200">
        <f>IF(($H181=0),0,IF(($M181="Actual"),"Actual",(VLOOKUP($M181,Ratios!$A$87:$D$90,2,FALSE)*$H181)))</f>
        <v>5006.1429372693729</v>
      </c>
      <c r="K181" s="200">
        <f>IF(($H181=0),0,IF(($M181="Actual"),"Actual",(VLOOKUP($M181,Ratios!$A$87:$D$90,3,FALSE)*$H181)))</f>
        <v>405.79489298892992</v>
      </c>
      <c r="L181" s="200">
        <f>IF(($H181=0),0,IF(($M181="Actual"),"Actual",(VLOOKUP($M181,Ratios!$A$87:$D$90,4,FALSE)*$H181)))</f>
        <v>32.142169741697415</v>
      </c>
      <c r="M181" s="1252" t="s">
        <v>28</v>
      </c>
      <c r="N181" s="8">
        <f t="shared" si="97"/>
        <v>-2.5579538487363607E-13</v>
      </c>
      <c r="O181" s="36">
        <f t="shared" si="98"/>
        <v>5006.1429372693729</v>
      </c>
      <c r="P181" s="200">
        <f>J181*Ratios!$N$43</f>
        <v>4998.107394833949</v>
      </c>
      <c r="Q181" s="200">
        <f>O181-P181</f>
        <v>8.0355424354238494</v>
      </c>
      <c r="R181" s="1138" t="s">
        <v>28</v>
      </c>
      <c r="S181" s="8">
        <f>SUM(P181:Q181)-O181</f>
        <v>0</v>
      </c>
      <c r="T181" s="47">
        <f>C181+D181+G181-J181-K181-L181</f>
        <v>-2.5579538487363607E-13</v>
      </c>
      <c r="U181" s="13"/>
      <c r="V181" s="8">
        <f>IFERROR(VLOOKUP(A181,'[43]Consolidated IS'!$A$20:$M$193,13,FALSE),0)</f>
        <v>9289.3600854092529</v>
      </c>
      <c r="W181" s="1251">
        <f t="shared" si="83"/>
        <v>-4283.21714813988</v>
      </c>
      <c r="X181" s="13"/>
      <c r="Y181" s="13"/>
    </row>
    <row r="182" spans="1:25">
      <c r="A182" s="35">
        <v>70060</v>
      </c>
      <c r="B182" s="7" t="s">
        <v>125</v>
      </c>
      <c r="C182" s="38">
        <f>+IFERROR(VLOOKUP(A182,'2120_IS'!$D:$AH,31,FALSE),0)</f>
        <v>34202.590000000004</v>
      </c>
      <c r="D182" s="84"/>
      <c r="E182" s="39">
        <f>SUM(C182:D182)</f>
        <v>34202.590000000004</v>
      </c>
      <c r="G182" s="42"/>
      <c r="H182" s="39">
        <f>C182+D182+G182</f>
        <v>34202.590000000004</v>
      </c>
      <c r="I182" s="39"/>
      <c r="J182" s="200">
        <f>IF(($H182=0),0,IF(($M182="Actual"),"Actual",(VLOOKUP($M182,Ratios!$A$87:$D$90,2,FALSE)*$H182)))</f>
        <v>29902.010560544157</v>
      </c>
      <c r="K182" s="200">
        <f>IF(($H182=0),0,IF(($M182="Actual"),"Actual",(VLOOKUP($M182,Ratios!$A$87:$D$90,3,FALSE)*$H182)))</f>
        <v>4273.1731366876347</v>
      </c>
      <c r="L182" s="200">
        <f>IF(($H182=0),0,IF(($M182="Actual"),"Actual",(VLOOKUP($M182,Ratios!$A$87:$D$90,4,FALSE)*$H182)))</f>
        <v>27.406302768221643</v>
      </c>
      <c r="M182" s="1252" t="s">
        <v>589</v>
      </c>
      <c r="N182" s="8">
        <f t="shared" si="97"/>
        <v>-9.3436369752453174E-12</v>
      </c>
      <c r="O182" s="36">
        <f t="shared" si="98"/>
        <v>29902.010560544157</v>
      </c>
      <c r="P182" s="1148">
        <f>J182*Ratios!$J$9</f>
        <v>29681.617751429287</v>
      </c>
      <c r="Q182" s="200">
        <f>O182-P182</f>
        <v>220.39280911487003</v>
      </c>
      <c r="R182" s="7" t="s">
        <v>589</v>
      </c>
      <c r="S182" s="8">
        <f>SUM(P182:Q182)-O182</f>
        <v>0</v>
      </c>
      <c r="T182" s="47">
        <f>C182+D182+G182-J182-K182-L182</f>
        <v>-9.3436369752453174E-12</v>
      </c>
      <c r="U182" s="13"/>
      <c r="V182" s="8">
        <f>IFERROR(VLOOKUP(A182,'[43]Consolidated IS'!$A$20:$M$193,13,FALSE),0)</f>
        <v>22846.65815050641</v>
      </c>
      <c r="W182" s="1251">
        <f t="shared" si="83"/>
        <v>7055.3524100377472</v>
      </c>
      <c r="X182" s="13"/>
      <c r="Y182" s="13"/>
    </row>
    <row r="183" spans="1:25">
      <c r="A183" s="71">
        <v>46500</v>
      </c>
      <c r="B183" s="2" t="s">
        <v>124</v>
      </c>
      <c r="C183" s="43">
        <f>SUM(C179:C182)</f>
        <v>145515.86000000002</v>
      </c>
      <c r="D183" s="43">
        <f>SUM(D179:D182)</f>
        <v>0</v>
      </c>
      <c r="E183" s="43">
        <f>SUM(E179:E182)</f>
        <v>145515.86000000002</v>
      </c>
      <c r="F183" s="92"/>
      <c r="G183" s="43">
        <f>SUM(G179:G182)</f>
        <v>0</v>
      </c>
      <c r="H183" s="43">
        <f>SUM(H179:H182)</f>
        <v>145515.86000000002</v>
      </c>
      <c r="I183" s="43"/>
      <c r="J183" s="43">
        <f>SUM(J179:J182)</f>
        <v>132260.92895168808</v>
      </c>
      <c r="K183" s="43">
        <f>SUM(K179:K182)</f>
        <v>12570.324627462545</v>
      </c>
      <c r="L183" s="43">
        <f>SUM(L179:L182)</f>
        <v>684.60642084940253</v>
      </c>
      <c r="M183" s="93"/>
      <c r="N183" s="64"/>
      <c r="O183" s="43">
        <f>SUM(O179:O182)</f>
        <v>132260.92895168808</v>
      </c>
      <c r="P183" s="43">
        <f>SUM(P179:P182)</f>
        <v>131876.2361130529</v>
      </c>
      <c r="Q183" s="43">
        <f>SUM(Q179:Q182)</f>
        <v>384.6928386351683</v>
      </c>
      <c r="R183" s="76"/>
      <c r="S183" s="64">
        <f>SUM(P183:Q183)-O183</f>
        <v>0</v>
      </c>
      <c r="T183" s="45">
        <f>C183+D183+G183-J183-K183-L183</f>
        <v>-1.4438228390645236E-11</v>
      </c>
      <c r="V183" s="8">
        <f>IFERROR(VLOOKUP(A183,'[43]Consolidated IS'!$A$20:$M$193,13,FALSE),0)</f>
        <v>128561.91300459896</v>
      </c>
      <c r="W183" s="1251">
        <f t="shared" si="83"/>
        <v>3699.0159470891231</v>
      </c>
    </row>
    <row r="184" spans="1:25">
      <c r="C184" s="38"/>
      <c r="D184" s="42"/>
      <c r="E184" s="42"/>
      <c r="G184" s="42"/>
      <c r="H184" s="42"/>
      <c r="I184" s="42"/>
      <c r="J184" s="38"/>
      <c r="K184" s="38"/>
      <c r="L184" s="38"/>
      <c r="O184" s="38"/>
      <c r="P184" s="38"/>
      <c r="Q184" s="38"/>
      <c r="T184" s="47"/>
      <c r="V184" s="8">
        <f>IFERROR(VLOOKUP(A184,'[43]Consolidated IS'!$A$20:$M$193,13,FALSE),0)</f>
        <v>0</v>
      </c>
      <c r="W184" s="1251">
        <f t="shared" si="83"/>
        <v>0</v>
      </c>
    </row>
    <row r="185" spans="1:25">
      <c r="A185" s="68">
        <v>46510</v>
      </c>
      <c r="B185" s="52" t="s">
        <v>126</v>
      </c>
      <c r="C185" s="54"/>
      <c r="D185" s="55"/>
      <c r="E185" s="55"/>
      <c r="F185" s="56"/>
      <c r="G185" s="55"/>
      <c r="H185" s="55"/>
      <c r="I185" s="55"/>
      <c r="J185" s="54"/>
      <c r="K185" s="54"/>
      <c r="L185" s="54"/>
      <c r="M185" s="57"/>
      <c r="N185" s="58"/>
      <c r="O185" s="54"/>
      <c r="P185" s="54"/>
      <c r="Q185" s="54"/>
      <c r="R185" s="57"/>
      <c r="S185" s="58"/>
      <c r="T185" s="59"/>
      <c r="V185" s="8"/>
      <c r="W185" s="1251"/>
    </row>
    <row r="186" spans="1:25">
      <c r="A186" s="35">
        <v>50115</v>
      </c>
      <c r="B186" s="7" t="s">
        <v>126</v>
      </c>
      <c r="C186" s="38">
        <f>+IFERROR(VLOOKUP(A186,'2120_IS'!$D:$AH,31,FALSE),0)</f>
        <v>5084.5300000000007</v>
      </c>
      <c r="D186" s="42"/>
      <c r="E186" s="39">
        <f t="shared" ref="E186:E189" si="99">SUM(C186:D186)</f>
        <v>5084.5300000000007</v>
      </c>
      <c r="G186" s="42"/>
      <c r="H186" s="39">
        <f t="shared" ref="H186:H189" si="100">C186+D186+G186</f>
        <v>5084.5300000000007</v>
      </c>
      <c r="I186" s="39"/>
      <c r="J186" s="200">
        <f>IF(($H186=0),0,IF(($M186="Actual"),"Actual",(VLOOKUP($M186,Ratios!$A$87:$D$90,2,FALSE)*$H186)))</f>
        <v>4675.5161476014764</v>
      </c>
      <c r="K186" s="200">
        <f>IF(($H186=0),0,IF(($M186="Actual"),"Actual",(VLOOKUP($M186,Ratios!$A$87:$D$90,3,FALSE)*$H186)))</f>
        <v>378.99448708487091</v>
      </c>
      <c r="L186" s="200">
        <f>IF(($H186=0),0,IF(($M186="Actual"),"Actual",(VLOOKUP($M186,Ratios!$A$87:$D$90,4,FALSE)*$H186)))</f>
        <v>30.01936531365314</v>
      </c>
      <c r="M186" s="1252" t="s">
        <v>28</v>
      </c>
      <c r="N186" s="8">
        <f t="shared" ref="N186:N189" si="101">H186-J186-K186-L186</f>
        <v>1.9895196601282805E-13</v>
      </c>
      <c r="O186" s="36">
        <f t="shared" ref="O186:O189" si="102">J186</f>
        <v>4675.5161476014764</v>
      </c>
      <c r="P186" s="200">
        <f>J186*Ratios!$N$43</f>
        <v>4668.0113062730634</v>
      </c>
      <c r="Q186" s="200">
        <f>O186-P186</f>
        <v>7.504841328413022</v>
      </c>
      <c r="R186" s="1138" t="s">
        <v>28</v>
      </c>
      <c r="S186" s="8">
        <f>SUM(P186:Q186)-O186</f>
        <v>0</v>
      </c>
      <c r="T186" s="47">
        <f>C186+D186+G186-J186-K186-L186</f>
        <v>1.9895196601282805E-13</v>
      </c>
      <c r="U186" s="13"/>
      <c r="V186" s="8">
        <f>IFERROR(VLOOKUP(A186,'[43]Consolidated IS'!$A$20:$M$193,13,FALSE),0)</f>
        <v>5613.7099857651247</v>
      </c>
      <c r="W186" s="1251">
        <f t="shared" si="83"/>
        <v>-938.19383816364825</v>
      </c>
      <c r="X186" s="13"/>
      <c r="Y186" s="13"/>
    </row>
    <row r="187" spans="1:25">
      <c r="A187" s="35">
        <v>52115</v>
      </c>
      <c r="B187" s="7" t="s">
        <v>126</v>
      </c>
      <c r="C187" s="38">
        <f>+IFERROR(VLOOKUP(A187,'2120_IS'!$D:$AH,31,FALSE),0)</f>
        <v>1179.1699999999996</v>
      </c>
      <c r="D187" s="42"/>
      <c r="E187" s="39">
        <f t="shared" si="99"/>
        <v>1179.1699999999996</v>
      </c>
      <c r="G187" s="42"/>
      <c r="H187" s="39">
        <f t="shared" si="100"/>
        <v>1179.1699999999996</v>
      </c>
      <c r="I187" s="39"/>
      <c r="J187" s="200">
        <f>IF(($H187=0),0,IF(($M187="Actual"),"Actual",(VLOOKUP($M187,Ratios!$A$87:$D$90,2,FALSE)*$H187)))</f>
        <v>1084.3142583025826</v>
      </c>
      <c r="K187" s="200">
        <f>IF(($H187=0),0,IF(($M187="Actual"),"Actual",(VLOOKUP($M187,Ratios!$A$87:$D$90,3,FALSE)*$H187)))</f>
        <v>87.893852398523961</v>
      </c>
      <c r="L187" s="200">
        <f>IF(($H187=0),0,IF(($M187="Actual"),"Actual",(VLOOKUP($M187,Ratios!$A$87:$D$90,4,FALSE)*$H187)))</f>
        <v>6.9618892988929861</v>
      </c>
      <c r="M187" s="1252" t="s">
        <v>28</v>
      </c>
      <c r="N187" s="8">
        <f t="shared" si="101"/>
        <v>4.0856207306205761E-14</v>
      </c>
      <c r="O187" s="36">
        <f t="shared" si="102"/>
        <v>1084.3142583025826</v>
      </c>
      <c r="P187" s="200">
        <f>J187*Ratios!$N$43</f>
        <v>1082.5737859778594</v>
      </c>
      <c r="Q187" s="200">
        <f>O187-P187</f>
        <v>1.7404723247232141</v>
      </c>
      <c r="R187" s="1138" t="s">
        <v>28</v>
      </c>
      <c r="S187" s="8">
        <f>SUM(P187:Q187)-O187</f>
        <v>0</v>
      </c>
      <c r="T187" s="47">
        <f>C187+D187+G187-J187-K187-L187</f>
        <v>4.0856207306205761E-14</v>
      </c>
      <c r="U187" s="13"/>
      <c r="V187" s="8">
        <f>IFERROR(VLOOKUP(A187,'[43]Consolidated IS'!$A$20:$M$193,13,FALSE),0)</f>
        <v>1005.1618790035587</v>
      </c>
      <c r="W187" s="1251">
        <f t="shared" si="83"/>
        <v>79.152379299023892</v>
      </c>
      <c r="X187" s="13"/>
      <c r="Y187" s="13"/>
    </row>
    <row r="188" spans="1:25">
      <c r="A188" s="35">
        <v>56115</v>
      </c>
      <c r="B188" s="7" t="s">
        <v>126</v>
      </c>
      <c r="C188" s="38">
        <f>+IFERROR(VLOOKUP(A188,'2120_IS'!$D:$AH,31,FALSE),0)</f>
        <v>1285.4000000000001</v>
      </c>
      <c r="D188" s="42"/>
      <c r="E188" s="39">
        <f t="shared" si="99"/>
        <v>1285.4000000000001</v>
      </c>
      <c r="G188" s="42"/>
      <c r="H188" s="39">
        <f t="shared" si="100"/>
        <v>1285.4000000000001</v>
      </c>
      <c r="I188" s="39"/>
      <c r="J188" s="200">
        <f>IF(($H188=0),0,IF(($M188="Actual"),"Actual",(VLOOKUP($M188,Ratios!$A$87:$D$90,2,FALSE)*$H188)))</f>
        <v>1181.9988191881919</v>
      </c>
      <c r="K188" s="200">
        <f>IF(($H188=0),0,IF(($M188="Actual"),"Actual",(VLOOKUP($M188,Ratios!$A$87:$D$90,3,FALSE)*$H188)))</f>
        <v>95.81210332103322</v>
      </c>
      <c r="L188" s="200">
        <f>IF(($H188=0),0,IF(($M188="Actual"),"Actual",(VLOOKUP($M188,Ratios!$A$87:$D$90,4,FALSE)*$H188)))</f>
        <v>7.5890774907749083</v>
      </c>
      <c r="M188" s="1252" t="s">
        <v>28</v>
      </c>
      <c r="N188" s="8">
        <f t="shared" si="101"/>
        <v>8.8817841970012523E-14</v>
      </c>
      <c r="O188" s="36">
        <f t="shared" si="102"/>
        <v>1181.9988191881919</v>
      </c>
      <c r="P188" s="200">
        <f>J188*Ratios!$N$43</f>
        <v>1180.1015498154982</v>
      </c>
      <c r="Q188" s="200">
        <f>O188-P188</f>
        <v>1.8972693726936996</v>
      </c>
      <c r="R188" s="1138" t="s">
        <v>28</v>
      </c>
      <c r="S188" s="8">
        <f>SUM(P188:Q188)-O188</f>
        <v>0</v>
      </c>
      <c r="T188" s="47">
        <f>C188+D188+G188-J188-K188-L188</f>
        <v>8.8817841970012523E-14</v>
      </c>
      <c r="U188" s="13"/>
      <c r="V188" s="8">
        <f>IFERROR(VLOOKUP(A188,'[43]Consolidated IS'!$A$20:$M$193,13,FALSE),0)</f>
        <v>1799.7094519572952</v>
      </c>
      <c r="W188" s="1251">
        <f t="shared" si="83"/>
        <v>-617.71063276910331</v>
      </c>
      <c r="X188" s="13"/>
      <c r="Y188" s="13"/>
    </row>
    <row r="189" spans="1:25">
      <c r="A189" s="35">
        <v>70116</v>
      </c>
      <c r="B189" s="7" t="s">
        <v>126</v>
      </c>
      <c r="C189" s="38">
        <f>+IFERROR(VLOOKUP(A189,'2120_IS'!$D:$AH,31,FALSE),0)</f>
        <v>2974.11</v>
      </c>
      <c r="D189" s="42"/>
      <c r="E189" s="39">
        <f t="shared" si="99"/>
        <v>2974.11</v>
      </c>
      <c r="G189" s="42"/>
      <c r="H189" s="39">
        <f t="shared" si="100"/>
        <v>2974.11</v>
      </c>
      <c r="I189" s="39"/>
      <c r="J189" s="200">
        <f>IF(($H189=0),0,IF(($M189="Actual"),"Actual",(VLOOKUP($M189,Ratios!$A$87:$D$90,2,FALSE)*$H189)))</f>
        <v>2600.150123959033</v>
      </c>
      <c r="K189" s="200">
        <f>IF(($H189=0),0,IF(($M189="Actual"),"Actual",(VLOOKUP($M189,Ratios!$A$87:$D$90,3,FALSE)*$H189)))</f>
        <v>371.57674192375663</v>
      </c>
      <c r="L189" s="200">
        <f>IF(($H189=0),0,IF(($M189="Actual"),"Actual",(VLOOKUP($M189,Ratios!$A$87:$D$90,4,FALSE)*$H189)))</f>
        <v>2.3831341172114646</v>
      </c>
      <c r="M189" s="1252" t="s">
        <v>589</v>
      </c>
      <c r="N189" s="8">
        <f t="shared" si="101"/>
        <v>-9.1926466438962962E-13</v>
      </c>
      <c r="O189" s="36">
        <f t="shared" si="102"/>
        <v>2600.150123959033</v>
      </c>
      <c r="P189" s="1148">
        <f>J189*Ratios!$J$9</f>
        <v>2580.9857139679584</v>
      </c>
      <c r="Q189" s="200">
        <f>O189-P189</f>
        <v>19.164409991074535</v>
      </c>
      <c r="R189" s="7" t="s">
        <v>589</v>
      </c>
      <c r="S189" s="8">
        <f>SUM(P189:Q189)-O189</f>
        <v>0</v>
      </c>
      <c r="T189" s="47">
        <f>C189+D189+G189-J189-K189-L189</f>
        <v>-9.1926466438962962E-13</v>
      </c>
      <c r="U189" s="13"/>
      <c r="V189" s="8">
        <f>IFERROR(VLOOKUP(A189,'[43]Consolidated IS'!$A$20:$M$193,13,FALSE),0)</f>
        <v>1930.7892243342794</v>
      </c>
      <c r="W189" s="1251">
        <f t="shared" si="83"/>
        <v>669.36089962475353</v>
      </c>
      <c r="X189" s="13"/>
      <c r="Y189" s="13"/>
    </row>
    <row r="190" spans="1:25">
      <c r="A190" s="71">
        <v>46510</v>
      </c>
      <c r="B190" s="2" t="s">
        <v>126</v>
      </c>
      <c r="C190" s="43">
        <f>SUM(C186:C189)</f>
        <v>10523.210000000001</v>
      </c>
      <c r="D190" s="43">
        <f t="shared" ref="D190:G190" si="103">SUM(D186:D189)</f>
        <v>0</v>
      </c>
      <c r="E190" s="43">
        <f>SUM(E186:E189)</f>
        <v>10523.210000000001</v>
      </c>
      <c r="F190" s="43">
        <f t="shared" si="103"/>
        <v>0</v>
      </c>
      <c r="G190" s="43">
        <f t="shared" si="103"/>
        <v>0</v>
      </c>
      <c r="H190" s="43">
        <f>SUM(H186:H189)</f>
        <v>10523.210000000001</v>
      </c>
      <c r="I190" s="43"/>
      <c r="J190" s="43">
        <f>SUM(J186:J189)</f>
        <v>9541.9793490512839</v>
      </c>
      <c r="K190" s="43">
        <f>SUM(K186:K189)</f>
        <v>934.27718472818469</v>
      </c>
      <c r="L190" s="43">
        <f>SUM(L186:L189)</f>
        <v>46.953466220532498</v>
      </c>
      <c r="M190" s="93"/>
      <c r="N190" s="64"/>
      <c r="O190" s="43">
        <f t="shared" ref="O190:Q190" si="104">SUM(O186:O189)</f>
        <v>9541.9793490512839</v>
      </c>
      <c r="P190" s="43">
        <f t="shared" si="104"/>
        <v>9511.6723560343798</v>
      </c>
      <c r="Q190" s="43">
        <f t="shared" si="104"/>
        <v>30.306993016904471</v>
      </c>
      <c r="R190" s="76"/>
      <c r="S190" s="64">
        <f>SUM(P190:Q190)-O190</f>
        <v>0</v>
      </c>
      <c r="T190" s="45">
        <f>C190+D190+G190-J190-K190-L190</f>
        <v>-1.0658141036401503E-13</v>
      </c>
      <c r="V190" s="8">
        <f>IFERROR(VLOOKUP(A190,'[43]Consolidated IS'!$A$20:$M$193,13,FALSE),0)</f>
        <v>10349.370541060258</v>
      </c>
      <c r="W190" s="1251">
        <f t="shared" si="83"/>
        <v>-807.39119200897403</v>
      </c>
    </row>
    <row r="191" spans="1:25">
      <c r="A191" s="71"/>
      <c r="B191" s="2"/>
      <c r="C191" s="66"/>
      <c r="D191" s="66"/>
      <c r="E191" s="66"/>
      <c r="F191" s="67"/>
      <c r="G191" s="38"/>
      <c r="H191" s="66"/>
      <c r="I191" s="66"/>
      <c r="J191" s="66"/>
      <c r="K191" s="66"/>
      <c r="L191" s="66"/>
      <c r="M191" s="3"/>
      <c r="O191" s="66"/>
      <c r="P191" s="66"/>
      <c r="Q191" s="66"/>
      <c r="T191" s="47"/>
      <c r="V191" s="8">
        <f>IFERROR(VLOOKUP(A191,'[43]Consolidated IS'!$A$20:$M$193,13,FALSE),0)</f>
        <v>0</v>
      </c>
      <c r="W191" s="1251">
        <f t="shared" si="83"/>
        <v>0</v>
      </c>
    </row>
    <row r="192" spans="1:25">
      <c r="A192" s="68">
        <v>46700</v>
      </c>
      <c r="B192" s="52" t="s">
        <v>127</v>
      </c>
      <c r="C192" s="54"/>
      <c r="D192" s="55"/>
      <c r="E192" s="55"/>
      <c r="F192" s="56"/>
      <c r="G192" s="55"/>
      <c r="H192" s="55"/>
      <c r="I192" s="55"/>
      <c r="J192" s="54"/>
      <c r="K192" s="54"/>
      <c r="L192" s="54"/>
      <c r="M192" s="57"/>
      <c r="N192" s="58"/>
      <c r="O192" s="54"/>
      <c r="P192" s="54"/>
      <c r="Q192" s="54"/>
      <c r="R192" s="57"/>
      <c r="S192" s="58"/>
      <c r="T192" s="59"/>
      <c r="V192" s="8"/>
      <c r="W192" s="1251"/>
    </row>
    <row r="193" spans="1:25">
      <c r="A193" s="35">
        <v>70310</v>
      </c>
      <c r="B193" s="7" t="s">
        <v>128</v>
      </c>
      <c r="C193" s="38">
        <f>+IFERROR(VLOOKUP(A193,'2120_IS'!$D:$AH,31,FALSE),0)</f>
        <v>14181.930000000002</v>
      </c>
      <c r="D193" s="84">
        <f>'Restating Adj''s'!U45</f>
        <v>1175.2599999999857</v>
      </c>
      <c r="E193" s="84">
        <f>SUM(C193:D193)</f>
        <v>15357.189999999988</v>
      </c>
      <c r="F193" s="1282" t="s">
        <v>129</v>
      </c>
      <c r="G193" s="42"/>
      <c r="H193" s="39">
        <f>C193+D193+G193</f>
        <v>15357.189999999988</v>
      </c>
      <c r="I193" s="39"/>
      <c r="J193" s="200">
        <f>IF(($H193=0),0,IF(($M193="Actual"),"Actual",(VLOOKUP($M193,Ratios!$A$87:$D$90,2,FALSE)*$H193)))</f>
        <v>15105.003583162023</v>
      </c>
      <c r="K193" s="200">
        <f>IF(($H193=0),0,IF(($M193="Actual"),"Actual",(VLOOKUP($M193,Ratios!$A$87:$D$90,3,FALSE)*$H193)))</f>
        <v>238.34212029218594</v>
      </c>
      <c r="L193" s="200">
        <f>IF(($H193=0),0,IF(($M193="Actual"),"Actual",(VLOOKUP($M193,Ratios!$A$87:$D$90,4,FALSE)*$H193)))</f>
        <v>13.844296545779757</v>
      </c>
      <c r="M193" s="1252" t="s">
        <v>590</v>
      </c>
      <c r="N193" s="8">
        <f t="shared" ref="N193" si="105">H193-J193-K193-L193</f>
        <v>-4.7073456244106637E-13</v>
      </c>
      <c r="O193" s="36">
        <f t="shared" ref="O193" si="106">J193</f>
        <v>15105.003583162023</v>
      </c>
      <c r="P193" s="1148">
        <f>J193*Ratios!$J$9</f>
        <v>14993.672133905699</v>
      </c>
      <c r="Q193" s="200">
        <f>O193-P193</f>
        <v>111.33144925632405</v>
      </c>
      <c r="R193" s="7" t="s">
        <v>589</v>
      </c>
      <c r="S193" s="8">
        <f>SUM(P193:Q193)-O193</f>
        <v>0</v>
      </c>
      <c r="T193" s="47">
        <f>C193+D193+G193-J193-K193-L193</f>
        <v>-4.7073456244106637E-13</v>
      </c>
      <c r="V193" s="8">
        <f>IFERROR(VLOOKUP(A193,'[43]Consolidated IS'!$A$20:$M$193,13,FALSE),0)</f>
        <v>11044.429722252587</v>
      </c>
      <c r="W193" s="1251">
        <f t="shared" si="83"/>
        <v>4060.5738609094351</v>
      </c>
    </row>
    <row r="194" spans="1:25">
      <c r="A194" s="71">
        <v>46700</v>
      </c>
      <c r="B194" s="2" t="s">
        <v>130</v>
      </c>
      <c r="C194" s="43">
        <f>SUM(C193:C193)</f>
        <v>14181.930000000002</v>
      </c>
      <c r="D194" s="43">
        <f>SUM(D193:D193)</f>
        <v>1175.2599999999857</v>
      </c>
      <c r="E194" s="43">
        <f>SUM(E193:E193)</f>
        <v>15357.189999999988</v>
      </c>
      <c r="F194" s="92"/>
      <c r="G194" s="43">
        <f>SUM(G193:G193)</f>
        <v>0</v>
      </c>
      <c r="H194" s="43">
        <f>SUM(H193:H193)</f>
        <v>15357.189999999988</v>
      </c>
      <c r="I194" s="43"/>
      <c r="J194" s="43">
        <f>SUM(J193:J193)</f>
        <v>15105.003583162023</v>
      </c>
      <c r="K194" s="43">
        <f>SUM(K193:K193)</f>
        <v>238.34212029218594</v>
      </c>
      <c r="L194" s="43">
        <f>SUM(L193:L193)</f>
        <v>13.844296545779757</v>
      </c>
      <c r="M194" s="93"/>
      <c r="N194" s="64"/>
      <c r="O194" s="43">
        <f>SUM(O193:O193)</f>
        <v>15105.003583162023</v>
      </c>
      <c r="P194" s="43">
        <f>SUM(P193:P193)</f>
        <v>14993.672133905699</v>
      </c>
      <c r="Q194" s="43">
        <f>SUM(Q193:Q193)</f>
        <v>111.33144925632405</v>
      </c>
      <c r="R194" s="76"/>
      <c r="S194" s="64">
        <f>SUM(P194:Q194)-O194</f>
        <v>0</v>
      </c>
      <c r="T194" s="45">
        <f>C194+D194+G194-J194-K194-L194</f>
        <v>-4.7073456244106637E-13</v>
      </c>
      <c r="V194" s="8">
        <f>IFERROR(VLOOKUP(A194,'[43]Consolidated IS'!$A$20:$M$193,13,FALSE),0)</f>
        <v>11044.429722252587</v>
      </c>
      <c r="W194" s="1251">
        <f t="shared" si="83"/>
        <v>4060.5738609094351</v>
      </c>
    </row>
    <row r="195" spans="1:25">
      <c r="A195" s="71"/>
      <c r="B195" s="2"/>
      <c r="C195" s="66"/>
      <c r="D195" s="66"/>
      <c r="E195" s="66"/>
      <c r="F195" s="67"/>
      <c r="G195" s="66"/>
      <c r="H195" s="66"/>
      <c r="I195" s="66"/>
      <c r="J195" s="66"/>
      <c r="K195" s="66"/>
      <c r="L195" s="66"/>
      <c r="M195" s="3"/>
      <c r="O195" s="66"/>
      <c r="P195" s="66"/>
      <c r="Q195" s="66"/>
      <c r="T195" s="47"/>
      <c r="V195" s="8">
        <f>IFERROR(VLOOKUP(A195,'[43]Consolidated IS'!$A$20:$M$193,13,FALSE),0)</f>
        <v>0</v>
      </c>
      <c r="W195" s="1251">
        <f t="shared" si="83"/>
        <v>0</v>
      </c>
    </row>
    <row r="196" spans="1:25">
      <c r="A196" s="68">
        <v>46900</v>
      </c>
      <c r="B196" s="52" t="s">
        <v>131</v>
      </c>
      <c r="C196" s="54"/>
      <c r="D196" s="55"/>
      <c r="E196" s="55"/>
      <c r="F196" s="56"/>
      <c r="G196" s="55"/>
      <c r="H196" s="55"/>
      <c r="I196" s="55"/>
      <c r="J196" s="54"/>
      <c r="K196" s="54"/>
      <c r="L196" s="54"/>
      <c r="M196" s="57"/>
      <c r="N196" s="58"/>
      <c r="O196" s="54"/>
      <c r="P196" s="54"/>
      <c r="Q196" s="54"/>
      <c r="R196" s="57"/>
      <c r="S196" s="58"/>
      <c r="T196" s="59"/>
      <c r="V196" s="8"/>
      <c r="W196" s="1251"/>
    </row>
    <row r="197" spans="1:25">
      <c r="A197" s="35">
        <v>56095</v>
      </c>
      <c r="B197" s="7" t="s">
        <v>132</v>
      </c>
      <c r="C197" s="38">
        <f>+IFERROR(VLOOKUP(A197,'2120_IS'!$D:$AH,31,FALSE),0)</f>
        <v>211.29</v>
      </c>
      <c r="D197" s="42"/>
      <c r="E197" s="39">
        <f t="shared" ref="E197:E216" si="107">SUM(C197:D197)</f>
        <v>211.29</v>
      </c>
      <c r="G197" s="42"/>
      <c r="H197" s="39">
        <f t="shared" ref="H197:H216" si="108">C197+D197+G197</f>
        <v>211.29</v>
      </c>
      <c r="I197" s="39"/>
      <c r="J197" s="200">
        <f>IF(($H197=0),0,IF(($M197="Actual"),"Actual",(VLOOKUP($M197,Ratios!$A$87:$D$90,2,FALSE)*$H197)))</f>
        <v>194.2932398523985</v>
      </c>
      <c r="K197" s="200">
        <f>IF(($H197=0),0,IF(($M197="Actual"),"Actual",(VLOOKUP($M197,Ratios!$A$87:$D$90,3,FALSE)*$H197)))</f>
        <v>15.749291512915129</v>
      </c>
      <c r="L197" s="200">
        <f>IF(($H197=0),0,IF(($M197="Actual"),"Actual",(VLOOKUP($M197,Ratios!$A$87:$D$90,4,FALSE)*$H197)))</f>
        <v>1.2474686346863468</v>
      </c>
      <c r="M197" s="1252" t="s">
        <v>28</v>
      </c>
      <c r="N197" s="8">
        <f t="shared" ref="N197:N216" si="109">H197-J197-K197-L197</f>
        <v>1.6653345369377348E-14</v>
      </c>
      <c r="O197" s="1250">
        <f t="shared" ref="O197" si="110">J197</f>
        <v>194.2932398523985</v>
      </c>
      <c r="P197" s="1251">
        <f>J197*Ratios!$N$43</f>
        <v>193.98137269372691</v>
      </c>
      <c r="Q197" s="1251">
        <f>O197-P197</f>
        <v>0.3118671586715891</v>
      </c>
      <c r="R197" s="1255" t="s">
        <v>28</v>
      </c>
      <c r="S197" s="8">
        <f t="shared" ref="S197:S217" si="111">SUM(P197:Q197)-O197</f>
        <v>0</v>
      </c>
      <c r="T197" s="47">
        <f t="shared" ref="T197:T217" si="112">C197+D197+G197-J197-K197-L197</f>
        <v>1.6653345369377348E-14</v>
      </c>
      <c r="V197" s="8">
        <f>IFERROR(VLOOKUP(A197,'[43]Consolidated IS'!$A$20:$M$193,13,FALSE),0)</f>
        <v>76.532960854092536</v>
      </c>
      <c r="W197" s="1251">
        <f t="shared" si="83"/>
        <v>117.76027899830596</v>
      </c>
    </row>
    <row r="198" spans="1:25">
      <c r="A198" s="1254">
        <v>70095</v>
      </c>
      <c r="B198" s="1255" t="s">
        <v>133</v>
      </c>
      <c r="C198" s="38">
        <f>+IFERROR(VLOOKUP(A198,'2120_IS'!$D:$AH,31,FALSE),0)</f>
        <v>8553.4999999999982</v>
      </c>
      <c r="D198" s="1256">
        <f>'Restating Adj''s'!D60</f>
        <v>-796.01</v>
      </c>
      <c r="E198" s="39">
        <f t="shared" si="107"/>
        <v>7757.489999999998</v>
      </c>
      <c r="F198" s="1282" t="s">
        <v>99</v>
      </c>
      <c r="G198" s="42"/>
      <c r="H198" s="39">
        <f t="shared" si="108"/>
        <v>7757.489999999998</v>
      </c>
      <c r="I198" s="39"/>
      <c r="J198" s="200">
        <f>IF(($H198=0),0,IF(($M198="Actual"),"Actual",(VLOOKUP($M198,Ratios!$A$87:$D$90,2,FALSE)*$H198)))</f>
        <v>7133.4557490774887</v>
      </c>
      <c r="K198" s="200">
        <f>IF(($H198=0),0,IF(($M198="Actual"),"Actual",(VLOOKUP($M198,Ratios!$A$87:$D$90,3,FALSE)*$H198)))</f>
        <v>578.23357195571941</v>
      </c>
      <c r="L198" s="200">
        <f>IF(($H198=0),0,IF(($M198="Actual"),"Actual",(VLOOKUP($M198,Ratios!$A$87:$D$90,4,FALSE)*$H198)))</f>
        <v>45.800678966789654</v>
      </c>
      <c r="M198" s="1252" t="s">
        <v>28</v>
      </c>
      <c r="N198" s="8">
        <f t="shared" si="109"/>
        <v>2.0605739337042905E-13</v>
      </c>
      <c r="O198" s="36">
        <f t="shared" ref="O198:O216" si="113">J198</f>
        <v>7133.4557490774887</v>
      </c>
      <c r="P198" s="200">
        <f>J198*Ratios!$N$43</f>
        <v>7122.0055793357915</v>
      </c>
      <c r="Q198" s="200">
        <f>O198-P198</f>
        <v>11.450169741697209</v>
      </c>
      <c r="R198" s="1140" t="s">
        <v>28</v>
      </c>
      <c r="S198" s="8">
        <f t="shared" si="111"/>
        <v>0</v>
      </c>
      <c r="T198" s="47">
        <f t="shared" si="112"/>
        <v>2.0605739337042905E-13</v>
      </c>
      <c r="U198" s="13"/>
      <c r="V198" s="8">
        <f>IFERROR(VLOOKUP(A198,'[43]Consolidated IS'!$A$20:$M$193,13,FALSE),0)</f>
        <v>341.88096007199016</v>
      </c>
      <c r="W198" s="1251">
        <f t="shared" si="83"/>
        <v>6791.5747890054981</v>
      </c>
      <c r="X198" s="13"/>
      <c r="Y198" s="13"/>
    </row>
    <row r="199" spans="1:25">
      <c r="A199" s="1254">
        <v>70105</v>
      </c>
      <c r="B199" s="1255" t="s">
        <v>134</v>
      </c>
      <c r="C199" s="38">
        <f>+IFERROR(VLOOKUP(A199,'2120_IS'!$D:$AH,31,FALSE),0)</f>
        <v>1386.53</v>
      </c>
      <c r="D199" s="70"/>
      <c r="E199" s="39">
        <f t="shared" si="107"/>
        <v>1386.53</v>
      </c>
      <c r="G199" s="42"/>
      <c r="H199" s="39">
        <f t="shared" si="108"/>
        <v>1386.53</v>
      </c>
      <c r="I199" s="39"/>
      <c r="J199" s="200">
        <f>IF(($H199=0),0,IF(($M199="Actual"),"Actual",(VLOOKUP($M199,Ratios!$A$87:$D$90,2,FALSE)*$H199)))</f>
        <v>1274.9936383763836</v>
      </c>
      <c r="K199" s="200">
        <f>IF(($H199=0),0,IF(($M199="Actual"),"Actual",(VLOOKUP($M199,Ratios!$A$87:$D$90,3,FALSE)*$H199)))</f>
        <v>103.35020664206642</v>
      </c>
      <c r="L199" s="200">
        <f>IF(($H199=0),0,IF(($M199="Actual"),"Actual",(VLOOKUP($M199,Ratios!$A$87:$D$90,4,FALSE)*$H199)))</f>
        <v>8.1861549815498158</v>
      </c>
      <c r="M199" s="1252" t="s">
        <v>28</v>
      </c>
      <c r="N199" s="8">
        <f t="shared" si="109"/>
        <v>1.1723955140041653E-13</v>
      </c>
      <c r="O199" s="36">
        <f t="shared" si="113"/>
        <v>1274.9936383763836</v>
      </c>
      <c r="P199" s="200">
        <f>J199*Ratios!$N$43</f>
        <v>1272.9470996309963</v>
      </c>
      <c r="Q199" s="200">
        <f t="shared" ref="Q199:Q216" si="114">O199-P199</f>
        <v>2.0465387453873518</v>
      </c>
      <c r="R199" s="1141" t="s">
        <v>28</v>
      </c>
      <c r="S199" s="8">
        <f t="shared" si="111"/>
        <v>0</v>
      </c>
      <c r="T199" s="47">
        <f t="shared" si="112"/>
        <v>1.1723955140041653E-13</v>
      </c>
      <c r="V199" s="8">
        <f>IFERROR(VLOOKUP(A199,'[43]Consolidated IS'!$A$20:$M$193,13,FALSE),0)</f>
        <v>2088.8654857353995</v>
      </c>
      <c r="W199" s="1251">
        <f t="shared" si="83"/>
        <v>-813.87184735901587</v>
      </c>
    </row>
    <row r="200" spans="1:25">
      <c r="A200" s="1254">
        <v>70110</v>
      </c>
      <c r="B200" s="1255" t="s">
        <v>135</v>
      </c>
      <c r="C200" s="38">
        <f>+IFERROR(VLOOKUP(A200,'2120_IS'!$D:$AH,31,FALSE),0)</f>
        <v>2210</v>
      </c>
      <c r="D200" s="1256">
        <f>-C200</f>
        <v>-2210</v>
      </c>
      <c r="E200" s="39">
        <f t="shared" si="107"/>
        <v>0</v>
      </c>
      <c r="F200" s="1258"/>
      <c r="G200" s="42"/>
      <c r="H200" s="39">
        <f t="shared" si="108"/>
        <v>0</v>
      </c>
      <c r="I200" s="39"/>
      <c r="J200" s="200">
        <f>IF(($H200=0),0,IF(($M200="Actual"),"Actual",(VLOOKUP($M200,Ratios!$A$87:$D$90,2,FALSE)*$H200)))</f>
        <v>0</v>
      </c>
      <c r="K200" s="200">
        <f>IF(($H200=0),0,IF(($M200="Actual"),"Actual",(VLOOKUP($M200,Ratios!$A$87:$D$90,3,FALSE)*$H200)))</f>
        <v>0</v>
      </c>
      <c r="L200" s="200">
        <f>IF(($H200=0),0,IF(($M200="Actual"),"Actual",(VLOOKUP($M200,Ratios!$A$87:$D$90,4,FALSE)*$H200)))</f>
        <v>0</v>
      </c>
      <c r="M200" s="1255" t="s">
        <v>19</v>
      </c>
      <c r="N200" s="8">
        <f t="shared" si="109"/>
        <v>0</v>
      </c>
      <c r="O200" s="36">
        <f t="shared" si="113"/>
        <v>0</v>
      </c>
      <c r="P200" s="200">
        <f>J200*Ratios!$N$43</f>
        <v>0</v>
      </c>
      <c r="Q200" s="200">
        <f t="shared" si="114"/>
        <v>0</v>
      </c>
      <c r="R200" s="1147" t="s">
        <v>28</v>
      </c>
      <c r="S200" s="8">
        <f t="shared" si="111"/>
        <v>0</v>
      </c>
      <c r="T200" s="47">
        <f t="shared" si="112"/>
        <v>0</v>
      </c>
      <c r="V200" s="8">
        <f>IFERROR(VLOOKUP(A200,'[43]Consolidated IS'!$A$20:$M$193,13,FALSE),0)</f>
        <v>0</v>
      </c>
      <c r="W200" s="1251">
        <f t="shared" si="83"/>
        <v>0</v>
      </c>
    </row>
    <row r="201" spans="1:25">
      <c r="A201" s="1254">
        <v>70148</v>
      </c>
      <c r="B201" s="1255" t="s">
        <v>136</v>
      </c>
      <c r="C201" s="38">
        <f>+IFERROR(VLOOKUP(A201,'2120_IS'!$D:$AH,31,FALSE),0)</f>
        <v>11545.88</v>
      </c>
      <c r="D201" s="1256">
        <f>'Restating Adj''s'!B55</f>
        <v>210.77481449901097</v>
      </c>
      <c r="E201" s="39">
        <f t="shared" si="107"/>
        <v>11756.65481449901</v>
      </c>
      <c r="F201" s="1282" t="s">
        <v>109</v>
      </c>
      <c r="G201" s="42"/>
      <c r="H201" s="39">
        <f t="shared" si="108"/>
        <v>11756.65481449901</v>
      </c>
      <c r="I201" s="39"/>
      <c r="J201" s="200">
        <f>IF(($H201=0),0,IF(($M201="Actual"),"Actual",(VLOOKUP($M201,Ratios!$A$87:$D$90,2,FALSE)*$H201)))</f>
        <v>10278.391677934966</v>
      </c>
      <c r="K201" s="200">
        <f>IF(($H201=0),0,IF(($M201="Actual"),"Actual",(VLOOKUP($M201,Ratios!$A$87:$D$90,3,FALSE)*$H201)))</f>
        <v>1468.8426090137182</v>
      </c>
      <c r="L201" s="200">
        <f>IF(($H201=0),0,IF(($M201="Actual"),"Actual",(VLOOKUP($M201,Ratios!$A$87:$D$90,4,FALSE)*$H201)))</f>
        <v>9.4205275503296821</v>
      </c>
      <c r="M201" s="1252" t="s">
        <v>589</v>
      </c>
      <c r="N201" s="8">
        <f t="shared" si="109"/>
        <v>-3.3129055054814671E-12</v>
      </c>
      <c r="O201" s="36">
        <f t="shared" si="113"/>
        <v>10278.391677934966</v>
      </c>
      <c r="P201" s="1148">
        <f>J201*Ratios!$J$9</f>
        <v>10202.634778227624</v>
      </c>
      <c r="Q201" s="200">
        <f t="shared" si="114"/>
        <v>75.75689970734129</v>
      </c>
      <c r="R201" s="7" t="s">
        <v>589</v>
      </c>
      <c r="S201" s="8">
        <f t="shared" si="111"/>
        <v>0</v>
      </c>
      <c r="T201" s="47">
        <f t="shared" si="112"/>
        <v>-3.3129055054814671E-12</v>
      </c>
      <c r="U201" s="13"/>
      <c r="V201" s="8">
        <f>IFERROR(VLOOKUP(A201,'[43]Consolidated IS'!$A$20:$M$193,13,FALSE),0)</f>
        <v>9694.4136681166856</v>
      </c>
      <c r="W201" s="1251">
        <f t="shared" si="83"/>
        <v>583.97800981828004</v>
      </c>
      <c r="X201" s="13"/>
      <c r="Y201" s="13"/>
    </row>
    <row r="202" spans="1:25">
      <c r="A202" s="1254">
        <v>70150</v>
      </c>
      <c r="B202" s="1255" t="s">
        <v>122</v>
      </c>
      <c r="C202" s="38">
        <f>+IFERROR(VLOOKUP(A202,'2120_IS'!$D:$AH,31,FALSE),0)</f>
        <v>18275.82</v>
      </c>
      <c r="D202" s="84"/>
      <c r="E202" s="39">
        <f t="shared" si="107"/>
        <v>18275.82</v>
      </c>
      <c r="G202" s="86"/>
      <c r="H202" s="39">
        <f t="shared" si="108"/>
        <v>18275.82</v>
      </c>
      <c r="I202" s="39"/>
      <c r="J202" s="200">
        <f>IF(($H202=0),0,IF(($M202="Actual"),"Actual",(VLOOKUP($M202,Ratios!$A$87:$D$90,2,FALSE)*$H202)))</f>
        <v>16805.66178597786</v>
      </c>
      <c r="K202" s="200">
        <f>IF(($H202=0),0,IF(($M202="Actual"),"Actual",(VLOOKUP($M202,Ratios!$A$87:$D$90,3,FALSE)*$H202)))</f>
        <v>1362.2566937269373</v>
      </c>
      <c r="L202" s="200">
        <f>IF(($H202=0),0,IF(($M202="Actual"),"Actual",(VLOOKUP($M202,Ratios!$A$87:$D$90,4,FALSE)*$H202)))</f>
        <v>107.90152029520294</v>
      </c>
      <c r="M202" s="1252" t="s">
        <v>28</v>
      </c>
      <c r="N202" s="8">
        <f t="shared" si="109"/>
        <v>-3.979039320256561E-13</v>
      </c>
      <c r="O202" s="36">
        <f t="shared" si="113"/>
        <v>16805.66178597786</v>
      </c>
      <c r="P202" s="200">
        <f>J202*Ratios!$N$43</f>
        <v>16778.68640590406</v>
      </c>
      <c r="Q202" s="200">
        <f t="shared" si="114"/>
        <v>26.975380073799897</v>
      </c>
      <c r="R202" s="1142" t="s">
        <v>28</v>
      </c>
      <c r="S202" s="8">
        <f t="shared" si="111"/>
        <v>0</v>
      </c>
      <c r="T202" s="47">
        <f t="shared" si="112"/>
        <v>-3.979039320256561E-13</v>
      </c>
      <c r="U202" s="13"/>
      <c r="V202" s="8">
        <f>IFERROR(VLOOKUP(A202,'[43]Consolidated IS'!$A$20:$M$193,13,FALSE),0)</f>
        <v>11189.852792227399</v>
      </c>
      <c r="W202" s="1251">
        <f t="shared" si="83"/>
        <v>5615.808993750461</v>
      </c>
      <c r="X202" s="13"/>
      <c r="Y202" s="13"/>
    </row>
    <row r="203" spans="1:25">
      <c r="A203" s="1254">
        <v>70167</v>
      </c>
      <c r="B203" s="1255" t="s">
        <v>137</v>
      </c>
      <c r="C203" s="38">
        <f>+IFERROR(VLOOKUP(A203,'2120_IS'!$D:$AH,31,FALSE),0)</f>
        <v>1630.48</v>
      </c>
      <c r="D203" s="39"/>
      <c r="E203" s="39">
        <f t="shared" si="107"/>
        <v>1630.48</v>
      </c>
      <c r="G203" s="42"/>
      <c r="H203" s="39">
        <f t="shared" si="108"/>
        <v>1630.48</v>
      </c>
      <c r="I203" s="39"/>
      <c r="J203" s="200">
        <f>IF(($H203=0),0,IF(($M203="Actual"),"Actual",(VLOOKUP($M203,Ratios!$A$87:$D$90,2,FALSE)*$H203)))</f>
        <v>1499.3196162361623</v>
      </c>
      <c r="K203" s="200">
        <f>IF(($H203=0),0,IF(($M203="Actual"),"Actual",(VLOOKUP($M203,Ratios!$A$87:$D$90,3,FALSE)*$H203)))</f>
        <v>121.53393357933579</v>
      </c>
      <c r="L203" s="200">
        <f>IF(($H203=0),0,IF(($M203="Actual"),"Actual",(VLOOKUP($M203,Ratios!$A$87:$D$90,4,FALSE)*$H203)))</f>
        <v>9.6264501845018451</v>
      </c>
      <c r="M203" s="1252" t="s">
        <v>28</v>
      </c>
      <c r="N203" s="8">
        <f t="shared" si="109"/>
        <v>3.1974423109204508E-14</v>
      </c>
      <c r="O203" s="36">
        <f t="shared" si="113"/>
        <v>1499.3196162361623</v>
      </c>
      <c r="P203" s="1148">
        <f>J203*Ratios!$J$9</f>
        <v>1488.2688789850915</v>
      </c>
      <c r="Q203" s="200">
        <f t="shared" si="114"/>
        <v>11.050737251070814</v>
      </c>
      <c r="R203" s="7" t="s">
        <v>589</v>
      </c>
      <c r="S203" s="8">
        <f t="shared" si="111"/>
        <v>0</v>
      </c>
      <c r="T203" s="47">
        <f t="shared" si="112"/>
        <v>3.1974423109204508E-14</v>
      </c>
      <c r="U203" s="13"/>
      <c r="V203" s="8">
        <f>IFERROR(VLOOKUP(A203,'[43]Consolidated IS'!$A$20:$M$193,13,FALSE),0)</f>
        <v>765.18465830146602</v>
      </c>
      <c r="W203" s="1251">
        <f t="shared" si="83"/>
        <v>734.13495793469633</v>
      </c>
      <c r="X203" s="13"/>
      <c r="Y203" s="13"/>
    </row>
    <row r="204" spans="1:25">
      <c r="A204" s="1254">
        <v>70175</v>
      </c>
      <c r="B204" s="1255" t="s">
        <v>57</v>
      </c>
      <c r="C204" s="38">
        <f>+IFERROR(VLOOKUP(A204,'2120_IS'!$D:$AH,31,FALSE),0)</f>
        <v>1169.8200000000002</v>
      </c>
      <c r="D204" s="39"/>
      <c r="E204" s="39">
        <f t="shared" si="107"/>
        <v>1169.8200000000002</v>
      </c>
      <c r="G204" s="42"/>
      <c r="H204" s="39">
        <f t="shared" si="108"/>
        <v>1169.8200000000002</v>
      </c>
      <c r="I204" s="39"/>
      <c r="J204" s="200">
        <f>IF(($H204=0),0,IF(($M204="Actual"),"Actual",(VLOOKUP($M204,Ratios!$A$87:$D$90,2,FALSE)*$H204)))</f>
        <v>1075.7163985239854</v>
      </c>
      <c r="K204" s="200">
        <f>IF(($H204=0),0,IF(($M204="Actual"),"Actual",(VLOOKUP($M204,Ratios!$A$87:$D$90,3,FALSE)*$H204)))</f>
        <v>87.196915129151307</v>
      </c>
      <c r="L204" s="200">
        <f>IF(($H204=0),0,IF(($M204="Actual"),"Actual",(VLOOKUP($M204,Ratios!$A$87:$D$90,4,FALSE)*$H204)))</f>
        <v>6.9066863468634692</v>
      </c>
      <c r="M204" s="1252" t="s">
        <v>28</v>
      </c>
      <c r="N204" s="8">
        <f t="shared" si="109"/>
        <v>0</v>
      </c>
      <c r="O204" s="1250">
        <f t="shared" ref="O204" si="115">J204</f>
        <v>1075.7163985239854</v>
      </c>
      <c r="P204" s="1251">
        <f>J204*Ratios!$N$43</f>
        <v>1073.9897269372696</v>
      </c>
      <c r="Q204" s="1251">
        <f t="shared" ref="Q204" si="116">O204-P204</f>
        <v>1.7266715867158382</v>
      </c>
      <c r="R204" s="1255" t="s">
        <v>28</v>
      </c>
      <c r="S204" s="8">
        <f t="shared" si="111"/>
        <v>0</v>
      </c>
      <c r="T204" s="47">
        <f t="shared" si="112"/>
        <v>0</v>
      </c>
      <c r="U204" s="13"/>
      <c r="V204" s="8">
        <f>IFERROR(VLOOKUP(A204,'[43]Consolidated IS'!$A$20:$M$193,13,FALSE),0)</f>
        <v>3284.132036205845</v>
      </c>
      <c r="W204" s="1251">
        <f t="shared" si="83"/>
        <v>-2208.4156376818596</v>
      </c>
      <c r="X204" s="13"/>
      <c r="Y204" s="13"/>
    </row>
    <row r="205" spans="1:25">
      <c r="A205" s="1254">
        <v>70195</v>
      </c>
      <c r="B205" s="1255" t="s">
        <v>138</v>
      </c>
      <c r="C205" s="38">
        <f>+IFERROR(VLOOKUP(A205,'2120_IS'!$D:$AH,31,FALSE),0)</f>
        <v>3396.9599999999991</v>
      </c>
      <c r="D205" s="1256">
        <f>'Restating Adj''s'!D62</f>
        <v>-1134.5936000000002</v>
      </c>
      <c r="E205" s="39">
        <f t="shared" si="107"/>
        <v>2262.366399999999</v>
      </c>
      <c r="F205" s="1282" t="s">
        <v>99</v>
      </c>
      <c r="G205" s="42"/>
      <c r="H205" s="39">
        <f t="shared" si="108"/>
        <v>2262.366399999999</v>
      </c>
      <c r="I205" s="39"/>
      <c r="J205" s="200">
        <f>IF(($H205=0),0,IF(($M205="Actual"),"Actual",(VLOOKUP($M205,Ratios!$A$87:$D$90,2,FALSE)*$H205)))</f>
        <v>2080.3753021402204</v>
      </c>
      <c r="K205" s="200">
        <f>IF(($H205=0),0,IF(($M205="Actual"),"Actual",(VLOOKUP($M205,Ratios!$A$87:$D$90,3,FALSE)*$H205)))</f>
        <v>168.63395306273057</v>
      </c>
      <c r="L205" s="200">
        <f>IF(($H205=0),0,IF(($M205="Actual"),"Actual",(VLOOKUP($M205,Ratios!$A$87:$D$90,4,FALSE)*$H205)))</f>
        <v>13.357144797047964</v>
      </c>
      <c r="M205" s="1252" t="s">
        <v>28</v>
      </c>
      <c r="N205" s="8">
        <f t="shared" si="109"/>
        <v>8.7041485130612273E-14</v>
      </c>
      <c r="O205" s="36">
        <f t="shared" si="113"/>
        <v>2080.3753021402204</v>
      </c>
      <c r="P205" s="1148">
        <f>J205*Ratios!$J$9</f>
        <v>2065.0418931735044</v>
      </c>
      <c r="Q205" s="200">
        <f t="shared" si="114"/>
        <v>15.333408966715979</v>
      </c>
      <c r="R205" s="7" t="s">
        <v>589</v>
      </c>
      <c r="S205" s="8">
        <f t="shared" si="111"/>
        <v>0</v>
      </c>
      <c r="T205" s="47">
        <f t="shared" si="112"/>
        <v>8.7041485130612273E-14</v>
      </c>
      <c r="U205" s="13"/>
      <c r="V205" s="8">
        <f>IFERROR(VLOOKUP(A205,'[43]Consolidated IS'!$A$20:$M$193,13,FALSE),0)</f>
        <v>2821.7938755078671</v>
      </c>
      <c r="W205" s="1251">
        <f t="shared" si="83"/>
        <v>-741.41857336764679</v>
      </c>
      <c r="X205" s="13"/>
      <c r="Y205" s="13"/>
    </row>
    <row r="206" spans="1:25">
      <c r="A206" s="35">
        <v>70200</v>
      </c>
      <c r="B206" s="7" t="s">
        <v>59</v>
      </c>
      <c r="C206" s="38">
        <f>+IFERROR(VLOOKUP(A206,'2120_IS'!$D:$AH,31,FALSE),0)</f>
        <v>665.59999999999991</v>
      </c>
      <c r="D206" s="42"/>
      <c r="E206" s="39">
        <f t="shared" si="107"/>
        <v>665.59999999999991</v>
      </c>
      <c r="G206" s="42"/>
      <c r="H206" s="39">
        <f t="shared" si="108"/>
        <v>665.59999999999991</v>
      </c>
      <c r="I206" s="39"/>
      <c r="J206" s="200">
        <f>IF(($H206=0),0,IF(($M206="Actual"),"Actual",(VLOOKUP($M206,Ratios!$A$87:$D$90,2,FALSE)*$H206)))</f>
        <v>612.05726937269367</v>
      </c>
      <c r="K206" s="200">
        <f>IF(($H206=0),0,IF(($M206="Actual"),"Actual",(VLOOKUP($M206,Ratios!$A$87:$D$90,3,FALSE)*$H206)))</f>
        <v>49.612988929889298</v>
      </c>
      <c r="L206" s="200">
        <f>IF(($H206=0),0,IF(($M206="Actual"),"Actual",(VLOOKUP($M206,Ratios!$A$87:$D$90,4,FALSE)*$H206)))</f>
        <v>3.9297416974169734</v>
      </c>
      <c r="M206" s="1252" t="s">
        <v>28</v>
      </c>
      <c r="N206" s="8">
        <f t="shared" si="109"/>
        <v>-2.9753977059954195E-14</v>
      </c>
      <c r="O206" s="36">
        <f t="shared" si="113"/>
        <v>612.05726937269367</v>
      </c>
      <c r="P206" s="1148">
        <f>J206*Ratios!$J$9</f>
        <v>607.54610044433343</v>
      </c>
      <c r="Q206" s="200">
        <f t="shared" si="114"/>
        <v>4.5111689283602345</v>
      </c>
      <c r="R206" s="7" t="s">
        <v>589</v>
      </c>
      <c r="S206" s="8">
        <f t="shared" si="111"/>
        <v>0</v>
      </c>
      <c r="T206" s="47">
        <f t="shared" si="112"/>
        <v>-2.9753977059954195E-14</v>
      </c>
      <c r="U206" s="13"/>
      <c r="V206" s="8">
        <f>IFERROR(VLOOKUP(A206,'[43]Consolidated IS'!$A$20:$M$193,13,FALSE),0)</f>
        <v>747.54278366439962</v>
      </c>
      <c r="W206" s="1251">
        <f t="shared" si="83"/>
        <v>-135.48551429170595</v>
      </c>
      <c r="X206" s="13"/>
      <c r="Y206" s="13"/>
    </row>
    <row r="207" spans="1:25">
      <c r="A207" s="1254">
        <v>70201</v>
      </c>
      <c r="B207" s="1255" t="s">
        <v>139</v>
      </c>
      <c r="C207" s="38">
        <f>+IFERROR(VLOOKUP(A207,'2120_IS'!$D:$AH,31,FALSE),0)</f>
        <v>684.21</v>
      </c>
      <c r="D207" s="1139"/>
      <c r="E207" s="39">
        <f t="shared" si="107"/>
        <v>684.21</v>
      </c>
      <c r="G207" s="42"/>
      <c r="H207" s="39">
        <f t="shared" si="108"/>
        <v>684.21</v>
      </c>
      <c r="I207" s="39"/>
      <c r="J207" s="200">
        <f>IF(($H207=0),0,IF(($M207="Actual"),"Actual",(VLOOKUP($M207,Ratios!$A$87:$D$90,2,FALSE)*$H207)))</f>
        <v>629.17022878228784</v>
      </c>
      <c r="K207" s="200">
        <f>IF(($H207=0),0,IF(($M207="Actual"),"Actual",(VLOOKUP($M207,Ratios!$A$87:$D$90,3,FALSE)*$H207)))</f>
        <v>51.000154981549819</v>
      </c>
      <c r="L207" s="200">
        <f>IF(($H207=0),0,IF(($M207="Actual"),"Actual",(VLOOKUP($M207,Ratios!$A$87:$D$90,4,FALSE)*$H207)))</f>
        <v>4.0396162361623613</v>
      </c>
      <c r="M207" s="1252" t="s">
        <v>28</v>
      </c>
      <c r="N207" s="8">
        <f t="shared" si="109"/>
        <v>1.9539925233402755E-14</v>
      </c>
      <c r="O207" s="36">
        <f t="shared" si="113"/>
        <v>629.17022878228784</v>
      </c>
      <c r="P207" s="200">
        <f>J207*Ratios!$N$43</f>
        <v>628.1603247232473</v>
      </c>
      <c r="Q207" s="200">
        <f t="shared" si="114"/>
        <v>1.0099040590405366</v>
      </c>
      <c r="R207" s="1143" t="s">
        <v>28</v>
      </c>
      <c r="S207" s="8">
        <f t="shared" si="111"/>
        <v>0</v>
      </c>
      <c r="T207" s="47">
        <f t="shared" si="112"/>
        <v>1.9539925233402755E-14</v>
      </c>
      <c r="U207" s="13"/>
      <c r="V207" s="8">
        <f>IFERROR(VLOOKUP(A207,'[43]Consolidated IS'!$A$20:$M$193,13,FALSE),0)</f>
        <v>390.06269233437121</v>
      </c>
      <c r="W207" s="1251">
        <f t="shared" si="83"/>
        <v>239.10753644791663</v>
      </c>
      <c r="X207" s="13"/>
      <c r="Y207" s="13"/>
    </row>
    <row r="208" spans="1:25">
      <c r="A208" s="35">
        <v>70202</v>
      </c>
      <c r="B208" s="7" t="s">
        <v>140</v>
      </c>
      <c r="C208" s="38">
        <f>+IFERROR(VLOOKUP(A208,'2120_IS'!$D:$AH,31,FALSE),0)</f>
        <v>4612.1099999999997</v>
      </c>
      <c r="D208" s="42"/>
      <c r="E208" s="39">
        <f t="shared" si="107"/>
        <v>4612.1099999999997</v>
      </c>
      <c r="G208" s="42"/>
      <c r="H208" s="39">
        <f t="shared" si="108"/>
        <v>4612.1099999999997</v>
      </c>
      <c r="I208" s="39"/>
      <c r="J208" s="200">
        <f>IF(($H208=0),0,IF(($M208="Actual"),"Actual",(VLOOKUP($M208,Ratios!$A$87:$D$90,2,FALSE)*$H208)))</f>
        <v>4241.0989372693721</v>
      </c>
      <c r="K208" s="200">
        <f>IF(($H208=0),0,IF(($M208="Actual"),"Actual",(VLOOKUP($M208,Ratios!$A$87:$D$90,3,FALSE)*$H208)))</f>
        <v>343.78089298892991</v>
      </c>
      <c r="L208" s="200">
        <f>IF(($H208=0),0,IF(($M208="Actual"),"Actual",(VLOOKUP($M208,Ratios!$A$87:$D$90,4,FALSE)*$H208)))</f>
        <v>27.230169741697413</v>
      </c>
      <c r="M208" s="1252" t="s">
        <v>28</v>
      </c>
      <c r="N208" s="8">
        <f t="shared" si="109"/>
        <v>2.8066438062523957E-13</v>
      </c>
      <c r="O208" s="36">
        <f t="shared" si="113"/>
        <v>4241.0989372693721</v>
      </c>
      <c r="P208" s="200">
        <f>J208*Ratios!$N$43</f>
        <v>4234.2913948339474</v>
      </c>
      <c r="Q208" s="200">
        <f t="shared" si="114"/>
        <v>6.8075424354246934</v>
      </c>
      <c r="R208" s="1144" t="s">
        <v>28</v>
      </c>
      <c r="S208" s="8">
        <f t="shared" si="111"/>
        <v>0</v>
      </c>
      <c r="T208" s="47">
        <f t="shared" si="112"/>
        <v>2.8066438062523957E-13</v>
      </c>
      <c r="U208" s="13"/>
      <c r="V208" s="8">
        <f>IFERROR(VLOOKUP(A208,'[43]Consolidated IS'!$A$20:$M$193,13,FALSE),0)</f>
        <v>2894.2297245499931</v>
      </c>
      <c r="W208" s="1251">
        <f t="shared" si="83"/>
        <v>1346.869212719379</v>
      </c>
      <c r="X208" s="13"/>
      <c r="Y208" s="13"/>
    </row>
    <row r="209" spans="1:25">
      <c r="A209" s="35">
        <v>70203</v>
      </c>
      <c r="B209" s="7" t="s">
        <v>141</v>
      </c>
      <c r="C209" s="38">
        <f>+IFERROR(VLOOKUP(A209,'2120_IS'!$D:$AH,31,FALSE),0)</f>
        <v>576.14</v>
      </c>
      <c r="D209" s="42"/>
      <c r="E209" s="39">
        <f t="shared" si="107"/>
        <v>576.14</v>
      </c>
      <c r="G209" s="42"/>
      <c r="H209" s="39">
        <f t="shared" si="108"/>
        <v>576.14</v>
      </c>
      <c r="I209" s="39"/>
      <c r="J209" s="200">
        <f>IF(($H209=0),0,IF(($M209="Actual"),"Actual",(VLOOKUP($M209,Ratios!$A$87:$D$90,2,FALSE)*$H209)))</f>
        <v>529.79368265682649</v>
      </c>
      <c r="K209" s="200">
        <f>IF(($H209=0),0,IF(($M209="Actual"),"Actual",(VLOOKUP($M209,Ratios!$A$87:$D$90,3,FALSE)*$H209)))</f>
        <v>42.944752767527675</v>
      </c>
      <c r="L209" s="200">
        <f>IF(($H209=0),0,IF(($M209="Actual"),"Actual",(VLOOKUP($M209,Ratios!$A$87:$D$90,4,FALSE)*$H209)))</f>
        <v>3.4015645756457564</v>
      </c>
      <c r="M209" s="1252" t="s">
        <v>28</v>
      </c>
      <c r="N209" s="8">
        <f t="shared" si="109"/>
        <v>6.4837024638109142E-14</v>
      </c>
      <c r="O209" s="36">
        <f t="shared" si="113"/>
        <v>529.79368265682649</v>
      </c>
      <c r="P209" s="200">
        <f>J209*Ratios!$N$43</f>
        <v>528.94329151291504</v>
      </c>
      <c r="Q209" s="200">
        <f t="shared" si="114"/>
        <v>0.85039114391145176</v>
      </c>
      <c r="R209" s="1145" t="s">
        <v>28</v>
      </c>
      <c r="S209" s="8">
        <f t="shared" si="111"/>
        <v>0</v>
      </c>
      <c r="T209" s="47">
        <f t="shared" si="112"/>
        <v>6.4837024638109142E-14</v>
      </c>
      <c r="U209" s="13"/>
      <c r="V209" s="8">
        <f>IFERROR(VLOOKUP(A209,'[43]Consolidated IS'!$A$20:$M$193,13,FALSE),0)</f>
        <v>1971.0785389958669</v>
      </c>
      <c r="W209" s="1251">
        <f t="shared" si="83"/>
        <v>-1441.2848563390403</v>
      </c>
      <c r="X209" s="13"/>
      <c r="Y209" s="13"/>
    </row>
    <row r="210" spans="1:25">
      <c r="A210" s="35">
        <v>70205</v>
      </c>
      <c r="B210" s="7" t="s">
        <v>142</v>
      </c>
      <c r="C210" s="38">
        <f>+IFERROR(VLOOKUP(A210,'2120_IS'!$D:$AH,31,FALSE),0)</f>
        <v>9396.5199999999986</v>
      </c>
      <c r="D210" s="42"/>
      <c r="E210" s="39">
        <f t="shared" si="107"/>
        <v>9396.5199999999986</v>
      </c>
      <c r="G210" s="42"/>
      <c r="H210" s="39">
        <f t="shared" si="108"/>
        <v>9396.5199999999986</v>
      </c>
      <c r="I210" s="39"/>
      <c r="J210" s="200">
        <f>IF(($H210=0),0,IF(($M210="Actual"),"Actual",(VLOOKUP($M210,Ratios!$A$87:$D$90,2,FALSE)*$H210)))</f>
        <v>8640.6375793357911</v>
      </c>
      <c r="K210" s="200">
        <f>IF(($H210=0),0,IF(($M210="Actual"),"Actual",(VLOOKUP($M210,Ratios!$A$87:$D$90,3,FALSE)*$H210)))</f>
        <v>700.40481180811798</v>
      </c>
      <c r="L210" s="200">
        <f>IF(($H210=0),0,IF(($M210="Actual"),"Actual",(VLOOKUP($M210,Ratios!$A$87:$D$90,4,FALSE)*$H210)))</f>
        <v>55.477608856088551</v>
      </c>
      <c r="M210" s="1252" t="s">
        <v>28</v>
      </c>
      <c r="N210" s="8">
        <f t="shared" si="109"/>
        <v>9.9475983006414026E-13</v>
      </c>
      <c r="O210" s="36">
        <f t="shared" si="113"/>
        <v>8640.6375793357911</v>
      </c>
      <c r="P210" s="200">
        <f>J210*Ratios!$N$43</f>
        <v>8626.7681771217685</v>
      </c>
      <c r="Q210" s="200">
        <f t="shared" si="114"/>
        <v>13.869402214022557</v>
      </c>
      <c r="R210" s="1146" t="s">
        <v>28</v>
      </c>
      <c r="S210" s="8">
        <f t="shared" si="111"/>
        <v>0</v>
      </c>
      <c r="T210" s="47">
        <f t="shared" si="112"/>
        <v>9.9475983006414026E-13</v>
      </c>
      <c r="U210" s="13"/>
      <c r="V210" s="8">
        <f>IFERROR(VLOOKUP(A210,'[43]Consolidated IS'!$A$20:$M$193,13,FALSE),0)</f>
        <v>5460.8101639744536</v>
      </c>
      <c r="W210" s="1251">
        <f t="shared" si="83"/>
        <v>3179.8274153613374</v>
      </c>
      <c r="X210" s="13"/>
      <c r="Y210" s="13"/>
    </row>
    <row r="211" spans="1:25">
      <c r="A211" s="35">
        <v>70206</v>
      </c>
      <c r="B211" s="7" t="s">
        <v>143</v>
      </c>
      <c r="C211" s="38">
        <f>+IFERROR(VLOOKUP(A211,'2120_IS'!$D:$AH,31,FALSE),0)</f>
        <v>1303.5299999999997</v>
      </c>
      <c r="D211" s="42"/>
      <c r="E211" s="39">
        <f t="shared" si="107"/>
        <v>1303.5299999999997</v>
      </c>
      <c r="G211" s="42"/>
      <c r="H211" s="39">
        <f t="shared" si="108"/>
        <v>1303.5299999999997</v>
      </c>
      <c r="I211" s="39"/>
      <c r="J211" s="200">
        <f>IF(($H211=0),0,IF(($M211="Actual"),"Actual",(VLOOKUP($M211,Ratios!$A$87:$D$90,2,FALSE)*$H211)))</f>
        <v>1198.6703911439113</v>
      </c>
      <c r="K211" s="200">
        <f>IF(($H211=0),0,IF(($M211="Actual"),"Actual",(VLOOKUP($M211,Ratios!$A$87:$D$90,3,FALSE)*$H211)))</f>
        <v>97.163490774907729</v>
      </c>
      <c r="L211" s="200">
        <f>IF(($H211=0),0,IF(($M211="Actual"),"Actual",(VLOOKUP($M211,Ratios!$A$87:$D$90,4,FALSE)*$H211)))</f>
        <v>7.6961180811808099</v>
      </c>
      <c r="M211" s="1252" t="s">
        <v>28</v>
      </c>
      <c r="N211" s="8">
        <f t="shared" si="109"/>
        <v>-6.7501559897209518E-14</v>
      </c>
      <c r="O211" s="36">
        <f t="shared" si="113"/>
        <v>1198.6703911439113</v>
      </c>
      <c r="P211" s="200">
        <f>J211*Ratios!$N$43</f>
        <v>1196.7463616236162</v>
      </c>
      <c r="Q211" s="200">
        <f t="shared" si="114"/>
        <v>1.9240295202951074</v>
      </c>
      <c r="R211" s="1147" t="s">
        <v>28</v>
      </c>
      <c r="S211" s="8">
        <f t="shared" si="111"/>
        <v>0</v>
      </c>
      <c r="T211" s="47">
        <f t="shared" si="112"/>
        <v>-6.7501559897209518E-14</v>
      </c>
      <c r="U211" s="13"/>
      <c r="V211" s="8">
        <f>IFERROR(VLOOKUP(A211,'[43]Consolidated IS'!$A$20:$M$193,13,FALSE),0)</f>
        <v>1778.1321416494259</v>
      </c>
      <c r="W211" s="1251">
        <f t="shared" si="83"/>
        <v>-579.4617505055146</v>
      </c>
      <c r="X211" s="13"/>
      <c r="Y211" s="13"/>
    </row>
    <row r="212" spans="1:25">
      <c r="A212" s="35">
        <v>70207</v>
      </c>
      <c r="B212" s="7" t="s">
        <v>144</v>
      </c>
      <c r="C212" s="38">
        <f>+IFERROR(VLOOKUP(A212,'2120_IS'!$D:$AH,31,FALSE),0)</f>
        <v>34.15</v>
      </c>
      <c r="D212" s="1256">
        <f>-C212</f>
        <v>-34.15</v>
      </c>
      <c r="E212" s="39">
        <f t="shared" si="107"/>
        <v>0</v>
      </c>
      <c r="F212" s="1258"/>
      <c r="G212" s="42"/>
      <c r="H212" s="39">
        <f t="shared" si="108"/>
        <v>0</v>
      </c>
      <c r="I212" s="39"/>
      <c r="J212" s="200">
        <f>IF(($H212=0),0,IF(($M212="Actual"),"Actual",(VLOOKUP($M212,Ratios!$A$87:$D$90,2,FALSE)*$H212)))</f>
        <v>0</v>
      </c>
      <c r="K212" s="200">
        <f>IF(($H212=0),0,IF(($M212="Actual"),"Actual",(VLOOKUP($M212,Ratios!$A$87:$D$90,3,FALSE)*$H212)))</f>
        <v>0</v>
      </c>
      <c r="L212" s="200">
        <f>IF(($H212=0),0,IF(($M212="Actual"),"Actual",(VLOOKUP($M212,Ratios!$A$87:$D$90,4,FALSE)*$H212)))</f>
        <v>0</v>
      </c>
      <c r="M212" s="1252" t="s">
        <v>28</v>
      </c>
      <c r="N212" s="8">
        <f t="shared" si="109"/>
        <v>0</v>
      </c>
      <c r="O212" s="36">
        <f t="shared" si="113"/>
        <v>0</v>
      </c>
      <c r="P212" s="38"/>
      <c r="Q212" s="200"/>
      <c r="S212" s="8">
        <f t="shared" si="111"/>
        <v>0</v>
      </c>
      <c r="T212" s="47">
        <f t="shared" si="112"/>
        <v>0</v>
      </c>
      <c r="U212" s="13"/>
      <c r="V212" s="8">
        <f>IFERROR(VLOOKUP(A212,'[43]Consolidated IS'!$A$20:$M$193,13,FALSE),0)</f>
        <v>0</v>
      </c>
      <c r="W212" s="1251">
        <f t="shared" si="83"/>
        <v>0</v>
      </c>
      <c r="X212" s="13"/>
      <c r="Y212" s="13"/>
    </row>
    <row r="213" spans="1:25">
      <c r="A213" s="35">
        <v>70214</v>
      </c>
      <c r="B213" s="7" t="s">
        <v>145</v>
      </c>
      <c r="C213" s="38">
        <f>+IFERROR(VLOOKUP(A213,'2120_IS'!$D:$AH,31,FALSE),0)</f>
        <v>6830.5099999999993</v>
      </c>
      <c r="D213" s="42"/>
      <c r="E213" s="39">
        <f t="shared" si="107"/>
        <v>6830.5099999999993</v>
      </c>
      <c r="G213" s="42"/>
      <c r="H213" s="39">
        <f t="shared" si="108"/>
        <v>6830.5099999999993</v>
      </c>
      <c r="I213" s="39"/>
      <c r="J213" s="200">
        <f>IF(($H213=0),0,IF(($M213="Actual"),"Actual",(VLOOKUP($M213,Ratios!$A$87:$D$90,2,FALSE)*$H213)))</f>
        <v>6718.3435267014402</v>
      </c>
      <c r="K213" s="200">
        <f>IF(($H213=0),0,IF(($M213="Actual"),"Actual",(VLOOKUP($M213,Ratios!$A$87:$D$90,3,FALSE)*$H213)))</f>
        <v>106.00886204292453</v>
      </c>
      <c r="L213" s="200">
        <f>IF(($H213=0),0,IF(($M213="Actual"),"Actual",(VLOOKUP($M213,Ratios!$A$87:$D$90,4,FALSE)*$H213)))</f>
        <v>6.1576112556342766</v>
      </c>
      <c r="M213" s="1252" t="s">
        <v>590</v>
      </c>
      <c r="N213" s="8">
        <f t="shared" si="109"/>
        <v>3.2951419370874646E-13</v>
      </c>
      <c r="O213" s="36">
        <f t="shared" si="113"/>
        <v>6718.3435267014402</v>
      </c>
      <c r="P213" s="1148">
        <f>J213*Ratios!$J$9</f>
        <v>6668.825966688195</v>
      </c>
      <c r="Q213" s="200">
        <f t="shared" si="114"/>
        <v>49.517560013245202</v>
      </c>
      <c r="R213" s="7" t="s">
        <v>589</v>
      </c>
      <c r="S213" s="8">
        <f t="shared" si="111"/>
        <v>0</v>
      </c>
      <c r="T213" s="47">
        <f t="shared" si="112"/>
        <v>3.2951419370874646E-13</v>
      </c>
      <c r="U213" s="13"/>
      <c r="V213" s="8">
        <f>IFERROR(VLOOKUP(A213,'[43]Consolidated IS'!$A$20:$M$193,13,FALSE),0)</f>
        <v>4238.3886323042725</v>
      </c>
      <c r="W213" s="1251">
        <f t="shared" si="83"/>
        <v>2479.9548943971677</v>
      </c>
      <c r="X213" s="13"/>
      <c r="Y213" s="13"/>
    </row>
    <row r="214" spans="1:25">
      <c r="A214" s="35">
        <v>70231</v>
      </c>
      <c r="B214" s="7" t="s">
        <v>146</v>
      </c>
      <c r="C214" s="38">
        <f>+IFERROR(VLOOKUP(A214,'2120_IS'!$D:$AH,31,FALSE),0)</f>
        <v>61.4</v>
      </c>
      <c r="D214" s="39"/>
      <c r="E214" s="39">
        <f t="shared" si="107"/>
        <v>61.4</v>
      </c>
      <c r="G214" s="42"/>
      <c r="H214" s="39">
        <f t="shared" si="108"/>
        <v>61.4</v>
      </c>
      <c r="I214" s="39"/>
      <c r="J214" s="200">
        <f>IF(($H214=0),0,IF(($M214="Actual"),"Actual",(VLOOKUP($M214,Ratios!$A$87:$D$90,2,FALSE)*$H214)))</f>
        <v>56.460811808118081</v>
      </c>
      <c r="K214" s="200">
        <f>IF(($H214=0),0,IF(($M214="Actual"),"Actual",(VLOOKUP($M214,Ratios!$A$87:$D$90,3,FALSE)*$H214)))</f>
        <v>4.5766789667896681</v>
      </c>
      <c r="L214" s="200">
        <f>IF(($H214=0),0,IF(($M214="Actual"),"Actual",(VLOOKUP($M214,Ratios!$A$87:$D$90,4,FALSE)*$H214)))</f>
        <v>0.36250922509225092</v>
      </c>
      <c r="M214" s="1252" t="s">
        <v>28</v>
      </c>
      <c r="N214" s="8">
        <f t="shared" si="109"/>
        <v>-9.9920072216264089E-16</v>
      </c>
      <c r="O214" s="1250">
        <f t="shared" ref="O214" si="117">J214</f>
        <v>56.460811808118081</v>
      </c>
      <c r="P214" s="1251">
        <f>J214*Ratios!$N$43</f>
        <v>56.370184501845017</v>
      </c>
      <c r="Q214" s="1251">
        <f t="shared" ref="Q214" si="118">O214-P214</f>
        <v>9.0627306273063368E-2</v>
      </c>
      <c r="R214" s="1255" t="s">
        <v>28</v>
      </c>
      <c r="S214" s="8">
        <f t="shared" si="111"/>
        <v>0</v>
      </c>
      <c r="T214" s="47">
        <f t="shared" si="112"/>
        <v>-9.9920072216264089E-16</v>
      </c>
      <c r="U214" s="13"/>
      <c r="V214" s="8">
        <f>IFERROR(VLOOKUP(A214,'[43]Consolidated IS'!$A$20:$M$193,13,FALSE),0)</f>
        <v>0</v>
      </c>
      <c r="W214" s="1251">
        <f t="shared" si="83"/>
        <v>56.460811808118081</v>
      </c>
      <c r="X214" s="13"/>
      <c r="Y214" s="13"/>
    </row>
    <row r="215" spans="1:25">
      <c r="A215" s="1257">
        <v>70255</v>
      </c>
      <c r="B215" s="1255" t="s">
        <v>147</v>
      </c>
      <c r="C215" s="38">
        <f>+IFERROR(VLOOKUP(A215,'2120_IS'!$D:$AH,31,FALSE),0)</f>
        <v>319.13</v>
      </c>
      <c r="D215" s="1139">
        <v>0</v>
      </c>
      <c r="E215" s="39">
        <f t="shared" si="107"/>
        <v>319.13</v>
      </c>
      <c r="F215" s="1258"/>
      <c r="G215" s="42"/>
      <c r="H215" s="39">
        <f t="shared" si="108"/>
        <v>319.13</v>
      </c>
      <c r="I215" s="39"/>
      <c r="J215" s="200">
        <f>IF(($H215=0),0,IF(($M215="Actual"),"Actual",(VLOOKUP($M215,Ratios!$A$87:$D$90,2,FALSE)*$H215)))</f>
        <v>293.45828782287822</v>
      </c>
      <c r="K215" s="200">
        <f>IF(($H215=0),0,IF(($M215="Actual"),"Actual",(VLOOKUP($M215,Ratios!$A$87:$D$90,3,FALSE)*$H215)))</f>
        <v>23.787549815498156</v>
      </c>
      <c r="L215" s="200">
        <f>IF(($H215=0),0,IF(($M215="Actual"),"Actual",(VLOOKUP($M215,Ratios!$A$87:$D$90,4,FALSE)*$H215)))</f>
        <v>1.8841623616236161</v>
      </c>
      <c r="M215" s="1252" t="s">
        <v>28</v>
      </c>
      <c r="N215" s="8">
        <f t="shared" si="109"/>
        <v>3.7747582837255322E-15</v>
      </c>
      <c r="O215" s="36">
        <f t="shared" si="113"/>
        <v>293.45828782287822</v>
      </c>
      <c r="P215" s="1148">
        <f>J215*Ratios!$J$9</f>
        <v>291.29535311718774</v>
      </c>
      <c r="Q215" s="200">
        <f t="shared" si="114"/>
        <v>2.1629347056904749</v>
      </c>
      <c r="R215" s="7" t="s">
        <v>589</v>
      </c>
      <c r="S215" s="8">
        <f t="shared" si="111"/>
        <v>0</v>
      </c>
      <c r="T215" s="47">
        <f t="shared" si="112"/>
        <v>3.7747582837255322E-15</v>
      </c>
      <c r="U215" s="13"/>
      <c r="V215" s="8">
        <f>IFERROR(VLOOKUP(A215,'[43]Consolidated IS'!$A$20:$M$193,13,FALSE),0)</f>
        <v>1005.1479177189409</v>
      </c>
      <c r="W215" s="1251">
        <f t="shared" si="83"/>
        <v>-711.68962989606268</v>
      </c>
      <c r="X215" s="13"/>
      <c r="Y215" s="13"/>
    </row>
    <row r="216" spans="1:25">
      <c r="A216" s="69">
        <v>70336</v>
      </c>
      <c r="B216" s="7" t="s">
        <v>148</v>
      </c>
      <c r="C216" s="38">
        <f>+IFERROR(VLOOKUP(A216,'2120_IS'!$D:$AH,31,FALSE),0)</f>
        <v>820.93</v>
      </c>
      <c r="D216" s="42"/>
      <c r="E216" s="39">
        <f t="shared" si="107"/>
        <v>820.93</v>
      </c>
      <c r="G216" s="42"/>
      <c r="H216" s="39">
        <f t="shared" si="108"/>
        <v>820.93</v>
      </c>
      <c r="I216" s="39"/>
      <c r="J216" s="200">
        <f>IF(($H216=0),0,IF(($M216="Actual"),"Actual",(VLOOKUP($M216,Ratios!$A$87:$D$90,2,FALSE)*$H216)))</f>
        <v>717.70756335901785</v>
      </c>
      <c r="K216" s="200">
        <f>IF(($H216=0),0,IF(($M216="Actual"),"Actual",(VLOOKUP($M216,Ratios!$A$87:$D$90,3,FALSE)*$H216)))</f>
        <v>102.56463101481435</v>
      </c>
      <c r="L216" s="200">
        <f>IF(($H216=0),0,IF(($M216="Actual"),"Actual",(VLOOKUP($M216,Ratios!$A$87:$D$90,4,FALSE)*$H216)))</f>
        <v>0.65780562616796534</v>
      </c>
      <c r="M216" s="1252" t="s">
        <v>589</v>
      </c>
      <c r="N216" s="8">
        <f t="shared" si="109"/>
        <v>-2.2215562722749382E-13</v>
      </c>
      <c r="O216" s="36">
        <f t="shared" si="113"/>
        <v>717.70756335901785</v>
      </c>
      <c r="P216" s="1148">
        <f>J216*Ratios!$J$9</f>
        <v>712.41769879651918</v>
      </c>
      <c r="Q216" s="200">
        <f t="shared" si="114"/>
        <v>5.2898645624986784</v>
      </c>
      <c r="R216" s="7" t="s">
        <v>589</v>
      </c>
      <c r="S216" s="8">
        <f t="shared" si="111"/>
        <v>0</v>
      </c>
      <c r="T216" s="47">
        <f t="shared" si="112"/>
        <v>-2.2215562722749382E-13</v>
      </c>
      <c r="U216" s="13"/>
      <c r="V216" s="8">
        <f>IFERROR(VLOOKUP(A216,'[43]Consolidated IS'!$A$20:$M$193,13,FALSE),0)</f>
        <v>567.03010944733569</v>
      </c>
      <c r="W216" s="1251">
        <f t="shared" si="83"/>
        <v>150.67745391168216</v>
      </c>
      <c r="X216" s="13"/>
      <c r="Y216" s="13"/>
    </row>
    <row r="217" spans="1:25">
      <c r="A217" s="71">
        <v>46900</v>
      </c>
      <c r="B217" s="2" t="s">
        <v>131</v>
      </c>
      <c r="C217" s="43">
        <f>SUM(C197:C216)</f>
        <v>73684.50999999998</v>
      </c>
      <c r="D217" s="43">
        <f>SUM(D197:D216)</f>
        <v>-3963.9787855009895</v>
      </c>
      <c r="E217" s="43">
        <f>SUM(E197:E216)</f>
        <v>69720.531214498988</v>
      </c>
      <c r="F217" s="92"/>
      <c r="G217" s="43">
        <f>SUM(G198:G216)</f>
        <v>0</v>
      </c>
      <c r="H217" s="43">
        <f>SUM(H197:H216)</f>
        <v>69720.531214498988</v>
      </c>
      <c r="I217" s="43"/>
      <c r="J217" s="43">
        <f>SUM(J197:J216)</f>
        <v>63979.605686371789</v>
      </c>
      <c r="K217" s="43">
        <f>SUM(K197:K216)</f>
        <v>5427.6419887135226</v>
      </c>
      <c r="L217" s="43">
        <f>SUM(L197:L216)</f>
        <v>313.28353941368169</v>
      </c>
      <c r="M217" s="93"/>
      <c r="N217" s="64"/>
      <c r="O217" s="43">
        <f>SUM(O197:O216)</f>
        <v>63979.605686371789</v>
      </c>
      <c r="P217" s="43">
        <f>SUM(P197:P216)</f>
        <v>63748.920588251633</v>
      </c>
      <c r="Q217" s="43">
        <f>SUM(Q197:Q216)</f>
        <v>230.68509812016197</v>
      </c>
      <c r="R217" s="76"/>
      <c r="S217" s="64">
        <f t="shared" si="111"/>
        <v>0</v>
      </c>
      <c r="T217" s="45">
        <f t="shared" si="112"/>
        <v>-6.1959326558280736E-12</v>
      </c>
      <c r="V217" s="8">
        <f>IFERROR(VLOOKUP(A217,'[43]Consolidated IS'!$A$20:$M$193,13,FALSE),0)</f>
        <v>47675.19753204631</v>
      </c>
      <c r="W217" s="1251">
        <f t="shared" ref="W217:W255" si="119">O217-V217</f>
        <v>16304.40815432548</v>
      </c>
    </row>
    <row r="218" spans="1:25">
      <c r="A218" s="71"/>
      <c r="B218" s="2"/>
      <c r="C218" s="66"/>
      <c r="D218" s="66"/>
      <c r="E218" s="66"/>
      <c r="F218" s="67"/>
      <c r="G218" s="66"/>
      <c r="H218" s="66"/>
      <c r="I218" s="66"/>
      <c r="J218" s="66"/>
      <c r="K218" s="66"/>
      <c r="L218" s="66"/>
      <c r="M218" s="3"/>
      <c r="O218" s="66"/>
      <c r="P218" s="66"/>
      <c r="Q218" s="66"/>
      <c r="T218" s="47"/>
      <c r="V218" s="8">
        <f>IFERROR(VLOOKUP(A218,'[43]Consolidated IS'!$A$20:$M$193,13,FALSE),0)</f>
        <v>0</v>
      </c>
      <c r="W218" s="1251">
        <f t="shared" si="119"/>
        <v>0</v>
      </c>
    </row>
    <row r="219" spans="1:25">
      <c r="A219" s="68"/>
      <c r="B219" s="52" t="s">
        <v>150</v>
      </c>
      <c r="C219" s="54"/>
      <c r="D219" s="55"/>
      <c r="E219" s="55"/>
      <c r="F219" s="56"/>
      <c r="G219" s="55"/>
      <c r="H219" s="55"/>
      <c r="I219" s="55"/>
      <c r="J219" s="54"/>
      <c r="K219" s="54"/>
      <c r="L219" s="54"/>
      <c r="M219" s="57"/>
      <c r="N219" s="58"/>
      <c r="O219" s="54"/>
      <c r="P219" s="54"/>
      <c r="Q219" s="54"/>
      <c r="R219" s="57"/>
      <c r="S219" s="58"/>
      <c r="T219" s="59"/>
      <c r="V219" s="8">
        <f>IFERROR(VLOOKUP(A219,'[43]Consolidated IS'!$A$20:$M$193,13,FALSE),0)</f>
        <v>0</v>
      </c>
      <c r="W219" s="1251">
        <f t="shared" si="119"/>
        <v>0</v>
      </c>
    </row>
    <row r="220" spans="1:25">
      <c r="A220" s="35">
        <v>51260</v>
      </c>
      <c r="B220" s="7" t="s">
        <v>151</v>
      </c>
      <c r="C220" s="38">
        <f>+IFERROR(VLOOKUP(A220,'2120_IS'!$D:$AH,31,FALSE),0)</f>
        <v>156658.45000000001</v>
      </c>
      <c r="D220" s="1113">
        <f>'Restating Adj''s'!T47</f>
        <v>149823.35489999998</v>
      </c>
      <c r="E220" s="39">
        <f t="shared" ref="E220:E226" si="120">SUM(C220:D220)</f>
        <v>306481.80489999999</v>
      </c>
      <c r="F220" s="1282" t="s">
        <v>152</v>
      </c>
      <c r="G220" s="42"/>
      <c r="H220" s="39">
        <f t="shared" ref="H220:H226" si="121">C220+D220+G220</f>
        <v>306481.80489999999</v>
      </c>
      <c r="I220" s="39"/>
      <c r="J220" s="1114">
        <f>'Depr Summary'!J17</f>
        <v>280351.58243234787</v>
      </c>
      <c r="K220" s="1114">
        <f>'Depr Summary'!L17</f>
        <v>23330.222467652085</v>
      </c>
      <c r="L220" s="200">
        <f>'Depr Summary'!K17</f>
        <v>2800</v>
      </c>
      <c r="M220" s="1255" t="s">
        <v>153</v>
      </c>
      <c r="N220" s="8">
        <f t="shared" ref="N220:N226" si="122">H220-J220-K220-L220</f>
        <v>2.9103830456733704E-11</v>
      </c>
      <c r="O220" s="36">
        <f t="shared" ref="O220:O226" si="123">J220</f>
        <v>280351.58243234787</v>
      </c>
      <c r="P220" s="38">
        <f>'Depr Summary'!V17</f>
        <v>280322.32154093171</v>
      </c>
      <c r="Q220" s="200">
        <f>'Depr Summary'!W17</f>
        <v>29.260891416175191</v>
      </c>
      <c r="R220" s="3" t="s">
        <v>19</v>
      </c>
      <c r="S220" s="8">
        <f t="shared" ref="S220:S227" si="124">SUM(P220:Q220)-O220</f>
        <v>0</v>
      </c>
      <c r="T220" s="47">
        <f t="shared" ref="T220:T227" si="125">C220+D220+G220-J220-K220-L220</f>
        <v>2.9103830456733704E-11</v>
      </c>
      <c r="V220" s="8">
        <f>IFERROR(VLOOKUP(A220,'[43]Consolidated IS'!$A$20:$M$193,13,FALSE),0)</f>
        <v>117977.89417275296</v>
      </c>
      <c r="W220" s="1426">
        <f t="shared" si="119"/>
        <v>162373.6882595949</v>
      </c>
    </row>
    <row r="221" spans="1:25">
      <c r="A221" s="35">
        <v>54260</v>
      </c>
      <c r="B221" s="7" t="s">
        <v>154</v>
      </c>
      <c r="C221" s="38">
        <f>+IFERROR(VLOOKUP(A221,'2120_IS'!$D:$AH,31,FALSE),0)</f>
        <v>37162.32</v>
      </c>
      <c r="D221" s="1113">
        <f>'Restating Adj''s'!T48</f>
        <v>-4247.1899206343442</v>
      </c>
      <c r="E221" s="39">
        <f t="shared" si="120"/>
        <v>32915.130079365656</v>
      </c>
      <c r="F221" s="1282" t="s">
        <v>152</v>
      </c>
      <c r="G221" s="42"/>
      <c r="H221" s="39">
        <f t="shared" si="121"/>
        <v>32915.130079365656</v>
      </c>
      <c r="I221" s="39"/>
      <c r="J221" s="1114">
        <f>'Depr Summary'!J28</f>
        <v>28453.905233153622</v>
      </c>
      <c r="K221" s="1114">
        <f>'Depr Summary'!L28</f>
        <v>4461.2248462120369</v>
      </c>
      <c r="L221" s="200">
        <f>'Depr Summary'!K28</f>
        <v>0</v>
      </c>
      <c r="M221" s="1255" t="s">
        <v>153</v>
      </c>
      <c r="N221" s="8">
        <f t="shared" si="122"/>
        <v>-3.637978807091713E-12</v>
      </c>
      <c r="O221" s="36">
        <f t="shared" si="123"/>
        <v>28453.905233153622</v>
      </c>
      <c r="P221" s="1252">
        <f>'Depr Summary'!V28</f>
        <v>28361.730631415558</v>
      </c>
      <c r="Q221" s="1252">
        <f>'Depr Summary'!W28</f>
        <v>92.174601738062847</v>
      </c>
      <c r="R221" s="3" t="s">
        <v>19</v>
      </c>
      <c r="S221" s="8">
        <f t="shared" si="124"/>
        <v>0</v>
      </c>
      <c r="T221" s="47">
        <f t="shared" si="125"/>
        <v>-3.637978807091713E-12</v>
      </c>
      <c r="V221" s="8">
        <f>IFERROR(VLOOKUP(A221,'[43]Consolidated IS'!$A$20:$M$193,13,FALSE),0)</f>
        <v>22978.441149117501</v>
      </c>
      <c r="W221" s="1426">
        <f t="shared" si="119"/>
        <v>5475.4640840361208</v>
      </c>
    </row>
    <row r="222" spans="1:25">
      <c r="B222" s="7" t="s">
        <v>155</v>
      </c>
      <c r="C222" s="38">
        <f>+IFERROR(VLOOKUP(A222,'2120_IS'!$D:$AH,31,FALSE),0)</f>
        <v>0</v>
      </c>
      <c r="D222" s="1113">
        <f>'Restating Adj''s'!T49</f>
        <v>2915.617999999406</v>
      </c>
      <c r="E222" s="39">
        <f t="shared" si="120"/>
        <v>2915.617999999406</v>
      </c>
      <c r="F222" s="1282" t="s">
        <v>152</v>
      </c>
      <c r="G222" s="42"/>
      <c r="H222" s="39">
        <f t="shared" si="121"/>
        <v>2915.617999999406</v>
      </c>
      <c r="I222" s="39"/>
      <c r="J222" s="1114">
        <f>'Depr Summary'!J30</f>
        <v>2681.0775114385683</v>
      </c>
      <c r="K222" s="1114">
        <f>'Depr Summary'!L30</f>
        <v>217.32650774903323</v>
      </c>
      <c r="L222" s="200">
        <f>'Depr Summary'!K30</f>
        <v>17.21398081180461</v>
      </c>
      <c r="M222" s="1255" t="s">
        <v>153</v>
      </c>
      <c r="N222" s="8">
        <f t="shared" si="122"/>
        <v>-1.0658141036401503E-13</v>
      </c>
      <c r="O222" s="36">
        <f t="shared" si="123"/>
        <v>2681.0775114385683</v>
      </c>
      <c r="P222" s="1252">
        <f>'Depr Summary'!V30</f>
        <v>2676.7740162356172</v>
      </c>
      <c r="Q222" s="1252">
        <f>'Depr Summary'!W30</f>
        <v>4.303495202951126</v>
      </c>
      <c r="R222" s="3" t="s">
        <v>19</v>
      </c>
      <c r="S222" s="8">
        <f t="shared" si="124"/>
        <v>0</v>
      </c>
      <c r="T222" s="47">
        <f t="shared" si="125"/>
        <v>-1.0658141036401503E-13</v>
      </c>
      <c r="V222" s="8">
        <f>IFERROR(VLOOKUP(A222,'[43]Consolidated IS'!$A$20:$M$193,13,FALSE),0)</f>
        <v>0</v>
      </c>
      <c r="W222" s="1426">
        <f t="shared" si="119"/>
        <v>2681.0775114385683</v>
      </c>
    </row>
    <row r="223" spans="1:25">
      <c r="A223" s="35">
        <v>57260</v>
      </c>
      <c r="B223" s="7" t="s">
        <v>156</v>
      </c>
      <c r="C223" s="38">
        <f>+IFERROR(VLOOKUP(A223,'2120_IS'!$D:$AH,31,FALSE),0)</f>
        <v>25162.530000000002</v>
      </c>
      <c r="D223" s="1113">
        <f>'Restating Adj''s'!T50</f>
        <v>-17083.465666666638</v>
      </c>
      <c r="E223" s="39">
        <f t="shared" si="120"/>
        <v>8079.0643333333646</v>
      </c>
      <c r="F223" s="1282" t="s">
        <v>152</v>
      </c>
      <c r="G223" s="42"/>
      <c r="H223" s="39">
        <f t="shared" si="121"/>
        <v>8079.0643333333646</v>
      </c>
      <c r="I223" s="39"/>
      <c r="J223" s="1114">
        <f>'Depr Summary'!J32</f>
        <v>7429.1617412054411</v>
      </c>
      <c r="K223" s="1114">
        <f>'Depr Summary'!L32</f>
        <v>602.20331931119551</v>
      </c>
      <c r="L223" s="200">
        <f>'Depr Summary'!K32</f>
        <v>47.699272816728353</v>
      </c>
      <c r="M223" s="1255" t="s">
        <v>153</v>
      </c>
      <c r="N223" s="8">
        <f t="shared" si="122"/>
        <v>-3.4106051316484809E-13</v>
      </c>
      <c r="O223" s="36">
        <f t="shared" si="123"/>
        <v>7429.1617412054411</v>
      </c>
      <c r="P223" s="38">
        <f>'Depr Summary'!V32</f>
        <v>7417.2369230012591</v>
      </c>
      <c r="Q223" s="200">
        <f>'Depr Summary'!W32</f>
        <v>11.924818204181975</v>
      </c>
      <c r="R223" s="3" t="s">
        <v>19</v>
      </c>
      <c r="S223" s="8">
        <f t="shared" si="124"/>
        <v>0</v>
      </c>
      <c r="T223" s="47">
        <f t="shared" si="125"/>
        <v>-3.4106051316484809E-13</v>
      </c>
      <c r="V223" s="8">
        <f>IFERROR(VLOOKUP(A223,'[43]Consolidated IS'!$A$20:$M$193,13,FALSE),0)</f>
        <v>5901.5070594875433</v>
      </c>
      <c r="W223" s="1426">
        <f t="shared" si="119"/>
        <v>1527.6546817178978</v>
      </c>
    </row>
    <row r="224" spans="1:25">
      <c r="A224" s="35">
        <v>70260</v>
      </c>
      <c r="B224" s="7" t="s">
        <v>157</v>
      </c>
      <c r="C224" s="38">
        <f>+IFERROR(VLOOKUP(A224,'2120_IS'!$D:$AH,31,FALSE),0)</f>
        <v>5060.57</v>
      </c>
      <c r="D224" s="1113">
        <f>'Restating Adj''s'!T51</f>
        <v>-3223.102166666652</v>
      </c>
      <c r="E224" s="39">
        <f t="shared" si="120"/>
        <v>1837.4678333333477</v>
      </c>
      <c r="F224" s="1282" t="s">
        <v>152</v>
      </c>
      <c r="G224" s="42"/>
      <c r="H224" s="39">
        <f t="shared" si="121"/>
        <v>1837.4678333333477</v>
      </c>
      <c r="I224" s="39"/>
      <c r="J224" s="1114">
        <f>'Depr Summary'!J34</f>
        <v>1606.4275412181926</v>
      </c>
      <c r="K224" s="1114">
        <f>'Depr Summary'!L34</f>
        <v>229.56794163622376</v>
      </c>
      <c r="L224" s="200">
        <f>'Depr Summary'!K34</f>
        <v>1.4723504789316231</v>
      </c>
      <c r="M224" s="1255" t="s">
        <v>153</v>
      </c>
      <c r="N224" s="8">
        <f t="shared" si="122"/>
        <v>-2.6223467841646197E-13</v>
      </c>
      <c r="O224" s="36">
        <f t="shared" si="123"/>
        <v>1606.4275412181926</v>
      </c>
      <c r="P224" s="38">
        <f>'Depr Summary'!V34</f>
        <v>1594.587364861766</v>
      </c>
      <c r="Q224" s="200">
        <f>'Depr Summary'!W34</f>
        <v>11.840176356426582</v>
      </c>
      <c r="R224" s="3" t="s">
        <v>19</v>
      </c>
      <c r="S224" s="8">
        <f t="shared" si="124"/>
        <v>0</v>
      </c>
      <c r="T224" s="47">
        <f t="shared" si="125"/>
        <v>-2.6223467841646197E-13</v>
      </c>
      <c r="V224" s="8">
        <f>IFERROR(VLOOKUP(A224,'[43]Consolidated IS'!$A$20:$M$193,13,FALSE),0)</f>
        <v>1674.6320183002251</v>
      </c>
      <c r="W224" s="1426">
        <f t="shared" si="119"/>
        <v>-68.204477082032554</v>
      </c>
    </row>
    <row r="225" spans="1:25">
      <c r="B225" s="7" t="s">
        <v>402</v>
      </c>
      <c r="C225" s="38">
        <f>+IFERROR(VLOOKUP(A225,'2120_IS'!$D:$AH,31,FALSE),0)</f>
        <v>0</v>
      </c>
      <c r="D225" s="1113">
        <f>'Restating Adj''s'!T52</f>
        <v>18479.209800000001</v>
      </c>
      <c r="E225" s="39">
        <f t="shared" si="120"/>
        <v>18479.209800000001</v>
      </c>
      <c r="F225" s="1282" t="s">
        <v>152</v>
      </c>
      <c r="G225" s="42"/>
      <c r="H225" s="39">
        <f t="shared" si="121"/>
        <v>18479.209800000001</v>
      </c>
      <c r="I225" s="39"/>
      <c r="J225" s="200">
        <f>'Depr Summary'!J38</f>
        <v>16992.690340073801</v>
      </c>
      <c r="K225" s="200">
        <f>'Depr Summary'!K38</f>
        <v>109.10234568265683</v>
      </c>
      <c r="L225" s="200">
        <f>'Depr Summary'!L38</f>
        <v>1377.4171142435425</v>
      </c>
      <c r="M225" s="1255" t="s">
        <v>153</v>
      </c>
      <c r="N225" s="8">
        <f t="shared" si="122"/>
        <v>0</v>
      </c>
      <c r="O225" s="36">
        <f t="shared" si="123"/>
        <v>16992.690340073801</v>
      </c>
      <c r="P225" s="38">
        <f>'Depr Summary'!V38</f>
        <v>16965.414753653138</v>
      </c>
      <c r="Q225" s="200">
        <f>'Depr Summary'!W38</f>
        <v>27.275586420662876</v>
      </c>
      <c r="R225" s="3" t="s">
        <v>19</v>
      </c>
      <c r="S225" s="8">
        <f t="shared" si="124"/>
        <v>0</v>
      </c>
      <c r="T225" s="47">
        <f t="shared" si="125"/>
        <v>0</v>
      </c>
      <c r="V225" s="8">
        <f>IFERROR(VLOOKUP(A225,'[43]Consolidated IS'!$A$20:$M$193,13,FALSE),0)</f>
        <v>0</v>
      </c>
      <c r="W225" s="1426">
        <f t="shared" si="119"/>
        <v>16992.690340073801</v>
      </c>
    </row>
    <row r="226" spans="1:25">
      <c r="A226" s="82">
        <v>91010</v>
      </c>
      <c r="B226" s="83" t="s">
        <v>159</v>
      </c>
      <c r="C226" s="38">
        <f>+IFERROR(VLOOKUP(A226,'2120_IS'!$D:$AH,31,FALSE),0)</f>
        <v>-2243.36</v>
      </c>
      <c r="D226" s="84"/>
      <c r="E226" s="84">
        <f t="shared" si="120"/>
        <v>-2243.36</v>
      </c>
      <c r="F226" s="96"/>
      <c r="G226" s="84"/>
      <c r="H226" s="84">
        <f t="shared" si="121"/>
        <v>-2243.36</v>
      </c>
      <c r="I226" s="84"/>
      <c r="J226" s="200">
        <f>IF(($H226=0),0,IF(($M226="Actual"),"Actual",(VLOOKUP($M226,Ratios!$A$87:$D$90,2,FALSE)*$H226)))</f>
        <v>-2062.8978302583027</v>
      </c>
      <c r="K226" s="200">
        <f>IF(($H226=0),0,IF(($M226="Actual"),"Actual",(VLOOKUP($M226,Ratios!$A$87:$D$90,3,FALSE)*$H226)))</f>
        <v>-167.21723985239854</v>
      </c>
      <c r="L226" s="200">
        <f>IF(($H226=0),0,IF(($M226="Actual"),"Actual",(VLOOKUP($M226,Ratios!$A$87:$D$90,4,FALSE)*$H226)))</f>
        <v>-13.244929889298893</v>
      </c>
      <c r="M226" s="1252" t="s">
        <v>28</v>
      </c>
      <c r="N226" s="8">
        <f t="shared" si="122"/>
        <v>4.7961634663806763E-14</v>
      </c>
      <c r="O226" s="36">
        <f t="shared" si="123"/>
        <v>-2062.8978302583027</v>
      </c>
      <c r="P226" s="200">
        <f>J226*Ratios!$N$43</f>
        <v>-2059.586597785978</v>
      </c>
      <c r="Q226" s="38">
        <f>J226+-P226</f>
        <v>-3.3112324723247184</v>
      </c>
      <c r="R226" s="1147" t="s">
        <v>28</v>
      </c>
      <c r="S226" s="8">
        <f t="shared" si="124"/>
        <v>0</v>
      </c>
      <c r="T226" s="47">
        <f t="shared" si="125"/>
        <v>4.7961634663806763E-14</v>
      </c>
      <c r="V226" s="8">
        <f>IFERROR(VLOOKUP(A226,'[43]Consolidated IS'!$A$20:$M$193,13,FALSE),0)</f>
        <v>-2218.8612099644129</v>
      </c>
      <c r="W226" s="1426">
        <f t="shared" si="119"/>
        <v>155.96337970611012</v>
      </c>
    </row>
    <row r="227" spans="1:25">
      <c r="A227" s="71"/>
      <c r="B227" s="2" t="s">
        <v>26</v>
      </c>
      <c r="C227" s="43">
        <f>SUM(C220:C226)</f>
        <v>221800.51000000004</v>
      </c>
      <c r="D227" s="43">
        <f>SUM(D220:D226)</f>
        <v>146664.42494603177</v>
      </c>
      <c r="E227" s="43">
        <f>SUM(E220:E226)</f>
        <v>368464.93494603183</v>
      </c>
      <c r="F227" s="92"/>
      <c r="G227" s="43">
        <f>SUM(G220:G226)</f>
        <v>0</v>
      </c>
      <c r="H227" s="43">
        <f>SUM(H220:H226)</f>
        <v>368464.93494603183</v>
      </c>
      <c r="I227" s="43"/>
      <c r="J227" s="43">
        <f>SUM(J220:J226)</f>
        <v>335451.94696917915</v>
      </c>
      <c r="K227" s="43">
        <f>SUM(K220:K226)</f>
        <v>28782.430188390834</v>
      </c>
      <c r="L227" s="43">
        <f>SUM(L220:L226)</f>
        <v>4230.5577884617087</v>
      </c>
      <c r="M227" s="93"/>
      <c r="N227" s="64"/>
      <c r="O227" s="43">
        <f>SUM(O220:O226)</f>
        <v>335451.94696917915</v>
      </c>
      <c r="P227" s="43">
        <f>SUM(P220:P226)</f>
        <v>335278.47863231302</v>
      </c>
      <c r="Q227" s="43">
        <f>SUM(Q220:Q226)</f>
        <v>173.46833686613587</v>
      </c>
      <c r="R227" s="65"/>
      <c r="S227" s="64">
        <f t="shared" si="124"/>
        <v>0</v>
      </c>
      <c r="T227" s="45">
        <f t="shared" si="125"/>
        <v>8.7311491370201111E-11</v>
      </c>
      <c r="V227" s="8">
        <f>IFERROR(VLOOKUP(A227,'[43]Consolidated IS'!$A$20:$M$193,13,FALSE),0)</f>
        <v>0</v>
      </c>
      <c r="W227" s="1427">
        <f>SUM(W220:W226)</f>
        <v>189138.33377948537</v>
      </c>
    </row>
    <row r="228" spans="1:25">
      <c r="A228" s="71"/>
      <c r="B228" s="2"/>
      <c r="C228" s="66"/>
      <c r="D228" s="66"/>
      <c r="E228" s="66"/>
      <c r="F228" s="67"/>
      <c r="G228" s="66"/>
      <c r="H228" s="66"/>
      <c r="I228" s="66"/>
      <c r="J228" s="1414"/>
      <c r="K228" s="66"/>
      <c r="L228" s="66"/>
      <c r="M228" s="3"/>
      <c r="O228" s="66"/>
      <c r="P228" s="66"/>
      <c r="Q228" s="66"/>
      <c r="R228" s="47"/>
      <c r="T228" s="47"/>
      <c r="V228" s="8">
        <f>IFERROR(VLOOKUP(A228,'[43]Consolidated IS'!$A$20:$M$193,13,FALSE),0)</f>
        <v>0</v>
      </c>
      <c r="W228" s="1251">
        <f t="shared" si="119"/>
        <v>0</v>
      </c>
    </row>
    <row r="229" spans="1:25">
      <c r="A229" s="68">
        <v>52000</v>
      </c>
      <c r="B229" s="52" t="s">
        <v>160</v>
      </c>
      <c r="C229" s="54"/>
      <c r="D229" s="55"/>
      <c r="E229" s="55"/>
      <c r="F229" s="56"/>
      <c r="G229" s="55"/>
      <c r="H229" s="55"/>
      <c r="I229" s="55"/>
      <c r="J229" s="54"/>
      <c r="K229" s="54"/>
      <c r="L229" s="54"/>
      <c r="M229" s="57"/>
      <c r="N229" s="58"/>
      <c r="O229" s="54"/>
      <c r="P229" s="54"/>
      <c r="Q229" s="54"/>
      <c r="R229" s="57"/>
      <c r="S229" s="58"/>
      <c r="T229" s="59"/>
      <c r="V229" s="8">
        <f>IFERROR(VLOOKUP(A229,'[43]Consolidated IS'!$A$20:$M$193,13,FALSE),0)</f>
        <v>0</v>
      </c>
      <c r="W229" s="1251">
        <f t="shared" si="119"/>
        <v>0</v>
      </c>
    </row>
    <row r="230" spans="1:25">
      <c r="A230" s="35">
        <v>41201</v>
      </c>
      <c r="B230" s="7" t="s">
        <v>161</v>
      </c>
      <c r="C230" s="38">
        <f>+IFERROR(VLOOKUP(A230,'2120_IS'!$D:$AH,31,FALSE),0)</f>
        <v>29805.920000000002</v>
      </c>
      <c r="D230" s="42"/>
      <c r="E230" s="39">
        <f>SUM(C230:D230)</f>
        <v>29805.920000000002</v>
      </c>
      <c r="G230" s="42"/>
      <c r="H230" s="39">
        <f>C230+D230+G230</f>
        <v>29805.920000000002</v>
      </c>
      <c r="I230" s="39"/>
      <c r="J230" s="38">
        <v>0</v>
      </c>
      <c r="K230" s="1114">
        <f>H230</f>
        <v>29805.920000000002</v>
      </c>
      <c r="L230" s="38">
        <v>0</v>
      </c>
      <c r="M230" s="1255" t="s">
        <v>19</v>
      </c>
      <c r="N230" s="8">
        <f t="shared" ref="N230" si="126">H230-J230-K230-L230</f>
        <v>0</v>
      </c>
      <c r="O230" s="36">
        <f t="shared" ref="O230" si="127">J230</f>
        <v>0</v>
      </c>
      <c r="P230" s="38">
        <v>0</v>
      </c>
      <c r="Q230" s="38">
        <v>0</v>
      </c>
      <c r="R230" s="7" t="s">
        <v>19</v>
      </c>
      <c r="S230" s="8">
        <f>SUM(P230:Q230)-O230</f>
        <v>0</v>
      </c>
      <c r="T230" s="47">
        <f>C230+D230+G230-J230-K230-L230</f>
        <v>0</v>
      </c>
      <c r="V230" s="8">
        <f>IFERROR(VLOOKUP(A230,'[43]Consolidated IS'!$A$20:$M$193,13,FALSE),0)</f>
        <v>0</v>
      </c>
      <c r="W230" s="1251">
        <f t="shared" si="119"/>
        <v>0</v>
      </c>
    </row>
    <row r="231" spans="1:25">
      <c r="A231" s="71">
        <v>52000</v>
      </c>
      <c r="B231" s="2" t="s">
        <v>162</v>
      </c>
      <c r="C231" s="43">
        <f>SUM(C230:C230)</f>
        <v>29805.920000000002</v>
      </c>
      <c r="D231" s="43">
        <f>SUM(D230:D230)</f>
        <v>0</v>
      </c>
      <c r="E231" s="43">
        <f>SUM(E230:E230)</f>
        <v>29805.920000000002</v>
      </c>
      <c r="F231" s="92"/>
      <c r="G231" s="43">
        <f>SUM(G230:G230)</f>
        <v>0</v>
      </c>
      <c r="H231" s="43">
        <f>SUM(H230:H230)</f>
        <v>29805.920000000002</v>
      </c>
      <c r="I231" s="43"/>
      <c r="J231" s="43">
        <f>SUM(J230:J230)</f>
        <v>0</v>
      </c>
      <c r="K231" s="43">
        <f>SUM(K230:K230)</f>
        <v>29805.920000000002</v>
      </c>
      <c r="L231" s="43">
        <f>SUM(L230:L230)</f>
        <v>0</v>
      </c>
      <c r="M231" s="93"/>
      <c r="N231" s="64"/>
      <c r="O231" s="43">
        <f>SUM(O230:O230)</f>
        <v>0</v>
      </c>
      <c r="P231" s="43">
        <f>SUM(P230:P230)</f>
        <v>0</v>
      </c>
      <c r="Q231" s="43">
        <f>SUM(Q230:Q230)</f>
        <v>0</v>
      </c>
      <c r="R231" s="76"/>
      <c r="S231" s="64">
        <f>SUM(P231:Q231)-O231</f>
        <v>0</v>
      </c>
      <c r="T231" s="45">
        <f>C231+D231+G231-J231-K231-L231</f>
        <v>0</v>
      </c>
      <c r="V231" s="8">
        <f>IFERROR(VLOOKUP(A231,'[43]Consolidated IS'!$A$20:$M$193,13,FALSE),0)</f>
        <v>0</v>
      </c>
      <c r="W231" s="1251">
        <f t="shared" si="119"/>
        <v>0</v>
      </c>
    </row>
    <row r="232" spans="1:25">
      <c r="A232" s="71"/>
      <c r="B232" s="2"/>
      <c r="C232" s="66"/>
      <c r="D232" s="66"/>
      <c r="E232" s="66"/>
      <c r="F232" s="67"/>
      <c r="G232" s="66"/>
      <c r="H232" s="66"/>
      <c r="I232" s="66"/>
      <c r="J232" s="66"/>
      <c r="K232" s="66"/>
      <c r="L232" s="66"/>
      <c r="M232" s="3"/>
      <c r="O232" s="66"/>
      <c r="P232" s="66"/>
      <c r="Q232" s="66"/>
      <c r="T232" s="47"/>
      <c r="V232" s="8">
        <f>IFERROR(VLOOKUP(A232,'[43]Consolidated IS'!$A$20:$M$193,13,FALSE),0)</f>
        <v>0</v>
      </c>
      <c r="W232" s="1251">
        <f t="shared" si="119"/>
        <v>0</v>
      </c>
    </row>
    <row r="233" spans="1:25">
      <c r="A233" s="68">
        <v>52030</v>
      </c>
      <c r="B233" s="52" t="s">
        <v>163</v>
      </c>
      <c r="C233" s="54"/>
      <c r="D233" s="55"/>
      <c r="E233" s="55"/>
      <c r="F233" s="56"/>
      <c r="G233" s="55"/>
      <c r="H233" s="55"/>
      <c r="I233" s="55"/>
      <c r="J233" s="54"/>
      <c r="K233" s="54"/>
      <c r="L233" s="54"/>
      <c r="M233" s="57"/>
      <c r="N233" s="58"/>
      <c r="O233" s="54"/>
      <c r="P233" s="54"/>
      <c r="Q233" s="54"/>
      <c r="R233" s="57"/>
      <c r="S233" s="58">
        <f>SUM(P233:Q233)-O233</f>
        <v>0</v>
      </c>
      <c r="T233" s="59">
        <f>C233+D233+G233-J233-K233</f>
        <v>0</v>
      </c>
      <c r="V233" s="8"/>
      <c r="W233" s="1251"/>
    </row>
    <row r="234" spans="1:25">
      <c r="A234" s="82">
        <v>43001</v>
      </c>
      <c r="B234" s="83" t="s">
        <v>164</v>
      </c>
      <c r="C234" s="38">
        <f>+IFERROR(VLOOKUP(A234,'2120_IS'!$D:$AH,31,FALSE),0)</f>
        <v>49463.609999999993</v>
      </c>
      <c r="D234" s="84"/>
      <c r="E234" s="84">
        <f>SUM(C234:D234)</f>
        <v>49463.609999999993</v>
      </c>
      <c r="F234" s="96"/>
      <c r="G234" s="84"/>
      <c r="H234" s="84">
        <f>C234+D234+G234</f>
        <v>49463.609999999993</v>
      </c>
      <c r="I234" s="84"/>
      <c r="J234" s="1114">
        <f>+$H234*$J$19</f>
        <v>43445.602862702683</v>
      </c>
      <c r="K234" s="1114">
        <f>+$H234*$K$19</f>
        <v>5806.7394622001111</v>
      </c>
      <c r="L234" s="41">
        <f>+$H234*$L$19</f>
        <v>211.26767509718977</v>
      </c>
      <c r="M234" s="1255" t="s">
        <v>87</v>
      </c>
      <c r="N234" s="8">
        <f t="shared" ref="N234" si="128">H234-J234-K234-L234</f>
        <v>9.8054897534893826E-12</v>
      </c>
      <c r="O234" s="36">
        <f>J234</f>
        <v>43445.602862702683</v>
      </c>
      <c r="P234" s="38">
        <f>$J234*P19</f>
        <v>43355.599219413445</v>
      </c>
      <c r="Q234" s="200">
        <f>$J234*Q19</f>
        <v>90.00364328923402</v>
      </c>
      <c r="R234" s="7" t="s">
        <v>87</v>
      </c>
      <c r="S234" s="8">
        <f>SUM(P234:Q234)-O234</f>
        <v>0</v>
      </c>
      <c r="T234" s="47">
        <f>C234+D234+G234-J234-K234-L234</f>
        <v>9.8054897534893826E-12</v>
      </c>
      <c r="V234" s="8">
        <f>IFERROR(VLOOKUP(A234,'[43]Consolidated IS'!$A$20:$M$193,13,FALSE),0)</f>
        <v>42230.656468021392</v>
      </c>
      <c r="W234" s="1251">
        <f t="shared" si="119"/>
        <v>1214.9463946812903</v>
      </c>
    </row>
    <row r="235" spans="1:25">
      <c r="A235" s="71">
        <v>52030</v>
      </c>
      <c r="B235" s="2" t="s">
        <v>163</v>
      </c>
      <c r="C235" s="43">
        <f>SUM(C234)</f>
        <v>49463.609999999993</v>
      </c>
      <c r="D235" s="43">
        <f>SUM(D234)</f>
        <v>0</v>
      </c>
      <c r="E235" s="43">
        <f>SUM(E234)</f>
        <v>49463.609999999993</v>
      </c>
      <c r="F235" s="92"/>
      <c r="G235" s="43">
        <f>SUM(G234)</f>
        <v>0</v>
      </c>
      <c r="H235" s="43">
        <f>SUM(H234)</f>
        <v>49463.609999999993</v>
      </c>
      <c r="I235" s="43"/>
      <c r="J235" s="43">
        <f>SUM(J234)</f>
        <v>43445.602862702683</v>
      </c>
      <c r="K235" s="43">
        <f>SUM(K234)</f>
        <v>5806.7394622001111</v>
      </c>
      <c r="L235" s="43">
        <f>SUM(L234)</f>
        <v>211.26767509718977</v>
      </c>
      <c r="M235" s="93"/>
      <c r="N235" s="64"/>
      <c r="O235" s="43">
        <f>SUM(O234)</f>
        <v>43445.602862702683</v>
      </c>
      <c r="P235" s="43">
        <f>SUM(P234)</f>
        <v>43355.599219413445</v>
      </c>
      <c r="Q235" s="43">
        <f>SUM(Q234)</f>
        <v>90.00364328923402</v>
      </c>
      <c r="R235" s="76"/>
      <c r="S235" s="64">
        <f>SUM(P235:Q235)-O235</f>
        <v>0</v>
      </c>
      <c r="T235" s="45">
        <f>C235+D235+G235-J235-K235-L235</f>
        <v>9.8054897534893826E-12</v>
      </c>
      <c r="V235" s="8">
        <f>IFERROR(VLOOKUP(A235,'[43]Consolidated IS'!$A$20:$M$193,13,FALSE),0)</f>
        <v>42230.656468021392</v>
      </c>
      <c r="W235" s="1251">
        <f t="shared" si="119"/>
        <v>1214.9463946812903</v>
      </c>
    </row>
    <row r="236" spans="1:25">
      <c r="A236" s="71"/>
      <c r="B236" s="2"/>
      <c r="C236" s="66"/>
      <c r="D236" s="66"/>
      <c r="E236" s="66"/>
      <c r="F236" s="67"/>
      <c r="G236" s="66"/>
      <c r="H236" s="66"/>
      <c r="I236" s="66"/>
      <c r="J236" s="66"/>
      <c r="K236" s="66"/>
      <c r="L236" s="66"/>
      <c r="M236" s="3"/>
      <c r="O236" s="66"/>
      <c r="P236" s="66"/>
      <c r="Q236" s="66"/>
      <c r="T236" s="47"/>
      <c r="V236" s="8">
        <f>IFERROR(VLOOKUP(A236,'[43]Consolidated IS'!$A$20:$M$193,13,FALSE),0)</f>
        <v>0</v>
      </c>
      <c r="W236" s="1251">
        <f t="shared" si="119"/>
        <v>0</v>
      </c>
    </row>
    <row r="237" spans="1:25">
      <c r="A237" s="68">
        <v>52200</v>
      </c>
      <c r="B237" s="52" t="s">
        <v>165</v>
      </c>
      <c r="C237" s="54"/>
      <c r="D237" s="55"/>
      <c r="E237" s="55"/>
      <c r="F237" s="56"/>
      <c r="G237" s="55"/>
      <c r="H237" s="55"/>
      <c r="I237" s="55"/>
      <c r="J237" s="54"/>
      <c r="K237" s="54"/>
      <c r="L237" s="54"/>
      <c r="M237" s="57"/>
      <c r="N237" s="58"/>
      <c r="O237" s="54"/>
      <c r="P237" s="54"/>
      <c r="Q237" s="54"/>
      <c r="R237" s="57"/>
      <c r="S237" s="58"/>
      <c r="T237" s="59"/>
      <c r="V237" s="8"/>
      <c r="W237" s="1251"/>
    </row>
    <row r="238" spans="1:25">
      <c r="A238" s="35">
        <v>51295</v>
      </c>
      <c r="B238" s="7" t="s">
        <v>166</v>
      </c>
      <c r="C238" s="38">
        <f>+IFERROR(VLOOKUP(A238,'2120_IS'!$D:$AH,31,FALSE),0)</f>
        <v>10726.720000000001</v>
      </c>
      <c r="D238" s="42"/>
      <c r="E238" s="39">
        <f>SUM(C238:D238)</f>
        <v>10726.720000000001</v>
      </c>
      <c r="G238" s="42"/>
      <c r="H238" s="39">
        <f>C238+D238+G238</f>
        <v>10726.720000000001</v>
      </c>
      <c r="I238" s="39"/>
      <c r="J238" s="200">
        <f>IF(($H238=0),0,IF(($M238="Actual"),"Actual",(VLOOKUP($M238,Ratios!$A$87:$D$90,2,FALSE)*$H238)))</f>
        <v>9863.8325608856103</v>
      </c>
      <c r="K238" s="200">
        <f>IF(($H238=0),0,IF(($M238="Actual"),"Actual",(VLOOKUP($M238,Ratios!$A$87:$D$90,3,FALSE)*$H238)))</f>
        <v>799.55625092250932</v>
      </c>
      <c r="L238" s="200">
        <f>IF(($H238=0),0,IF(($M238="Actual"),"Actual",(VLOOKUP($M238,Ratios!$A$87:$D$90,4,FALSE)*$H238)))</f>
        <v>63.331188191881921</v>
      </c>
      <c r="M238" s="1252" t="s">
        <v>28</v>
      </c>
      <c r="N238" s="8">
        <f t="shared" ref="N238:N239" si="129">H238-J238-K238-L238</f>
        <v>-3.694822225952521E-13</v>
      </c>
      <c r="O238" s="36">
        <f t="shared" ref="O238:O239" si="130">J238</f>
        <v>9863.8325608856103</v>
      </c>
      <c r="P238" s="200">
        <f>J238*Ratios!$N$43</f>
        <v>9847.9997638376408</v>
      </c>
      <c r="Q238" s="200">
        <f t="shared" ref="Q238:Q239" si="131">O238-P238</f>
        <v>15.832797047969507</v>
      </c>
      <c r="R238" s="7" t="s">
        <v>28</v>
      </c>
      <c r="S238" s="8">
        <f>SUM(P238:Q238)-O238</f>
        <v>0</v>
      </c>
      <c r="T238" s="47">
        <f>C238+D238+G238-J238-K238-L238</f>
        <v>-3.694822225952521E-13</v>
      </c>
      <c r="U238" s="13"/>
      <c r="V238" s="8">
        <f>IFERROR(VLOOKUP(A238,'[43]Consolidated IS'!$A$20:$M$193,13,FALSE),0)</f>
        <v>7221.1506761565852</v>
      </c>
      <c r="W238" s="1251">
        <f t="shared" si="119"/>
        <v>2642.6818847290251</v>
      </c>
      <c r="X238" s="13"/>
      <c r="Y238" s="13"/>
    </row>
    <row r="239" spans="1:25">
      <c r="A239" s="35">
        <v>57357</v>
      </c>
      <c r="B239" s="7" t="s">
        <v>149</v>
      </c>
      <c r="C239" s="38">
        <f>+IFERROR(VLOOKUP(A239,'2120_IS'!$D:$AH,31,FALSE),0)</f>
        <v>814.06999999999994</v>
      </c>
      <c r="D239" s="42"/>
      <c r="E239" s="39">
        <f>SUM(C239:D239)</f>
        <v>814.06999999999994</v>
      </c>
      <c r="G239" s="42"/>
      <c r="H239" s="39">
        <f>C239+D239+G239</f>
        <v>814.06999999999994</v>
      </c>
      <c r="I239" s="39"/>
      <c r="J239" s="200">
        <f>IF(($H239=0),0,IF(($M239="Actual"),"Actual",(VLOOKUP($M239,Ratios!$A$87:$D$90,2,FALSE)*$H239)))</f>
        <v>748.5839261992619</v>
      </c>
      <c r="K239" s="200">
        <f>IF(($H239=0),0,IF(($M239="Actual"),"Actual",(VLOOKUP($M239,Ratios!$A$87:$D$90,3,FALSE)*$H239)))</f>
        <v>60.679756457564572</v>
      </c>
      <c r="L239" s="200">
        <f>IF(($H239=0),0,IF(($M239="Actual"),"Actual",(VLOOKUP($M239,Ratios!$A$87:$D$90,4,FALSE)*$H239)))</f>
        <v>4.806317343173431</v>
      </c>
      <c r="M239" s="1252" t="s">
        <v>28</v>
      </c>
      <c r="N239" s="8">
        <f t="shared" si="129"/>
        <v>3.730349362740526E-14</v>
      </c>
      <c r="O239" s="36">
        <f t="shared" si="130"/>
        <v>748.5839261992619</v>
      </c>
      <c r="P239" s="200">
        <f>J239*Ratios!$N$43</f>
        <v>747.38234686346857</v>
      </c>
      <c r="Q239" s="200">
        <f t="shared" si="131"/>
        <v>1.2015793357933262</v>
      </c>
      <c r="R239" s="7" t="s">
        <v>28</v>
      </c>
      <c r="S239" s="8">
        <f>SUM(P239:Q239)-O239</f>
        <v>0</v>
      </c>
      <c r="T239" s="47">
        <f>C239+D239+G239-J239-K239-L239</f>
        <v>3.730349362740526E-14</v>
      </c>
      <c r="U239" s="13"/>
      <c r="V239" s="8">
        <f>IFERROR(VLOOKUP(A239,'[43]Consolidated IS'!$A$20:$M$193,13,FALSE),0)</f>
        <v>2183.3594306049822</v>
      </c>
      <c r="W239" s="1251">
        <f t="shared" si="119"/>
        <v>-1434.7755044057203</v>
      </c>
      <c r="X239" s="13"/>
      <c r="Y239" s="13"/>
    </row>
    <row r="240" spans="1:25">
      <c r="A240" s="71">
        <v>52200</v>
      </c>
      <c r="B240" s="2" t="s">
        <v>165</v>
      </c>
      <c r="C240" s="43">
        <f>SUM(C238:C239)</f>
        <v>11540.79</v>
      </c>
      <c r="D240" s="43">
        <f>SUM(D238:D239)</f>
        <v>0</v>
      </c>
      <c r="E240" s="43">
        <f>SUM(E238:E239)</f>
        <v>11540.79</v>
      </c>
      <c r="F240" s="92"/>
      <c r="G240" s="43">
        <f>SUM(G238:G239)</f>
        <v>0</v>
      </c>
      <c r="H240" s="43">
        <f>SUM(H238:H239)</f>
        <v>11540.79</v>
      </c>
      <c r="I240" s="43"/>
      <c r="J240" s="43">
        <f t="shared" ref="J240:L240" si="132">SUM(J238:J239)</f>
        <v>10612.416487084873</v>
      </c>
      <c r="K240" s="43">
        <f t="shared" si="132"/>
        <v>860.23600738007394</v>
      </c>
      <c r="L240" s="43">
        <f t="shared" si="132"/>
        <v>68.137505535055354</v>
      </c>
      <c r="M240" s="93"/>
      <c r="N240" s="64"/>
      <c r="O240" s="43">
        <f>SUM(O238:O239)</f>
        <v>10612.416487084873</v>
      </c>
      <c r="P240" s="43">
        <f>SUM(P238:P239)</f>
        <v>10595.38211070111</v>
      </c>
      <c r="Q240" s="43">
        <f>SUM(Q238:Q239)</f>
        <v>17.034376383762833</v>
      </c>
      <c r="R240" s="76"/>
      <c r="S240" s="64">
        <f>SUM(P240:Q240)-O240</f>
        <v>0</v>
      </c>
      <c r="T240" s="45">
        <f>C240+D240+G240-J240-K240-L240</f>
        <v>-1.0658141036401503E-12</v>
      </c>
      <c r="V240" s="8">
        <f>IFERROR(VLOOKUP(A240,'[43]Consolidated IS'!$A$20:$M$193,13,FALSE),0)</f>
        <v>9404.5101067615669</v>
      </c>
      <c r="W240" s="1251">
        <f t="shared" si="119"/>
        <v>1207.9063803233057</v>
      </c>
    </row>
    <row r="241" spans="1:25">
      <c r="A241" s="71"/>
      <c r="B241" s="2"/>
      <c r="C241" s="66"/>
      <c r="D241" s="66"/>
      <c r="E241" s="66"/>
      <c r="F241" s="67"/>
      <c r="G241" s="66"/>
      <c r="H241" s="66"/>
      <c r="I241" s="66"/>
      <c r="J241" s="66"/>
      <c r="K241" s="66"/>
      <c r="L241" s="66"/>
      <c r="M241" s="3"/>
      <c r="O241" s="66"/>
      <c r="P241" s="66"/>
      <c r="Q241" s="66"/>
      <c r="T241" s="47"/>
      <c r="V241" s="8">
        <f>IFERROR(VLOOKUP(A241,'[43]Consolidated IS'!$A$20:$M$193,13,FALSE),0)</f>
        <v>0</v>
      </c>
      <c r="W241" s="1251">
        <f t="shared" si="119"/>
        <v>0</v>
      </c>
    </row>
    <row r="242" spans="1:25">
      <c r="A242" s="68">
        <v>52300</v>
      </c>
      <c r="B242" s="52" t="s">
        <v>167</v>
      </c>
      <c r="C242" s="54"/>
      <c r="D242" s="55"/>
      <c r="E242" s="55"/>
      <c r="F242" s="56"/>
      <c r="G242" s="55"/>
      <c r="H242" s="55"/>
      <c r="I242" s="55"/>
      <c r="J242" s="54"/>
      <c r="K242" s="54"/>
      <c r="L242" s="54"/>
      <c r="M242" s="57"/>
      <c r="N242" s="58"/>
      <c r="O242" s="54"/>
      <c r="P242" s="54"/>
      <c r="Q242" s="54"/>
      <c r="R242" s="57"/>
      <c r="S242" s="58"/>
      <c r="T242" s="59"/>
      <c r="V242" s="8"/>
      <c r="W242" s="1251"/>
    </row>
    <row r="243" spans="1:25">
      <c r="A243" s="35">
        <v>57275</v>
      </c>
      <c r="B243" s="7" t="s">
        <v>167</v>
      </c>
      <c r="C243" s="38">
        <f>+IFERROR(VLOOKUP(A243,'2120_IS'!$D:$AH,31,FALSE),0)</f>
        <v>4979.1799999999994</v>
      </c>
      <c r="D243" s="42"/>
      <c r="E243" s="39">
        <f>SUM(C243:D243)</f>
        <v>4979.1799999999994</v>
      </c>
      <c r="G243" s="42"/>
      <c r="H243" s="39">
        <f>C243+D243+G243</f>
        <v>4979.1799999999994</v>
      </c>
      <c r="I243" s="39"/>
      <c r="J243" s="200">
        <f>IF(($H243=0),0,IF(($M243="Actual"),"Actual",(VLOOKUP($M243,Ratios!$A$87:$D$90,2,FALSE)*$H243)))</f>
        <v>4578.6407970479695</v>
      </c>
      <c r="K243" s="200">
        <f>IF(($H243=0),0,IF(($M243="Actual"),"Actual",(VLOOKUP($M243,Ratios!$A$87:$D$90,3,FALSE)*$H243)))</f>
        <v>371.14183025830255</v>
      </c>
      <c r="L243" s="200">
        <f>IF(($H243=0),0,IF(($M243="Actual"),"Actual",(VLOOKUP($M243,Ratios!$A$87:$D$90,4,FALSE)*$H243)))</f>
        <v>29.397372693726933</v>
      </c>
      <c r="M243" s="1252" t="s">
        <v>28</v>
      </c>
      <c r="N243" s="8">
        <f t="shared" ref="N243" si="133">H243-J243-K243-L243</f>
        <v>4.0145664570445661E-13</v>
      </c>
      <c r="O243" s="36">
        <f t="shared" ref="O243" si="134">J243</f>
        <v>4578.6407970479695</v>
      </c>
      <c r="P243" s="200">
        <f>J243*Ratios!$N$43</f>
        <v>4571.2914538745381</v>
      </c>
      <c r="Q243" s="200">
        <f t="shared" ref="Q243" si="135">O243-P243</f>
        <v>7.3493431734314072</v>
      </c>
      <c r="R243" s="7" t="s">
        <v>28</v>
      </c>
      <c r="S243" s="8">
        <f>SUM(P243:Q243)-O243</f>
        <v>0</v>
      </c>
      <c r="T243" s="47">
        <f>C243+D243+G243-J243-K243-L243</f>
        <v>4.0145664570445661E-13</v>
      </c>
      <c r="U243" s="13"/>
      <c r="V243" s="8">
        <f>IFERROR(VLOOKUP(A243,'[43]Consolidated IS'!$A$20:$M$193,13,FALSE),0)</f>
        <v>4023.048027583603</v>
      </c>
      <c r="W243" s="1251">
        <f t="shared" si="119"/>
        <v>555.59276946436648</v>
      </c>
      <c r="X243" s="13"/>
      <c r="Y243" s="13"/>
    </row>
    <row r="244" spans="1:25">
      <c r="A244" s="71">
        <v>52300</v>
      </c>
      <c r="B244" s="2" t="s">
        <v>167</v>
      </c>
      <c r="C244" s="43">
        <f>SUM(C243:C243)</f>
        <v>4979.1799999999994</v>
      </c>
      <c r="D244" s="43">
        <f>SUM(D243:D243)</f>
        <v>0</v>
      </c>
      <c r="E244" s="43">
        <f>SUM(E243:E243)</f>
        <v>4979.1799999999994</v>
      </c>
      <c r="F244" s="92"/>
      <c r="G244" s="43">
        <f>SUM(G243:G243)</f>
        <v>0</v>
      </c>
      <c r="H244" s="43">
        <f>SUM(H243:H243)</f>
        <v>4979.1799999999994</v>
      </c>
      <c r="I244" s="43"/>
      <c r="J244" s="43">
        <f>SUM(J243:J243)</f>
        <v>4578.6407970479695</v>
      </c>
      <c r="K244" s="43">
        <f>SUM(K243:K243)</f>
        <v>371.14183025830255</v>
      </c>
      <c r="L244" s="1253">
        <f>SUM(L243:L243)</f>
        <v>29.397372693726933</v>
      </c>
      <c r="M244" s="93"/>
      <c r="N244" s="64"/>
      <c r="O244" s="43">
        <f>SUM(O243:O243)</f>
        <v>4578.6407970479695</v>
      </c>
      <c r="P244" s="43">
        <f>SUM(P243:P243)</f>
        <v>4571.2914538745381</v>
      </c>
      <c r="Q244" s="43">
        <f>SUM(Q243:Q243)</f>
        <v>7.3493431734314072</v>
      </c>
      <c r="R244" s="76"/>
      <c r="S244" s="64">
        <f>SUM(P244:Q244)-O244</f>
        <v>0</v>
      </c>
      <c r="T244" s="45">
        <f>C244+D244+G244-J244-K244-L244</f>
        <v>4.0145664570445661E-13</v>
      </c>
      <c r="V244" s="8">
        <f>IFERROR(VLOOKUP(A244,'[43]Consolidated IS'!$A$20:$M$193,13,FALSE),0)</f>
        <v>4023.048027583603</v>
      </c>
      <c r="W244" s="1251">
        <f t="shared" si="119"/>
        <v>555.59276946436648</v>
      </c>
    </row>
    <row r="245" spans="1:25">
      <c r="C245" s="38"/>
      <c r="D245" s="42"/>
      <c r="E245" s="42"/>
      <c r="G245" s="42"/>
      <c r="H245" s="42"/>
      <c r="I245" s="42"/>
      <c r="J245" s="38"/>
      <c r="K245" s="38"/>
      <c r="L245" s="38"/>
      <c r="O245" s="38"/>
      <c r="P245" s="38"/>
      <c r="Q245" s="38"/>
      <c r="T245" s="47"/>
      <c r="V245" s="8">
        <f>IFERROR(VLOOKUP(A245,'[43]Consolidated IS'!$A$20:$M$193,13,FALSE),0)</f>
        <v>0</v>
      </c>
      <c r="W245" s="1251">
        <f t="shared" si="119"/>
        <v>0</v>
      </c>
    </row>
    <row r="246" spans="1:25">
      <c r="A246" s="68">
        <v>52400</v>
      </c>
      <c r="B246" s="52" t="s">
        <v>168</v>
      </c>
      <c r="C246" s="54"/>
      <c r="D246" s="55"/>
      <c r="E246" s="55"/>
      <c r="F246" s="56"/>
      <c r="G246" s="55"/>
      <c r="H246" s="55"/>
      <c r="I246" s="55"/>
      <c r="J246" s="54"/>
      <c r="K246" s="54"/>
      <c r="L246" s="54"/>
      <c r="M246" s="57"/>
      <c r="N246" s="58"/>
      <c r="O246" s="54"/>
      <c r="P246" s="54"/>
      <c r="Q246" s="54"/>
      <c r="R246" s="57"/>
      <c r="S246" s="58"/>
      <c r="T246" s="59"/>
      <c r="V246" s="8"/>
      <c r="W246" s="1251"/>
    </row>
    <row r="247" spans="1:25">
      <c r="A247" s="35">
        <v>50050</v>
      </c>
      <c r="B247" s="7" t="s">
        <v>168</v>
      </c>
      <c r="C247" s="38">
        <f>+IFERROR(VLOOKUP(A247,'2120_IS'!$D:$AH,31,FALSE),0)</f>
        <v>38577.609999999993</v>
      </c>
      <c r="D247" s="84">
        <f>'Restating Adj''s'!B79</f>
        <v>976.84794132234401</v>
      </c>
      <c r="E247" s="84">
        <f t="shared" ref="E247:E250" si="136">SUM(C247:D247)</f>
        <v>39554.45794132234</v>
      </c>
      <c r="F247" s="1281" t="s">
        <v>67</v>
      </c>
      <c r="G247" s="84">
        <f>'Pro-forma Adj''s'!B16</f>
        <v>1264.0735936900787</v>
      </c>
      <c r="H247" s="39">
        <f t="shared" ref="H247:H250" si="137">C247+D247+G247</f>
        <v>40818.531535012422</v>
      </c>
      <c r="I247" s="39"/>
      <c r="J247" s="200">
        <f>IF(($H247=0),0,IF(($M247="Actual"),"Actual",(VLOOKUP($M247,Ratios!$A$87:$D$90,2,FALSE)*$H247)))</f>
        <v>37534.974385701462</v>
      </c>
      <c r="K247" s="200">
        <f>IF(($H247=0),0,IF(($M247="Actual"),"Actual",(VLOOKUP($M247,Ratios!$A$87:$D$90,3,FALSE)*$H247)))</f>
        <v>3042.5621291780481</v>
      </c>
      <c r="L247" s="200">
        <f>IF(($H247=0),0,IF(($M247="Actual"),"Actual",(VLOOKUP($M247,Ratios!$A$87:$D$90,4,FALSE)*$H247)))</f>
        <v>240.99502013291468</v>
      </c>
      <c r="M247" s="1252" t="s">
        <v>28</v>
      </c>
      <c r="N247" s="8">
        <f t="shared" ref="N247:N250" si="138">H247-J247-K247-L247</f>
        <v>-2.6432189770275727E-12</v>
      </c>
      <c r="O247" s="36">
        <f t="shared" ref="O247:O250" si="139">J247</f>
        <v>37534.974385701462</v>
      </c>
      <c r="P247" s="200">
        <f>J247*Ratios!$N$43</f>
        <v>37474.725630668232</v>
      </c>
      <c r="Q247" s="200">
        <f t="shared" ref="Q247:Q250" si="140">O247-P247</f>
        <v>60.248755033229827</v>
      </c>
      <c r="R247" s="7" t="s">
        <v>28</v>
      </c>
      <c r="S247" s="8">
        <f>SUM(P247:Q247)-O247</f>
        <v>0</v>
      </c>
      <c r="T247" s="47">
        <f>C247+D247+G247-J247-K247-L247</f>
        <v>-2.6432189770275727E-12</v>
      </c>
      <c r="U247" s="13"/>
      <c r="V247" s="8">
        <f>IFERROR(VLOOKUP(A247,'[43]Consolidated IS'!$A$20:$M$193,13,FALSE),0)</f>
        <v>33179.985327203794</v>
      </c>
      <c r="W247" s="1251">
        <f t="shared" si="119"/>
        <v>4354.9890584976674</v>
      </c>
      <c r="X247" s="13"/>
      <c r="Y247" s="13"/>
    </row>
    <row r="248" spans="1:25">
      <c r="A248" s="35">
        <v>52050</v>
      </c>
      <c r="B248" s="7" t="s">
        <v>168</v>
      </c>
      <c r="C248" s="38">
        <f>+IFERROR(VLOOKUP(A248,'2120_IS'!$D:$AH,31,FALSE),0)</f>
        <v>6968.71</v>
      </c>
      <c r="D248" s="1113">
        <f>'Restating Adj''s'!B80</f>
        <v>93.821795088904054</v>
      </c>
      <c r="E248" s="84">
        <f t="shared" si="136"/>
        <v>7062.5317950889039</v>
      </c>
      <c r="F248" s="1281" t="s">
        <v>67</v>
      </c>
      <c r="G248" s="1256">
        <f>'Pro-forma Adj''s'!B17</f>
        <v>354.92128112661794</v>
      </c>
      <c r="H248" s="39">
        <f t="shared" si="137"/>
        <v>7417.4530762155218</v>
      </c>
      <c r="I248" s="39"/>
      <c r="J248" s="200">
        <f>IF(($H248=0),0,IF(($M248="Actual"),"Actual",(VLOOKUP($M248,Ratios!$A$87:$D$90,2,FALSE)*$H248)))</f>
        <v>6820.7723490513208</v>
      </c>
      <c r="K248" s="200">
        <f>IF(($H248=0),0,IF(($M248="Actual"),"Actual",(VLOOKUP($M248,Ratios!$A$87:$D$90,3,FALSE)*$H248)))</f>
        <v>552.88764627141529</v>
      </c>
      <c r="L248" s="200">
        <f>IF(($H248=0),0,IF(($M248="Actual"),"Actual",(VLOOKUP($M248,Ratios!$A$87:$D$90,4,FALSE)*$H248)))</f>
        <v>43.793080892785369</v>
      </c>
      <c r="M248" s="1252" t="s">
        <v>28</v>
      </c>
      <c r="N248" s="8">
        <f t="shared" si="138"/>
        <v>3.5527136788005009E-13</v>
      </c>
      <c r="O248" s="36">
        <f t="shared" si="139"/>
        <v>6820.7723490513208</v>
      </c>
      <c r="P248" s="200">
        <f>J248*Ratios!$N$43</f>
        <v>6809.8240788281246</v>
      </c>
      <c r="Q248" s="200">
        <f t="shared" si="140"/>
        <v>10.948270223196232</v>
      </c>
      <c r="R248" s="7" t="s">
        <v>28</v>
      </c>
      <c r="S248" s="8">
        <f>SUM(P248:Q248)-O248</f>
        <v>0</v>
      </c>
      <c r="T248" s="47">
        <f>C248+D248+G248-J248-K248-L248</f>
        <v>3.5527136788005009E-13</v>
      </c>
      <c r="U248" s="13"/>
      <c r="V248" s="8">
        <f>IFERROR(VLOOKUP(A248,'[43]Consolidated IS'!$A$20:$M$193,13,FALSE),0)</f>
        <v>6253.1903866676357</v>
      </c>
      <c r="W248" s="1251">
        <f t="shared" si="119"/>
        <v>567.5819623836851</v>
      </c>
      <c r="X248" s="13"/>
      <c r="Y248" s="13"/>
    </row>
    <row r="249" spans="1:25">
      <c r="A249" s="35">
        <v>56050</v>
      </c>
      <c r="B249" s="7" t="s">
        <v>168</v>
      </c>
      <c r="C249" s="38">
        <f>+IFERROR(VLOOKUP(A249,'2120_IS'!$D:$AH,31,FALSE),0)</f>
        <v>3640.3199999999997</v>
      </c>
      <c r="D249" s="1113">
        <f>'Restating Adj''s'!B81</f>
        <v>82.081295907534226</v>
      </c>
      <c r="E249" s="84">
        <f t="shared" si="136"/>
        <v>3722.4012959075339</v>
      </c>
      <c r="F249" s="1281" t="s">
        <v>67</v>
      </c>
      <c r="G249" s="1256">
        <f>'Pro-forma Adj''s'!B18</f>
        <v>135.20613464768834</v>
      </c>
      <c r="H249" s="39">
        <f t="shared" si="137"/>
        <v>3857.6074305552224</v>
      </c>
      <c r="I249" s="39"/>
      <c r="J249" s="200">
        <f>IF(($H249=0),0,IF(($M249="Actual"),"Actual",(VLOOKUP($M249,Ratios!$A$87:$D$90,2,FALSE)*$H249)))</f>
        <v>3547.2906704588981</v>
      </c>
      <c r="K249" s="200">
        <f>IF(($H249=0),0,IF(($M249="Actual"),"Actual",(VLOOKUP($M249,Ratios!$A$87:$D$90,3,FALSE)*$H249)))</f>
        <v>287.54121807090587</v>
      </c>
      <c r="L249" s="200">
        <f>IF(($H249=0),0,IF(($M249="Actual"),"Actual",(VLOOKUP($M249,Ratios!$A$87:$D$90,4,FALSE)*$H249)))</f>
        <v>22.775542025418286</v>
      </c>
      <c r="M249" s="1252" t="s">
        <v>28</v>
      </c>
      <c r="N249" s="8">
        <f t="shared" si="138"/>
        <v>1.3145040611561853E-13</v>
      </c>
      <c r="O249" s="36">
        <f t="shared" si="139"/>
        <v>3547.2906704588981</v>
      </c>
      <c r="P249" s="200">
        <f>J249*Ratios!$N$43</f>
        <v>3541.5967849525437</v>
      </c>
      <c r="Q249" s="200">
        <f t="shared" si="140"/>
        <v>5.6938855063544906</v>
      </c>
      <c r="R249" s="7" t="s">
        <v>28</v>
      </c>
      <c r="S249" s="8">
        <f>SUM(P249:Q249)-O249</f>
        <v>0</v>
      </c>
      <c r="T249" s="47">
        <f>C249+D249+G249-J249-K249-L249</f>
        <v>1.3145040611561853E-13</v>
      </c>
      <c r="U249" s="13"/>
      <c r="V249" s="8">
        <f>IFERROR(VLOOKUP(A249,'[43]Consolidated IS'!$A$20:$M$193,13,FALSE),0)</f>
        <v>5955.1075217081852</v>
      </c>
      <c r="W249" s="1251">
        <f t="shared" si="119"/>
        <v>-2407.8168512492871</v>
      </c>
      <c r="X249" s="13"/>
      <c r="Y249" s="13"/>
    </row>
    <row r="250" spans="1:25">
      <c r="A250" s="35">
        <v>70050</v>
      </c>
      <c r="B250" s="7" t="s">
        <v>168</v>
      </c>
      <c r="C250" s="38">
        <f>+IFERROR(VLOOKUP(A250,'2120_IS'!$D:$AH,31,FALSE),0)</f>
        <v>14791.559999999998</v>
      </c>
      <c r="D250" s="1113">
        <f>'Restating Adj''s'!B82+'Restating Adj''s'!V58</f>
        <v>787.8959634567118</v>
      </c>
      <c r="E250" s="84">
        <f t="shared" si="136"/>
        <v>15579.455963456709</v>
      </c>
      <c r="F250" s="1248" t="s">
        <v>169</v>
      </c>
      <c r="G250" s="1256">
        <f>'Pro-forma Adj''s'!B19</f>
        <v>80.376970874666952</v>
      </c>
      <c r="H250" s="39">
        <f t="shared" si="137"/>
        <v>15659.832934331376</v>
      </c>
      <c r="I250" s="39"/>
      <c r="J250" s="200">
        <f>IF(($H250=0),0,IF(($M250="Actual"),"Actual",(VLOOKUP($M250,Ratios!$A$87:$D$90,2,FALSE)*$H250)))</f>
        <v>13690.790369347291</v>
      </c>
      <c r="K250" s="200">
        <f>IF(($H250=0),0,IF(($M250="Actual"),"Actual",(VLOOKUP($M250,Ratios!$A$87:$D$90,3,FALSE)*$H250)))</f>
        <v>1956.4944473503649</v>
      </c>
      <c r="L250" s="200">
        <f>IF(($H250=0),0,IF(($M250="Actual"),"Actual",(VLOOKUP($M250,Ratios!$A$87:$D$90,4,FALSE)*$H250)))</f>
        <v>12.548117633724651</v>
      </c>
      <c r="M250" s="1252" t="s">
        <v>589</v>
      </c>
      <c r="N250" s="8">
        <f t="shared" si="138"/>
        <v>-4.1566750041965861E-12</v>
      </c>
      <c r="O250" s="36">
        <f t="shared" si="139"/>
        <v>13690.790369347291</v>
      </c>
      <c r="P250" s="1149">
        <f>J250*Ratios!$J$9</f>
        <v>13589.882380488352</v>
      </c>
      <c r="Q250" s="200">
        <f t="shared" si="140"/>
        <v>100.90798885893855</v>
      </c>
      <c r="R250" s="7" t="s">
        <v>589</v>
      </c>
      <c r="S250" s="8">
        <f>SUM(P250:Q250)-O250</f>
        <v>0</v>
      </c>
      <c r="T250" s="47">
        <f>C250+D250+G250-J250-K250-L250</f>
        <v>-4.1566750041965861E-12</v>
      </c>
      <c r="U250" s="13"/>
      <c r="V250" s="8">
        <f>IFERROR(VLOOKUP(A250,'[43]Consolidated IS'!$A$20:$M$193,13,FALSE),0)</f>
        <v>7932.6116585393474</v>
      </c>
      <c r="W250" s="1251">
        <f t="shared" si="119"/>
        <v>5758.1787108079434</v>
      </c>
      <c r="X250" s="13"/>
      <c r="Y250" s="13"/>
    </row>
    <row r="251" spans="1:25">
      <c r="A251" s="71">
        <v>52400</v>
      </c>
      <c r="B251" s="2" t="s">
        <v>168</v>
      </c>
      <c r="C251" s="43">
        <f>SUM(C247:C250)</f>
        <v>63978.19999999999</v>
      </c>
      <c r="D251" s="43">
        <f>SUM(D247:D250)</f>
        <v>1940.6469957754941</v>
      </c>
      <c r="E251" s="43">
        <f>SUM(E247:E250)</f>
        <v>65918.846995775486</v>
      </c>
      <c r="F251" s="92"/>
      <c r="G251" s="43">
        <f>SUM(G247:G250)</f>
        <v>1834.5779803390519</v>
      </c>
      <c r="H251" s="43">
        <f>SUM(H247:H250)</f>
        <v>67753.424976114547</v>
      </c>
      <c r="I251" s="43"/>
      <c r="J251" s="43">
        <f>SUM(J247:J250)</f>
        <v>61593.827774558973</v>
      </c>
      <c r="K251" s="43">
        <f>SUM(K247:K250)</f>
        <v>5839.4854408707342</v>
      </c>
      <c r="L251" s="1253">
        <f>SUM(L247:L250)</f>
        <v>320.11176068484298</v>
      </c>
      <c r="M251" s="93"/>
      <c r="N251" s="64"/>
      <c r="O251" s="43">
        <f>SUM(O247:O250)</f>
        <v>61593.827774558973</v>
      </c>
      <c r="P251" s="43">
        <f>SUM(P247:P250)</f>
        <v>61416.028874937248</v>
      </c>
      <c r="Q251" s="43">
        <f>SUM(Q247:Q250)</f>
        <v>177.7988996217191</v>
      </c>
      <c r="R251" s="76"/>
      <c r="S251" s="64">
        <f>SUM(P251:Q251)-O251</f>
        <v>0</v>
      </c>
      <c r="T251" s="45">
        <f>C251+D251+G251-J251-K251-L251</f>
        <v>-1.7337242752546445E-11</v>
      </c>
      <c r="V251" s="8">
        <f>IFERROR(VLOOKUP(A251,'[43]Consolidated IS'!$A$20:$M$193,13,FALSE),0)</f>
        <v>53320.894894118959</v>
      </c>
      <c r="W251" s="1251">
        <f t="shared" si="119"/>
        <v>8272.9328804400138</v>
      </c>
    </row>
    <row r="252" spans="1:25">
      <c r="A252" s="71"/>
      <c r="B252" s="2"/>
      <c r="C252" s="66"/>
      <c r="D252" s="66"/>
      <c r="E252" s="66"/>
      <c r="F252" s="67"/>
      <c r="G252" s="66"/>
      <c r="H252" s="66"/>
      <c r="I252" s="66"/>
      <c r="J252" s="66"/>
      <c r="K252" s="66"/>
      <c r="L252" s="66"/>
      <c r="M252" s="3"/>
      <c r="O252" s="66"/>
      <c r="P252" s="66"/>
      <c r="Q252" s="66"/>
      <c r="T252" s="47"/>
      <c r="V252" s="8">
        <f>IFERROR(VLOOKUP(A252,'[43]Consolidated IS'!$A$20:$M$193,13,FALSE),0)</f>
        <v>0</v>
      </c>
      <c r="W252" s="1251">
        <f t="shared" si="119"/>
        <v>0</v>
      </c>
    </row>
    <row r="253" spans="1:25">
      <c r="A253" s="68">
        <v>53200</v>
      </c>
      <c r="B253" s="52" t="s">
        <v>170</v>
      </c>
      <c r="C253" s="54"/>
      <c r="D253" s="55"/>
      <c r="E253" s="55"/>
      <c r="F253" s="56"/>
      <c r="G253" s="55"/>
      <c r="H253" s="55"/>
      <c r="I253" s="55"/>
      <c r="J253" s="54"/>
      <c r="K253" s="54"/>
      <c r="L253" s="54"/>
      <c r="M253" s="57"/>
      <c r="N253" s="58"/>
      <c r="O253" s="54"/>
      <c r="P253" s="54"/>
      <c r="Q253" s="54"/>
      <c r="R253" s="57"/>
      <c r="S253" s="58"/>
      <c r="T253" s="59"/>
      <c r="V253" s="8"/>
      <c r="W253" s="1251"/>
    </row>
    <row r="254" spans="1:25">
      <c r="A254" s="35">
        <v>57170</v>
      </c>
      <c r="B254" s="7" t="s">
        <v>171</v>
      </c>
      <c r="C254" s="38">
        <f>+IFERROR(VLOOKUP(A254,'2120_IS'!$D:$AH,31,FALSE),0)</f>
        <v>5700</v>
      </c>
      <c r="D254" s="42"/>
      <c r="E254" s="39">
        <f>SUM(C254:D254)</f>
        <v>5700</v>
      </c>
      <c r="G254" s="42"/>
      <c r="H254" s="39">
        <f>C254+D254+G254</f>
        <v>5700</v>
      </c>
      <c r="I254" s="39"/>
      <c r="J254" s="200">
        <f>IF(($H254=0),0,IF(($M254="Actual"),"Actual",(VLOOKUP($M254,Ratios!$A$87:$D$90,2,FALSE)*$H254)))</f>
        <v>5241.4760147601473</v>
      </c>
      <c r="K254" s="200">
        <f>IF(($H254=0),0,IF(($M254="Actual"),"Actual",(VLOOKUP($M254,Ratios!$A$87:$D$90,3,FALSE)*$H254)))</f>
        <v>424.87084870848713</v>
      </c>
      <c r="L254" s="200">
        <f>IF(($H254=0),0,IF(($M254="Actual"),"Actual",(VLOOKUP($M254,Ratios!$A$87:$D$90,4,FALSE)*$H254)))</f>
        <v>33.653136531365313</v>
      </c>
      <c r="M254" s="1252" t="s">
        <v>28</v>
      </c>
      <c r="N254" s="8">
        <f t="shared" ref="N254" si="141">H254-J254-K254-L254</f>
        <v>2.2026824808563106E-13</v>
      </c>
      <c r="O254" s="36">
        <f t="shared" ref="O254" si="142">J254</f>
        <v>5241.4760147601473</v>
      </c>
      <c r="P254" s="200">
        <f>J254*Ratios!$N$43</f>
        <v>5233.0627306273063</v>
      </c>
      <c r="Q254" s="200">
        <f t="shared" ref="Q254" si="143">O254-P254</f>
        <v>8.4132841328409995</v>
      </c>
      <c r="R254" s="7" t="s">
        <v>28</v>
      </c>
      <c r="S254" s="8">
        <f>SUM(P254:Q254)-O254</f>
        <v>0</v>
      </c>
      <c r="T254" s="47">
        <f>C254+D254+G254-J254-K254-L254</f>
        <v>2.2026824808563106E-13</v>
      </c>
      <c r="V254" s="8">
        <f>IFERROR(VLOOKUP(A254,'[43]Consolidated IS'!$A$20:$M$193,13,FALSE),0)</f>
        <v>5212.3720518605105</v>
      </c>
      <c r="W254" s="1251">
        <f t="shared" si="119"/>
        <v>29.103962899636826</v>
      </c>
    </row>
    <row r="255" spans="1:25">
      <c r="A255" s="71">
        <v>53200</v>
      </c>
      <c r="B255" s="2" t="s">
        <v>170</v>
      </c>
      <c r="C255" s="43">
        <f>SUM(C254:C254)</f>
        <v>5700</v>
      </c>
      <c r="D255" s="43">
        <f t="shared" ref="D255:E255" si="144">SUM(D254:D254)</f>
        <v>0</v>
      </c>
      <c r="E255" s="43">
        <f t="shared" si="144"/>
        <v>5700</v>
      </c>
      <c r="F255" s="92"/>
      <c r="G255" s="43">
        <f>SUM(G254:G254)</f>
        <v>0</v>
      </c>
      <c r="H255" s="43">
        <f>SUM(H254:H254)</f>
        <v>5700</v>
      </c>
      <c r="I255" s="43"/>
      <c r="J255" s="43">
        <f>SUM(J254:J254)</f>
        <v>5241.4760147601473</v>
      </c>
      <c r="K255" s="43">
        <f>SUM(K254:K254)</f>
        <v>424.87084870848713</v>
      </c>
      <c r="L255" s="43">
        <f>SUM(L254:L254)</f>
        <v>33.653136531365313</v>
      </c>
      <c r="M255" s="93"/>
      <c r="N255" s="64"/>
      <c r="O255" s="43"/>
      <c r="P255" s="43"/>
      <c r="Q255" s="43"/>
      <c r="R255" s="76"/>
      <c r="S255" s="64">
        <f>SUM(P255:Q255)-O255</f>
        <v>0</v>
      </c>
      <c r="T255" s="45">
        <f>C255+D255+G255-J255-K255-L255</f>
        <v>2.2026824808563106E-13</v>
      </c>
      <c r="V255" s="8">
        <f>IFERROR(VLOOKUP(A255,'[43]Consolidated IS'!$A$20:$K$193,13,FALSE),0)</f>
        <v>0</v>
      </c>
      <c r="W255" s="1251">
        <f t="shared" si="119"/>
        <v>0</v>
      </c>
    </row>
    <row r="256" spans="1:25">
      <c r="A256" s="71"/>
      <c r="B256" s="2"/>
      <c r="C256" s="66"/>
      <c r="D256" s="66"/>
      <c r="E256" s="66"/>
      <c r="F256" s="67"/>
      <c r="G256" s="66"/>
      <c r="H256" s="66"/>
      <c r="I256" s="66"/>
      <c r="J256" s="66"/>
      <c r="K256" s="66"/>
      <c r="L256" s="66"/>
      <c r="M256" s="3"/>
      <c r="O256" s="66"/>
      <c r="P256" s="66"/>
      <c r="Q256" s="66"/>
      <c r="T256" s="47"/>
    </row>
    <row r="257" spans="1:34">
      <c r="A257" s="68"/>
      <c r="B257" s="52" t="s">
        <v>158</v>
      </c>
      <c r="C257" s="54"/>
      <c r="D257" s="55"/>
      <c r="E257" s="55"/>
      <c r="F257" s="56"/>
      <c r="G257" s="55"/>
      <c r="H257" s="55"/>
      <c r="I257" s="55"/>
      <c r="J257" s="54"/>
      <c r="K257" s="54"/>
      <c r="L257" s="54"/>
      <c r="M257" s="57"/>
      <c r="N257" s="58"/>
      <c r="O257" s="54"/>
      <c r="P257" s="54"/>
      <c r="Q257" s="54"/>
      <c r="R257" s="57"/>
      <c r="S257" s="58"/>
      <c r="T257" s="59"/>
    </row>
    <row r="258" spans="1:34">
      <c r="A258" s="35">
        <v>70269</v>
      </c>
      <c r="B258" s="7" t="s">
        <v>172</v>
      </c>
      <c r="C258" s="38">
        <f>+IFERROR(VLOOKUP(A258,'2120_IS'!$D:$AH,31,FALSE),0)</f>
        <v>7769.17</v>
      </c>
      <c r="D258" s="42"/>
      <c r="E258" s="39">
        <f>SUM(C258:D258)</f>
        <v>7769.17</v>
      </c>
      <c r="G258" s="42"/>
      <c r="H258" s="39">
        <f>C258+D258+G258</f>
        <v>7769.17</v>
      </c>
      <c r="I258" s="39"/>
      <c r="J258" s="66"/>
      <c r="K258" s="38">
        <f>H258</f>
        <v>7769.17</v>
      </c>
      <c r="L258" s="38">
        <v>0</v>
      </c>
      <c r="M258" s="1255" t="s">
        <v>19</v>
      </c>
      <c r="N258" s="8">
        <f t="shared" ref="N258" si="145">H258-J258-K258-L258</f>
        <v>0</v>
      </c>
      <c r="O258" s="36">
        <f t="shared" ref="O258" si="146">J258</f>
        <v>0</v>
      </c>
      <c r="P258" s="38"/>
      <c r="Q258" s="38"/>
      <c r="R258" s="7" t="s">
        <v>19</v>
      </c>
      <c r="T258" s="3"/>
    </row>
    <row r="259" spans="1:34">
      <c r="A259" s="71"/>
      <c r="B259" s="2" t="s">
        <v>173</v>
      </c>
      <c r="C259" s="43">
        <f>C258</f>
        <v>7769.17</v>
      </c>
      <c r="D259" s="43">
        <f t="shared" ref="D259:E259" si="147">D258</f>
        <v>0</v>
      </c>
      <c r="E259" s="43">
        <f t="shared" si="147"/>
        <v>7769.17</v>
      </c>
      <c r="F259" s="92"/>
      <c r="G259" s="43">
        <f>G258</f>
        <v>0</v>
      </c>
      <c r="H259" s="43">
        <f>H258</f>
        <v>7769.17</v>
      </c>
      <c r="I259" s="43"/>
      <c r="J259" s="43">
        <f>J258</f>
        <v>0</v>
      </c>
      <c r="K259" s="43">
        <f>K258</f>
        <v>7769.17</v>
      </c>
      <c r="L259" s="43">
        <f>L258</f>
        <v>0</v>
      </c>
      <c r="M259" s="93"/>
      <c r="N259" s="64"/>
      <c r="O259" s="43"/>
      <c r="P259" s="43"/>
      <c r="Q259" s="43"/>
      <c r="R259" s="76"/>
      <c r="S259" s="64"/>
      <c r="T259" s="93"/>
    </row>
    <row r="260" spans="1:34">
      <c r="C260" s="38"/>
      <c r="D260" s="42"/>
      <c r="E260" s="42"/>
      <c r="G260" s="42"/>
      <c r="H260" s="42"/>
      <c r="I260" s="42"/>
      <c r="J260" s="38"/>
      <c r="K260" s="38"/>
      <c r="L260" s="38"/>
      <c r="O260" s="38"/>
      <c r="P260" s="38"/>
      <c r="Q260" s="38"/>
      <c r="T260" s="3"/>
    </row>
    <row r="261" spans="1:34">
      <c r="B261" s="961" t="s">
        <v>26</v>
      </c>
      <c r="C261" s="1101">
        <f>C25+C33+C49+C53+C58+C62+C68+C73+C81+C86+C91+C100+C111+C116+C123+C127+C134+C141+C150+C154+C164+C168+C172+C176+C183+C190+C194+C217+C227+C231+C235+C240+C244+C251+C255+C259+C42+C119</f>
        <v>3157140.8300000005</v>
      </c>
      <c r="D261" s="1101">
        <f>D25+D33+D49+D53+D58+D62+D68+D73+D81+D86+D91+D100+D111+D116+D123+D127+D134+D141+D150+D154+D164+D168+D172+D176+D183+D190+D194+D217+D227+D231+D235+D240+D244+D251+D255+D259+D42+D119</f>
        <v>126853.39771351567</v>
      </c>
      <c r="E261" s="1101">
        <f>E25+E33+E49+E53+E58+E62+E68+E73+E81+E86+E91+E100+E111+E116+E123+E127+E134+E141+E150+E154+E164+E168+E172+E176+E183+E190+E194+E217+E227+E231+E235+E240+E244+E251+E255+E259+E42+E119</f>
        <v>3283994.2277135155</v>
      </c>
      <c r="F261" s="1100"/>
      <c r="G261" s="1101">
        <f>G25+G33+G49+G53+G58+G62+G68+G73+G81+G86+G91+G100+G111+G116+G123+G127+G134+G141+G150+G154+G164+G168+G172+G176+G183+G190+G194+G217+G227+G231+G235+G240+G244+G251+G255+G259+G42+G119</f>
        <v>30734.694406373881</v>
      </c>
      <c r="H261" s="1101">
        <f>H25+H33+H49+H53+H58+H62+H68+H73+H81+H86+H91+H100+H111+H116+H123+H127+H134+H141+H150+H154+H164+H168+H172+H176+H183+H190+H194+H217+H227+H231+H235+H240+H244+H251+H255+H259+H42+H119</f>
        <v>3314728.9221198894</v>
      </c>
      <c r="I261" s="1101"/>
      <c r="J261" s="1101">
        <f>J25+J33+J49+J53+J58+J62+J68+J73+J81+J86+J91+J100+J111+J116+J123+J127+J134+J141+J150+J154+J164+J168+J172+J176+J183+J190+J194+J217+J227+J231+J235+J240+J244+J251+J255+J259+J42+J119</f>
        <v>2928465.9460552768</v>
      </c>
      <c r="K261" s="1101">
        <f>K25+K33+K49+K53+K58+K62+K68+K73+K81+K86+K91+K100+K111+K116+K123+K127+K134+K141+K150+K154+K164+K168+K172+K176+K183+K190+K194+K217+K227+K231+K235+K240+K244+K251+K255+K259+K42+K119</f>
        <v>362716.2213852097</v>
      </c>
      <c r="L261" s="1101">
        <f>L25+L33+L49+L53+L58+L62+L68+L73+L81+L86+L91+L100+L111+L116+L123+L127+L134+L141+L150+L154+L164+L168+L172+L176+L183+L190+L194+L217+L227+L231+L235+L240+L244+L251+L255+L259+L42+L119</f>
        <v>23546.754679402449</v>
      </c>
      <c r="M261" s="1092"/>
      <c r="N261" s="959"/>
      <c r="O261" s="1101">
        <f>O25+O33+O49+O53+O58+O62+O68+O73+O81+O86+O91+O100+O111+O116+O123+O127+O134+O141+O150+O154+O164+O168+O172+O176+O183+O190+O194+O217+O227+O231+O235+O240+O244+O251+O255+O259+O42+O119</f>
        <v>2923224.4700405165</v>
      </c>
      <c r="P261" s="1101">
        <f>P25+P33+P49+P53+P58+P62+P68+P73+P81+P86+P91+P100+P111+P116+P123+P127+P134+P141+P150+P154+P164+P168+P172+P176+P183+P190+P194+P217+P227+P231+P235+P240+P244+P251+P255+P259+P42+P119</f>
        <v>2915450.4377914793</v>
      </c>
      <c r="Q261" s="1101">
        <f>Q25+Q33+Q49+Q53+Q58+Q62+Q68+Q73+Q81+Q86+Q91+Q100+Q111+Q116+Q123+Q127+Q134+Q141+Q150+Q154+Q164+Q168+Q172+Q176+Q183+Q190+Q194+Q217+Q227+Q231+Q235+Q240+Q244+Q251+Q255+Q259+Q42+Q119</f>
        <v>7774.0322490378321</v>
      </c>
      <c r="S261" s="8">
        <f>SUM(P261:Q261)-O261</f>
        <v>0</v>
      </c>
      <c r="T261" s="3"/>
      <c r="U261" s="3"/>
    </row>
    <row r="262" spans="1:34">
      <c r="B262" s="2"/>
      <c r="C262" s="66"/>
      <c r="O262" s="3"/>
      <c r="P262" s="6"/>
      <c r="T262" s="3"/>
    </row>
    <row r="263" spans="1:34">
      <c r="B263" s="2" t="s">
        <v>174</v>
      </c>
      <c r="C263" s="97">
        <f>C261/C18</f>
        <v>0.95798476560237156</v>
      </c>
      <c r="D263" s="98"/>
      <c r="E263" s="98"/>
      <c r="F263" s="99"/>
      <c r="G263" s="98"/>
      <c r="H263" s="97">
        <f>H261/H18</f>
        <v>1.0058383410374148</v>
      </c>
      <c r="I263" s="97"/>
      <c r="J263" s="97">
        <f>J261/J18</f>
        <v>1.0117199829254249</v>
      </c>
      <c r="K263" s="97">
        <f>K261/K18</f>
        <v>0.93756333653800461</v>
      </c>
      <c r="L263" s="97">
        <f>L261/L18</f>
        <v>1.6728768986239901</v>
      </c>
      <c r="M263" s="76"/>
      <c r="N263" s="64"/>
      <c r="O263" s="97"/>
      <c r="P263" s="97">
        <f>P261/P18</f>
        <v>1.0093143495709742</v>
      </c>
      <c r="Q263" s="97">
        <f>Q261/Q18</f>
        <v>1.2964394143346805</v>
      </c>
      <c r="T263" s="3"/>
    </row>
    <row r="264" spans="1:34">
      <c r="O264" s="3"/>
      <c r="P264" s="6"/>
      <c r="T264" s="3"/>
    </row>
    <row r="265" spans="1:34" ht="12" thickBot="1">
      <c r="B265" s="961" t="s">
        <v>175</v>
      </c>
      <c r="C265" s="960">
        <f>C18-C261</f>
        <v>138465.68000000017</v>
      </c>
      <c r="D265" s="960">
        <f>D18-D261</f>
        <v>-126971.17271351584</v>
      </c>
      <c r="E265" s="960">
        <f>E18-E261</f>
        <v>11494.507286485285</v>
      </c>
      <c r="F265" s="1126"/>
      <c r="G265" s="960">
        <f>G18-G261</f>
        <v>-30734.694406373881</v>
      </c>
      <c r="H265" s="960">
        <f>H18-H261</f>
        <v>-19240.187119888607</v>
      </c>
      <c r="I265" s="1099"/>
      <c r="J265" s="960">
        <f>J18-J261</f>
        <v>-33923.982391070109</v>
      </c>
      <c r="K265" s="960">
        <f>K18-K261</f>
        <v>24154.944806672225</v>
      </c>
      <c r="L265" s="960">
        <f>L18-L261</f>
        <v>-9471.1495354910112</v>
      </c>
      <c r="M265" s="966"/>
      <c r="N265" s="1125"/>
      <c r="O265" s="960">
        <f>O18-O261</f>
        <v>-28682.506376309786</v>
      </c>
      <c r="P265" s="960">
        <f>P18-P261</f>
        <v>-26904.922679423355</v>
      </c>
      <c r="Q265" s="960">
        <f>Q18-Q261</f>
        <v>-1777.5836968874901</v>
      </c>
      <c r="T265" s="3"/>
    </row>
    <row r="266" spans="1:34" ht="12" thickTop="1">
      <c r="P266" s="6"/>
      <c r="T266" s="3"/>
    </row>
    <row r="267" spans="1:34" s="2" customFormat="1">
      <c r="A267" s="71"/>
      <c r="B267" s="2" t="s">
        <v>176</v>
      </c>
      <c r="C267" s="101"/>
      <c r="D267" s="101">
        <v>0</v>
      </c>
      <c r="E267" s="101">
        <f>+C267+D267</f>
        <v>0</v>
      </c>
      <c r="F267" s="102"/>
      <c r="G267" s="101">
        <v>0</v>
      </c>
      <c r="H267" s="103">
        <f>C267</f>
        <v>0</v>
      </c>
      <c r="I267" s="103"/>
      <c r="J267" s="101">
        <f>'Depr Summary'!P46</f>
        <v>1695582.8407992346</v>
      </c>
      <c r="K267" s="101">
        <f>'Depr Summary'!R46</f>
        <v>169041.74953909888</v>
      </c>
      <c r="L267" s="101">
        <f>'Depr Summary'!Q46</f>
        <v>983.45068507880069</v>
      </c>
      <c r="M267" s="101"/>
      <c r="N267" s="197"/>
      <c r="O267" s="101">
        <f>'Depr Summary'!P46</f>
        <v>1695582.8407992346</v>
      </c>
      <c r="P267" s="101">
        <f>'Depr Summary'!AA46</f>
        <v>1694759.2001300403</v>
      </c>
      <c r="Q267" s="101">
        <f>'Depr Summary'!AB46</f>
        <v>823.64066919410686</v>
      </c>
      <c r="S267" s="8"/>
      <c r="T267" s="3"/>
    </row>
    <row r="268" spans="1:34">
      <c r="C268" s="104"/>
      <c r="P268" s="3"/>
      <c r="Q268" s="3"/>
      <c r="T268" s="3"/>
    </row>
    <row r="269" spans="1:34">
      <c r="J269" s="105"/>
      <c r="O269" s="3"/>
      <c r="T269" s="3"/>
    </row>
    <row r="270" spans="1:34" s="6" customFormat="1">
      <c r="A270" s="35"/>
      <c r="B270" s="1150" t="s">
        <v>321</v>
      </c>
      <c r="C270" s="8">
        <f>C265-'2120_IS'!AH277</f>
        <v>0</v>
      </c>
      <c r="D270" s="4"/>
      <c r="E270" s="4"/>
      <c r="F270" s="5"/>
      <c r="G270" s="4"/>
      <c r="H270" s="4"/>
      <c r="I270" s="4"/>
      <c r="J270" s="100"/>
      <c r="M270" s="7"/>
      <c r="N270" s="8"/>
      <c r="O270" s="7"/>
      <c r="P270" s="47"/>
      <c r="Q270" s="3"/>
      <c r="R270" s="7"/>
      <c r="S270" s="8"/>
      <c r="T270" s="3"/>
      <c r="U270" s="7"/>
      <c r="V270" s="7"/>
      <c r="W270" s="7"/>
      <c r="X270" s="7"/>
      <c r="Y270" s="7"/>
      <c r="Z270" s="7"/>
      <c r="AA270" s="7"/>
      <c r="AB270" s="7"/>
      <c r="AC270" s="7"/>
      <c r="AD270" s="7"/>
      <c r="AE270" s="7"/>
      <c r="AF270" s="7"/>
      <c r="AG270" s="7"/>
      <c r="AH270" s="7"/>
    </row>
    <row r="271" spans="1:34">
      <c r="J271" s="13"/>
      <c r="P271" s="3"/>
      <c r="T271" s="3"/>
    </row>
    <row r="272" spans="1:34" s="6" customFormat="1">
      <c r="A272" s="35"/>
      <c r="B272" s="2"/>
      <c r="C272" s="3"/>
      <c r="D272" s="4"/>
      <c r="E272" s="4"/>
      <c r="F272" s="5"/>
      <c r="G272" s="4"/>
      <c r="H272" s="4"/>
      <c r="I272" s="4"/>
      <c r="M272" s="7"/>
      <c r="N272" s="8"/>
      <c r="O272" s="7"/>
      <c r="P272" s="3"/>
      <c r="Q272" s="3"/>
      <c r="R272" s="7"/>
      <c r="S272" s="8"/>
      <c r="T272" s="3"/>
      <c r="U272" s="7"/>
      <c r="V272" s="7"/>
      <c r="W272" s="7"/>
      <c r="X272" s="7"/>
      <c r="Y272" s="7"/>
      <c r="Z272" s="7"/>
      <c r="AA272" s="7"/>
      <c r="AB272" s="7"/>
      <c r="AC272" s="7"/>
      <c r="AD272" s="7"/>
      <c r="AE272" s="7"/>
      <c r="AF272" s="7"/>
      <c r="AG272" s="7"/>
      <c r="AH272" s="7"/>
    </row>
    <row r="273" spans="1:34" s="6" customFormat="1">
      <c r="A273" s="35"/>
      <c r="B273" s="7"/>
      <c r="C273" s="38"/>
      <c r="D273" s="106"/>
      <c r="E273" s="4"/>
      <c r="F273" s="5"/>
      <c r="G273" s="4"/>
      <c r="H273" s="4"/>
      <c r="I273" s="4"/>
      <c r="M273" s="7"/>
      <c r="N273" s="8"/>
      <c r="O273" s="7"/>
      <c r="P273" s="3"/>
      <c r="Q273" s="3"/>
      <c r="R273" s="7"/>
      <c r="S273" s="8"/>
      <c r="T273" s="3"/>
      <c r="U273" s="7"/>
      <c r="V273" s="7"/>
      <c r="W273" s="7"/>
      <c r="X273" s="7"/>
      <c r="Y273" s="7"/>
      <c r="Z273" s="7"/>
      <c r="AA273" s="7"/>
      <c r="AB273" s="7"/>
      <c r="AC273" s="7"/>
      <c r="AD273" s="7"/>
      <c r="AE273" s="7"/>
      <c r="AF273" s="7"/>
      <c r="AG273" s="7"/>
      <c r="AH273" s="7"/>
    </row>
    <row r="274" spans="1:34" s="6" customFormat="1">
      <c r="A274" s="35"/>
      <c r="B274" s="7"/>
      <c r="C274" s="38"/>
      <c r="D274" s="106"/>
      <c r="E274" s="4"/>
      <c r="F274" s="5"/>
      <c r="G274" s="4"/>
      <c r="H274" s="4"/>
      <c r="I274" s="4"/>
      <c r="M274" s="7"/>
      <c r="N274" s="8"/>
      <c r="O274" s="7"/>
      <c r="P274" s="7"/>
      <c r="Q274" s="7"/>
      <c r="R274" s="7"/>
      <c r="S274" s="8"/>
      <c r="T274" s="3"/>
      <c r="U274" s="7"/>
      <c r="V274" s="7"/>
      <c r="W274" s="7"/>
      <c r="X274" s="7"/>
      <c r="Y274" s="7"/>
      <c r="Z274" s="7"/>
      <c r="AA274" s="7"/>
      <c r="AB274" s="7"/>
      <c r="AC274" s="7"/>
      <c r="AD274" s="7"/>
      <c r="AE274" s="7"/>
      <c r="AF274" s="7"/>
      <c r="AG274" s="7"/>
      <c r="AH274" s="7"/>
    </row>
    <row r="275" spans="1:34" s="6" customFormat="1">
      <c r="A275" s="35"/>
      <c r="B275" s="7"/>
      <c r="C275" s="38"/>
      <c r="D275" s="106"/>
      <c r="E275" s="4"/>
      <c r="F275" s="5"/>
      <c r="G275" s="4"/>
      <c r="H275" s="4"/>
      <c r="I275" s="4"/>
      <c r="M275" s="7"/>
      <c r="N275" s="8"/>
      <c r="O275" s="7"/>
      <c r="P275" s="7"/>
      <c r="Q275" s="7"/>
      <c r="R275" s="7"/>
      <c r="S275" s="8"/>
      <c r="T275" s="3"/>
      <c r="U275" s="7"/>
      <c r="V275" s="7"/>
      <c r="W275" s="7"/>
      <c r="X275" s="7"/>
      <c r="Y275" s="7"/>
      <c r="Z275" s="7"/>
      <c r="AA275" s="7"/>
      <c r="AB275" s="7"/>
      <c r="AC275" s="7"/>
      <c r="AD275" s="7"/>
      <c r="AE275" s="7"/>
      <c r="AF275" s="7"/>
      <c r="AG275" s="7"/>
      <c r="AH275" s="7"/>
    </row>
    <row r="276" spans="1:34" s="6" customFormat="1">
      <c r="A276" s="35"/>
      <c r="B276" s="7"/>
      <c r="C276" s="38"/>
      <c r="D276" s="106"/>
      <c r="E276" s="4"/>
      <c r="F276" s="5"/>
      <c r="G276" s="4"/>
      <c r="H276" s="4"/>
      <c r="I276" s="4"/>
      <c r="M276" s="7"/>
      <c r="N276" s="8"/>
      <c r="O276" s="7"/>
      <c r="P276" s="7"/>
      <c r="Q276" s="7"/>
      <c r="R276" s="7"/>
      <c r="S276" s="8"/>
      <c r="T276" s="3"/>
      <c r="U276" s="7"/>
      <c r="V276" s="7"/>
      <c r="W276" s="7"/>
      <c r="X276" s="7"/>
      <c r="Y276" s="7"/>
      <c r="Z276" s="7"/>
      <c r="AA276" s="7"/>
      <c r="AB276" s="7"/>
      <c r="AC276" s="7"/>
      <c r="AD276" s="7"/>
      <c r="AE276" s="7"/>
      <c r="AF276" s="7"/>
      <c r="AG276" s="7"/>
      <c r="AH276" s="7"/>
    </row>
    <row r="277" spans="1:34" s="6" customFormat="1">
      <c r="A277" s="35"/>
      <c r="B277" s="2"/>
      <c r="C277" s="66"/>
      <c r="D277" s="107"/>
      <c r="E277" s="4"/>
      <c r="F277" s="5"/>
      <c r="G277" s="4"/>
      <c r="H277" s="4"/>
      <c r="I277" s="4"/>
      <c r="M277" s="7"/>
      <c r="N277" s="8"/>
      <c r="O277" s="7"/>
      <c r="P277" s="7"/>
      <c r="Q277" s="7"/>
      <c r="R277" s="7"/>
      <c r="S277" s="8"/>
      <c r="T277" s="3"/>
      <c r="U277" s="7"/>
      <c r="V277" s="7"/>
      <c r="W277" s="7"/>
      <c r="X277" s="7"/>
      <c r="Y277" s="7"/>
      <c r="Z277" s="7"/>
      <c r="AA277" s="7"/>
      <c r="AB277" s="7"/>
      <c r="AC277" s="7"/>
      <c r="AD277" s="7"/>
      <c r="AE277" s="7"/>
      <c r="AF277" s="7"/>
      <c r="AG277" s="7"/>
      <c r="AH277" s="7"/>
    </row>
    <row r="278" spans="1:34" s="6" customFormat="1">
      <c r="A278" s="35"/>
      <c r="B278" s="7"/>
      <c r="C278" s="3"/>
      <c r="D278" s="4"/>
      <c r="E278" s="4"/>
      <c r="F278" s="5"/>
      <c r="G278" s="4"/>
      <c r="H278" s="4"/>
      <c r="I278" s="4"/>
      <c r="M278" s="7"/>
      <c r="N278" s="8"/>
      <c r="O278" s="7"/>
      <c r="P278" s="3"/>
      <c r="Q278" s="7"/>
      <c r="R278" s="7"/>
      <c r="S278" s="8"/>
      <c r="T278" s="3"/>
      <c r="U278" s="7"/>
      <c r="V278" s="7"/>
      <c r="W278" s="7"/>
      <c r="X278" s="7"/>
      <c r="Y278" s="7"/>
      <c r="Z278" s="7"/>
      <c r="AA278" s="7"/>
      <c r="AB278" s="7"/>
      <c r="AC278" s="7"/>
      <c r="AD278" s="7"/>
      <c r="AE278" s="7"/>
      <c r="AF278" s="7"/>
      <c r="AG278" s="7"/>
      <c r="AH278" s="7"/>
    </row>
    <row r="279" spans="1:34" s="6" customFormat="1">
      <c r="A279" s="35"/>
      <c r="B279" s="7"/>
      <c r="C279" s="3"/>
      <c r="D279" s="4"/>
      <c r="E279" s="4"/>
      <c r="F279" s="5"/>
      <c r="G279" s="4"/>
      <c r="H279" s="4"/>
      <c r="I279" s="4"/>
      <c r="M279" s="7"/>
      <c r="N279" s="8"/>
      <c r="O279" s="7"/>
      <c r="P279" s="7"/>
      <c r="Q279" s="7"/>
      <c r="R279" s="7"/>
      <c r="S279" s="8"/>
      <c r="T279" s="3"/>
      <c r="U279" s="7"/>
      <c r="V279" s="7"/>
      <c r="W279" s="7"/>
      <c r="X279" s="7"/>
      <c r="Y279" s="7"/>
      <c r="Z279" s="7"/>
      <c r="AA279" s="7"/>
      <c r="AB279" s="7"/>
      <c r="AC279" s="7"/>
      <c r="AD279" s="7"/>
      <c r="AE279" s="7"/>
      <c r="AF279" s="7"/>
      <c r="AG279" s="7"/>
      <c r="AH279" s="7"/>
    </row>
    <row r="280" spans="1:34" s="6" customFormat="1">
      <c r="A280" s="35"/>
      <c r="B280" s="7"/>
      <c r="C280" s="3"/>
      <c r="D280" s="4"/>
      <c r="E280" s="4"/>
      <c r="F280" s="5"/>
      <c r="G280" s="4"/>
      <c r="H280" s="4"/>
      <c r="I280" s="4"/>
      <c r="M280" s="7"/>
      <c r="N280" s="8"/>
      <c r="O280" s="7"/>
      <c r="P280" s="3"/>
      <c r="Q280" s="7"/>
      <c r="R280" s="7"/>
      <c r="S280" s="8"/>
      <c r="T280" s="3"/>
      <c r="U280" s="7"/>
      <c r="V280" s="7"/>
      <c r="W280" s="7"/>
      <c r="X280" s="7"/>
      <c r="Y280" s="7"/>
      <c r="Z280" s="7"/>
      <c r="AA280" s="7"/>
      <c r="AB280" s="7"/>
      <c r="AC280" s="7"/>
      <c r="AD280" s="7"/>
      <c r="AE280" s="7"/>
      <c r="AF280" s="7"/>
      <c r="AG280" s="7"/>
      <c r="AH280" s="7"/>
    </row>
  </sheetData>
  <conditionalFormatting sqref="C270">
    <cfRule type="cellIs" dxfId="1" priority="1" operator="notBetween">
      <formula>1</formula>
      <formula>-1</formula>
    </cfRule>
    <cfRule type="cellIs" dxfId="0" priority="2" operator="between">
      <formula>1</formula>
      <formula>-1</formula>
    </cfRule>
  </conditionalFormatting>
  <pageMargins left="0.25" right="0.25" top="0.75" bottom="0.75" header="0.3" footer="0.3"/>
  <pageSetup scale="67" fitToWidth="2" fitToHeight="6" pageOrder="overThenDown"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Y128"/>
  <sheetViews>
    <sheetView showGridLines="0" view="pageBreakPreview" zoomScaleNormal="85" zoomScaleSheetLayoutView="100" workbookViewId="0">
      <selection activeCell="Q27" sqref="Q27"/>
    </sheetView>
  </sheetViews>
  <sheetFormatPr defaultRowHeight="15"/>
  <cols>
    <col min="1" max="1" width="26" style="512" customWidth="1"/>
    <col min="2" max="3" width="18" style="512" customWidth="1"/>
    <col min="4" max="4" width="13.7109375" style="512" customWidth="1"/>
    <col min="5" max="8" width="18" style="512" customWidth="1"/>
    <col min="9" max="12" width="9.140625" style="512"/>
    <col min="13" max="13" width="25.7109375" style="480" bestFit="1" customWidth="1"/>
    <col min="14" max="22" width="14" style="512" customWidth="1"/>
    <col min="23" max="23" width="2.42578125" style="512" customWidth="1"/>
    <col min="24" max="24" width="13.7109375" style="512" customWidth="1"/>
    <col min="25" max="16384" width="9.140625" style="512"/>
  </cols>
  <sheetData>
    <row r="1" spans="1:25">
      <c r="A1" s="515" t="s">
        <v>594</v>
      </c>
    </row>
    <row r="2" spans="1:25">
      <c r="A2" s="515" t="s">
        <v>406</v>
      </c>
    </row>
    <row r="3" spans="1:25">
      <c r="A3" s="515" t="s">
        <v>1391</v>
      </c>
    </row>
    <row r="5" spans="1:25">
      <c r="A5" s="407" t="s">
        <v>595</v>
      </c>
      <c r="B5" s="407"/>
      <c r="C5" s="407"/>
      <c r="D5" s="407"/>
      <c r="E5" s="407"/>
      <c r="F5" s="407"/>
      <c r="G5" s="407"/>
      <c r="H5" s="407"/>
      <c r="I5" s="407"/>
      <c r="N5" s="1657" t="s">
        <v>596</v>
      </c>
      <c r="O5" s="1657"/>
      <c r="P5" s="1657"/>
      <c r="Q5" s="1657"/>
      <c r="R5" s="1657"/>
      <c r="S5" s="1657"/>
      <c r="T5" s="1657"/>
      <c r="U5" s="1657"/>
      <c r="V5" s="1657"/>
      <c r="W5" s="1657"/>
      <c r="X5" s="1657"/>
    </row>
    <row r="6" spans="1:25">
      <c r="N6" s="520" t="s">
        <v>18</v>
      </c>
      <c r="O6" s="520" t="s">
        <v>81</v>
      </c>
      <c r="P6" s="520" t="s">
        <v>109</v>
      </c>
      <c r="Q6" s="520" t="s">
        <v>99</v>
      </c>
      <c r="R6" s="520" t="s">
        <v>67</v>
      </c>
      <c r="S6" s="520" t="s">
        <v>86</v>
      </c>
      <c r="T6" s="520" t="s">
        <v>152</v>
      </c>
      <c r="U6" s="520" t="s">
        <v>129</v>
      </c>
      <c r="V6" s="520" t="s">
        <v>33</v>
      </c>
      <c r="W6" s="520"/>
    </row>
    <row r="7" spans="1:25" ht="48" customHeight="1">
      <c r="N7" s="408" t="s">
        <v>597</v>
      </c>
      <c r="O7" s="408" t="s">
        <v>2102</v>
      </c>
      <c r="P7" s="408" t="s">
        <v>598</v>
      </c>
      <c r="Q7" s="408" t="s">
        <v>599</v>
      </c>
      <c r="R7" s="408" t="s">
        <v>600</v>
      </c>
      <c r="S7" s="408" t="s">
        <v>84</v>
      </c>
      <c r="T7" s="408" t="s">
        <v>601</v>
      </c>
      <c r="U7" s="408" t="s">
        <v>602</v>
      </c>
      <c r="V7" s="408" t="s">
        <v>1382</v>
      </c>
      <c r="W7" s="408"/>
    </row>
    <row r="8" spans="1:25" ht="30">
      <c r="B8" s="408" t="s">
        <v>408</v>
      </c>
      <c r="C8" s="408" t="s">
        <v>409</v>
      </c>
      <c r="D8" s="408" t="s">
        <v>330</v>
      </c>
      <c r="E8" s="408" t="s">
        <v>411</v>
      </c>
      <c r="F8" s="409" t="s">
        <v>603</v>
      </c>
      <c r="G8" s="409" t="s">
        <v>604</v>
      </c>
      <c r="H8" s="409" t="s">
        <v>605</v>
      </c>
      <c r="L8" s="410"/>
      <c r="M8" s="411" t="s">
        <v>16</v>
      </c>
    </row>
    <row r="9" spans="1:25">
      <c r="A9" s="480" t="s">
        <v>413</v>
      </c>
      <c r="B9" s="412">
        <f>'[44]Revenue Summary'!$B$6</f>
        <v>393110.44000000006</v>
      </c>
      <c r="C9" s="412">
        <f>'[44]Revenue Summary'!$C$6</f>
        <v>1066202.5249999999</v>
      </c>
      <c r="E9" s="422">
        <f>'[44]Revenue Summary'!$M$6</f>
        <v>209976.71000000002</v>
      </c>
      <c r="F9" s="412">
        <f>SUM(B9:E9)</f>
        <v>1669289.6749999998</v>
      </c>
      <c r="G9" s="422">
        <f>'Consolidated IS'!C10</f>
        <v>1674300.13</v>
      </c>
      <c r="H9" s="412">
        <f>F9-G9</f>
        <v>-5010.4550000000745</v>
      </c>
      <c r="I9" s="414"/>
      <c r="L9" s="410">
        <v>31000</v>
      </c>
      <c r="M9" s="415" t="s">
        <v>17</v>
      </c>
      <c r="N9" s="412">
        <f>H9+H10</f>
        <v>-195.09500000007392</v>
      </c>
      <c r="X9" s="412">
        <f>SUM(N9:W9)</f>
        <v>-195.09500000007392</v>
      </c>
    </row>
    <row r="10" spans="1:25">
      <c r="A10" s="480" t="s">
        <v>415</v>
      </c>
      <c r="C10" s="412">
        <f>'[44]Revenue Summary'!$C$7</f>
        <v>4815.3600000000006</v>
      </c>
      <c r="E10" s="422">
        <f>'[44]Revenue Summary'!$M$7</f>
        <v>0</v>
      </c>
      <c r="F10" s="412">
        <f t="shared" ref="F10:F17" si="0">SUM(B10:E10)</f>
        <v>4815.3600000000006</v>
      </c>
      <c r="G10" s="422">
        <v>0</v>
      </c>
      <c r="H10" s="412">
        <f t="shared" ref="H10:H17" si="1">F10-G10</f>
        <v>4815.3600000000006</v>
      </c>
      <c r="I10" s="414"/>
      <c r="L10" s="410">
        <v>32000</v>
      </c>
      <c r="M10" s="415" t="s">
        <v>20</v>
      </c>
      <c r="N10" s="412">
        <f>H11+H13</f>
        <v>-7330.4900000001035</v>
      </c>
      <c r="X10" s="412">
        <f>SUM(N10:W10)</f>
        <v>-7330.4900000001035</v>
      </c>
    </row>
    <row r="11" spans="1:25">
      <c r="A11" s="480" t="s">
        <v>416</v>
      </c>
      <c r="B11" s="412">
        <f>'[44]Revenue Summary'!$B$9</f>
        <v>143435.76</v>
      </c>
      <c r="C11" s="412">
        <f>'[44]Revenue Summary'!$C$9</f>
        <v>1039943.5900000001</v>
      </c>
      <c r="E11" s="422">
        <f>'[44]Revenue Summary'!$M$9</f>
        <v>143029.72999999998</v>
      </c>
      <c r="F11" s="412">
        <f t="shared" si="0"/>
        <v>1326409.08</v>
      </c>
      <c r="G11" s="422">
        <f>'Consolidated IS'!C11</f>
        <v>1347799.4400000002</v>
      </c>
      <c r="H11" s="412">
        <f t="shared" si="1"/>
        <v>-21390.360000000102</v>
      </c>
      <c r="I11" s="414"/>
      <c r="L11" s="410">
        <v>33000</v>
      </c>
      <c r="M11" s="415" t="s">
        <v>21</v>
      </c>
      <c r="N11" s="412">
        <f>H14+H15</f>
        <v>-584.35999999998603</v>
      </c>
      <c r="X11" s="412">
        <f>SUM(N11:W11)</f>
        <v>-584.35999999998603</v>
      </c>
    </row>
    <row r="12" spans="1:25">
      <c r="A12" s="480" t="s">
        <v>329</v>
      </c>
      <c r="C12" s="412">
        <f>'Whitman Reg - Price Out'!D136</f>
        <v>7280</v>
      </c>
      <c r="E12" s="422">
        <f>'[44]Revenue Summary'!$M$12</f>
        <v>0</v>
      </c>
      <c r="F12" s="412">
        <f t="shared" si="0"/>
        <v>7280</v>
      </c>
      <c r="G12" s="422"/>
      <c r="H12" s="412">
        <f>F12-G12</f>
        <v>7280</v>
      </c>
      <c r="I12" s="414"/>
      <c r="L12" s="410">
        <v>33100</v>
      </c>
      <c r="M12" s="415" t="s">
        <v>22</v>
      </c>
      <c r="N12" s="412">
        <f>H16</f>
        <v>413.09999999999127</v>
      </c>
      <c r="X12" s="412">
        <f>SUM(N12:W12)</f>
        <v>413.09999999999127</v>
      </c>
    </row>
    <row r="13" spans="1:25">
      <c r="A13" s="480" t="s">
        <v>327</v>
      </c>
      <c r="D13" s="412">
        <f>'[44]Revenue Summary'!$C$13</f>
        <v>14059.869999999999</v>
      </c>
      <c r="E13" s="422">
        <f>'[44]Revenue Summary'!$M$13</f>
        <v>0</v>
      </c>
      <c r="F13" s="412">
        <f t="shared" si="0"/>
        <v>14059.869999999999</v>
      </c>
      <c r="G13" s="422"/>
      <c r="H13" s="412">
        <f t="shared" si="1"/>
        <v>14059.869999999999</v>
      </c>
      <c r="I13" s="414"/>
      <c r="K13" s="553"/>
      <c r="L13" s="588"/>
      <c r="M13" s="589" t="s">
        <v>329</v>
      </c>
      <c r="N13" s="586">
        <f>H12</f>
        <v>7280</v>
      </c>
      <c r="O13" s="553"/>
      <c r="P13" s="553"/>
      <c r="Q13" s="553"/>
      <c r="R13" s="553"/>
      <c r="S13" s="553"/>
      <c r="T13" s="553"/>
      <c r="U13" s="553"/>
      <c r="V13" s="553"/>
      <c r="W13" s="553"/>
      <c r="X13" s="586"/>
      <c r="Y13" s="553"/>
    </row>
    <row r="14" spans="1:25">
      <c r="A14" s="480" t="s">
        <v>417</v>
      </c>
      <c r="B14" s="412">
        <f>'[44]Revenue Summary'!$B$14</f>
        <v>36359.579999999994</v>
      </c>
      <c r="C14" s="412">
        <f>'[44]Revenue Summary'!$C$14</f>
        <v>92934</v>
      </c>
      <c r="E14" s="422">
        <f>'[44]Revenue Summary'!$M$14</f>
        <v>10862.6</v>
      </c>
      <c r="F14" s="412">
        <f t="shared" si="0"/>
        <v>140156.18</v>
      </c>
      <c r="G14" s="422">
        <f>'Consolidated IS'!C12</f>
        <v>144915.53999999998</v>
      </c>
      <c r="H14" s="412">
        <f t="shared" si="1"/>
        <v>-4759.359999999986</v>
      </c>
      <c r="I14" s="414"/>
      <c r="L14" s="410">
        <v>34000</v>
      </c>
      <c r="M14" s="415" t="s">
        <v>217</v>
      </c>
      <c r="N14" s="586"/>
      <c r="X14" s="412">
        <f>SUM(N14:W14)</f>
        <v>0</v>
      </c>
    </row>
    <row r="15" spans="1:25">
      <c r="A15" s="480" t="s">
        <v>418</v>
      </c>
      <c r="B15" s="412">
        <f>'[44]Revenue Summary'!$B$15</f>
        <v>4175</v>
      </c>
      <c r="E15" s="422">
        <f>'[44]Revenue Summary'!$M$15</f>
        <v>0</v>
      </c>
      <c r="F15" s="412">
        <f t="shared" si="0"/>
        <v>4175</v>
      </c>
      <c r="G15" s="422"/>
      <c r="H15" s="412">
        <f t="shared" si="1"/>
        <v>4175</v>
      </c>
      <c r="I15" s="414"/>
      <c r="L15" s="410">
        <v>35000</v>
      </c>
      <c r="M15" s="415" t="s">
        <v>24</v>
      </c>
      <c r="N15" s="412">
        <f>H17</f>
        <v>299.07000000000016</v>
      </c>
      <c r="X15" s="412">
        <f>SUM(N15:W15)</f>
        <v>299.07000000000016</v>
      </c>
    </row>
    <row r="16" spans="1:25">
      <c r="A16" s="480" t="s">
        <v>1383</v>
      </c>
      <c r="B16" s="412">
        <f>'[44]Revenue Summary'!$B$16</f>
        <v>36120.33</v>
      </c>
      <c r="C16" s="412">
        <f>'[44]Revenue Summary'!$C$16</f>
        <v>69478.92</v>
      </c>
      <c r="E16" s="422">
        <f>'[44]Revenue Summary'!$M$16</f>
        <v>5791.4799999999987</v>
      </c>
      <c r="F16" s="412">
        <f t="shared" si="0"/>
        <v>111390.73</v>
      </c>
      <c r="G16" s="422">
        <f>'Consolidated IS'!C13</f>
        <v>110977.63</v>
      </c>
      <c r="H16" s="412">
        <f t="shared" si="1"/>
        <v>413.09999999999127</v>
      </c>
      <c r="I16" s="414"/>
      <c r="L16" s="410">
        <v>39000</v>
      </c>
      <c r="M16" s="415" t="s">
        <v>25</v>
      </c>
      <c r="N16" s="416"/>
      <c r="O16" s="416"/>
      <c r="P16" s="416"/>
      <c r="Q16" s="416"/>
      <c r="R16" s="416"/>
      <c r="S16" s="416"/>
      <c r="T16" s="416"/>
      <c r="U16" s="416"/>
      <c r="V16" s="416"/>
      <c r="W16" s="416"/>
      <c r="X16" s="417">
        <f>SUM(N16:W16)</f>
        <v>0</v>
      </c>
    </row>
    <row r="17" spans="1:24">
      <c r="A17" s="480" t="s">
        <v>743</v>
      </c>
      <c r="B17" s="417">
        <f>'[44]Revenue Summary'!$B$17</f>
        <v>815.9899999999999</v>
      </c>
      <c r="C17" s="417">
        <f>'[44]Revenue Summary'!$C$17</f>
        <v>3554.7800000000007</v>
      </c>
      <c r="D17" s="416"/>
      <c r="E17" s="450">
        <f>'[44]Revenue Summary'!$M$17</f>
        <v>0</v>
      </c>
      <c r="F17" s="417">
        <f t="shared" si="0"/>
        <v>4370.7700000000004</v>
      </c>
      <c r="G17" s="450">
        <f>'Consolidated IS'!C16</f>
        <v>4071.7000000000003</v>
      </c>
      <c r="H17" s="417">
        <f t="shared" si="1"/>
        <v>299.07000000000016</v>
      </c>
      <c r="I17" s="414"/>
      <c r="L17" s="410"/>
      <c r="M17" s="411" t="s">
        <v>26</v>
      </c>
      <c r="N17" s="418">
        <f>SUM(N9:N16)</f>
        <v>-117.77500000017199</v>
      </c>
      <c r="O17" s="515"/>
      <c r="P17" s="515"/>
      <c r="Q17" s="515"/>
      <c r="R17" s="515"/>
      <c r="S17" s="515"/>
      <c r="T17" s="515"/>
      <c r="U17" s="515"/>
      <c r="V17" s="515"/>
      <c r="W17" s="515"/>
      <c r="X17" s="418">
        <f>SUM(N17:W17)</f>
        <v>-117.77500000017199</v>
      </c>
    </row>
    <row r="18" spans="1:24">
      <c r="B18" s="418">
        <f t="shared" ref="B18" si="2">SUM(B9:B17)</f>
        <v>614017.1</v>
      </c>
      <c r="C18" s="418">
        <f t="shared" ref="C18:H18" si="3">SUM(C9:C17)</f>
        <v>2284209.1749999998</v>
      </c>
      <c r="D18" s="418">
        <f t="shared" si="3"/>
        <v>14059.869999999999</v>
      </c>
      <c r="E18" s="418">
        <f t="shared" si="3"/>
        <v>369660.51999999996</v>
      </c>
      <c r="F18" s="418">
        <f t="shared" si="3"/>
        <v>3281946.6650000005</v>
      </c>
      <c r="G18" s="418">
        <f t="shared" si="3"/>
        <v>3282064.4400000004</v>
      </c>
      <c r="H18" s="418">
        <f t="shared" si="3"/>
        <v>-117.77500000017199</v>
      </c>
      <c r="I18" s="414">
        <f t="shared" ref="I18" si="4">H18/G18</f>
        <v>-3.5884426449643987E-5</v>
      </c>
    </row>
    <row r="19" spans="1:24">
      <c r="H19" s="509" t="s">
        <v>18</v>
      </c>
      <c r="L19" s="419">
        <f>'[45]Consolidated IS'!A25</f>
        <v>41150</v>
      </c>
      <c r="M19" s="482" t="str">
        <f>'[45]Consolidated IS'!B25</f>
        <v>Wages Mechanics</v>
      </c>
      <c r="R19" s="1225">
        <f>B72</f>
        <v>1226.4286939726021</v>
      </c>
      <c r="X19" s="418">
        <f t="shared" ref="X19:X62" si="5">SUM(N19:W19)</f>
        <v>1226.4286939726021</v>
      </c>
    </row>
    <row r="20" spans="1:24">
      <c r="L20" s="410">
        <v>41200</v>
      </c>
      <c r="M20" s="415" t="s">
        <v>606</v>
      </c>
      <c r="R20" s="423"/>
      <c r="X20" s="418">
        <f t="shared" si="5"/>
        <v>0</v>
      </c>
    </row>
    <row r="21" spans="1:24">
      <c r="L21" s="410">
        <v>41300</v>
      </c>
      <c r="M21" s="415" t="s">
        <v>47</v>
      </c>
      <c r="R21" s="423"/>
      <c r="X21" s="418">
        <f t="shared" si="5"/>
        <v>0</v>
      </c>
    </row>
    <row r="22" spans="1:24">
      <c r="A22" s="407" t="s">
        <v>1907</v>
      </c>
      <c r="B22" s="407"/>
      <c r="C22" s="407"/>
      <c r="D22" s="407"/>
      <c r="E22" s="407"/>
      <c r="F22" s="407"/>
      <c r="G22" s="407"/>
      <c r="H22" s="407"/>
      <c r="I22" s="407"/>
      <c r="L22" s="410">
        <v>41330</v>
      </c>
      <c r="M22" s="415" t="s">
        <v>48</v>
      </c>
      <c r="R22" s="423"/>
      <c r="X22" s="418">
        <f t="shared" si="5"/>
        <v>0</v>
      </c>
    </row>
    <row r="23" spans="1:24">
      <c r="A23" s="1280"/>
      <c r="L23" s="410">
        <v>41600</v>
      </c>
      <c r="M23" s="415" t="s">
        <v>52</v>
      </c>
      <c r="R23" s="423"/>
      <c r="X23" s="418">
        <f t="shared" si="5"/>
        <v>0</v>
      </c>
    </row>
    <row r="24" spans="1:24">
      <c r="A24" s="512" t="s">
        <v>1906</v>
      </c>
      <c r="B24" s="544">
        <f>'40131'!C145</f>
        <v>9885.5599999999977</v>
      </c>
      <c r="C24" s="1182" t="s">
        <v>81</v>
      </c>
      <c r="E24" s="1658"/>
      <c r="F24" s="1658"/>
      <c r="G24" s="1191"/>
      <c r="L24" s="410">
        <v>41800</v>
      </c>
      <c r="M24" s="415" t="s">
        <v>53</v>
      </c>
      <c r="R24" s="423"/>
      <c r="X24" s="418">
        <f t="shared" si="5"/>
        <v>0</v>
      </c>
    </row>
    <row r="25" spans="1:24">
      <c r="A25" s="1194" t="s">
        <v>1901</v>
      </c>
      <c r="B25" s="1224">
        <f>'40101'!C78</f>
        <v>28068.519999999997</v>
      </c>
      <c r="C25" s="1182" t="s">
        <v>81</v>
      </c>
      <c r="E25" s="1190"/>
      <c r="F25" s="1186"/>
      <c r="G25" s="1191"/>
      <c r="L25" s="410">
        <v>42100</v>
      </c>
      <c r="M25" s="415" t="s">
        <v>65</v>
      </c>
      <c r="R25" s="1225">
        <f>B73</f>
        <v>1072.958116438356</v>
      </c>
      <c r="X25" s="418">
        <f t="shared" si="5"/>
        <v>1072.958116438356</v>
      </c>
    </row>
    <row r="26" spans="1:24">
      <c r="C26" s="1191"/>
      <c r="E26" s="1186"/>
      <c r="F26" s="1185"/>
      <c r="G26" s="1191"/>
      <c r="L26" s="410">
        <v>42300</v>
      </c>
      <c r="M26" s="415" t="s">
        <v>70</v>
      </c>
      <c r="R26" s="1225">
        <f>B71</f>
        <v>12769.254134932602</v>
      </c>
      <c r="X26" s="418">
        <f t="shared" si="5"/>
        <v>12769.254134932602</v>
      </c>
    </row>
    <row r="27" spans="1:24">
      <c r="A27" s="420" t="s">
        <v>607</v>
      </c>
      <c r="B27" s="517"/>
      <c r="C27" s="1190"/>
      <c r="E27" s="1186"/>
      <c r="F27" s="1185"/>
      <c r="G27" s="1191"/>
      <c r="L27" s="410">
        <v>42400</v>
      </c>
      <c r="M27" s="415" t="s">
        <v>74</v>
      </c>
      <c r="R27" s="423"/>
      <c r="X27" s="418">
        <f t="shared" si="5"/>
        <v>0</v>
      </c>
    </row>
    <row r="28" spans="1:24">
      <c r="A28" s="517" t="s">
        <v>1384</v>
      </c>
      <c r="B28" s="1122">
        <f>Disposal!C40+Disposal!D90</f>
        <v>84193.93</v>
      </c>
      <c r="C28" s="1182" t="s">
        <v>81</v>
      </c>
      <c r="E28" s="1186"/>
      <c r="F28" s="1185"/>
      <c r="G28" s="1191"/>
      <c r="L28" s="410">
        <v>42800</v>
      </c>
      <c r="M28" s="415" t="s">
        <v>75</v>
      </c>
      <c r="R28" s="423"/>
      <c r="X28" s="418">
        <f t="shared" si="5"/>
        <v>0</v>
      </c>
    </row>
    <row r="29" spans="1:24">
      <c r="A29" s="517" t="s">
        <v>1385</v>
      </c>
      <c r="B29" s="1122">
        <f>Disposal!J78</f>
        <v>14700.390000000001</v>
      </c>
      <c r="C29" s="1182" t="s">
        <v>81</v>
      </c>
      <c r="E29" s="1186"/>
      <c r="F29" s="1184"/>
      <c r="G29" s="1191"/>
      <c r="L29" s="410">
        <v>40101</v>
      </c>
      <c r="M29" s="415" t="s">
        <v>80</v>
      </c>
      <c r="O29" s="412"/>
      <c r="R29" s="423"/>
      <c r="X29" s="418">
        <f t="shared" si="5"/>
        <v>0</v>
      </c>
    </row>
    <row r="30" spans="1:24">
      <c r="A30" s="517" t="s">
        <v>1386</v>
      </c>
      <c r="B30" s="1123">
        <f>Disposal!C78</f>
        <v>12496.41</v>
      </c>
      <c r="C30" s="1182" t="s">
        <v>81</v>
      </c>
      <c r="E30" s="1191"/>
      <c r="F30" s="1191"/>
      <c r="G30" s="1191"/>
      <c r="L30" s="410"/>
      <c r="M30" s="415" t="s">
        <v>608</v>
      </c>
      <c r="R30" s="423"/>
      <c r="X30" s="418">
        <f t="shared" si="5"/>
        <v>0</v>
      </c>
    </row>
    <row r="31" spans="1:24">
      <c r="A31" s="517"/>
      <c r="B31" s="424">
        <f>SUM(B28:B30)</f>
        <v>111390.73</v>
      </c>
      <c r="E31" s="1186"/>
      <c r="F31" s="1183"/>
      <c r="G31" s="1191"/>
      <c r="L31" s="410">
        <v>40121</v>
      </c>
      <c r="M31" s="415" t="s">
        <v>226</v>
      </c>
      <c r="R31" s="423"/>
      <c r="X31" s="418">
        <f t="shared" si="5"/>
        <v>0</v>
      </c>
    </row>
    <row r="32" spans="1:24">
      <c r="L32" s="410">
        <v>40131</v>
      </c>
      <c r="M32" s="415" t="s">
        <v>609</v>
      </c>
      <c r="R32" s="423"/>
      <c r="X32" s="418">
        <f t="shared" si="5"/>
        <v>0</v>
      </c>
    </row>
    <row r="33" spans="1:24">
      <c r="A33" s="1223" t="s">
        <v>1908</v>
      </c>
      <c r="L33" s="410">
        <v>43600</v>
      </c>
      <c r="M33" s="415" t="s">
        <v>79</v>
      </c>
      <c r="R33" s="423"/>
      <c r="X33" s="418">
        <f t="shared" si="5"/>
        <v>0</v>
      </c>
    </row>
    <row r="34" spans="1:24">
      <c r="L34" s="410">
        <v>43650</v>
      </c>
      <c r="M34" s="415" t="s">
        <v>610</v>
      </c>
      <c r="R34" s="423"/>
      <c r="X34" s="418">
        <f t="shared" si="5"/>
        <v>0</v>
      </c>
    </row>
    <row r="35" spans="1:24">
      <c r="L35" s="410">
        <v>45300</v>
      </c>
      <c r="M35" s="415" t="s">
        <v>91</v>
      </c>
      <c r="Q35" s="423"/>
      <c r="R35" s="423"/>
      <c r="X35" s="418">
        <f t="shared" si="5"/>
        <v>0</v>
      </c>
    </row>
    <row r="36" spans="1:24">
      <c r="L36" s="410">
        <v>45400</v>
      </c>
      <c r="M36" s="415" t="s">
        <v>96</v>
      </c>
      <c r="Q36" s="1225">
        <f>D66</f>
        <v>-27257.52</v>
      </c>
      <c r="R36" s="423"/>
      <c r="X36" s="418">
        <f t="shared" si="5"/>
        <v>-27257.52</v>
      </c>
    </row>
    <row r="37" spans="1:24">
      <c r="L37" s="410">
        <v>46400</v>
      </c>
      <c r="M37" s="415" t="s">
        <v>1387</v>
      </c>
      <c r="R37" s="423"/>
      <c r="X37" s="418">
        <f t="shared" si="5"/>
        <v>0</v>
      </c>
    </row>
    <row r="38" spans="1:24">
      <c r="L38" s="410">
        <v>46800</v>
      </c>
      <c r="M38" s="415" t="s">
        <v>84</v>
      </c>
      <c r="R38" s="423"/>
      <c r="S38" s="1225">
        <f>B92</f>
        <v>-2268.8359853125457</v>
      </c>
      <c r="X38" s="418">
        <f t="shared" si="5"/>
        <v>-2268.8359853125457</v>
      </c>
    </row>
    <row r="39" spans="1:24">
      <c r="L39" s="410">
        <v>46130</v>
      </c>
      <c r="M39" s="415" t="s">
        <v>106</v>
      </c>
      <c r="R39" s="1225">
        <f>B74</f>
        <v>4845.2178919393982</v>
      </c>
      <c r="V39" s="1225">
        <f>B127</f>
        <v>5454.0757480176189</v>
      </c>
      <c r="X39" s="418">
        <f t="shared" si="5"/>
        <v>10299.293639957017</v>
      </c>
    </row>
    <row r="40" spans="1:24">
      <c r="A40" s="407" t="s">
        <v>611</v>
      </c>
      <c r="B40" s="407"/>
      <c r="C40" s="407"/>
      <c r="D40" s="407"/>
      <c r="E40" s="407"/>
      <c r="F40" s="407"/>
      <c r="G40" s="407"/>
      <c r="H40" s="407"/>
      <c r="I40" s="407"/>
      <c r="L40" s="410">
        <v>46100</v>
      </c>
      <c r="M40" s="415" t="s">
        <v>107</v>
      </c>
      <c r="P40" s="1225">
        <f>B48</f>
        <v>-12037.034042778607</v>
      </c>
      <c r="R40" s="423"/>
      <c r="X40" s="418">
        <f t="shared" si="5"/>
        <v>-12037.034042778607</v>
      </c>
    </row>
    <row r="41" spans="1:24">
      <c r="A41" s="1280"/>
      <c r="L41" s="410">
        <v>46200</v>
      </c>
      <c r="M41" s="415" t="s">
        <v>119</v>
      </c>
      <c r="R41" s="423"/>
      <c r="X41" s="418">
        <f t="shared" si="5"/>
        <v>0</v>
      </c>
    </row>
    <row r="42" spans="1:24">
      <c r="A42" s="461" t="s">
        <v>612</v>
      </c>
      <c r="L42" s="410">
        <v>46410</v>
      </c>
      <c r="M42" s="415" t="s">
        <v>123</v>
      </c>
      <c r="R42" s="423"/>
      <c r="X42" s="418">
        <f t="shared" si="5"/>
        <v>0</v>
      </c>
    </row>
    <row r="43" spans="1:24">
      <c r="L43" s="410">
        <v>46500</v>
      </c>
      <c r="M43" s="415" t="s">
        <v>124</v>
      </c>
      <c r="R43" s="423"/>
      <c r="X43" s="418">
        <f t="shared" si="5"/>
        <v>0</v>
      </c>
    </row>
    <row r="44" spans="1:24">
      <c r="A44" s="480" t="s">
        <v>87</v>
      </c>
      <c r="B44" s="552">
        <f>'Consolidated IS'!H18</f>
        <v>3295488.7350000008</v>
      </c>
      <c r="L44" s="410">
        <v>46510</v>
      </c>
      <c r="M44" s="415" t="s">
        <v>126</v>
      </c>
      <c r="R44" s="423"/>
      <c r="X44" s="418">
        <f t="shared" si="5"/>
        <v>0</v>
      </c>
    </row>
    <row r="45" spans="1:24">
      <c r="A45" s="480" t="s">
        <v>613</v>
      </c>
      <c r="B45" s="587">
        <f>'Corp OH'!E90</f>
        <v>1.8181845175453584E-2</v>
      </c>
      <c r="L45" s="410">
        <v>46700</v>
      </c>
      <c r="M45" s="415" t="s">
        <v>130</v>
      </c>
      <c r="R45" s="423"/>
      <c r="U45" s="1238">
        <f>B121</f>
        <v>1175.2599999999857</v>
      </c>
      <c r="X45" s="418">
        <f t="shared" si="5"/>
        <v>1175.2599999999857</v>
      </c>
    </row>
    <row r="46" spans="1:24">
      <c r="A46" s="480"/>
      <c r="B46" s="423">
        <f>B44*B45</f>
        <v>59918.065957221399</v>
      </c>
      <c r="L46" s="410">
        <v>46900</v>
      </c>
      <c r="M46" s="415" t="s">
        <v>131</v>
      </c>
      <c r="P46" s="1225">
        <f>B55</f>
        <v>210.77481449901097</v>
      </c>
      <c r="Q46" s="1232">
        <f>D63</f>
        <v>-1930.6036000000001</v>
      </c>
      <c r="R46" s="423"/>
      <c r="X46" s="418">
        <f t="shared" si="5"/>
        <v>-1719.8287855009892</v>
      </c>
    </row>
    <row r="47" spans="1:24">
      <c r="A47" s="480" t="s">
        <v>604</v>
      </c>
      <c r="B47" s="552">
        <f>'Consolidated IS'!C153</f>
        <v>71955.100000000006</v>
      </c>
      <c r="L47" s="410">
        <v>51260</v>
      </c>
      <c r="M47" s="415" t="s">
        <v>151</v>
      </c>
      <c r="R47" s="423"/>
      <c r="T47" s="1228">
        <f t="shared" ref="T47:T52" si="6">E97</f>
        <v>149823.35489999998</v>
      </c>
      <c r="X47" s="418">
        <f t="shared" si="5"/>
        <v>149823.35489999998</v>
      </c>
    </row>
    <row r="48" spans="1:24">
      <c r="A48" s="361" t="s">
        <v>1388</v>
      </c>
      <c r="B48" s="426">
        <f>B46-B47</f>
        <v>-12037.034042778607</v>
      </c>
      <c r="C48" s="427" t="s">
        <v>109</v>
      </c>
      <c r="L48" s="410">
        <v>54260</v>
      </c>
      <c r="M48" s="415" t="s">
        <v>154</v>
      </c>
      <c r="R48" s="423"/>
      <c r="T48" s="1228">
        <f t="shared" si="6"/>
        <v>-4247.1899206343442</v>
      </c>
      <c r="X48" s="418">
        <f t="shared" si="5"/>
        <v>-4247.1899206343442</v>
      </c>
    </row>
    <row r="49" spans="1:24">
      <c r="L49" s="410"/>
      <c r="M49" s="415" t="s">
        <v>155</v>
      </c>
      <c r="R49" s="423"/>
      <c r="T49" s="1228">
        <f t="shared" si="6"/>
        <v>2915.617999999406</v>
      </c>
      <c r="X49" s="418">
        <f t="shared" si="5"/>
        <v>2915.617999999406</v>
      </c>
    </row>
    <row r="50" spans="1:24">
      <c r="L50" s="410">
        <v>57260</v>
      </c>
      <c r="M50" s="415" t="s">
        <v>156</v>
      </c>
      <c r="R50" s="423"/>
      <c r="T50" s="1228">
        <f t="shared" si="6"/>
        <v>-17083.465666666638</v>
      </c>
      <c r="X50" s="418">
        <f t="shared" si="5"/>
        <v>-17083.465666666638</v>
      </c>
    </row>
    <row r="51" spans="1:24">
      <c r="A51" s="420" t="s">
        <v>614</v>
      </c>
      <c r="L51" s="410">
        <v>70260</v>
      </c>
      <c r="M51" s="415" t="s">
        <v>157</v>
      </c>
      <c r="R51" s="423"/>
      <c r="T51" s="1228">
        <f t="shared" si="6"/>
        <v>-3223.102166666652</v>
      </c>
      <c r="X51" s="418">
        <f t="shared" si="5"/>
        <v>-3223.102166666652</v>
      </c>
    </row>
    <row r="52" spans="1:24">
      <c r="L52" s="410"/>
      <c r="M52" s="415" t="s">
        <v>1389</v>
      </c>
      <c r="R52" s="423"/>
      <c r="T52" s="1228">
        <f t="shared" si="6"/>
        <v>18479.209800000001</v>
      </c>
      <c r="X52" s="418">
        <f t="shared" si="5"/>
        <v>18479.209800000001</v>
      </c>
    </row>
    <row r="53" spans="1:24">
      <c r="A53" s="512" t="s">
        <v>604</v>
      </c>
      <c r="B53" s="634">
        <f>'Consolidated IS'!C201</f>
        <v>11545.88</v>
      </c>
      <c r="L53" s="410">
        <v>91010</v>
      </c>
      <c r="M53" s="415" t="s">
        <v>620</v>
      </c>
      <c r="R53" s="423"/>
      <c r="X53" s="418">
        <f t="shared" si="5"/>
        <v>0</v>
      </c>
    </row>
    <row r="54" spans="1:24">
      <c r="A54" s="512" t="s">
        <v>615</v>
      </c>
      <c r="B54" s="635">
        <f>'Region OH Calc'!AH47</f>
        <v>11756.65481449901</v>
      </c>
      <c r="L54" s="410"/>
      <c r="M54" s="415" t="s">
        <v>26</v>
      </c>
      <c r="R54" s="423"/>
      <c r="X54" s="418">
        <f t="shared" si="5"/>
        <v>0</v>
      </c>
    </row>
    <row r="55" spans="1:24">
      <c r="A55" s="361" t="s">
        <v>616</v>
      </c>
      <c r="B55" s="418">
        <f>B54-B53</f>
        <v>210.77481449901097</v>
      </c>
      <c r="C55" s="427" t="s">
        <v>109</v>
      </c>
      <c r="L55" s="410">
        <v>52030</v>
      </c>
      <c r="M55" s="415" t="s">
        <v>163</v>
      </c>
      <c r="R55" s="423"/>
      <c r="X55" s="418">
        <f t="shared" si="5"/>
        <v>0</v>
      </c>
    </row>
    <row r="56" spans="1:24">
      <c r="L56" s="410">
        <v>52200</v>
      </c>
      <c r="M56" s="415" t="s">
        <v>165</v>
      </c>
      <c r="R56" s="423"/>
      <c r="X56" s="418">
        <f t="shared" si="5"/>
        <v>0</v>
      </c>
    </row>
    <row r="57" spans="1:24">
      <c r="A57" s="407" t="s">
        <v>617</v>
      </c>
      <c r="B57" s="407"/>
      <c r="C57" s="407"/>
      <c r="D57" s="407"/>
      <c r="E57" s="407"/>
      <c r="F57" s="407"/>
      <c r="G57" s="407"/>
      <c r="H57" s="407"/>
      <c r="I57" s="407"/>
      <c r="L57" s="410">
        <v>52300</v>
      </c>
      <c r="M57" s="415" t="s">
        <v>263</v>
      </c>
      <c r="R57" s="423"/>
      <c r="X57" s="418">
        <f t="shared" si="5"/>
        <v>0</v>
      </c>
    </row>
    <row r="58" spans="1:24">
      <c r="A58" s="1280"/>
      <c r="L58" s="410">
        <v>52400</v>
      </c>
      <c r="M58" s="415" t="s">
        <v>168</v>
      </c>
      <c r="R58" s="1225">
        <f>B83</f>
        <v>1523.4102010521462</v>
      </c>
      <c r="V58" s="1225">
        <f>B128</f>
        <v>417.23679472334783</v>
      </c>
      <c r="X58" s="418">
        <f t="shared" si="5"/>
        <v>1940.6469957754941</v>
      </c>
    </row>
    <row r="59" spans="1:24">
      <c r="C59" s="428" t="s">
        <v>604</v>
      </c>
      <c r="D59" s="428" t="s">
        <v>618</v>
      </c>
      <c r="E59" s="451"/>
      <c r="L59" s="410">
        <v>52700</v>
      </c>
      <c r="M59" s="415" t="s">
        <v>621</v>
      </c>
      <c r="X59" s="418">
        <f t="shared" si="5"/>
        <v>0</v>
      </c>
    </row>
    <row r="60" spans="1:24">
      <c r="A60" s="419">
        <f>'[45]Consolidated IS'!A141</f>
        <v>70095</v>
      </c>
      <c r="B60" s="419" t="str">
        <f>'[45]Consolidated IS'!B141</f>
        <v>Employee Comm Activity</v>
      </c>
      <c r="C60" s="552">
        <f>'Consolidated IS'!C198</f>
        <v>8553.4999999999982</v>
      </c>
      <c r="D60" s="552">
        <f>-'70095'!E97</f>
        <v>-796.01</v>
      </c>
      <c r="E60" s="429" t="s">
        <v>619</v>
      </c>
      <c r="F60" s="427" t="s">
        <v>99</v>
      </c>
      <c r="L60" s="410">
        <v>53200</v>
      </c>
      <c r="M60" s="415" t="s">
        <v>170</v>
      </c>
      <c r="X60" s="418">
        <f t="shared" si="5"/>
        <v>0</v>
      </c>
    </row>
    <row r="61" spans="1:24">
      <c r="A61" s="419"/>
      <c r="B61" s="419"/>
      <c r="C61" s="552"/>
      <c r="D61" s="425"/>
      <c r="E61" s="429" t="s">
        <v>619</v>
      </c>
      <c r="F61" s="427" t="s">
        <v>99</v>
      </c>
      <c r="L61" s="410">
        <v>70269</v>
      </c>
      <c r="M61" s="415" t="s">
        <v>158</v>
      </c>
      <c r="N61" s="416"/>
      <c r="O61" s="416"/>
      <c r="P61" s="416"/>
      <c r="Q61" s="416"/>
      <c r="R61" s="416"/>
      <c r="S61" s="416"/>
      <c r="T61" s="416"/>
      <c r="U61" s="416"/>
      <c r="V61" s="416"/>
      <c r="W61" s="416"/>
      <c r="X61" s="418">
        <f t="shared" si="5"/>
        <v>0</v>
      </c>
    </row>
    <row r="62" spans="1:24">
      <c r="A62" s="419">
        <f>'[45]Consolidated IS'!A147</f>
        <v>70195</v>
      </c>
      <c r="B62" s="419" t="str">
        <f>'[45]Consolidated IS'!B147</f>
        <v>Dues and Subscriptions</v>
      </c>
      <c r="C62" s="552">
        <f>'Consolidated IS'!C205</f>
        <v>3396.9599999999991</v>
      </c>
      <c r="D62" s="1233">
        <f>-'70195'!E71</f>
        <v>-1134.5936000000002</v>
      </c>
      <c r="E62" s="429" t="s">
        <v>619</v>
      </c>
      <c r="F62" s="427" t="s">
        <v>99</v>
      </c>
      <c r="N62" s="430">
        <f>SUM(N19:N61)</f>
        <v>0</v>
      </c>
      <c r="O62" s="430">
        <f t="shared" ref="O62:W62" si="7">SUM(O19:O61)</f>
        <v>0</v>
      </c>
      <c r="P62" s="430">
        <f t="shared" si="7"/>
        <v>-11826.259228279596</v>
      </c>
      <c r="Q62" s="430">
        <f t="shared" si="7"/>
        <v>-29188.123599999999</v>
      </c>
      <c r="R62" s="430">
        <f>SUM(R19:R61)</f>
        <v>21437.269038335104</v>
      </c>
      <c r="S62" s="430">
        <f t="shared" si="7"/>
        <v>-2268.8359853125457</v>
      </c>
      <c r="T62" s="430">
        <f t="shared" si="7"/>
        <v>146664.42494603177</v>
      </c>
      <c r="U62" s="430">
        <f t="shared" si="7"/>
        <v>1175.2599999999857</v>
      </c>
      <c r="V62" s="430">
        <f t="shared" si="7"/>
        <v>5871.3125427409668</v>
      </c>
      <c r="W62" s="413">
        <f t="shared" si="7"/>
        <v>0</v>
      </c>
      <c r="X62" s="418">
        <f t="shared" si="5"/>
        <v>131865.04771351567</v>
      </c>
    </row>
    <row r="63" spans="1:24">
      <c r="C63" s="552"/>
      <c r="D63" s="430">
        <f>SUM(D60:D62)</f>
        <v>-1930.6036000000001</v>
      </c>
      <c r="E63" s="427" t="s">
        <v>99</v>
      </c>
    </row>
    <row r="64" spans="1:24">
      <c r="C64" s="552"/>
      <c r="D64" s="425"/>
      <c r="E64" s="521"/>
    </row>
    <row r="65" spans="1:9">
      <c r="C65" s="425"/>
      <c r="D65" s="425"/>
    </row>
    <row r="66" spans="1:9">
      <c r="A66" s="419">
        <f>'[45]Consolidated IS'!A87</f>
        <v>59344</v>
      </c>
      <c r="B66" s="419" t="str">
        <f>'[45]Consolidated IS'!B87</f>
        <v>WC - Prior Year Claims</v>
      </c>
      <c r="C66" s="552">
        <f>'Consolidated IS'!C138</f>
        <v>54515.040000000001</v>
      </c>
      <c r="D66" s="430">
        <f>-C66/2</f>
        <v>-27257.52</v>
      </c>
      <c r="E66" s="419">
        <f>'[45]Consolidated IS'!A88</f>
        <v>45300</v>
      </c>
      <c r="F66" s="427" t="s">
        <v>99</v>
      </c>
    </row>
    <row r="69" spans="1:9">
      <c r="A69" s="407" t="s">
        <v>1574</v>
      </c>
      <c r="B69" s="407"/>
      <c r="C69" s="407"/>
      <c r="D69" s="407"/>
      <c r="E69" s="407"/>
      <c r="F69" s="407"/>
      <c r="G69" s="407"/>
      <c r="H69" s="407"/>
      <c r="I69" s="407"/>
    </row>
    <row r="70" spans="1:9">
      <c r="A70" s="1280"/>
      <c r="B70" s="467" t="s">
        <v>622</v>
      </c>
    </row>
    <row r="71" spans="1:9">
      <c r="A71" s="480" t="s">
        <v>623</v>
      </c>
      <c r="B71" s="552">
        <f>'Empire Payroll'!Y29</f>
        <v>12769.254134932602</v>
      </c>
      <c r="C71" s="543">
        <v>42300</v>
      </c>
      <c r="D71" s="427"/>
    </row>
    <row r="72" spans="1:9">
      <c r="A72" s="480" t="s">
        <v>624</v>
      </c>
      <c r="B72" s="552">
        <f>'Empire Payroll'!Y37</f>
        <v>1226.4286939726021</v>
      </c>
      <c r="C72" s="543">
        <v>41150</v>
      </c>
      <c r="D72" s="427"/>
    </row>
    <row r="73" spans="1:9">
      <c r="A73" s="480" t="s">
        <v>625</v>
      </c>
      <c r="B73" s="552">
        <f>'Empire Payroll'!Y60</f>
        <v>1072.958116438356</v>
      </c>
      <c r="C73" s="543">
        <v>42100</v>
      </c>
      <c r="D73" s="427"/>
    </row>
    <row r="74" spans="1:9">
      <c r="A74" s="480" t="s">
        <v>287</v>
      </c>
      <c r="B74" s="1233">
        <f>'Empire Payroll'!Y53</f>
        <v>4845.2178919393982</v>
      </c>
      <c r="C74" s="543">
        <v>46130</v>
      </c>
      <c r="D74" s="427"/>
    </row>
    <row r="75" spans="1:9">
      <c r="B75" s="423">
        <f>SUM(B71:B74)</f>
        <v>19913.858837282958</v>
      </c>
      <c r="C75" s="427" t="s">
        <v>67</v>
      </c>
    </row>
    <row r="78" spans="1:9">
      <c r="B78" s="467" t="s">
        <v>314</v>
      </c>
    </row>
    <row r="79" spans="1:9">
      <c r="A79" s="480" t="s">
        <v>623</v>
      </c>
      <c r="B79" s="425">
        <f>B71*0.0765</f>
        <v>976.84794132234401</v>
      </c>
      <c r="C79" s="543"/>
    </row>
    <row r="80" spans="1:9">
      <c r="A80" s="480" t="s">
        <v>624</v>
      </c>
      <c r="B80" s="425">
        <f>B72*0.0765</f>
        <v>93.821795088904054</v>
      </c>
      <c r="C80" s="543"/>
    </row>
    <row r="81" spans="1:9">
      <c r="A81" s="480" t="s">
        <v>625</v>
      </c>
      <c r="B81" s="425">
        <f t="shared" ref="B81:B82" si="8">B73*0.0765</f>
        <v>82.081295907534226</v>
      </c>
      <c r="C81" s="543"/>
    </row>
    <row r="82" spans="1:9">
      <c r="A82" s="480" t="s">
        <v>287</v>
      </c>
      <c r="B82" s="1227">
        <f t="shared" si="8"/>
        <v>370.65916873336397</v>
      </c>
      <c r="C82" s="543"/>
    </row>
    <row r="83" spans="1:9">
      <c r="B83" s="423">
        <f>SUM(B79:B82)</f>
        <v>1523.4102010521462</v>
      </c>
      <c r="C83" s="427" t="s">
        <v>67</v>
      </c>
      <c r="D83" s="426">
        <f>B75+B83</f>
        <v>21437.269038335104</v>
      </c>
      <c r="E83" s="427" t="s">
        <v>67</v>
      </c>
    </row>
    <row r="85" spans="1:9">
      <c r="A85" s="407" t="s">
        <v>2107</v>
      </c>
      <c r="B85" s="407"/>
      <c r="C85" s="407"/>
      <c r="D85" s="407"/>
      <c r="E85" s="407"/>
      <c r="F85" s="407"/>
      <c r="G85" s="407"/>
      <c r="H85" s="407"/>
      <c r="I85" s="407"/>
    </row>
    <row r="86" spans="1:9">
      <c r="A86" s="1417"/>
    </row>
    <row r="87" spans="1:9">
      <c r="A87" s="480" t="s">
        <v>626</v>
      </c>
      <c r="B87" s="552">
        <f>'Consolidated IS'!O18</f>
        <v>2894541.9636642067</v>
      </c>
    </row>
    <row r="88" spans="1:9">
      <c r="A88" s="480" t="s">
        <v>85</v>
      </c>
      <c r="B88" s="431">
        <v>5.1000000000000004E-3</v>
      </c>
    </row>
    <row r="89" spans="1:9">
      <c r="A89" s="480" t="s">
        <v>627</v>
      </c>
      <c r="B89" s="425">
        <f>B87*B88</f>
        <v>14762.164014687454</v>
      </c>
    </row>
    <row r="91" spans="1:9">
      <c r="A91" s="480" t="s">
        <v>628</v>
      </c>
      <c r="B91" s="450">
        <f>'Consolidated IS'!C122</f>
        <v>17031</v>
      </c>
    </row>
    <row r="92" spans="1:9">
      <c r="A92" s="361" t="s">
        <v>629</v>
      </c>
      <c r="B92" s="426">
        <f>B89-B91</f>
        <v>-2268.8359853125457</v>
      </c>
      <c r="C92" s="427" t="s">
        <v>86</v>
      </c>
    </row>
    <row r="93" spans="1:9">
      <c r="C93" s="432" t="s">
        <v>630</v>
      </c>
    </row>
    <row r="94" spans="1:9">
      <c r="A94" s="407" t="s">
        <v>2108</v>
      </c>
      <c r="B94" s="407"/>
      <c r="C94" s="407"/>
      <c r="D94" s="407"/>
      <c r="E94" s="407"/>
      <c r="F94" s="407"/>
      <c r="G94" s="407"/>
      <c r="H94" s="407"/>
      <c r="I94" s="407"/>
    </row>
    <row r="95" spans="1:9">
      <c r="A95" s="1280"/>
    </row>
    <row r="96" spans="1:9">
      <c r="C96" s="467" t="s">
        <v>604</v>
      </c>
      <c r="D96" s="467" t="s">
        <v>631</v>
      </c>
      <c r="E96" s="467" t="s">
        <v>629</v>
      </c>
    </row>
    <row r="97" spans="1:9">
      <c r="A97" s="419">
        <f>'[45]Consolidated IS'!A162</f>
        <v>51260</v>
      </c>
      <c r="B97" s="1089" t="str">
        <f>'[45]Consolidated IS'!B162</f>
        <v>Depreciation Trks</v>
      </c>
      <c r="C97" s="634">
        <f>IFERROR(VLOOKUP(A97,'Consolidated IS'!$A$10:$C$259,3,FALSE),0)</f>
        <v>156658.45000000001</v>
      </c>
      <c r="D97" s="634">
        <f>'Depr Summary'!E17</f>
        <v>306481.80489999999</v>
      </c>
      <c r="E97" s="586">
        <f t="shared" ref="E97:E102" si="9">D97-C97</f>
        <v>149823.35489999998</v>
      </c>
    </row>
    <row r="98" spans="1:9">
      <c r="A98" s="419">
        <f>'[45]Consolidated IS'!A163</f>
        <v>54260</v>
      </c>
      <c r="B98" s="1089" t="str">
        <f>'[45]Consolidated IS'!B163</f>
        <v>Depreciation Cont, DB</v>
      </c>
      <c r="C98" s="634">
        <f>IFERROR(VLOOKUP(A98,'Consolidated IS'!$A$10:$C$259,3,FALSE),0)</f>
        <v>37162.32</v>
      </c>
      <c r="D98" s="634">
        <f>'Depr Summary'!E28</f>
        <v>32915.130079365656</v>
      </c>
      <c r="E98" s="412">
        <f t="shared" si="9"/>
        <v>-4247.1899206343442</v>
      </c>
    </row>
    <row r="99" spans="1:9">
      <c r="A99" s="419">
        <f>'[45]Consolidated IS'!A164</f>
        <v>0</v>
      </c>
      <c r="B99" s="1089" t="str">
        <f>'[45]Consolidated IS'!B164</f>
        <v>Depreciation Service</v>
      </c>
      <c r="C99" s="634">
        <f>IFERROR(VLOOKUP(A99,'Consolidated IS'!$A$10:$C$259,3,FALSE),0)</f>
        <v>0</v>
      </c>
      <c r="D99" s="634">
        <f>'Depr Summary'!E30</f>
        <v>2915.617999999406</v>
      </c>
      <c r="E99" s="412">
        <f t="shared" si="9"/>
        <v>2915.617999999406</v>
      </c>
    </row>
    <row r="100" spans="1:9">
      <c r="A100" s="419">
        <f>'[45]Consolidated IS'!A165</f>
        <v>57260</v>
      </c>
      <c r="B100" s="1089" t="str">
        <f>'[45]Consolidated IS'!B165</f>
        <v>Depreciation Shop</v>
      </c>
      <c r="C100" s="634">
        <f>IFERROR(VLOOKUP(A100,'Consolidated IS'!$A$10:$C$259,3,FALSE),0)</f>
        <v>25162.530000000002</v>
      </c>
      <c r="D100" s="634">
        <f>'Depr Summary'!E32</f>
        <v>8079.0643333333646</v>
      </c>
      <c r="E100" s="412">
        <f t="shared" si="9"/>
        <v>-17083.465666666638</v>
      </c>
    </row>
    <row r="101" spans="1:9">
      <c r="A101" s="419">
        <f>'[45]Consolidated IS'!A166</f>
        <v>70260</v>
      </c>
      <c r="B101" s="1089" t="str">
        <f>'[45]Consolidated IS'!B166</f>
        <v>Depreciation Office</v>
      </c>
      <c r="C101" s="634">
        <f>IFERROR(VLOOKUP(A101,'Consolidated IS'!$A$10:$C$259,3,FALSE),0)</f>
        <v>5060.57</v>
      </c>
      <c r="D101" s="634">
        <f>'Depr Summary'!E34</f>
        <v>1837.4678333333475</v>
      </c>
      <c r="E101" s="412">
        <f t="shared" si="9"/>
        <v>-3223.102166666652</v>
      </c>
    </row>
    <row r="102" spans="1:9">
      <c r="A102" s="419">
        <f>'[45]Consolidated IS'!A167</f>
        <v>0</v>
      </c>
      <c r="B102" s="1089" t="str">
        <f>'[45]Consolidated IS'!B167</f>
        <v>Leasehold Improvements</v>
      </c>
      <c r="C102" s="450">
        <f>IFERROR(VLOOKUP(A102,'Consolidated IS'!$A$10:$C$259,3,FALSE),0)</f>
        <v>0</v>
      </c>
      <c r="D102" s="450">
        <f>'Depr Summary'!E44</f>
        <v>18479.209800000001</v>
      </c>
      <c r="E102" s="417">
        <f t="shared" si="9"/>
        <v>18479.209800000001</v>
      </c>
      <c r="F102" s="516"/>
    </row>
    <row r="103" spans="1:9">
      <c r="A103" s="419"/>
      <c r="B103" s="419"/>
      <c r="C103" s="413">
        <f>SUM(C97:C102)</f>
        <v>224043.87000000002</v>
      </c>
      <c r="D103" s="413">
        <f>SUM(D97:D102)</f>
        <v>370708.29494603182</v>
      </c>
      <c r="E103" s="412">
        <f>D103-C103</f>
        <v>146664.4249460318</v>
      </c>
      <c r="F103" s="427" t="s">
        <v>152</v>
      </c>
    </row>
    <row r="104" spans="1:9">
      <c r="A104" s="419"/>
      <c r="B104" s="419"/>
      <c r="C104" s="419"/>
    </row>
    <row r="105" spans="1:9">
      <c r="A105" s="407" t="s">
        <v>2109</v>
      </c>
      <c r="B105" s="407"/>
      <c r="C105" s="407"/>
      <c r="D105" s="407"/>
      <c r="E105" s="407"/>
      <c r="F105" s="407"/>
      <c r="G105" s="407"/>
      <c r="H105" s="407"/>
      <c r="I105" s="407"/>
    </row>
    <row r="106" spans="1:9">
      <c r="A106" s="1416"/>
      <c r="B106" s="419"/>
      <c r="C106" s="419"/>
    </row>
    <row r="107" spans="1:9">
      <c r="A107" s="433" t="s">
        <v>632</v>
      </c>
      <c r="B107" s="434"/>
      <c r="C107" s="435"/>
      <c r="D107" s="514"/>
    </row>
    <row r="108" spans="1:9">
      <c r="A108" s="436" t="s">
        <v>633</v>
      </c>
      <c r="B108" s="434"/>
      <c r="C108" s="435"/>
      <c r="D108" s="361" t="s">
        <v>634</v>
      </c>
      <c r="E108" s="542">
        <f>B117/SUM('Consolidated IS'!H10:H14)</f>
        <v>4.6855329951100907E-3</v>
      </c>
    </row>
    <row r="109" spans="1:9">
      <c r="A109" s="437" t="s">
        <v>635</v>
      </c>
      <c r="B109" s="1247">
        <f>'12.31.16 BS'!J35</f>
        <v>190010.34</v>
      </c>
      <c r="C109" s="438"/>
      <c r="D109" s="514"/>
    </row>
    <row r="110" spans="1:9">
      <c r="A110" s="439" t="s">
        <v>636</v>
      </c>
      <c r="B110" s="1241">
        <f>'12.31.17 BS'!J34</f>
        <v>212715.08</v>
      </c>
      <c r="C110" s="440"/>
      <c r="D110" s="514"/>
    </row>
    <row r="111" spans="1:9">
      <c r="A111" s="433"/>
      <c r="B111" s="1240">
        <f>B110-B109</f>
        <v>22704.739999999991</v>
      </c>
      <c r="C111" s="440"/>
      <c r="D111" s="514"/>
    </row>
    <row r="112" spans="1:9">
      <c r="A112" s="433" t="s">
        <v>637</v>
      </c>
      <c r="B112" s="724"/>
      <c r="C112" s="440"/>
      <c r="D112" s="514"/>
    </row>
    <row r="113" spans="1:9">
      <c r="A113" s="437" t="s">
        <v>635</v>
      </c>
      <c r="B113" s="1239">
        <f>-'12.31.16 BS'!J36</f>
        <v>54008.46</v>
      </c>
      <c r="C113" s="440"/>
      <c r="D113" s="514"/>
    </row>
    <row r="114" spans="1:9">
      <c r="A114" s="439" t="s">
        <v>636</v>
      </c>
      <c r="B114" s="1246">
        <f>-'12.31.17 BS'!J35</f>
        <v>61356.01</v>
      </c>
      <c r="C114" s="440"/>
      <c r="D114" s="514"/>
    </row>
    <row r="115" spans="1:9">
      <c r="A115" s="439"/>
      <c r="B115" s="443">
        <f>B114-B113</f>
        <v>7347.5500000000029</v>
      </c>
      <c r="C115" s="440"/>
      <c r="D115" s="514"/>
    </row>
    <row r="116" spans="1:9">
      <c r="A116" s="439"/>
      <c r="B116" s="442"/>
      <c r="C116" s="440"/>
      <c r="D116" s="514"/>
    </row>
    <row r="117" spans="1:9">
      <c r="A117" s="433" t="s">
        <v>638</v>
      </c>
      <c r="B117" s="441">
        <f>B111-B115</f>
        <v>15357.189999999988</v>
      </c>
      <c r="C117" s="440"/>
      <c r="D117" s="514"/>
    </row>
    <row r="118" spans="1:9">
      <c r="A118" s="439"/>
      <c r="B118" s="442"/>
      <c r="C118" s="440"/>
      <c r="D118" s="514"/>
    </row>
    <row r="119" spans="1:9">
      <c r="A119" s="439" t="s">
        <v>639</v>
      </c>
      <c r="B119" s="724">
        <f>'Consolidated IS'!C193</f>
        <v>14181.930000000002</v>
      </c>
      <c r="C119" s="444"/>
      <c r="D119" s="514"/>
    </row>
    <row r="120" spans="1:9">
      <c r="A120" s="439"/>
      <c r="B120" s="442"/>
      <c r="C120" s="440"/>
      <c r="D120" s="514"/>
    </row>
    <row r="121" spans="1:9">
      <c r="A121" s="445" t="s">
        <v>629</v>
      </c>
      <c r="B121" s="443">
        <f>B117-B119</f>
        <v>1175.2599999999857</v>
      </c>
      <c r="C121" s="427" t="s">
        <v>129</v>
      </c>
      <c r="D121" s="514"/>
    </row>
    <row r="122" spans="1:9">
      <c r="A122" s="445"/>
      <c r="B122" s="441"/>
      <c r="C122" s="446" t="s">
        <v>640</v>
      </c>
      <c r="D122" s="514"/>
    </row>
    <row r="125" spans="1:9">
      <c r="A125" s="407" t="s">
        <v>2110</v>
      </c>
      <c r="B125" s="407"/>
      <c r="C125" s="407"/>
      <c r="D125" s="407"/>
      <c r="E125" s="407"/>
      <c r="F125" s="407"/>
      <c r="G125" s="407"/>
      <c r="H125" s="407"/>
      <c r="I125" s="407"/>
    </row>
    <row r="126" spans="1:9">
      <c r="A126" s="1280"/>
    </row>
    <row r="127" spans="1:9">
      <c r="A127" s="512" t="s">
        <v>1390</v>
      </c>
      <c r="B127" s="1415">
        <f>'Mgmt Alloc In'!C25</f>
        <v>5454.0757480176189</v>
      </c>
      <c r="C127" s="427" t="s">
        <v>33</v>
      </c>
    </row>
    <row r="128" spans="1:9">
      <c r="A128" s="512" t="s">
        <v>641</v>
      </c>
      <c r="B128" s="1415">
        <f>'Mgmt Alloc In'!C26</f>
        <v>417.23679472334783</v>
      </c>
      <c r="C128" s="427" t="s">
        <v>33</v>
      </c>
    </row>
  </sheetData>
  <mergeCells count="2">
    <mergeCell ref="N5:X5"/>
    <mergeCell ref="E24:F24"/>
  </mergeCells>
  <pageMargins left="0.25" right="0.25" top="0.75" bottom="0.75" header="0.3" footer="0.3"/>
  <pageSetup scale="46" fitToWidth="2" fitToHeight="2" orientation="landscape" r:id="rId1"/>
  <rowBreaks count="1" manualBreakCount="1">
    <brk id="67" max="24" man="1"/>
  </rowBreaks>
  <colBreaks count="1" manualBreakCount="1">
    <brk id="11" max="129"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H57"/>
  <sheetViews>
    <sheetView showGridLines="0" view="pageBreakPreview" topLeftCell="A13" zoomScaleNormal="100" zoomScaleSheetLayoutView="100" workbookViewId="0">
      <selection activeCell="Q27" sqref="Q27"/>
    </sheetView>
  </sheetViews>
  <sheetFormatPr defaultRowHeight="12"/>
  <cols>
    <col min="1" max="1" width="25.28515625" style="247" customWidth="1"/>
    <col min="2" max="2" width="13" style="247" customWidth="1"/>
    <col min="3" max="3" width="14.7109375" style="247" customWidth="1"/>
    <col min="4" max="4" width="11.7109375" style="247" customWidth="1"/>
    <col min="5" max="5" width="5.42578125" style="247" customWidth="1"/>
    <col min="6" max="6" width="16.140625" style="247" customWidth="1"/>
    <col min="7" max="7" width="9.140625" style="247"/>
    <col min="8" max="8" width="1.5703125" style="958" customWidth="1"/>
    <col min="9" max="256" width="9.140625" style="247"/>
    <col min="257" max="257" width="19.140625" style="247" customWidth="1"/>
    <col min="258" max="258" width="13" style="247" customWidth="1"/>
    <col min="259" max="259" width="9.140625" style="247"/>
    <col min="260" max="260" width="11.7109375" style="247" customWidth="1"/>
    <col min="261" max="512" width="9.140625" style="247"/>
    <col min="513" max="513" width="19.140625" style="247" customWidth="1"/>
    <col min="514" max="514" width="13" style="247" customWidth="1"/>
    <col min="515" max="515" width="9.140625" style="247"/>
    <col min="516" max="516" width="11.7109375" style="247" customWidth="1"/>
    <col min="517" max="768" width="9.140625" style="247"/>
    <col min="769" max="769" width="19.140625" style="247" customWidth="1"/>
    <col min="770" max="770" width="13" style="247" customWidth="1"/>
    <col min="771" max="771" width="9.140625" style="247"/>
    <col min="772" max="772" width="11.7109375" style="247" customWidth="1"/>
    <col min="773" max="1024" width="9.140625" style="247"/>
    <col min="1025" max="1025" width="19.140625" style="247" customWidth="1"/>
    <col min="1026" max="1026" width="13" style="247" customWidth="1"/>
    <col min="1027" max="1027" width="9.140625" style="247"/>
    <col min="1028" max="1028" width="11.7109375" style="247" customWidth="1"/>
    <col min="1029" max="1280" width="9.140625" style="247"/>
    <col min="1281" max="1281" width="19.140625" style="247" customWidth="1"/>
    <col min="1282" max="1282" width="13" style="247" customWidth="1"/>
    <col min="1283" max="1283" width="9.140625" style="247"/>
    <col min="1284" max="1284" width="11.7109375" style="247" customWidth="1"/>
    <col min="1285" max="1536" width="9.140625" style="247"/>
    <col min="1537" max="1537" width="19.140625" style="247" customWidth="1"/>
    <col min="1538" max="1538" width="13" style="247" customWidth="1"/>
    <col min="1539" max="1539" width="9.140625" style="247"/>
    <col min="1540" max="1540" width="11.7109375" style="247" customWidth="1"/>
    <col min="1541" max="1792" width="9.140625" style="247"/>
    <col min="1793" max="1793" width="19.140625" style="247" customWidth="1"/>
    <col min="1794" max="1794" width="13" style="247" customWidth="1"/>
    <col min="1795" max="1795" width="9.140625" style="247"/>
    <col min="1796" max="1796" width="11.7109375" style="247" customWidth="1"/>
    <col min="1797" max="2048" width="9.140625" style="247"/>
    <col min="2049" max="2049" width="19.140625" style="247" customWidth="1"/>
    <col min="2050" max="2050" width="13" style="247" customWidth="1"/>
    <col min="2051" max="2051" width="9.140625" style="247"/>
    <col min="2052" max="2052" width="11.7109375" style="247" customWidth="1"/>
    <col min="2053" max="2304" width="9.140625" style="247"/>
    <col min="2305" max="2305" width="19.140625" style="247" customWidth="1"/>
    <col min="2306" max="2306" width="13" style="247" customWidth="1"/>
    <col min="2307" max="2307" width="9.140625" style="247"/>
    <col min="2308" max="2308" width="11.7109375" style="247" customWidth="1"/>
    <col min="2309" max="2560" width="9.140625" style="247"/>
    <col min="2561" max="2561" width="19.140625" style="247" customWidth="1"/>
    <col min="2562" max="2562" width="13" style="247" customWidth="1"/>
    <col min="2563" max="2563" width="9.140625" style="247"/>
    <col min="2564" max="2564" width="11.7109375" style="247" customWidth="1"/>
    <col min="2565" max="2816" width="9.140625" style="247"/>
    <col min="2817" max="2817" width="19.140625" style="247" customWidth="1"/>
    <col min="2818" max="2818" width="13" style="247" customWidth="1"/>
    <col min="2819" max="2819" width="9.140625" style="247"/>
    <col min="2820" max="2820" width="11.7109375" style="247" customWidth="1"/>
    <col min="2821" max="3072" width="9.140625" style="247"/>
    <col min="3073" max="3073" width="19.140625" style="247" customWidth="1"/>
    <col min="3074" max="3074" width="13" style="247" customWidth="1"/>
    <col min="3075" max="3075" width="9.140625" style="247"/>
    <col min="3076" max="3076" width="11.7109375" style="247" customWidth="1"/>
    <col min="3077" max="3328" width="9.140625" style="247"/>
    <col min="3329" max="3329" width="19.140625" style="247" customWidth="1"/>
    <col min="3330" max="3330" width="13" style="247" customWidth="1"/>
    <col min="3331" max="3331" width="9.140625" style="247"/>
    <col min="3332" max="3332" width="11.7109375" style="247" customWidth="1"/>
    <col min="3333" max="3584" width="9.140625" style="247"/>
    <col min="3585" max="3585" width="19.140625" style="247" customWidth="1"/>
    <col min="3586" max="3586" width="13" style="247" customWidth="1"/>
    <col min="3587" max="3587" width="9.140625" style="247"/>
    <col min="3588" max="3588" width="11.7109375" style="247" customWidth="1"/>
    <col min="3589" max="3840" width="9.140625" style="247"/>
    <col min="3841" max="3841" width="19.140625" style="247" customWidth="1"/>
    <col min="3842" max="3842" width="13" style="247" customWidth="1"/>
    <col min="3843" max="3843" width="9.140625" style="247"/>
    <col min="3844" max="3844" width="11.7109375" style="247" customWidth="1"/>
    <col min="3845" max="4096" width="9.140625" style="247"/>
    <col min="4097" max="4097" width="19.140625" style="247" customWidth="1"/>
    <col min="4098" max="4098" width="13" style="247" customWidth="1"/>
    <col min="4099" max="4099" width="9.140625" style="247"/>
    <col min="4100" max="4100" width="11.7109375" style="247" customWidth="1"/>
    <col min="4101" max="4352" width="9.140625" style="247"/>
    <col min="4353" max="4353" width="19.140625" style="247" customWidth="1"/>
    <col min="4354" max="4354" width="13" style="247" customWidth="1"/>
    <col min="4355" max="4355" width="9.140625" style="247"/>
    <col min="4356" max="4356" width="11.7109375" style="247" customWidth="1"/>
    <col min="4357" max="4608" width="9.140625" style="247"/>
    <col min="4609" max="4609" width="19.140625" style="247" customWidth="1"/>
    <col min="4610" max="4610" width="13" style="247" customWidth="1"/>
    <col min="4611" max="4611" width="9.140625" style="247"/>
    <col min="4612" max="4612" width="11.7109375" style="247" customWidth="1"/>
    <col min="4613" max="4864" width="9.140625" style="247"/>
    <col min="4865" max="4865" width="19.140625" style="247" customWidth="1"/>
    <col min="4866" max="4866" width="13" style="247" customWidth="1"/>
    <col min="4867" max="4867" width="9.140625" style="247"/>
    <col min="4868" max="4868" width="11.7109375" style="247" customWidth="1"/>
    <col min="4869" max="5120" width="9.140625" style="247"/>
    <col min="5121" max="5121" width="19.140625" style="247" customWidth="1"/>
    <col min="5122" max="5122" width="13" style="247" customWidth="1"/>
    <col min="5123" max="5123" width="9.140625" style="247"/>
    <col min="5124" max="5124" width="11.7109375" style="247" customWidth="1"/>
    <col min="5125" max="5376" width="9.140625" style="247"/>
    <col min="5377" max="5377" width="19.140625" style="247" customWidth="1"/>
    <col min="5378" max="5378" width="13" style="247" customWidth="1"/>
    <col min="5379" max="5379" width="9.140625" style="247"/>
    <col min="5380" max="5380" width="11.7109375" style="247" customWidth="1"/>
    <col min="5381" max="5632" width="9.140625" style="247"/>
    <col min="5633" max="5633" width="19.140625" style="247" customWidth="1"/>
    <col min="5634" max="5634" width="13" style="247" customWidth="1"/>
    <col min="5635" max="5635" width="9.140625" style="247"/>
    <col min="5636" max="5636" width="11.7109375" style="247" customWidth="1"/>
    <col min="5637" max="5888" width="9.140625" style="247"/>
    <col min="5889" max="5889" width="19.140625" style="247" customWidth="1"/>
    <col min="5890" max="5890" width="13" style="247" customWidth="1"/>
    <col min="5891" max="5891" width="9.140625" style="247"/>
    <col min="5892" max="5892" width="11.7109375" style="247" customWidth="1"/>
    <col min="5893" max="6144" width="9.140625" style="247"/>
    <col min="6145" max="6145" width="19.140625" style="247" customWidth="1"/>
    <col min="6146" max="6146" width="13" style="247" customWidth="1"/>
    <col min="6147" max="6147" width="9.140625" style="247"/>
    <col min="6148" max="6148" width="11.7109375" style="247" customWidth="1"/>
    <col min="6149" max="6400" width="9.140625" style="247"/>
    <col min="6401" max="6401" width="19.140625" style="247" customWidth="1"/>
    <col min="6402" max="6402" width="13" style="247" customWidth="1"/>
    <col min="6403" max="6403" width="9.140625" style="247"/>
    <col min="6404" max="6404" width="11.7109375" style="247" customWidth="1"/>
    <col min="6405" max="6656" width="9.140625" style="247"/>
    <col min="6657" max="6657" width="19.140625" style="247" customWidth="1"/>
    <col min="6658" max="6658" width="13" style="247" customWidth="1"/>
    <col min="6659" max="6659" width="9.140625" style="247"/>
    <col min="6660" max="6660" width="11.7109375" style="247" customWidth="1"/>
    <col min="6661" max="6912" width="9.140625" style="247"/>
    <col min="6913" max="6913" width="19.140625" style="247" customWidth="1"/>
    <col min="6914" max="6914" width="13" style="247" customWidth="1"/>
    <col min="6915" max="6915" width="9.140625" style="247"/>
    <col min="6916" max="6916" width="11.7109375" style="247" customWidth="1"/>
    <col min="6917" max="7168" width="9.140625" style="247"/>
    <col min="7169" max="7169" width="19.140625" style="247" customWidth="1"/>
    <col min="7170" max="7170" width="13" style="247" customWidth="1"/>
    <col min="7171" max="7171" width="9.140625" style="247"/>
    <col min="7172" max="7172" width="11.7109375" style="247" customWidth="1"/>
    <col min="7173" max="7424" width="9.140625" style="247"/>
    <col min="7425" max="7425" width="19.140625" style="247" customWidth="1"/>
    <col min="7426" max="7426" width="13" style="247" customWidth="1"/>
    <col min="7427" max="7427" width="9.140625" style="247"/>
    <col min="7428" max="7428" width="11.7109375" style="247" customWidth="1"/>
    <col min="7429" max="7680" width="9.140625" style="247"/>
    <col min="7681" max="7681" width="19.140625" style="247" customWidth="1"/>
    <col min="7682" max="7682" width="13" style="247" customWidth="1"/>
    <col min="7683" max="7683" width="9.140625" style="247"/>
    <col min="7684" max="7684" width="11.7109375" style="247" customWidth="1"/>
    <col min="7685" max="7936" width="9.140625" style="247"/>
    <col min="7937" max="7937" width="19.140625" style="247" customWidth="1"/>
    <col min="7938" max="7938" width="13" style="247" customWidth="1"/>
    <col min="7939" max="7939" width="9.140625" style="247"/>
    <col min="7940" max="7940" width="11.7109375" style="247" customWidth="1"/>
    <col min="7941" max="8192" width="9.140625" style="247"/>
    <col min="8193" max="8193" width="19.140625" style="247" customWidth="1"/>
    <col min="8194" max="8194" width="13" style="247" customWidth="1"/>
    <col min="8195" max="8195" width="9.140625" style="247"/>
    <col min="8196" max="8196" width="11.7109375" style="247" customWidth="1"/>
    <col min="8197" max="8448" width="9.140625" style="247"/>
    <col min="8449" max="8449" width="19.140625" style="247" customWidth="1"/>
    <col min="8450" max="8450" width="13" style="247" customWidth="1"/>
    <col min="8451" max="8451" width="9.140625" style="247"/>
    <col min="8452" max="8452" width="11.7109375" style="247" customWidth="1"/>
    <col min="8453" max="8704" width="9.140625" style="247"/>
    <col min="8705" max="8705" width="19.140625" style="247" customWidth="1"/>
    <col min="8706" max="8706" width="13" style="247" customWidth="1"/>
    <col min="8707" max="8707" width="9.140625" style="247"/>
    <col min="8708" max="8708" width="11.7109375" style="247" customWidth="1"/>
    <col min="8709" max="8960" width="9.140625" style="247"/>
    <col min="8961" max="8961" width="19.140625" style="247" customWidth="1"/>
    <col min="8962" max="8962" width="13" style="247" customWidth="1"/>
    <col min="8963" max="8963" width="9.140625" style="247"/>
    <col min="8964" max="8964" width="11.7109375" style="247" customWidth="1"/>
    <col min="8965" max="9216" width="9.140625" style="247"/>
    <col min="9217" max="9217" width="19.140625" style="247" customWidth="1"/>
    <col min="9218" max="9218" width="13" style="247" customWidth="1"/>
    <col min="9219" max="9219" width="9.140625" style="247"/>
    <col min="9220" max="9220" width="11.7109375" style="247" customWidth="1"/>
    <col min="9221" max="9472" width="9.140625" style="247"/>
    <col min="9473" max="9473" width="19.140625" style="247" customWidth="1"/>
    <col min="9474" max="9474" width="13" style="247" customWidth="1"/>
    <col min="9475" max="9475" width="9.140625" style="247"/>
    <col min="9476" max="9476" width="11.7109375" style="247" customWidth="1"/>
    <col min="9477" max="9728" width="9.140625" style="247"/>
    <col min="9729" max="9729" width="19.140625" style="247" customWidth="1"/>
    <col min="9730" max="9730" width="13" style="247" customWidth="1"/>
    <col min="9731" max="9731" width="9.140625" style="247"/>
    <col min="9732" max="9732" width="11.7109375" style="247" customWidth="1"/>
    <col min="9733" max="9984" width="9.140625" style="247"/>
    <col min="9985" max="9985" width="19.140625" style="247" customWidth="1"/>
    <col min="9986" max="9986" width="13" style="247" customWidth="1"/>
    <col min="9987" max="9987" width="9.140625" style="247"/>
    <col min="9988" max="9988" width="11.7109375" style="247" customWidth="1"/>
    <col min="9989" max="10240" width="9.140625" style="247"/>
    <col min="10241" max="10241" width="19.140625" style="247" customWidth="1"/>
    <col min="10242" max="10242" width="13" style="247" customWidth="1"/>
    <col min="10243" max="10243" width="9.140625" style="247"/>
    <col min="10244" max="10244" width="11.7109375" style="247" customWidth="1"/>
    <col min="10245" max="10496" width="9.140625" style="247"/>
    <col min="10497" max="10497" width="19.140625" style="247" customWidth="1"/>
    <col min="10498" max="10498" width="13" style="247" customWidth="1"/>
    <col min="10499" max="10499" width="9.140625" style="247"/>
    <col min="10500" max="10500" width="11.7109375" style="247" customWidth="1"/>
    <col min="10501" max="10752" width="9.140625" style="247"/>
    <col min="10753" max="10753" width="19.140625" style="247" customWidth="1"/>
    <col min="10754" max="10754" width="13" style="247" customWidth="1"/>
    <col min="10755" max="10755" width="9.140625" style="247"/>
    <col min="10756" max="10756" width="11.7109375" style="247" customWidth="1"/>
    <col min="10757" max="11008" width="9.140625" style="247"/>
    <col min="11009" max="11009" width="19.140625" style="247" customWidth="1"/>
    <col min="11010" max="11010" width="13" style="247" customWidth="1"/>
    <col min="11011" max="11011" width="9.140625" style="247"/>
    <col min="11012" max="11012" width="11.7109375" style="247" customWidth="1"/>
    <col min="11013" max="11264" width="9.140625" style="247"/>
    <col min="11265" max="11265" width="19.140625" style="247" customWidth="1"/>
    <col min="11266" max="11266" width="13" style="247" customWidth="1"/>
    <col min="11267" max="11267" width="9.140625" style="247"/>
    <col min="11268" max="11268" width="11.7109375" style="247" customWidth="1"/>
    <col min="11269" max="11520" width="9.140625" style="247"/>
    <col min="11521" max="11521" width="19.140625" style="247" customWidth="1"/>
    <col min="11522" max="11522" width="13" style="247" customWidth="1"/>
    <col min="11523" max="11523" width="9.140625" style="247"/>
    <col min="11524" max="11524" width="11.7109375" style="247" customWidth="1"/>
    <col min="11525" max="11776" width="9.140625" style="247"/>
    <col min="11777" max="11777" width="19.140625" style="247" customWidth="1"/>
    <col min="11778" max="11778" width="13" style="247" customWidth="1"/>
    <col min="11779" max="11779" width="9.140625" style="247"/>
    <col min="11780" max="11780" width="11.7109375" style="247" customWidth="1"/>
    <col min="11781" max="12032" width="9.140625" style="247"/>
    <col min="12033" max="12033" width="19.140625" style="247" customWidth="1"/>
    <col min="12034" max="12034" width="13" style="247" customWidth="1"/>
    <col min="12035" max="12035" width="9.140625" style="247"/>
    <col min="12036" max="12036" width="11.7109375" style="247" customWidth="1"/>
    <col min="12037" max="12288" width="9.140625" style="247"/>
    <col min="12289" max="12289" width="19.140625" style="247" customWidth="1"/>
    <col min="12290" max="12290" width="13" style="247" customWidth="1"/>
    <col min="12291" max="12291" width="9.140625" style="247"/>
    <col min="12292" max="12292" width="11.7109375" style="247" customWidth="1"/>
    <col min="12293" max="12544" width="9.140625" style="247"/>
    <col min="12545" max="12545" width="19.140625" style="247" customWidth="1"/>
    <col min="12546" max="12546" width="13" style="247" customWidth="1"/>
    <col min="12547" max="12547" width="9.140625" style="247"/>
    <col min="12548" max="12548" width="11.7109375" style="247" customWidth="1"/>
    <col min="12549" max="12800" width="9.140625" style="247"/>
    <col min="12801" max="12801" width="19.140625" style="247" customWidth="1"/>
    <col min="12802" max="12802" width="13" style="247" customWidth="1"/>
    <col min="12803" max="12803" width="9.140625" style="247"/>
    <col min="12804" max="12804" width="11.7109375" style="247" customWidth="1"/>
    <col min="12805" max="13056" width="9.140625" style="247"/>
    <col min="13057" max="13057" width="19.140625" style="247" customWidth="1"/>
    <col min="13058" max="13058" width="13" style="247" customWidth="1"/>
    <col min="13059" max="13059" width="9.140625" style="247"/>
    <col min="13060" max="13060" width="11.7109375" style="247" customWidth="1"/>
    <col min="13061" max="13312" width="9.140625" style="247"/>
    <col min="13313" max="13313" width="19.140625" style="247" customWidth="1"/>
    <col min="13314" max="13314" width="13" style="247" customWidth="1"/>
    <col min="13315" max="13315" width="9.140625" style="247"/>
    <col min="13316" max="13316" width="11.7109375" style="247" customWidth="1"/>
    <col min="13317" max="13568" width="9.140625" style="247"/>
    <col min="13569" max="13569" width="19.140625" style="247" customWidth="1"/>
    <col min="13570" max="13570" width="13" style="247" customWidth="1"/>
    <col min="13571" max="13571" width="9.140625" style="247"/>
    <col min="13572" max="13572" width="11.7109375" style="247" customWidth="1"/>
    <col min="13573" max="13824" width="9.140625" style="247"/>
    <col min="13825" max="13825" width="19.140625" style="247" customWidth="1"/>
    <col min="13826" max="13826" width="13" style="247" customWidth="1"/>
    <col min="13827" max="13827" width="9.140625" style="247"/>
    <col min="13828" max="13828" width="11.7109375" style="247" customWidth="1"/>
    <col min="13829" max="14080" width="9.140625" style="247"/>
    <col min="14081" max="14081" width="19.140625" style="247" customWidth="1"/>
    <col min="14082" max="14082" width="13" style="247" customWidth="1"/>
    <col min="14083" max="14083" width="9.140625" style="247"/>
    <col min="14084" max="14084" width="11.7109375" style="247" customWidth="1"/>
    <col min="14085" max="14336" width="9.140625" style="247"/>
    <col min="14337" max="14337" width="19.140625" style="247" customWidth="1"/>
    <col min="14338" max="14338" width="13" style="247" customWidth="1"/>
    <col min="14339" max="14339" width="9.140625" style="247"/>
    <col min="14340" max="14340" width="11.7109375" style="247" customWidth="1"/>
    <col min="14341" max="14592" width="9.140625" style="247"/>
    <col min="14593" max="14593" width="19.140625" style="247" customWidth="1"/>
    <col min="14594" max="14594" width="13" style="247" customWidth="1"/>
    <col min="14595" max="14595" width="9.140625" style="247"/>
    <col min="14596" max="14596" width="11.7109375" style="247" customWidth="1"/>
    <col min="14597" max="14848" width="9.140625" style="247"/>
    <col min="14849" max="14849" width="19.140625" style="247" customWidth="1"/>
    <col min="14850" max="14850" width="13" style="247" customWidth="1"/>
    <col min="14851" max="14851" width="9.140625" style="247"/>
    <col min="14852" max="14852" width="11.7109375" style="247" customWidth="1"/>
    <col min="14853" max="15104" width="9.140625" style="247"/>
    <col min="15105" max="15105" width="19.140625" style="247" customWidth="1"/>
    <col min="15106" max="15106" width="13" style="247" customWidth="1"/>
    <col min="15107" max="15107" width="9.140625" style="247"/>
    <col min="15108" max="15108" width="11.7109375" style="247" customWidth="1"/>
    <col min="15109" max="15360" width="9.140625" style="247"/>
    <col min="15361" max="15361" width="19.140625" style="247" customWidth="1"/>
    <col min="15362" max="15362" width="13" style="247" customWidth="1"/>
    <col min="15363" max="15363" width="9.140625" style="247"/>
    <col min="15364" max="15364" width="11.7109375" style="247" customWidth="1"/>
    <col min="15365" max="15616" width="9.140625" style="247"/>
    <col min="15617" max="15617" width="19.140625" style="247" customWidth="1"/>
    <col min="15618" max="15618" width="13" style="247" customWidth="1"/>
    <col min="15619" max="15619" width="9.140625" style="247"/>
    <col min="15620" max="15620" width="11.7109375" style="247" customWidth="1"/>
    <col min="15621" max="15872" width="9.140625" style="247"/>
    <col min="15873" max="15873" width="19.140625" style="247" customWidth="1"/>
    <col min="15874" max="15874" width="13" style="247" customWidth="1"/>
    <col min="15875" max="15875" width="9.140625" style="247"/>
    <col min="15876" max="15876" width="11.7109375" style="247" customWidth="1"/>
    <col min="15877" max="16128" width="9.140625" style="247"/>
    <col min="16129" max="16129" width="19.140625" style="247" customWidth="1"/>
    <col min="16130" max="16130" width="13" style="247" customWidth="1"/>
    <col min="16131" max="16131" width="9.140625" style="247"/>
    <col min="16132" max="16132" width="11.7109375" style="247" customWidth="1"/>
    <col min="16133" max="16384" width="9.140625" style="247"/>
  </cols>
  <sheetData>
    <row r="1" spans="1:7" ht="12.75">
      <c r="A1" s="246" t="s">
        <v>594</v>
      </c>
    </row>
    <row r="2" spans="1:7" ht="12.75">
      <c r="A2" s="248" t="s">
        <v>406</v>
      </c>
    </row>
    <row r="3" spans="1:7" ht="12.75">
      <c r="A3" s="248" t="s">
        <v>405</v>
      </c>
    </row>
    <row r="4" spans="1:7" s="958" customFormat="1"/>
    <row r="5" spans="1:7">
      <c r="A5" s="249" t="s">
        <v>642</v>
      </c>
      <c r="B5" s="250"/>
      <c r="C5" s="250"/>
      <c r="D5" s="250"/>
      <c r="E5" s="250"/>
      <c r="F5" s="250"/>
      <c r="G5" s="250"/>
    </row>
    <row r="6" spans="1:7">
      <c r="A6" s="251" t="s">
        <v>1570</v>
      </c>
      <c r="B6" s="252"/>
      <c r="C6" s="252"/>
      <c r="D6" s="252"/>
      <c r="E6" s="252"/>
      <c r="F6" s="252"/>
      <c r="G6" s="252"/>
    </row>
    <row r="7" spans="1:7">
      <c r="A7" s="253" t="s">
        <v>644</v>
      </c>
      <c r="B7" s="254"/>
      <c r="C7" s="254"/>
      <c r="D7" s="255"/>
      <c r="E7" s="255"/>
      <c r="F7" s="255"/>
      <c r="G7" s="255"/>
    </row>
    <row r="8" spans="1:7">
      <c r="A8" s="955" t="s">
        <v>623</v>
      </c>
      <c r="B8" s="956">
        <f>'Empire Payroll'!AD29</f>
        <v>16523.8378260141</v>
      </c>
      <c r="C8" s="957"/>
    </row>
    <row r="9" spans="1:7">
      <c r="A9" s="955" t="s">
        <v>624</v>
      </c>
      <c r="B9" s="956">
        <f>'Empire Payroll'!AD37</f>
        <v>4639.4938709361822</v>
      </c>
      <c r="C9" s="957"/>
    </row>
    <row r="10" spans="1:7">
      <c r="A10" s="955" t="s">
        <v>645</v>
      </c>
      <c r="B10" s="956">
        <f>'Empire Payroll'!AD60</f>
        <v>1767.4004529109586</v>
      </c>
      <c r="C10" s="957"/>
    </row>
    <row r="11" spans="1:7">
      <c r="A11" s="955" t="s">
        <v>646</v>
      </c>
      <c r="B11" s="956">
        <f>'Empire Payroll'!AD53</f>
        <v>1050.6793578387837</v>
      </c>
      <c r="C11" s="957"/>
    </row>
    <row r="12" spans="1:7">
      <c r="A12" s="955"/>
      <c r="B12" s="956"/>
      <c r="C12" s="957"/>
    </row>
    <row r="13" spans="1:7">
      <c r="A13" s="256" t="s">
        <v>26</v>
      </c>
      <c r="B13" s="259">
        <f>SUM(B8:B11)</f>
        <v>23981.411507700024</v>
      </c>
      <c r="C13" s="261" t="s">
        <v>643</v>
      </c>
    </row>
    <row r="14" spans="1:7">
      <c r="A14" s="256"/>
      <c r="B14" s="258"/>
      <c r="C14" s="258"/>
    </row>
    <row r="15" spans="1:7">
      <c r="A15" s="253" t="s">
        <v>647</v>
      </c>
      <c r="B15" s="254"/>
      <c r="C15" s="254"/>
      <c r="D15" s="260"/>
      <c r="E15" s="260"/>
      <c r="F15" s="260"/>
      <c r="G15" s="260"/>
    </row>
    <row r="16" spans="1:7">
      <c r="A16" s="955" t="s">
        <v>623</v>
      </c>
      <c r="B16" s="956">
        <f>B8*0.0765</f>
        <v>1264.0735936900787</v>
      </c>
      <c r="C16" s="956"/>
    </row>
    <row r="17" spans="1:7">
      <c r="A17" s="955" t="s">
        <v>624</v>
      </c>
      <c r="B17" s="956">
        <f>B9*0.0765</f>
        <v>354.92128112661794</v>
      </c>
      <c r="C17" s="956"/>
    </row>
    <row r="18" spans="1:7">
      <c r="A18" s="955" t="s">
        <v>645</v>
      </c>
      <c r="B18" s="956">
        <f>B10*0.0765</f>
        <v>135.20613464768834</v>
      </c>
      <c r="C18" s="956"/>
    </row>
    <row r="19" spans="1:7">
      <c r="A19" s="955" t="s">
        <v>646</v>
      </c>
      <c r="B19" s="956">
        <f>B11*0.0765</f>
        <v>80.376970874666952</v>
      </c>
      <c r="C19" s="956"/>
    </row>
    <row r="20" spans="1:7">
      <c r="A20" s="955"/>
      <c r="B20" s="956"/>
      <c r="C20" s="956"/>
    </row>
    <row r="21" spans="1:7">
      <c r="A21" s="256" t="s">
        <v>26</v>
      </c>
      <c r="B21" s="259">
        <f>SUM(B16:B19)</f>
        <v>1834.5779803390519</v>
      </c>
      <c r="C21" s="261" t="s">
        <v>643</v>
      </c>
    </row>
    <row r="22" spans="1:7" ht="13.5" customHeight="1">
      <c r="A22" s="256"/>
      <c r="B22" s="262"/>
      <c r="C22" s="257"/>
    </row>
    <row r="23" spans="1:7">
      <c r="A23" s="256"/>
      <c r="B23" s="262"/>
      <c r="C23" s="257"/>
    </row>
    <row r="24" spans="1:7" ht="12.75" thickBot="1">
      <c r="A24" s="263" t="s">
        <v>648</v>
      </c>
      <c r="B24" s="264">
        <f>B13+B21</f>
        <v>25815.989488039075</v>
      </c>
      <c r="C24" s="261" t="s">
        <v>643</v>
      </c>
    </row>
    <row r="25" spans="1:7" ht="12.75" thickTop="1">
      <c r="A25" s="265"/>
    </row>
    <row r="26" spans="1:7">
      <c r="A26" s="266" t="s">
        <v>649</v>
      </c>
      <c r="B26" s="250"/>
      <c r="C26" s="250"/>
      <c r="D26" s="250"/>
      <c r="E26" s="250"/>
      <c r="F26" s="250"/>
      <c r="G26" s="250"/>
    </row>
    <row r="27" spans="1:7">
      <c r="A27" s="267" t="s">
        <v>1571</v>
      </c>
      <c r="B27" s="252"/>
      <c r="C27" s="252"/>
      <c r="D27" s="252"/>
      <c r="E27" s="252"/>
      <c r="F27" s="252"/>
      <c r="G27" s="252"/>
    </row>
    <row r="28" spans="1:7">
      <c r="A28" s="253"/>
      <c r="B28" s="254"/>
      <c r="C28" s="254"/>
      <c r="D28" s="260"/>
      <c r="E28" s="260"/>
      <c r="F28" s="260"/>
      <c r="G28" s="260"/>
    </row>
    <row r="29" spans="1:7" ht="15">
      <c r="A29" s="1012"/>
      <c r="B29" s="1009" t="s">
        <v>1456</v>
      </c>
      <c r="C29" s="1012"/>
      <c r="D29" s="1005"/>
      <c r="E29" s="1004"/>
      <c r="F29" s="1004"/>
      <c r="G29" s="1004"/>
    </row>
    <row r="30" spans="1:7" ht="15">
      <c r="A30" s="1003" t="s">
        <v>1572</v>
      </c>
      <c r="B30" s="956">
        <f>Ratios!E24+Ratios!E25</f>
        <v>5403.1741774885868</v>
      </c>
      <c r="C30" s="1012"/>
      <c r="D30" s="1005"/>
      <c r="E30" s="1004"/>
      <c r="F30" s="1004"/>
      <c r="G30" s="1004"/>
    </row>
    <row r="31" spans="1:7" ht="15">
      <c r="A31" s="1003" t="s">
        <v>1573</v>
      </c>
      <c r="B31" s="956">
        <f>Ratios!E27</f>
        <v>40.208416833667336</v>
      </c>
      <c r="C31" s="1012"/>
      <c r="D31" s="1005"/>
      <c r="E31" s="1004"/>
      <c r="F31" s="1004"/>
      <c r="G31" s="1004"/>
    </row>
    <row r="32" spans="1:7" ht="15">
      <c r="A32" s="1003" t="s">
        <v>332</v>
      </c>
      <c r="B32" s="1002">
        <f>Ratios!E26</f>
        <v>11.933800127045412</v>
      </c>
      <c r="C32" s="1012"/>
      <c r="D32" s="1005"/>
      <c r="E32" s="1004"/>
      <c r="F32" s="1004"/>
      <c r="G32" s="1004"/>
    </row>
    <row r="33" spans="1:7" ht="15">
      <c r="A33" s="1003"/>
      <c r="B33" s="956">
        <f>SUM(B30:B32)</f>
        <v>5455.316394449299</v>
      </c>
      <c r="C33" s="1012"/>
      <c r="D33" s="1005"/>
      <c r="E33" s="1004"/>
      <c r="F33" s="1004"/>
      <c r="G33" s="1004"/>
    </row>
    <row r="34" spans="1:7" ht="15">
      <c r="A34" s="1003" t="s">
        <v>1434</v>
      </c>
      <c r="B34" s="1001">
        <v>0.6</v>
      </c>
      <c r="C34" s="1012"/>
      <c r="D34" s="1005"/>
      <c r="E34" s="1004"/>
      <c r="F34" s="1004"/>
      <c r="G34" s="1004"/>
    </row>
    <row r="35" spans="1:7" ht="15">
      <c r="A35" s="1003" t="s">
        <v>650</v>
      </c>
      <c r="B35" s="1370">
        <f>B33*B34</f>
        <v>3273.1898366695791</v>
      </c>
      <c r="C35" s="1012"/>
      <c r="D35" s="1005"/>
      <c r="E35" s="1004"/>
      <c r="F35" s="1004"/>
      <c r="G35" s="1004"/>
    </row>
    <row r="36" spans="1:7">
      <c r="A36" s="1003" t="s">
        <v>616</v>
      </c>
      <c r="B36" s="1371">
        <f>B35/2</f>
        <v>1636.5949183347896</v>
      </c>
      <c r="C36" s="1010" t="s">
        <v>2088</v>
      </c>
      <c r="D36" s="1005"/>
      <c r="E36" s="1004"/>
      <c r="F36" s="1004"/>
      <c r="G36" s="1004"/>
    </row>
    <row r="37" spans="1:7">
      <c r="A37" s="1004"/>
      <c r="B37" s="1005"/>
      <c r="C37" s="261" t="s">
        <v>2095</v>
      </c>
      <c r="D37" s="1005"/>
      <c r="E37" s="1004"/>
      <c r="F37" s="1004"/>
      <c r="G37" s="1004"/>
    </row>
    <row r="38" spans="1:7">
      <c r="A38" s="1004"/>
      <c r="B38" s="1005"/>
      <c r="C38" s="1005"/>
      <c r="D38" s="1005"/>
      <c r="E38" s="1004"/>
      <c r="F38" s="1004"/>
      <c r="G38" s="1004"/>
    </row>
    <row r="39" spans="1:7">
      <c r="A39" s="266" t="s">
        <v>2089</v>
      </c>
      <c r="B39" s="250"/>
      <c r="C39" s="250"/>
      <c r="D39" s="250"/>
      <c r="E39" s="250"/>
      <c r="F39" s="250"/>
      <c r="G39" s="250"/>
    </row>
    <row r="40" spans="1:7">
      <c r="A40" s="267" t="s">
        <v>2090</v>
      </c>
      <c r="B40" s="252"/>
      <c r="C40" s="252"/>
      <c r="D40" s="252"/>
      <c r="E40" s="252"/>
      <c r="F40" s="252"/>
      <c r="G40" s="252"/>
    </row>
    <row r="41" spans="1:7">
      <c r="A41" s="253"/>
      <c r="B41" s="254"/>
      <c r="C41" s="254"/>
      <c r="D41" s="260"/>
      <c r="E41" s="260"/>
      <c r="F41" s="260"/>
      <c r="G41" s="260"/>
    </row>
    <row r="42" spans="1:7">
      <c r="A42" s="269"/>
      <c r="B42" s="270"/>
      <c r="C42" s="272"/>
    </row>
    <row r="43" spans="1:7">
      <c r="A43" s="269" t="s">
        <v>2091</v>
      </c>
      <c r="B43" s="1381">
        <f>'Consolidated IS'!C89</f>
        <v>180723.52000000002</v>
      </c>
      <c r="C43" s="272"/>
    </row>
    <row r="44" spans="1:7">
      <c r="A44" s="242" t="s">
        <v>2092</v>
      </c>
      <c r="B44" s="1382">
        <f>'IS End 1.31.18'!AE111</f>
        <v>184005.63000000003</v>
      </c>
      <c r="C44" s="272"/>
    </row>
    <row r="45" spans="1:7">
      <c r="A45" s="263" t="s">
        <v>2094</v>
      </c>
      <c r="B45" s="270">
        <f>B44-B43</f>
        <v>3282.1100000000151</v>
      </c>
      <c r="C45" s="261" t="s">
        <v>2096</v>
      </c>
    </row>
    <row r="46" spans="1:7">
      <c r="A46" s="269"/>
      <c r="B46" s="270"/>
      <c r="C46" s="272"/>
    </row>
    <row r="47" spans="1:7">
      <c r="A47" s="269"/>
      <c r="B47" s="270"/>
      <c r="C47" s="272"/>
    </row>
    <row r="48" spans="1:7">
      <c r="A48" s="265"/>
      <c r="B48" s="270"/>
      <c r="C48" s="271"/>
    </row>
    <row r="49" spans="1:5">
      <c r="A49" s="265"/>
      <c r="B49" s="270"/>
      <c r="C49" s="272"/>
      <c r="E49" s="273"/>
    </row>
    <row r="50" spans="1:5">
      <c r="A50" s="265"/>
      <c r="B50" s="270"/>
      <c r="C50" s="272"/>
    </row>
    <row r="51" spans="1:5">
      <c r="A51" s="265"/>
      <c r="B51" s="270"/>
      <c r="C51" s="272"/>
      <c r="E51" s="274"/>
    </row>
    <row r="52" spans="1:5">
      <c r="A52" s="265"/>
      <c r="B52" s="270"/>
      <c r="C52" s="272"/>
      <c r="E52" s="274"/>
    </row>
    <row r="53" spans="1:5">
      <c r="A53" s="265"/>
      <c r="B53" s="270"/>
      <c r="C53" s="272"/>
      <c r="E53" s="274"/>
    </row>
    <row r="54" spans="1:5">
      <c r="A54" s="265"/>
      <c r="B54" s="270"/>
      <c r="C54" s="272"/>
      <c r="E54" s="274"/>
    </row>
    <row r="55" spans="1:5">
      <c r="A55" s="265"/>
      <c r="B55" s="270"/>
      <c r="C55" s="275"/>
      <c r="D55" s="268"/>
      <c r="E55" s="274"/>
    </row>
    <row r="57" spans="1:5">
      <c r="A57" s="256"/>
      <c r="B57" s="256"/>
      <c r="C57" s="256"/>
      <c r="D57" s="256"/>
      <c r="E57" s="256"/>
    </row>
  </sheetData>
  <pageMargins left="0.25" right="0.25" top="0.75" bottom="0.75" header="0.3" footer="0.3"/>
  <pageSetup fitToHeight="2"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90"/>
  <sheetViews>
    <sheetView showGridLines="0" view="pageBreakPreview" zoomScale="85" zoomScaleNormal="100" zoomScaleSheetLayoutView="85" workbookViewId="0">
      <selection activeCell="Q27" sqref="Q27"/>
    </sheetView>
  </sheetViews>
  <sheetFormatPr defaultRowHeight="15"/>
  <cols>
    <col min="1" max="1" width="20.28515625" customWidth="1"/>
    <col min="2" max="15" width="11.42578125" customWidth="1"/>
    <col min="17" max="17" width="8" customWidth="1"/>
    <col min="18" max="18" width="5.28515625" customWidth="1"/>
  </cols>
  <sheetData>
    <row r="1" spans="1:18">
      <c r="A1" s="191" t="s">
        <v>324</v>
      </c>
    </row>
    <row r="2" spans="1:18">
      <c r="A2" s="191" t="s">
        <v>406</v>
      </c>
    </row>
    <row r="3" spans="1:18">
      <c r="A3" s="546" t="s">
        <v>1909</v>
      </c>
      <c r="B3" s="517"/>
    </row>
    <row r="4" spans="1:18" ht="9.75" customHeight="1"/>
    <row r="5" spans="1:18" ht="10.5" customHeight="1"/>
    <row r="6" spans="1:18">
      <c r="A6" s="201" t="s">
        <v>407</v>
      </c>
      <c r="B6" s="201"/>
      <c r="C6" s="201"/>
      <c r="D6" s="201"/>
      <c r="E6" s="201"/>
      <c r="F6" s="201"/>
      <c r="G6" s="201"/>
      <c r="H6" s="201"/>
      <c r="I6" s="201"/>
      <c r="J6" s="201"/>
      <c r="K6" s="201"/>
      <c r="L6" s="201"/>
      <c r="M6" s="201"/>
      <c r="N6" s="201"/>
      <c r="O6" s="407"/>
      <c r="P6" s="407"/>
      <c r="Q6" s="407"/>
      <c r="R6" s="407"/>
    </row>
    <row r="8" spans="1:18" ht="45">
      <c r="B8" s="188" t="s">
        <v>408</v>
      </c>
      <c r="C8" s="188" t="s">
        <v>409</v>
      </c>
      <c r="D8" s="188" t="s">
        <v>330</v>
      </c>
      <c r="E8" s="188" t="s">
        <v>410</v>
      </c>
      <c r="F8" s="188" t="s">
        <v>411</v>
      </c>
      <c r="G8" s="188" t="s">
        <v>26</v>
      </c>
      <c r="J8" s="202" t="s">
        <v>412</v>
      </c>
    </row>
    <row r="9" spans="1:18">
      <c r="A9" s="203" t="s">
        <v>413</v>
      </c>
      <c r="B9" s="447">
        <f>'Spokane Reg - Price out'!K33</f>
        <v>1205.2666702232293</v>
      </c>
      <c r="C9" s="447">
        <f>'Whitman Reg - Price Out'!G38</f>
        <v>3350.164817567867</v>
      </c>
      <c r="D9" s="447"/>
      <c r="E9" s="187">
        <f>B9+C9+D9</f>
        <v>4555.4314877910965</v>
      </c>
      <c r="F9" s="447">
        <f>O24</f>
        <v>666.1415348799045</v>
      </c>
      <c r="G9" s="187">
        <f>E9+F9</f>
        <v>5221.5730226710011</v>
      </c>
      <c r="I9" s="203" t="s">
        <v>414</v>
      </c>
      <c r="J9" s="189">
        <f>(E9+E11+E14)/SUM(E9:E11,E14)</f>
        <v>0.99262949865298755</v>
      </c>
    </row>
    <row r="10" spans="1:18">
      <c r="A10" s="203" t="s">
        <v>415</v>
      </c>
      <c r="B10" s="447"/>
      <c r="C10" s="447">
        <f>'Whitman Reg - Price Out'!G41</f>
        <v>40.208416833667336</v>
      </c>
      <c r="D10" s="447"/>
      <c r="E10" s="187">
        <f t="shared" ref="E10:E15" si="0">B10+C10+D10</f>
        <v>40.208416833667336</v>
      </c>
      <c r="F10" s="447"/>
      <c r="G10" s="187">
        <f>E10+F10</f>
        <v>40.208416833667336</v>
      </c>
      <c r="I10" s="203" t="s">
        <v>328</v>
      </c>
      <c r="J10" s="189">
        <f>E10/SUM(E9:E11,E14)</f>
        <v>7.3705013470123891E-3</v>
      </c>
    </row>
    <row r="11" spans="1:18">
      <c r="A11" s="203" t="s">
        <v>416</v>
      </c>
      <c r="B11" s="447">
        <f>'Spokane Reg - Price out'!K80</f>
        <v>85.114232507318619</v>
      </c>
      <c r="C11" s="447">
        <f>'Whitman Reg - Price Out'!G131</f>
        <v>762.62845719017207</v>
      </c>
      <c r="D11" s="447"/>
      <c r="E11" s="187">
        <f t="shared" si="0"/>
        <v>847.74268969749073</v>
      </c>
      <c r="F11" s="447">
        <f>O25</f>
        <v>78.121922500629523</v>
      </c>
      <c r="G11" s="187">
        <f>E11+F11</f>
        <v>925.86461219812031</v>
      </c>
    </row>
    <row r="12" spans="1:18">
      <c r="A12" s="203" t="s">
        <v>329</v>
      </c>
      <c r="B12" s="447"/>
      <c r="C12" s="447"/>
      <c r="D12" s="447"/>
      <c r="E12" s="187">
        <f t="shared" si="0"/>
        <v>0</v>
      </c>
      <c r="F12" s="447">
        <f>'Whitman Reg - Price Out'!G136</f>
        <v>30.333333333333332</v>
      </c>
      <c r="G12" s="187">
        <f>E12+F12</f>
        <v>30.333333333333332</v>
      </c>
    </row>
    <row r="13" spans="1:18">
      <c r="A13" s="203" t="s">
        <v>327</v>
      </c>
      <c r="B13" s="447"/>
      <c r="C13" s="447"/>
      <c r="D13" s="447">
        <v>5</v>
      </c>
      <c r="E13" s="187">
        <f t="shared" si="0"/>
        <v>5</v>
      </c>
      <c r="F13" s="447">
        <v>0</v>
      </c>
      <c r="G13" s="187">
        <f t="shared" ref="G13:G15" si="1">E13+F13</f>
        <v>5</v>
      </c>
    </row>
    <row r="14" spans="1:18">
      <c r="A14" s="203" t="s">
        <v>417</v>
      </c>
      <c r="B14" s="447">
        <f>SUM('Spokane Reg - Price out'!K89:K90)</f>
        <v>2.6805623517953694</v>
      </c>
      <c r="C14" s="447">
        <f>SUM('Whitman Reg - Price Out'!G152:G153)</f>
        <v>9.2532377752500423</v>
      </c>
      <c r="D14" s="447"/>
      <c r="E14" s="187">
        <f t="shared" si="0"/>
        <v>11.933800127045412</v>
      </c>
      <c r="F14" s="508">
        <f>'[44]Cust Count Summary'!$F$9</f>
        <v>3</v>
      </c>
      <c r="G14" s="187">
        <f t="shared" si="1"/>
        <v>14.933800127045412</v>
      </c>
    </row>
    <row r="15" spans="1:18">
      <c r="A15" s="203" t="s">
        <v>418</v>
      </c>
      <c r="B15" s="449"/>
      <c r="C15" s="449"/>
      <c r="D15" s="449"/>
      <c r="E15" s="204">
        <f t="shared" si="0"/>
        <v>0</v>
      </c>
      <c r="F15" s="449">
        <v>2</v>
      </c>
      <c r="G15" s="204">
        <f t="shared" si="1"/>
        <v>2</v>
      </c>
    </row>
    <row r="16" spans="1:18">
      <c r="B16" s="190">
        <f t="shared" ref="B16:G16" si="2">SUM(B9:B15)</f>
        <v>1293.0614650823431</v>
      </c>
      <c r="C16" s="190">
        <f t="shared" si="2"/>
        <v>4162.2549293669572</v>
      </c>
      <c r="D16" s="190">
        <f t="shared" si="2"/>
        <v>5</v>
      </c>
      <c r="E16" s="190">
        <f t="shared" si="2"/>
        <v>5460.3163944492999</v>
      </c>
      <c r="F16" s="190">
        <f>SUM(F9:F15)</f>
        <v>779.59679071386734</v>
      </c>
      <c r="G16" s="190">
        <f t="shared" si="2"/>
        <v>6239.9131851631664</v>
      </c>
    </row>
    <row r="17" spans="1:18">
      <c r="C17" s="205">
        <f>(B16+C16)/$G$16</f>
        <v>0.87426158546894117</v>
      </c>
      <c r="D17" s="205">
        <f>(D16)/$G$16</f>
        <v>8.0129319938114746E-4</v>
      </c>
      <c r="E17" s="206"/>
      <c r="F17" s="205">
        <f>(F16)/$G$16</f>
        <v>0.12493712133167792</v>
      </c>
    </row>
    <row r="19" spans="1:18">
      <c r="A19" s="185"/>
      <c r="B19" s="185"/>
      <c r="C19" s="185"/>
      <c r="D19" s="185"/>
    </row>
    <row r="20" spans="1:18">
      <c r="A20" s="201" t="s">
        <v>419</v>
      </c>
      <c r="B20" s="201"/>
      <c r="C20" s="201"/>
      <c r="D20" s="201"/>
      <c r="E20" s="201"/>
      <c r="F20" s="201"/>
      <c r="G20" s="201"/>
      <c r="H20" s="201"/>
      <c r="I20" s="201"/>
      <c r="J20" s="201"/>
      <c r="K20" s="201"/>
      <c r="L20" s="201"/>
      <c r="M20" s="201"/>
      <c r="N20" s="201"/>
      <c r="O20" s="407"/>
      <c r="P20" s="407"/>
      <c r="Q20" s="407"/>
      <c r="R20" s="407"/>
    </row>
    <row r="21" spans="1:18">
      <c r="F21" s="1659"/>
      <c r="G21" s="1659"/>
      <c r="H21" s="1659"/>
      <c r="I21" s="1659"/>
      <c r="J21" s="1659"/>
      <c r="K21" s="1659"/>
      <c r="L21" s="1659"/>
      <c r="M21" s="1659"/>
      <c r="N21" s="1659"/>
    </row>
    <row r="22" spans="1:18">
      <c r="B22" s="1660" t="s">
        <v>325</v>
      </c>
      <c r="C22" s="1660"/>
      <c r="D22" s="1660"/>
      <c r="F22" s="207"/>
      <c r="G22" s="1660" t="s">
        <v>420</v>
      </c>
      <c r="H22" s="1660"/>
      <c r="I22" s="1660"/>
      <c r="J22" s="1660"/>
      <c r="K22" s="1660"/>
      <c r="L22" s="1660"/>
      <c r="M22" s="1660"/>
      <c r="N22" s="1660"/>
    </row>
    <row r="23" spans="1:18" ht="30">
      <c r="B23" s="186" t="s">
        <v>1380</v>
      </c>
      <c r="C23" s="186" t="s">
        <v>1381</v>
      </c>
      <c r="D23" s="188" t="s">
        <v>327</v>
      </c>
      <c r="E23" s="186" t="s">
        <v>26</v>
      </c>
      <c r="F23" s="208"/>
      <c r="G23" s="186" t="s">
        <v>421</v>
      </c>
      <c r="H23" s="186" t="s">
        <v>422</v>
      </c>
      <c r="I23" s="186" t="s">
        <v>423</v>
      </c>
      <c r="J23" s="186" t="s">
        <v>424</v>
      </c>
      <c r="K23" s="186" t="s">
        <v>425</v>
      </c>
      <c r="L23" s="186" t="s">
        <v>426</v>
      </c>
      <c r="M23" s="186" t="s">
        <v>427</v>
      </c>
      <c r="N23" s="188" t="s">
        <v>428</v>
      </c>
      <c r="O23" s="186" t="s">
        <v>26</v>
      </c>
    </row>
    <row r="24" spans="1:18">
      <c r="A24" t="s">
        <v>429</v>
      </c>
      <c r="B24" s="465">
        <f>B9</f>
        <v>1205.2666702232293</v>
      </c>
      <c r="C24" s="465">
        <f>C9</f>
        <v>3350.164817567867</v>
      </c>
      <c r="D24" s="495"/>
      <c r="E24" s="209">
        <f>SUM(B24:D24)</f>
        <v>4555.4314877910965</v>
      </c>
      <c r="F24" s="209"/>
      <c r="G24" s="479">
        <f>'[44]Cust Count Summary'!F7</f>
        <v>0</v>
      </c>
      <c r="H24" s="479">
        <v>0</v>
      </c>
      <c r="I24" s="479">
        <f>'[44]Cust Count Summary'!H7</f>
        <v>53.458427393430192</v>
      </c>
      <c r="J24" s="479">
        <f>'[44]Cust Count Summary'!I7</f>
        <v>165.36618722367407</v>
      </c>
      <c r="K24" s="479">
        <f>'[44]Cust Count Summary'!J7</f>
        <v>113.3008104298802</v>
      </c>
      <c r="L24" s="479">
        <f>'[44]Cust Count Summary'!K7</f>
        <v>58.391958387396429</v>
      </c>
      <c r="M24" s="479">
        <f>'[44]Cust Count Summary'!L7</f>
        <v>275.62415144552364</v>
      </c>
      <c r="N24" s="479"/>
      <c r="O24" s="210">
        <f>SUM(G24:N24)</f>
        <v>666.1415348799045</v>
      </c>
    </row>
    <row r="25" spans="1:18">
      <c r="A25" t="s">
        <v>430</v>
      </c>
      <c r="B25" s="465">
        <f>B11</f>
        <v>85.114232507318619</v>
      </c>
      <c r="C25" s="465">
        <f>C11</f>
        <v>762.62845719017207</v>
      </c>
      <c r="D25" s="495"/>
      <c r="E25" s="209">
        <f t="shared" ref="E25:E28" si="3">SUM(B25:D25)</f>
        <v>847.74268969749073</v>
      </c>
      <c r="F25" s="209"/>
      <c r="G25" s="481">
        <f>'[44]Cust Count Summary'!F8</f>
        <v>6.0220615327929243</v>
      </c>
      <c r="H25" s="481">
        <v>0</v>
      </c>
      <c r="I25" s="481">
        <f>'[44]Cust Count Summary'!H8</f>
        <v>0</v>
      </c>
      <c r="J25" s="481">
        <f>'[44]Cust Count Summary'!I8</f>
        <v>19.291670128791026</v>
      </c>
      <c r="K25" s="481">
        <f>'[44]Cust Count Summary'!J8</f>
        <v>16.849857505712247</v>
      </c>
      <c r="L25" s="481">
        <f>'[44]Cust Count Summary'!K8</f>
        <v>7.0000000000000009</v>
      </c>
      <c r="M25" s="481">
        <f>'[44]Cust Count Summary'!L8</f>
        <v>28.958333333333332</v>
      </c>
      <c r="N25" s="481"/>
      <c r="O25" s="210">
        <f>SUM(G25:N25)</f>
        <v>78.121922500629523</v>
      </c>
    </row>
    <row r="26" spans="1:18">
      <c r="A26" t="s">
        <v>332</v>
      </c>
      <c r="B26" s="465">
        <f>B14</f>
        <v>2.6805623517953694</v>
      </c>
      <c r="C26" s="465">
        <f>C14</f>
        <v>9.2532377752500423</v>
      </c>
      <c r="D26" s="495"/>
      <c r="E26" s="209">
        <f t="shared" si="3"/>
        <v>11.933800127045412</v>
      </c>
      <c r="F26" s="209"/>
      <c r="G26" s="481">
        <f>'[44]Cust Count Summary'!F9</f>
        <v>3</v>
      </c>
      <c r="H26" s="481">
        <f>'[44]Cust Count Summary'!G9</f>
        <v>0</v>
      </c>
      <c r="I26" s="481">
        <f>'[44]Cust Count Summary'!H9</f>
        <v>0</v>
      </c>
      <c r="J26" s="481">
        <f>'[44]Cust Count Summary'!I9</f>
        <v>0</v>
      </c>
      <c r="K26" s="481">
        <f>'[44]Cust Count Summary'!J9</f>
        <v>0</v>
      </c>
      <c r="L26" s="481">
        <f>'[44]Cust Count Summary'!K9</f>
        <v>0</v>
      </c>
      <c r="M26" s="481">
        <f>'[44]Cust Count Summary'!L9</f>
        <v>0</v>
      </c>
      <c r="N26" s="481">
        <f>F15</f>
        <v>2</v>
      </c>
      <c r="O26" s="210">
        <f t="shared" ref="O26:O29" si="4">SUM(G26:N26)</f>
        <v>5</v>
      </c>
    </row>
    <row r="27" spans="1:18">
      <c r="A27" t="s">
        <v>431</v>
      </c>
      <c r="B27" s="465"/>
      <c r="C27" s="465">
        <f>C10</f>
        <v>40.208416833667336</v>
      </c>
      <c r="D27" s="495"/>
      <c r="E27" s="209">
        <f t="shared" si="3"/>
        <v>40.208416833667336</v>
      </c>
      <c r="F27" s="209"/>
      <c r="G27" s="481">
        <f>'[44]Cust Count Summary'!F10</f>
        <v>0</v>
      </c>
      <c r="H27" s="481">
        <f>'[44]Cust Count Summary'!G10</f>
        <v>0</v>
      </c>
      <c r="I27" s="481">
        <f>'[44]Cust Count Summary'!H10</f>
        <v>0</v>
      </c>
      <c r="J27" s="481">
        <f>'[44]Cust Count Summary'!I10</f>
        <v>0</v>
      </c>
      <c r="K27" s="481">
        <f>'[44]Cust Count Summary'!J10</f>
        <v>0</v>
      </c>
      <c r="L27" s="481">
        <f>'[44]Cust Count Summary'!K10</f>
        <v>0</v>
      </c>
      <c r="M27" s="481">
        <f>'[44]Cust Count Summary'!L10</f>
        <v>0</v>
      </c>
      <c r="N27" s="481"/>
      <c r="O27" s="210">
        <f t="shared" si="4"/>
        <v>0</v>
      </c>
    </row>
    <row r="28" spans="1:18">
      <c r="A28" t="s">
        <v>327</v>
      </c>
      <c r="B28" s="465"/>
      <c r="C28" s="465"/>
      <c r="D28" s="508">
        <f>D13</f>
        <v>5</v>
      </c>
      <c r="E28" s="209">
        <f t="shared" si="3"/>
        <v>5</v>
      </c>
      <c r="F28" s="209"/>
      <c r="G28" s="481">
        <f>'[44]Cust Count Summary'!F11</f>
        <v>0</v>
      </c>
      <c r="H28" s="481">
        <f>'[44]Cust Count Summary'!G11</f>
        <v>0</v>
      </c>
      <c r="I28" s="481">
        <f>'[44]Cust Count Summary'!H11</f>
        <v>0</v>
      </c>
      <c r="J28" s="481">
        <f>'[44]Cust Count Summary'!I11</f>
        <v>0</v>
      </c>
      <c r="K28" s="481">
        <f>'[44]Cust Count Summary'!J11</f>
        <v>0</v>
      </c>
      <c r="L28" s="481">
        <f>'[44]Cust Count Summary'!K11</f>
        <v>0</v>
      </c>
      <c r="M28" s="481">
        <f>'[44]Cust Count Summary'!L11</f>
        <v>0</v>
      </c>
      <c r="N28" s="481"/>
      <c r="O28" s="210">
        <f t="shared" si="4"/>
        <v>0</v>
      </c>
    </row>
    <row r="29" spans="1:18">
      <c r="A29" t="s">
        <v>329</v>
      </c>
      <c r="B29" s="211"/>
      <c r="C29" s="211"/>
      <c r="D29" s="448"/>
      <c r="E29" s="211">
        <f>SUM(B29:C29)</f>
        <v>0</v>
      </c>
      <c r="F29" s="209"/>
      <c r="G29" s="362">
        <f>'[44]Cust Count Summary'!F12</f>
        <v>0</v>
      </c>
      <c r="H29" s="362">
        <f>'[44]Cust Count Summary'!G12</f>
        <v>0</v>
      </c>
      <c r="I29" s="362">
        <f>'[44]Cust Count Summary'!H12</f>
        <v>0</v>
      </c>
      <c r="J29" s="362">
        <f>'[44]Cust Count Summary'!I12</f>
        <v>0</v>
      </c>
      <c r="K29" s="362">
        <f>'[44]Cust Count Summary'!J12</f>
        <v>0</v>
      </c>
      <c r="L29" s="362">
        <f>'[44]Cust Count Summary'!K12</f>
        <v>0</v>
      </c>
      <c r="M29" s="362">
        <f>'[44]Cust Count Summary'!L12</f>
        <v>0</v>
      </c>
      <c r="N29" s="362">
        <f>'Whitman Reg - Price Out'!G136</f>
        <v>30.333333333333332</v>
      </c>
      <c r="O29" s="212">
        <f t="shared" si="4"/>
        <v>30.333333333333332</v>
      </c>
    </row>
    <row r="30" spans="1:18">
      <c r="B30" s="213">
        <f t="shared" ref="B30:D30" si="5">SUM(B24:B29)</f>
        <v>1293.0614650823431</v>
      </c>
      <c r="C30" s="213">
        <f t="shared" si="5"/>
        <v>4162.2549293669563</v>
      </c>
      <c r="D30" s="213">
        <f t="shared" si="5"/>
        <v>5</v>
      </c>
      <c r="E30" s="213">
        <f>SUM(E24:E29)</f>
        <v>5460.316394449299</v>
      </c>
      <c r="G30" s="213">
        <f t="shared" ref="G30:N30" si="6">SUM(G24:G29)</f>
        <v>9.0220615327929252</v>
      </c>
      <c r="H30" s="213">
        <f t="shared" si="6"/>
        <v>0</v>
      </c>
      <c r="I30" s="213">
        <f t="shared" si="6"/>
        <v>53.458427393430192</v>
      </c>
      <c r="J30" s="213">
        <f t="shared" si="6"/>
        <v>184.6578573524651</v>
      </c>
      <c r="K30" s="213">
        <f t="shared" si="6"/>
        <v>130.15066793559245</v>
      </c>
      <c r="L30" s="213">
        <f t="shared" si="6"/>
        <v>65.391958387396429</v>
      </c>
      <c r="M30" s="213">
        <f t="shared" si="6"/>
        <v>304.58248477885695</v>
      </c>
      <c r="N30" s="213">
        <f t="shared" si="6"/>
        <v>32.333333333333329</v>
      </c>
      <c r="O30" s="213">
        <f>SUM(O24:O29)</f>
        <v>779.59679071386734</v>
      </c>
      <c r="P30" s="210"/>
    </row>
    <row r="31" spans="1:18">
      <c r="C31" s="214">
        <f>(B30+C30)/P31</f>
        <v>0.98357860931342478</v>
      </c>
      <c r="D31" s="215">
        <f>D30/P31</f>
        <v>9.0148631004628894E-4</v>
      </c>
      <c r="E31" s="214"/>
      <c r="O31" s="213">
        <f>O30-J37</f>
        <v>86.079534450900383</v>
      </c>
      <c r="P31" s="213">
        <f>E30+O31</f>
        <v>5546.3959289001996</v>
      </c>
      <c r="Q31" t="s">
        <v>432</v>
      </c>
    </row>
    <row r="32" spans="1:18">
      <c r="I32" s="216" t="s">
        <v>433</v>
      </c>
      <c r="J32" s="216"/>
      <c r="K32" s="216"/>
      <c r="L32" s="216"/>
      <c r="O32" s="214">
        <f>O31/P31</f>
        <v>1.5519904376528918E-2</v>
      </c>
    </row>
    <row r="33" spans="1:18">
      <c r="I33" s="203" t="s">
        <v>434</v>
      </c>
      <c r="J33" s="210">
        <f>O30</f>
        <v>779.59679071386734</v>
      </c>
    </row>
    <row r="34" spans="1:18">
      <c r="I34" s="203" t="s">
        <v>435</v>
      </c>
      <c r="J34" s="210">
        <f>-SUM(G24:G29)</f>
        <v>-9.0220615327929252</v>
      </c>
      <c r="O34" s="217"/>
    </row>
    <row r="35" spans="1:18">
      <c r="I35" s="218" t="s">
        <v>436</v>
      </c>
      <c r="J35" s="213">
        <f>SUM(J33:J34)</f>
        <v>770.57472918107442</v>
      </c>
      <c r="N35" s="203"/>
      <c r="O35" s="219"/>
    </row>
    <row r="36" spans="1:18">
      <c r="I36" s="203" t="s">
        <v>437</v>
      </c>
      <c r="J36" s="220">
        <f>J35*K36</f>
        <v>77.05747291810745</v>
      </c>
      <c r="K36" s="189">
        <v>0.1</v>
      </c>
      <c r="N36" s="203"/>
      <c r="O36" s="219"/>
    </row>
    <row r="37" spans="1:18">
      <c r="I37" s="203" t="s">
        <v>1910</v>
      </c>
      <c r="J37" s="210">
        <f>J35-J36</f>
        <v>693.51725626296695</v>
      </c>
    </row>
    <row r="38" spans="1:18">
      <c r="I38" s="213"/>
      <c r="J38" s="191"/>
    </row>
    <row r="40" spans="1:18">
      <c r="A40" s="201" t="s">
        <v>591</v>
      </c>
      <c r="B40" s="407"/>
      <c r="C40" s="201"/>
      <c r="D40" s="201"/>
      <c r="E40" s="201"/>
      <c r="F40" s="201"/>
      <c r="G40" s="201"/>
      <c r="H40" s="201"/>
      <c r="I40" s="201"/>
      <c r="J40" s="201"/>
      <c r="K40" s="201"/>
      <c r="L40" s="201"/>
      <c r="M40" s="201"/>
      <c r="N40" s="201"/>
      <c r="O40" s="407"/>
      <c r="P40" s="407"/>
      <c r="Q40" s="407"/>
      <c r="R40" s="407"/>
    </row>
    <row r="41" spans="1:18">
      <c r="A41" s="221"/>
      <c r="B41" s="221"/>
      <c r="H41" s="1660" t="s">
        <v>587</v>
      </c>
      <c r="I41" s="1660"/>
      <c r="J41" s="1660"/>
    </row>
    <row r="42" spans="1:18" ht="30">
      <c r="A42" s="184"/>
      <c r="B42" s="428" t="s">
        <v>1380</v>
      </c>
      <c r="C42" s="428" t="s">
        <v>1381</v>
      </c>
      <c r="D42" s="188" t="s">
        <v>327</v>
      </c>
      <c r="E42" s="188" t="s">
        <v>326</v>
      </c>
      <c r="F42" s="184"/>
      <c r="H42" s="202" t="s">
        <v>325</v>
      </c>
      <c r="I42" s="202" t="s">
        <v>327</v>
      </c>
      <c r="J42" s="202" t="s">
        <v>333</v>
      </c>
      <c r="N42" s="202" t="s">
        <v>412</v>
      </c>
    </row>
    <row r="43" spans="1:18">
      <c r="A43" s="222" t="s">
        <v>438</v>
      </c>
      <c r="B43" s="235">
        <f>'[46]Time Study Summary'!$C$6</f>
        <v>74.625</v>
      </c>
      <c r="C43" s="235">
        <f>'[46]Time Study Summary'!$B$6</f>
        <v>226.75</v>
      </c>
      <c r="D43" s="421"/>
      <c r="E43" s="235">
        <f>'[46]Time Study Summary'!$D$6</f>
        <v>19.25</v>
      </c>
      <c r="F43" s="223">
        <f>SUM(B43:E43)</f>
        <v>320.625</v>
      </c>
      <c r="H43" s="189">
        <f>(C43+B43)/$F$43</f>
        <v>0.93996101364522422</v>
      </c>
      <c r="J43" s="189">
        <f>(E43)/$F$43</f>
        <v>6.0038986354775829E-2</v>
      </c>
      <c r="K43" s="224">
        <f>SUM(H43:J43)</f>
        <v>1</v>
      </c>
      <c r="M43" s="203" t="s">
        <v>414</v>
      </c>
      <c r="N43" s="219">
        <f>SUM(C43+B43+C46)/($C$47+$B$47)</f>
        <v>0.9983948635634029</v>
      </c>
    </row>
    <row r="44" spans="1:18">
      <c r="A44" s="222" t="s">
        <v>328</v>
      </c>
      <c r="B44" s="235"/>
      <c r="C44" s="235">
        <f>'[46]Time Study Summary'!$B$8</f>
        <v>0.5</v>
      </c>
      <c r="D44" s="421"/>
      <c r="E44" s="235">
        <f>'[46]Time Study Summary'!$D$8</f>
        <v>4.25</v>
      </c>
      <c r="F44" s="223">
        <f>SUM(B44:E44)</f>
        <v>4.75</v>
      </c>
      <c r="H44" s="189">
        <f>(C44+B44)/$F$44</f>
        <v>0.10526315789473684</v>
      </c>
      <c r="J44" s="189">
        <f>(E44)/$F$44</f>
        <v>0.89473684210526316</v>
      </c>
      <c r="K44" s="224">
        <f>SUM(H44:J44)</f>
        <v>1</v>
      </c>
      <c r="M44" s="203" t="s">
        <v>328</v>
      </c>
      <c r="N44" s="219">
        <f>C44/(C47+B47)</f>
        <v>1.6051364365971107E-3</v>
      </c>
    </row>
    <row r="45" spans="1:18">
      <c r="A45" s="222" t="s">
        <v>327</v>
      </c>
      <c r="B45" s="235"/>
      <c r="C45" s="235"/>
      <c r="D45" s="421">
        <v>2</v>
      </c>
      <c r="E45" s="235"/>
      <c r="F45" s="223">
        <f t="shared" ref="F45:F46" si="7">SUM(B45:E45)</f>
        <v>2</v>
      </c>
      <c r="H45" s="189"/>
      <c r="I45" s="189">
        <f>(D45)/$F$45</f>
        <v>1</v>
      </c>
      <c r="J45" s="189"/>
      <c r="K45" s="224">
        <f>SUM(H45:J45)</f>
        <v>1</v>
      </c>
    </row>
    <row r="46" spans="1:18" ht="15.75" thickBot="1">
      <c r="A46" s="222" t="s">
        <v>332</v>
      </c>
      <c r="B46" s="236"/>
      <c r="C46" s="236">
        <f>'[46]Time Study Summary'!$B$10</f>
        <v>9.625</v>
      </c>
      <c r="D46" s="236"/>
      <c r="E46" s="236">
        <f>'[46]Time Study Summary'!$D$10</f>
        <v>1.75</v>
      </c>
      <c r="F46" s="223">
        <f t="shared" si="7"/>
        <v>11.375</v>
      </c>
      <c r="H46" s="189">
        <f>(C46+B46)/$F$46</f>
        <v>0.84615384615384615</v>
      </c>
      <c r="J46" s="189">
        <f>(E46)/$F$46</f>
        <v>0.15384615384615385</v>
      </c>
      <c r="K46" s="224">
        <f>SUM(H46:J46)</f>
        <v>1</v>
      </c>
    </row>
    <row r="47" spans="1:18">
      <c r="A47" s="184"/>
      <c r="B47" s="225">
        <f>SUM(B43:B46)</f>
        <v>74.625</v>
      </c>
      <c r="C47" s="225">
        <f>SUM(C43:C46)</f>
        <v>236.875</v>
      </c>
      <c r="D47" s="225">
        <f>SUM(D43:D46)</f>
        <v>2</v>
      </c>
      <c r="E47" s="225">
        <f>SUM(E43:E46)</f>
        <v>25.25</v>
      </c>
      <c r="F47" s="223">
        <f>SUM(B47:E47)</f>
        <v>338.75</v>
      </c>
    </row>
    <row r="48" spans="1:18">
      <c r="A48" s="184"/>
      <c r="C48" s="226">
        <f>(C47+B47)/F47</f>
        <v>0.9195571955719557</v>
      </c>
      <c r="D48" s="226">
        <f>D47/F47</f>
        <v>5.9040590405904057E-3</v>
      </c>
      <c r="E48" s="226">
        <f>E47/F47</f>
        <v>7.4538745387453878E-2</v>
      </c>
      <c r="F48" s="184"/>
      <c r="G48" s="480" t="s">
        <v>1426</v>
      </c>
      <c r="H48" s="219">
        <f>(B43+C43+C44)/($F$43+$C$44)</f>
        <v>0.94005449591280654</v>
      </c>
      <c r="J48" s="219">
        <f>(E43)/($F$43+$C$44)</f>
        <v>5.9945504087193457E-2</v>
      </c>
      <c r="K48" s="224">
        <f>SUM(H48:J48)</f>
        <v>1</v>
      </c>
      <c r="L48" t="s">
        <v>1428</v>
      </c>
    </row>
    <row r="49" spans="1:18">
      <c r="A49" s="184"/>
      <c r="B49" s="400"/>
      <c r="C49" s="184"/>
      <c r="D49" s="184"/>
      <c r="E49" s="184"/>
      <c r="G49" s="480" t="s">
        <v>1427</v>
      </c>
      <c r="H49" s="219">
        <f>(B43+C43)/($F$43+$E$44)</f>
        <v>0.92766448634090037</v>
      </c>
      <c r="J49" s="219">
        <f>(E44+E43)/($F$43+$E$44)</f>
        <v>7.2335513659099654E-2</v>
      </c>
      <c r="K49" s="224">
        <f>SUM(H49:J49)</f>
        <v>1</v>
      </c>
      <c r="L49" s="553" t="s">
        <v>1428</v>
      </c>
    </row>
    <row r="50" spans="1:18">
      <c r="B50" s="455"/>
      <c r="C50" s="185"/>
      <c r="D50" s="185"/>
      <c r="E50" s="185"/>
      <c r="F50" s="185"/>
    </row>
    <row r="51" spans="1:18">
      <c r="A51" s="201" t="s">
        <v>439</v>
      </c>
      <c r="B51" s="407"/>
      <c r="C51" s="201"/>
      <c r="D51" s="201"/>
      <c r="E51" s="201"/>
      <c r="F51" s="201"/>
      <c r="G51" s="201"/>
      <c r="H51" s="201"/>
      <c r="I51" s="201"/>
      <c r="J51" s="201"/>
      <c r="K51" s="201"/>
      <c r="L51" s="201"/>
      <c r="M51" s="201"/>
      <c r="N51" s="201"/>
      <c r="O51" s="407"/>
      <c r="P51" s="407"/>
      <c r="Q51" s="407"/>
      <c r="R51" s="407"/>
    </row>
    <row r="52" spans="1:18">
      <c r="A52" s="1661"/>
      <c r="B52" s="1661"/>
      <c r="C52" s="1661"/>
      <c r="D52" s="1661"/>
      <c r="E52" s="1661"/>
      <c r="F52" s="1661"/>
      <c r="G52" s="1661"/>
      <c r="H52" s="1661"/>
      <c r="I52" s="1661"/>
    </row>
    <row r="53" spans="1:18" ht="30">
      <c r="A53" s="184"/>
      <c r="B53" s="428" t="s">
        <v>1380</v>
      </c>
      <c r="C53" s="428" t="s">
        <v>1381</v>
      </c>
      <c r="D53" s="188"/>
      <c r="E53" s="188" t="s">
        <v>326</v>
      </c>
      <c r="F53" s="408" t="s">
        <v>26</v>
      </c>
      <c r="H53" s="202" t="s">
        <v>325</v>
      </c>
      <c r="I53" s="202"/>
      <c r="J53" s="202" t="s">
        <v>333</v>
      </c>
      <c r="N53" s="202" t="s">
        <v>412</v>
      </c>
    </row>
    <row r="54" spans="1:18">
      <c r="A54" s="218" t="s">
        <v>440</v>
      </c>
      <c r="B54" s="465">
        <f>'[44]Unit Counts Summary'!$B$7</f>
        <v>620.98783825054363</v>
      </c>
      <c r="C54" s="447">
        <f>'[44]Unit Counts Summary'!$C$7</f>
        <v>2374.5076555236978</v>
      </c>
      <c r="D54" s="495"/>
      <c r="E54" s="465">
        <f>'[44]Unit Counts Summary'!$D$7</f>
        <v>653.15354788624177</v>
      </c>
      <c r="F54" s="227">
        <f t="shared" ref="F54:F59" si="8">SUM(B54:E54)</f>
        <v>3648.6490416604829</v>
      </c>
      <c r="H54" s="189">
        <f>(C54+B54)/F54</f>
        <v>0.82098756541709084</v>
      </c>
      <c r="J54" s="189">
        <f>(E54)/$F$54</f>
        <v>0.17901243458290927</v>
      </c>
      <c r="K54" s="224">
        <f>SUM(H54:J54)</f>
        <v>1</v>
      </c>
      <c r="M54" s="203" t="s">
        <v>414</v>
      </c>
      <c r="N54" s="219">
        <f>(C54+B54+C56+B56+C58+B58)/(C59+B59)</f>
        <v>0.98123160491452421</v>
      </c>
    </row>
    <row r="55" spans="1:18">
      <c r="A55" s="218" t="s">
        <v>441</v>
      </c>
      <c r="B55" s="465">
        <v>0</v>
      </c>
      <c r="C55" s="447">
        <f>'[44]Unit Counts Summary'!$C$8</f>
        <v>40.208416833667336</v>
      </c>
      <c r="D55" s="495"/>
      <c r="E55" s="465">
        <f>'[44]Unit Counts Summary'!$D$8</f>
        <v>0</v>
      </c>
      <c r="F55" s="227">
        <f t="shared" si="8"/>
        <v>40.208416833667336</v>
      </c>
      <c r="H55" s="507">
        <f>(C55+B55)/F55</f>
        <v>1</v>
      </c>
      <c r="J55" s="189">
        <f>(E55)/$F$55</f>
        <v>0</v>
      </c>
      <c r="K55" s="224">
        <f t="shared" ref="K55:K58" si="9">SUM(H55:J55)</f>
        <v>1</v>
      </c>
      <c r="M55" s="203" t="s">
        <v>328</v>
      </c>
      <c r="N55" s="219">
        <f>C55/(C59+B59)</f>
        <v>1.0697883893002483E-2</v>
      </c>
    </row>
    <row r="56" spans="1:18">
      <c r="A56" s="218" t="s">
        <v>334</v>
      </c>
      <c r="B56" s="465">
        <f>'[44]Unit Counts Summary'!$B$9</f>
        <v>89.923413025274968</v>
      </c>
      <c r="C56" s="447">
        <f>'[44]Unit Counts Summary'!$C$9</f>
        <v>580.7928669923707</v>
      </c>
      <c r="D56" s="495"/>
      <c r="E56" s="465">
        <f>'[44]Unit Counts Summary'!$D$9</f>
        <v>71.208608667348187</v>
      </c>
      <c r="F56" s="227">
        <f t="shared" si="8"/>
        <v>741.9248886849939</v>
      </c>
      <c r="H56" s="507">
        <f>(C56+B56)/F56</f>
        <v>0.9040218090087796</v>
      </c>
      <c r="J56" s="189">
        <f>(E56)/$F$56</f>
        <v>9.5978190991220277E-2</v>
      </c>
      <c r="K56" s="224">
        <f t="shared" si="9"/>
        <v>0.99999999999999989</v>
      </c>
    </row>
    <row r="57" spans="1:18">
      <c r="A57" s="218" t="s">
        <v>329</v>
      </c>
      <c r="B57" s="465">
        <v>0</v>
      </c>
      <c r="C57" s="447">
        <f>'[44]Unit Counts Summary'!$C$10</f>
        <v>30.333333333333332</v>
      </c>
      <c r="D57" s="495"/>
      <c r="E57" s="465">
        <f>'[44]Unit Counts Summary'!$D$10</f>
        <v>0</v>
      </c>
      <c r="F57" s="227">
        <f t="shared" si="8"/>
        <v>30.333333333333332</v>
      </c>
      <c r="H57" s="507">
        <f>(C57+B57)/F57</f>
        <v>1</v>
      </c>
      <c r="I57" s="189"/>
      <c r="J57" s="466">
        <f>(E57)/$F$57</f>
        <v>0</v>
      </c>
      <c r="K57" s="224">
        <f t="shared" si="9"/>
        <v>1</v>
      </c>
    </row>
    <row r="58" spans="1:18" ht="15.75" thickBot="1">
      <c r="A58" s="222" t="s">
        <v>332</v>
      </c>
      <c r="B58" s="360">
        <f>'[44]Unit Counts Summary'!$B$11</f>
        <v>6.2287778808811902</v>
      </c>
      <c r="C58" s="360">
        <f>'[44]Unit Counts Summary'!$C$11</f>
        <v>15.556978995740588</v>
      </c>
      <c r="D58" s="360"/>
      <c r="E58" s="360">
        <f>'[44]Unit Counts Summary'!$D$11</f>
        <v>1.9704352441613588</v>
      </c>
      <c r="F58" s="545">
        <f t="shared" si="8"/>
        <v>23.756192120783137</v>
      </c>
      <c r="H58" s="507">
        <f>(C58+B58)/F58</f>
        <v>0.91705593075931058</v>
      </c>
      <c r="J58" s="189">
        <f>(E58)/$F$58</f>
        <v>8.2944069240689505E-2</v>
      </c>
      <c r="K58" s="224">
        <f t="shared" si="9"/>
        <v>1</v>
      </c>
    </row>
    <row r="59" spans="1:18">
      <c r="A59" s="184"/>
      <c r="B59" s="1180">
        <f>SUM(B54:B58)</f>
        <v>717.14002915669982</v>
      </c>
      <c r="C59" s="1180">
        <f>SUM(C54:C58)</f>
        <v>3041.3992516788103</v>
      </c>
      <c r="D59" s="1180"/>
      <c r="E59" s="1180">
        <f>SUM(E54:E58)</f>
        <v>726.33259179775132</v>
      </c>
      <c r="F59" s="1180">
        <f t="shared" si="8"/>
        <v>4484.8718726332609</v>
      </c>
    </row>
    <row r="60" spans="1:18">
      <c r="A60" s="184"/>
      <c r="C60" s="226">
        <f>(C59+B59)/F59</f>
        <v>0.83804830719248846</v>
      </c>
      <c r="D60" s="226"/>
      <c r="E60" s="226">
        <f>E59/F59</f>
        <v>0.16195169280751165</v>
      </c>
      <c r="F60" s="184"/>
    </row>
    <row r="61" spans="1:18">
      <c r="A61" s="184"/>
      <c r="B61" s="400"/>
      <c r="C61" s="184"/>
      <c r="D61" s="184"/>
      <c r="E61" s="184"/>
      <c r="G61" s="203" t="s">
        <v>442</v>
      </c>
      <c r="H61" s="189">
        <f>(C54+C55+B54)/($F$54+$F$55)</f>
        <v>0.82293879467143494</v>
      </c>
      <c r="I61" s="189"/>
      <c r="J61" s="189">
        <f>E54/(F54+F55)</f>
        <v>0.17706120532856515</v>
      </c>
      <c r="K61" s="224">
        <f>SUM(H61:J61)</f>
        <v>1</v>
      </c>
    </row>
    <row r="62" spans="1:18">
      <c r="B62" s="455"/>
    </row>
    <row r="64" spans="1:18" s="553" customFormat="1">
      <c r="A64" s="407" t="s">
        <v>1897</v>
      </c>
      <c r="B64" s="407"/>
      <c r="C64" s="407"/>
      <c r="D64" s="407"/>
      <c r="E64" s="407"/>
      <c r="F64" s="407"/>
      <c r="G64" s="407"/>
      <c r="H64" s="407"/>
      <c r="I64" s="407"/>
      <c r="J64" s="407"/>
      <c r="K64" s="407"/>
      <c r="L64" s="407"/>
      <c r="M64" s="407"/>
      <c r="N64" s="407"/>
      <c r="O64" s="407"/>
      <c r="P64" s="407"/>
      <c r="Q64" s="407"/>
      <c r="R64" s="407"/>
    </row>
    <row r="65" spans="1:3" s="517" customFormat="1"/>
    <row r="66" spans="1:3" s="517" customFormat="1">
      <c r="A66" s="1116" t="s">
        <v>404</v>
      </c>
      <c r="B66" s="1112"/>
      <c r="C66" s="1112"/>
    </row>
    <row r="67" spans="1:3" s="517" customFormat="1">
      <c r="A67" s="1116" t="s">
        <v>1812</v>
      </c>
      <c r="B67" s="1112"/>
      <c r="C67" s="1112"/>
    </row>
    <row r="68" spans="1:3" s="553" customFormat="1">
      <c r="A68" s="1112"/>
      <c r="B68" s="1112"/>
      <c r="C68" s="1112"/>
    </row>
    <row r="69" spans="1:3" s="553" customFormat="1">
      <c r="A69" s="1120" t="s">
        <v>1808</v>
      </c>
      <c r="B69" s="1112"/>
      <c r="C69" s="1112"/>
    </row>
    <row r="70" spans="1:3" s="553" customFormat="1">
      <c r="A70" s="1112"/>
      <c r="B70" s="1119" t="s">
        <v>1809</v>
      </c>
      <c r="C70" s="1119" t="s">
        <v>1810</v>
      </c>
    </row>
    <row r="71" spans="1:3" s="553" customFormat="1">
      <c r="A71" s="1112" t="s">
        <v>325</v>
      </c>
      <c r="B71" s="964">
        <f>'[47]Spokane Reg'!T63</f>
        <v>4304304.1795195919</v>
      </c>
      <c r="C71" s="1124">
        <f>B71/$B$73</f>
        <v>0.76820382096623685</v>
      </c>
    </row>
    <row r="72" spans="1:3" s="553" customFormat="1">
      <c r="A72" s="1112" t="s">
        <v>333</v>
      </c>
      <c r="B72" s="1111">
        <f>'[47]Spokane Non-Reg'!N65</f>
        <v>1298771.5434124987</v>
      </c>
      <c r="C72" s="1124">
        <f>B72/$B$73</f>
        <v>0.23179617903376312</v>
      </c>
    </row>
    <row r="73" spans="1:3" s="553" customFormat="1">
      <c r="A73" s="1112"/>
      <c r="B73" s="1115">
        <f>SUM(B71:B72)</f>
        <v>5603075.722932091</v>
      </c>
      <c r="C73" s="1112"/>
    </row>
    <row r="74" spans="1:3" s="553" customFormat="1">
      <c r="A74" s="1112"/>
      <c r="B74" s="1115"/>
      <c r="C74" s="1112"/>
    </row>
    <row r="75" spans="1:3" s="553" customFormat="1">
      <c r="A75" s="1120" t="s">
        <v>1811</v>
      </c>
      <c r="B75" s="1115"/>
      <c r="C75" s="1112"/>
    </row>
    <row r="76" spans="1:3" s="553" customFormat="1">
      <c r="A76" s="1112"/>
      <c r="B76" s="965" t="s">
        <v>1809</v>
      </c>
      <c r="C76" s="1119" t="s">
        <v>1810</v>
      </c>
    </row>
    <row r="77" spans="1:3" s="553" customFormat="1">
      <c r="A77" s="1112" t="s">
        <v>325</v>
      </c>
      <c r="B77" s="964">
        <f>'[47]Whitman Reg'!O99</f>
        <v>18545320.216570791</v>
      </c>
      <c r="C77" s="1124">
        <f>B77/$B$79</f>
        <v>0.9079821747076694</v>
      </c>
    </row>
    <row r="78" spans="1:3" s="553" customFormat="1">
      <c r="A78" s="1112" t="s">
        <v>333</v>
      </c>
      <c r="B78" s="1111">
        <f>'[47]Whitman Non-Reg'!T65</f>
        <v>1879442.2216803492</v>
      </c>
      <c r="C78" s="1124">
        <f>B78/$B$79</f>
        <v>9.201782529233056E-2</v>
      </c>
    </row>
    <row r="79" spans="1:3" s="553" customFormat="1">
      <c r="A79" s="1112"/>
      <c r="B79" s="1115">
        <f>SUM(B77:B78)</f>
        <v>20424762.438251141</v>
      </c>
      <c r="C79" s="1112"/>
    </row>
    <row r="80" spans="1:3" s="1112" customFormat="1">
      <c r="B80" s="508"/>
      <c r="C80" s="1118"/>
    </row>
    <row r="81" spans="1:18" s="1112" customFormat="1">
      <c r="B81" s="508"/>
      <c r="C81" s="1118"/>
    </row>
    <row r="83" spans="1:18">
      <c r="A83" s="201" t="s">
        <v>592</v>
      </c>
      <c r="B83" s="407"/>
      <c r="C83" s="201"/>
      <c r="D83" s="201"/>
      <c r="E83" s="201"/>
      <c r="F83" s="201"/>
      <c r="G83" s="201"/>
      <c r="H83" s="201"/>
      <c r="I83" s="201"/>
      <c r="J83" s="201"/>
      <c r="K83" s="201"/>
      <c r="L83" s="201"/>
      <c r="M83" s="201"/>
      <c r="N83" s="201"/>
      <c r="O83" s="407"/>
      <c r="P83" s="407"/>
      <c r="Q83" s="407"/>
      <c r="R83" s="407"/>
    </row>
    <row r="85" spans="1:18">
      <c r="A85" s="238" t="s">
        <v>593</v>
      </c>
    </row>
    <row r="86" spans="1:18">
      <c r="B86" s="237" t="s">
        <v>325</v>
      </c>
      <c r="C86" s="240" t="s">
        <v>333</v>
      </c>
      <c r="D86" s="237" t="s">
        <v>327</v>
      </c>
      <c r="E86" s="237"/>
    </row>
    <row r="87" spans="1:18">
      <c r="A87" s="218" t="s">
        <v>28</v>
      </c>
      <c r="B87" s="239">
        <f>C48</f>
        <v>0.9195571955719557</v>
      </c>
      <c r="C87" s="239">
        <f>E48</f>
        <v>7.4538745387453878E-2</v>
      </c>
      <c r="D87" s="239">
        <f>D48</f>
        <v>5.9040590405904057E-3</v>
      </c>
      <c r="E87" s="239">
        <f>SUM(B87:D87)</f>
        <v>1</v>
      </c>
    </row>
    <row r="88" spans="1:18">
      <c r="A88" s="218" t="s">
        <v>589</v>
      </c>
      <c r="B88" s="239">
        <f>C17</f>
        <v>0.87426158546894117</v>
      </c>
      <c r="C88" s="239">
        <f>F17</f>
        <v>0.12493712133167792</v>
      </c>
      <c r="D88" s="239">
        <f>D17</f>
        <v>8.0129319938114746E-4</v>
      </c>
      <c r="E88" s="239">
        <f>SUM(B88:D88)</f>
        <v>1.0000000000000002</v>
      </c>
    </row>
    <row r="89" spans="1:18">
      <c r="A89" s="218" t="s">
        <v>590</v>
      </c>
      <c r="B89" s="239">
        <f>C31</f>
        <v>0.98357860931342478</v>
      </c>
      <c r="C89" s="239">
        <f>O32</f>
        <v>1.5519904376528918E-2</v>
      </c>
      <c r="D89" s="239">
        <f>D31</f>
        <v>9.0148631004628894E-4</v>
      </c>
      <c r="E89" s="239">
        <f>SUM(B89:D89)</f>
        <v>1</v>
      </c>
    </row>
    <row r="90" spans="1:18">
      <c r="A90" s="218" t="s">
        <v>588</v>
      </c>
      <c r="B90" s="239">
        <f>C60</f>
        <v>0.83804830719248846</v>
      </c>
      <c r="C90" s="239">
        <f>E60</f>
        <v>0.16195169280751165</v>
      </c>
      <c r="E90" s="239">
        <f>SUM(B90:C90)</f>
        <v>1</v>
      </c>
    </row>
  </sheetData>
  <mergeCells count="5">
    <mergeCell ref="F21:N21"/>
    <mergeCell ref="B22:D22"/>
    <mergeCell ref="G22:N22"/>
    <mergeCell ref="A52:I52"/>
    <mergeCell ref="H41:J41"/>
  </mergeCells>
  <pageMargins left="0.25" right="0.25" top="0.75" bottom="0.75" header="0.3" footer="0.3"/>
  <pageSetup scale="60" fitToHeight="5" orientation="landscape" r:id="rId1"/>
  <rowBreaks count="1" manualBreakCount="1">
    <brk id="50" max="1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F371"/>
  <sheetViews>
    <sheetView view="pageBreakPreview" topLeftCell="B1" zoomScale="115" zoomScaleNormal="100" zoomScaleSheetLayoutView="115" workbookViewId="0">
      <selection activeCell="Q27" sqref="Q27"/>
    </sheetView>
  </sheetViews>
  <sheetFormatPr defaultRowHeight="15"/>
  <cols>
    <col min="1" max="1" width="2" style="553" customWidth="1"/>
    <col min="2" max="4" width="9.140625" style="553"/>
    <col min="5" max="5" width="13" style="553" customWidth="1"/>
    <col min="6" max="6" width="9.7109375" style="553" bestFit="1" customWidth="1"/>
    <col min="7" max="7" width="9.140625" style="553"/>
    <col min="8" max="8" width="9.7109375" style="553" bestFit="1" customWidth="1"/>
    <col min="9" max="10" width="9.140625" style="553"/>
    <col min="11" max="11" width="10" style="553" customWidth="1"/>
    <col min="12" max="12" width="9.140625" style="553"/>
    <col min="13" max="13" width="11.140625" style="553" customWidth="1"/>
    <col min="14" max="16384" width="9.140625" style="553"/>
  </cols>
  <sheetData>
    <row r="1" spans="1:84">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1"/>
      <c r="BL1" s="591"/>
      <c r="BM1" s="591"/>
      <c r="BN1" s="591"/>
      <c r="BO1" s="591"/>
      <c r="BP1" s="591"/>
      <c r="BQ1" s="591"/>
      <c r="BR1" s="591"/>
      <c r="BS1" s="591"/>
      <c r="BT1" s="591"/>
      <c r="BU1" s="591"/>
      <c r="BV1" s="591"/>
      <c r="BW1" s="591"/>
      <c r="BX1" s="591"/>
      <c r="BY1" s="591"/>
      <c r="BZ1" s="591"/>
      <c r="CA1" s="591"/>
      <c r="CB1" s="591"/>
      <c r="CC1" s="591"/>
      <c r="CD1" s="591"/>
      <c r="CE1" s="591"/>
      <c r="CF1" s="591"/>
    </row>
    <row r="2" spans="1:84">
      <c r="A2" s="590"/>
      <c r="B2" s="590"/>
      <c r="C2" s="590"/>
      <c r="D2" s="590"/>
      <c r="E2" s="590"/>
      <c r="F2" s="590"/>
      <c r="G2" s="590"/>
      <c r="H2" s="590"/>
      <c r="I2" s="590"/>
      <c r="J2" s="590"/>
      <c r="K2" s="592"/>
      <c r="L2" s="592"/>
      <c r="M2" s="592"/>
      <c r="N2" s="592"/>
      <c r="O2" s="592"/>
      <c r="P2" s="592"/>
      <c r="Q2" s="592"/>
      <c r="R2" s="592"/>
      <c r="S2" s="592"/>
      <c r="T2" s="592"/>
      <c r="U2" s="592"/>
      <c r="V2" s="592"/>
      <c r="W2" s="592"/>
      <c r="X2" s="592"/>
      <c r="Y2" s="592"/>
      <c r="Z2" s="592"/>
      <c r="AA2" s="592"/>
      <c r="AB2" s="592"/>
      <c r="AC2" s="592"/>
      <c r="AD2" s="592"/>
      <c r="AE2" s="593" t="s">
        <v>335</v>
      </c>
      <c r="AF2" s="593" t="s">
        <v>336</v>
      </c>
      <c r="AG2" s="592"/>
      <c r="AH2" s="592"/>
      <c r="AI2" s="592" t="s">
        <v>337</v>
      </c>
      <c r="AJ2" s="592"/>
      <c r="AK2" s="592"/>
      <c r="AL2" s="592"/>
      <c r="AM2" s="592"/>
      <c r="AN2" s="592"/>
      <c r="AO2" s="592"/>
      <c r="AP2" s="592"/>
      <c r="AQ2" s="592"/>
      <c r="AR2" s="592"/>
      <c r="AS2" s="590"/>
      <c r="AT2" s="590"/>
      <c r="AU2" s="590"/>
      <c r="AV2" s="590"/>
      <c r="AW2" s="590"/>
      <c r="AX2" s="590"/>
      <c r="AY2" s="590"/>
      <c r="AZ2" s="590"/>
      <c r="BA2" s="590"/>
      <c r="BB2" s="590"/>
      <c r="BC2" s="590"/>
      <c r="BD2" s="590"/>
      <c r="BE2" s="590"/>
      <c r="BF2" s="590"/>
      <c r="BG2" s="590"/>
      <c r="BH2" s="590"/>
      <c r="BI2" s="590"/>
      <c r="BJ2" s="590"/>
      <c r="BK2" s="591"/>
      <c r="BL2" s="591"/>
      <c r="BM2" s="591"/>
      <c r="BN2" s="591"/>
      <c r="BO2" s="591"/>
      <c r="BP2" s="591"/>
      <c r="BQ2" s="591"/>
      <c r="BR2" s="591"/>
      <c r="BS2" s="591"/>
      <c r="BT2" s="591"/>
      <c r="BU2" s="591"/>
      <c r="BV2" s="591"/>
      <c r="BW2" s="591"/>
      <c r="BX2" s="591"/>
      <c r="BY2" s="591"/>
      <c r="BZ2" s="591"/>
      <c r="CA2" s="591"/>
      <c r="CB2" s="591"/>
      <c r="CC2" s="591"/>
      <c r="CD2" s="591"/>
      <c r="CE2" s="591"/>
      <c r="CF2" s="591"/>
    </row>
    <row r="3" spans="1:84">
      <c r="A3" s="590"/>
      <c r="B3" s="592" t="s">
        <v>1894</v>
      </c>
      <c r="C3" s="590"/>
      <c r="D3" s="590"/>
      <c r="E3" s="590"/>
      <c r="F3" s="590"/>
      <c r="G3" s="590"/>
      <c r="H3" s="590"/>
      <c r="I3" s="590"/>
      <c r="J3" s="590"/>
      <c r="K3" s="592"/>
      <c r="L3" s="592"/>
      <c r="M3" s="592"/>
      <c r="N3" s="592"/>
      <c r="O3" s="592"/>
      <c r="P3" s="592"/>
      <c r="Q3" s="592"/>
      <c r="R3" s="592"/>
      <c r="S3" s="592"/>
      <c r="T3" s="592"/>
      <c r="U3" s="592"/>
      <c r="V3" s="592"/>
      <c r="W3" s="592"/>
      <c r="X3" s="592"/>
      <c r="Y3" s="592"/>
      <c r="Z3" s="592"/>
      <c r="AA3" s="592"/>
      <c r="AB3" s="592"/>
      <c r="AC3" s="592"/>
      <c r="AD3" s="592"/>
      <c r="AE3" s="593"/>
      <c r="AF3" s="593"/>
      <c r="AG3" s="592"/>
      <c r="AH3" s="592"/>
      <c r="AI3" s="592"/>
      <c r="AJ3" s="592"/>
      <c r="AK3" s="592"/>
      <c r="AL3" s="592"/>
      <c r="AM3" s="592"/>
      <c r="AN3" s="592"/>
      <c r="AO3" s="592"/>
      <c r="AP3" s="592"/>
      <c r="AQ3" s="592"/>
      <c r="AR3" s="592"/>
      <c r="AS3" s="590"/>
      <c r="AT3" s="590"/>
      <c r="AU3" s="590"/>
      <c r="AV3" s="590"/>
      <c r="AW3" s="590"/>
      <c r="AX3" s="590"/>
      <c r="AY3" s="590"/>
      <c r="AZ3" s="590"/>
      <c r="BA3" s="590"/>
      <c r="BB3" s="590"/>
      <c r="BC3" s="590"/>
      <c r="BD3" s="590"/>
      <c r="BE3" s="590"/>
      <c r="BF3" s="590"/>
      <c r="BG3" s="590"/>
      <c r="BH3" s="590"/>
      <c r="BI3" s="590"/>
      <c r="BJ3" s="590"/>
      <c r="BK3" s="591"/>
      <c r="BL3" s="591"/>
      <c r="BM3" s="591"/>
      <c r="BN3" s="591"/>
      <c r="BO3" s="591"/>
      <c r="BP3" s="591"/>
      <c r="BQ3" s="591"/>
      <c r="BR3" s="591"/>
      <c r="BS3" s="591"/>
      <c r="BT3" s="591"/>
      <c r="BU3" s="591"/>
      <c r="BV3" s="591"/>
      <c r="BW3" s="591"/>
      <c r="BX3" s="591"/>
      <c r="BY3" s="591"/>
      <c r="BZ3" s="591"/>
      <c r="CA3" s="591"/>
      <c r="CB3" s="591"/>
      <c r="CC3" s="591"/>
      <c r="CD3" s="591"/>
      <c r="CE3" s="591"/>
      <c r="CF3" s="591"/>
    </row>
    <row r="4" spans="1:84">
      <c r="A4" s="590"/>
      <c r="B4" s="594"/>
      <c r="C4" s="592"/>
      <c r="D4" s="592"/>
      <c r="E4" s="595"/>
      <c r="F4" s="592"/>
      <c r="G4" s="596"/>
      <c r="H4" s="595">
        <f>'LG - Packer,RO'!E6+'LG - Recycle'!E6-LG!E6</f>
        <v>-156.60799726616824</v>
      </c>
      <c r="I4" s="592"/>
      <c r="J4" s="592"/>
      <c r="K4" s="592"/>
      <c r="L4" s="592"/>
      <c r="M4" s="592"/>
      <c r="N4" s="592" t="s">
        <v>338</v>
      </c>
      <c r="O4" s="592"/>
      <c r="P4" s="592"/>
      <c r="Q4" s="592"/>
      <c r="R4" s="592"/>
      <c r="S4" s="592"/>
      <c r="T4" s="592"/>
      <c r="U4" s="593" t="s">
        <v>339</v>
      </c>
      <c r="V4" s="593" t="s">
        <v>340</v>
      </c>
      <c r="W4" s="593" t="s">
        <v>331</v>
      </c>
      <c r="X4" s="593" t="s">
        <v>341</v>
      </c>
      <c r="Y4" s="593" t="s">
        <v>342</v>
      </c>
      <c r="Z4" s="592"/>
      <c r="AA4" s="593" t="s">
        <v>343</v>
      </c>
      <c r="AB4" s="592" t="s">
        <v>344</v>
      </c>
      <c r="AC4" s="593" t="s">
        <v>345</v>
      </c>
      <c r="AD4" s="593" t="s">
        <v>346</v>
      </c>
      <c r="AE4" s="593" t="s">
        <v>347</v>
      </c>
      <c r="AF4" s="592"/>
      <c r="AG4" s="592"/>
      <c r="AH4" s="592"/>
      <c r="AI4" s="592" t="s">
        <v>348</v>
      </c>
      <c r="AJ4" s="592"/>
      <c r="AK4" s="592"/>
      <c r="AL4" s="592"/>
      <c r="AM4" s="592"/>
      <c r="AN4" s="592"/>
      <c r="AO4" s="592"/>
      <c r="AP4" s="592"/>
      <c r="AQ4" s="592"/>
      <c r="AR4" s="592"/>
      <c r="AS4" s="590"/>
      <c r="AT4" s="590"/>
      <c r="AU4" s="590"/>
      <c r="AV4" s="590"/>
      <c r="AW4" s="590"/>
      <c r="AX4" s="590"/>
      <c r="AY4" s="590"/>
      <c r="AZ4" s="590"/>
      <c r="BA4" s="590"/>
      <c r="BB4" s="590"/>
      <c r="BC4" s="590"/>
      <c r="BD4" s="590"/>
      <c r="BE4" s="590"/>
      <c r="BF4" s="590"/>
      <c r="BG4" s="590"/>
      <c r="BH4" s="590"/>
      <c r="BI4" s="590"/>
      <c r="BJ4" s="590"/>
      <c r="BK4" s="591"/>
      <c r="BL4" s="591"/>
      <c r="BM4" s="591"/>
      <c r="BN4" s="591"/>
      <c r="BO4" s="591"/>
      <c r="BP4" s="591"/>
      <c r="BQ4" s="591"/>
      <c r="BR4" s="591"/>
      <c r="BS4" s="591"/>
      <c r="BT4" s="591"/>
      <c r="BU4" s="591"/>
      <c r="BV4" s="591"/>
      <c r="BW4" s="591"/>
      <c r="BX4" s="591"/>
      <c r="BY4" s="591"/>
      <c r="BZ4" s="591"/>
      <c r="CA4" s="591"/>
      <c r="CB4" s="591"/>
      <c r="CC4" s="591"/>
      <c r="CD4" s="591"/>
      <c r="CE4" s="591"/>
      <c r="CF4" s="591"/>
    </row>
    <row r="5" spans="1:84">
      <c r="A5" s="590"/>
      <c r="B5" s="597" t="s">
        <v>349</v>
      </c>
      <c r="C5" s="597" t="s">
        <v>350</v>
      </c>
      <c r="D5" s="592"/>
      <c r="E5" s="595">
        <f>E7+E6</f>
        <v>3292302.8555547027</v>
      </c>
      <c r="F5" s="597" t="s">
        <v>351</v>
      </c>
      <c r="G5" s="592"/>
      <c r="H5" s="592"/>
      <c r="I5" s="592"/>
      <c r="J5" s="597"/>
      <c r="K5" s="592"/>
      <c r="L5" s="598"/>
      <c r="M5" s="592"/>
      <c r="N5" s="597" t="s">
        <v>352</v>
      </c>
      <c r="O5" s="592"/>
      <c r="P5" s="592"/>
      <c r="Q5" s="597" t="s">
        <v>353</v>
      </c>
      <c r="R5" s="592"/>
      <c r="S5" s="592"/>
      <c r="T5" s="592"/>
      <c r="U5" s="599">
        <f>$E$8*1.25</f>
        <v>3654030.5875506457</v>
      </c>
      <c r="V5" s="600">
        <f>100*(+U5/$E$9)</f>
        <v>215.50292322068273</v>
      </c>
      <c r="W5" s="601">
        <f>EXP(5.7226-(0.68367*LN(+V5)))</f>
        <v>7.7621436621457143</v>
      </c>
      <c r="X5" s="601">
        <f>(+W5*V5)/100</f>
        <v>16.727646496512968</v>
      </c>
      <c r="Y5" s="600">
        <f>100*((((X5/100)-((X5/100)-0.03574)*$E$21)-0.03574-0.00619)/0.344)</f>
        <v>23.437228743309767</v>
      </c>
      <c r="Z5" s="592">
        <f>$E$20</f>
        <v>0.25</v>
      </c>
      <c r="AA5" s="600">
        <f>Y5+Z5</f>
        <v>23.687228743309767</v>
      </c>
      <c r="AB5" s="600">
        <f>100*($E$17*$E$19+($E$18*(AA5/100))/(1-$E$21))</f>
        <v>22.762349417746812</v>
      </c>
      <c r="AC5" s="601">
        <f>AB5/V5</f>
        <v>0.10562431858261778</v>
      </c>
      <c r="AD5" s="599">
        <f>$E$8/(1-AC5)</f>
        <v>3268452.5426808004</v>
      </c>
      <c r="AE5" s="592" t="str">
        <f>IF(AD5=$U$5,"yes","not yet")</f>
        <v>not yet</v>
      </c>
      <c r="AF5" s="600">
        <f>100*(1-AC5)</f>
        <v>89.437568141738225</v>
      </c>
      <c r="AG5" s="592"/>
      <c r="AH5" s="592"/>
      <c r="AI5" s="592">
        <v>0</v>
      </c>
      <c r="AJ5" s="592">
        <v>1</v>
      </c>
      <c r="AK5" s="592"/>
      <c r="AL5" s="592"/>
      <c r="AM5" s="592"/>
      <c r="AN5" s="592"/>
      <c r="AO5" s="592"/>
      <c r="AP5" s="592"/>
      <c r="AQ5" s="592"/>
      <c r="AR5" s="592"/>
      <c r="AS5" s="590"/>
      <c r="AT5" s="590"/>
      <c r="AU5" s="590"/>
      <c r="AV5" s="590"/>
      <c r="AW5" s="590"/>
      <c r="AX5" s="590"/>
      <c r="AY5" s="590"/>
      <c r="AZ5" s="590"/>
      <c r="BA5" s="590"/>
      <c r="BB5" s="590"/>
      <c r="BC5" s="590"/>
      <c r="BD5" s="590"/>
      <c r="BE5" s="590"/>
      <c r="BF5" s="590"/>
      <c r="BG5" s="590"/>
      <c r="BH5" s="590"/>
      <c r="BI5" s="590"/>
      <c r="BJ5" s="590"/>
      <c r="BK5" s="591"/>
      <c r="BL5" s="591"/>
      <c r="BM5" s="591"/>
      <c r="BN5" s="591"/>
      <c r="BO5" s="591"/>
      <c r="BP5" s="591"/>
      <c r="BQ5" s="591"/>
      <c r="BR5" s="591"/>
      <c r="BS5" s="591"/>
      <c r="BT5" s="591"/>
      <c r="BU5" s="591"/>
      <c r="BV5" s="591"/>
      <c r="BW5" s="591"/>
      <c r="BX5" s="591"/>
      <c r="BY5" s="591"/>
      <c r="BZ5" s="591"/>
      <c r="CA5" s="591"/>
      <c r="CB5" s="591"/>
      <c r="CC5" s="591"/>
      <c r="CD5" s="591"/>
      <c r="CE5" s="591"/>
      <c r="CF5" s="591"/>
    </row>
    <row r="6" spans="1:84">
      <c r="A6" s="590"/>
      <c r="B6" s="597" t="s">
        <v>349</v>
      </c>
      <c r="C6" s="597" t="s">
        <v>354</v>
      </c>
      <c r="D6" s="592"/>
      <c r="E6" s="595">
        <f>(+E8-((H15/100)*E7))/H25</f>
        <v>397760.89189049613</v>
      </c>
      <c r="F6" s="602" t="s">
        <v>351</v>
      </c>
      <c r="G6" s="592"/>
      <c r="H6" s="603"/>
      <c r="I6" s="592"/>
      <c r="J6" s="604">
        <f>E6/E7</f>
        <v>0.13741755928353161</v>
      </c>
      <c r="K6" s="592" t="s">
        <v>355</v>
      </c>
      <c r="L6" s="598"/>
      <c r="M6" s="592"/>
      <c r="N6" s="597" t="s">
        <v>356</v>
      </c>
      <c r="O6" s="592"/>
      <c r="P6" s="592"/>
      <c r="Q6" s="597" t="s">
        <v>357</v>
      </c>
      <c r="R6" s="592"/>
      <c r="S6" s="592"/>
      <c r="T6" s="592"/>
      <c r="U6" s="599">
        <f>$E$8*1.25</f>
        <v>3654030.5875506457</v>
      </c>
      <c r="V6" s="600">
        <f>100*(+U6/$E$9)</f>
        <v>215.50292322068273</v>
      </c>
      <c r="W6" s="601">
        <f>EXP(5.70827-(0.68367*LN(+V6)))</f>
        <v>7.6517053240193098</v>
      </c>
      <c r="X6" s="601">
        <f>(+W6*V6)/100</f>
        <v>16.489648649494228</v>
      </c>
      <c r="Y6" s="600">
        <f>100*((((X6/100)-((X6/100)-0.03574)*$E$21)-0.03574-0.00619)/0.344)</f>
        <v>22.98060496705288</v>
      </c>
      <c r="Z6" s="592">
        <f>$E$20</f>
        <v>0.25</v>
      </c>
      <c r="AA6" s="600">
        <f>Y6+Z6</f>
        <v>23.23060496705288</v>
      </c>
      <c r="AB6" s="600">
        <f>100*($E$17*$E$19+($E$18*(AA6/100))/(1-$E$21))</f>
        <v>22.347236893876918</v>
      </c>
      <c r="AC6" s="601">
        <f>AB6/V6</f>
        <v>0.10369806849901773</v>
      </c>
      <c r="AD6" s="599">
        <f>$E$8/(1-AC6)</f>
        <v>3261428.2835976607</v>
      </c>
      <c r="AE6" s="592" t="str">
        <f>IF(AD6=$U$6,"yes","not yet")</f>
        <v>not yet</v>
      </c>
      <c r="AF6" s="600">
        <f>100*(1-AC6)</f>
        <v>89.630193150098222</v>
      </c>
      <c r="AG6" s="592"/>
      <c r="AH6" s="592"/>
      <c r="AI6" s="592">
        <v>50</v>
      </c>
      <c r="AJ6" s="592">
        <v>2</v>
      </c>
      <c r="AK6" s="592"/>
      <c r="AL6" s="592"/>
      <c r="AM6" s="592"/>
      <c r="AN6" s="592"/>
      <c r="AO6" s="592"/>
      <c r="AP6" s="592"/>
      <c r="AQ6" s="592"/>
      <c r="AR6" s="592"/>
      <c r="AS6" s="590"/>
      <c r="AT6" s="590"/>
      <c r="AU6" s="590"/>
      <c r="AV6" s="590"/>
      <c r="AW6" s="590"/>
      <c r="AX6" s="590"/>
      <c r="AY6" s="590"/>
      <c r="AZ6" s="590"/>
      <c r="BA6" s="590"/>
      <c r="BB6" s="590"/>
      <c r="BC6" s="590"/>
      <c r="BD6" s="590"/>
      <c r="BE6" s="590"/>
      <c r="BF6" s="590"/>
      <c r="BG6" s="590"/>
      <c r="BH6" s="590"/>
      <c r="BI6" s="590"/>
      <c r="BJ6" s="590"/>
      <c r="BK6" s="591"/>
      <c r="BL6" s="591"/>
      <c r="BM6" s="591"/>
      <c r="BN6" s="591"/>
      <c r="BO6" s="591"/>
      <c r="BP6" s="591"/>
      <c r="BQ6" s="591"/>
      <c r="BR6" s="591"/>
      <c r="BS6" s="591"/>
      <c r="BT6" s="591"/>
      <c r="BU6" s="591"/>
      <c r="BV6" s="591"/>
      <c r="BW6" s="591"/>
      <c r="BX6" s="591"/>
      <c r="BY6" s="591"/>
      <c r="BZ6" s="591"/>
      <c r="CA6" s="591"/>
      <c r="CB6" s="591"/>
      <c r="CC6" s="591"/>
      <c r="CD6" s="591"/>
      <c r="CE6" s="591"/>
      <c r="CF6" s="591"/>
    </row>
    <row r="7" spans="1:84">
      <c r="A7" s="590"/>
      <c r="B7" s="605" t="s">
        <v>358</v>
      </c>
      <c r="C7" s="597" t="s">
        <v>87</v>
      </c>
      <c r="D7" s="605" t="s">
        <v>359</v>
      </c>
      <c r="E7" s="606">
        <f>'Consolidated IS'!O18</f>
        <v>2894541.9636642067</v>
      </c>
      <c r="F7" s="597" t="s">
        <v>360</v>
      </c>
      <c r="G7" s="592"/>
      <c r="H7" s="607"/>
      <c r="I7" s="592"/>
      <c r="J7" s="597"/>
      <c r="K7" s="592"/>
      <c r="L7" s="598"/>
      <c r="M7" s="592"/>
      <c r="N7" s="597" t="s">
        <v>361</v>
      </c>
      <c r="O7" s="592"/>
      <c r="P7" s="592"/>
      <c r="Q7" s="597" t="s">
        <v>362</v>
      </c>
      <c r="R7" s="592"/>
      <c r="S7" s="592"/>
      <c r="T7" s="592"/>
      <c r="U7" s="599">
        <f>$E$8*1.25</f>
        <v>3654030.5875506457</v>
      </c>
      <c r="V7" s="600">
        <f>100*(+U7/$E$9)</f>
        <v>215.50292322068273</v>
      </c>
      <c r="W7" s="601">
        <f>EXP(5.6985-(0.68367*LN(V7)))</f>
        <v>7.5773121653364299</v>
      </c>
      <c r="X7" s="601">
        <f>(+W7*V7)/100</f>
        <v>16.329329217856419</v>
      </c>
      <c r="Y7" s="600">
        <f>100*((((X7/100)-((X7/100)-0.03574)*$E$21)-0.03574-0.00619)/0.344)</f>
        <v>22.673015359840811</v>
      </c>
      <c r="Z7" s="592">
        <f>$E$20</f>
        <v>0.25</v>
      </c>
      <c r="AA7" s="600">
        <f>Y7+Z7</f>
        <v>22.923015359840811</v>
      </c>
      <c r="AB7" s="600">
        <f>100*($E$17*$E$19+($E$18*(AA7/100))/(1-$E$21))</f>
        <v>22.06760997822958</v>
      </c>
      <c r="AC7" s="601">
        <f>AB7/V7</f>
        <v>0.1024005134057117</v>
      </c>
      <c r="AD7" s="599">
        <f>$E$8/(1-AC7)</f>
        <v>3256713.6163724246</v>
      </c>
      <c r="AE7" s="592" t="str">
        <f>IF(AD7=$U$7,"yes","not yet")</f>
        <v>not yet</v>
      </c>
      <c r="AF7" s="600">
        <f>100*(1-AC7)</f>
        <v>89.759948659428829</v>
      </c>
      <c r="AG7" s="592"/>
      <c r="AH7" s="592"/>
      <c r="AI7" s="592">
        <v>125</v>
      </c>
      <c r="AJ7" s="592">
        <v>3</v>
      </c>
      <c r="AK7" s="592"/>
      <c r="AL7" s="592"/>
      <c r="AM7" s="592"/>
      <c r="AN7" s="592"/>
      <c r="AO7" s="592"/>
      <c r="AP7" s="592"/>
      <c r="AQ7" s="592"/>
      <c r="AR7" s="592"/>
      <c r="AS7" s="590"/>
      <c r="AT7" s="590"/>
      <c r="AU7" s="590"/>
      <c r="AV7" s="590"/>
      <c r="AW7" s="590"/>
      <c r="AX7" s="590"/>
      <c r="AY7" s="590"/>
      <c r="AZ7" s="590"/>
      <c r="BA7" s="590"/>
      <c r="BB7" s="590"/>
      <c r="BC7" s="590"/>
      <c r="BD7" s="590"/>
      <c r="BE7" s="590"/>
      <c r="BF7" s="590"/>
      <c r="BG7" s="590"/>
      <c r="BH7" s="590"/>
      <c r="BI7" s="590"/>
      <c r="BJ7" s="590"/>
      <c r="BK7" s="591"/>
      <c r="BL7" s="591"/>
      <c r="BM7" s="591"/>
      <c r="BN7" s="591"/>
      <c r="BO7" s="591"/>
      <c r="BP7" s="591"/>
      <c r="BQ7" s="591"/>
      <c r="BR7" s="591"/>
      <c r="BS7" s="591"/>
      <c r="BT7" s="591"/>
      <c r="BU7" s="591"/>
      <c r="BV7" s="591"/>
      <c r="BW7" s="591"/>
      <c r="BX7" s="591"/>
      <c r="BY7" s="591"/>
      <c r="BZ7" s="591"/>
      <c r="CA7" s="591"/>
      <c r="CB7" s="591"/>
      <c r="CC7" s="591"/>
      <c r="CD7" s="591"/>
      <c r="CE7" s="591"/>
      <c r="CF7" s="591"/>
    </row>
    <row r="8" spans="1:84">
      <c r="A8" s="590"/>
      <c r="B8" s="605" t="s">
        <v>358</v>
      </c>
      <c r="C8" s="597" t="s">
        <v>363</v>
      </c>
      <c r="D8" s="605" t="s">
        <v>359</v>
      </c>
      <c r="E8" s="606">
        <f>'Consolidated IS'!O261</f>
        <v>2923224.4700405165</v>
      </c>
      <c r="F8" s="597" t="s">
        <v>360</v>
      </c>
      <c r="G8" s="592"/>
      <c r="H8" s="607"/>
      <c r="I8" s="592"/>
      <c r="J8" s="604"/>
      <c r="K8" s="603"/>
      <c r="L8" s="598"/>
      <c r="M8" s="592"/>
      <c r="N8" s="597" t="s">
        <v>364</v>
      </c>
      <c r="O8" s="592"/>
      <c r="P8" s="592"/>
      <c r="Q8" s="597" t="s">
        <v>365</v>
      </c>
      <c r="R8" s="592"/>
      <c r="S8" s="592"/>
      <c r="T8" s="592"/>
      <c r="U8" s="599">
        <f>$E$8*1.25</f>
        <v>3654030.5875506457</v>
      </c>
      <c r="V8" s="600">
        <f>100*(+U8/$E$9)</f>
        <v>215.50292322068273</v>
      </c>
      <c r="W8" s="601">
        <f>EXP(5.6922-(0.68367*LN(V8)))</f>
        <v>7.5297251551707616</v>
      </c>
      <c r="X8" s="601">
        <f>(+W8*V8)/100</f>
        <v>16.22677781987608</v>
      </c>
      <c r="Y8" s="600">
        <f>100*((((X8/100)-((X8/100)-0.03574)*$E$21)-0.03574-0.00619)/0.344)</f>
        <v>22.476259770692479</v>
      </c>
      <c r="Z8" s="592">
        <f>$E$20</f>
        <v>0.25</v>
      </c>
      <c r="AA8" s="600">
        <f>Y8+Z8</f>
        <v>22.726259770692479</v>
      </c>
      <c r="AB8" s="600">
        <f>100*($E$17*$E$19+($E$18*(AA8/100))/(1-$E$21))</f>
        <v>21.888741260822009</v>
      </c>
      <c r="AC8" s="601">
        <f>AB8/V8</f>
        <v>0.10157050741445002</v>
      </c>
      <c r="AD8" s="599">
        <f>$E$8/(1-AC8)</f>
        <v>3253704.9308431535</v>
      </c>
      <c r="AE8" s="592" t="str">
        <f>IF(AD8=$U$8,"yes","not yet")</f>
        <v>not yet</v>
      </c>
      <c r="AF8" s="600">
        <f>100*(1-AC8)</f>
        <v>89.842949258554995</v>
      </c>
      <c r="AG8" s="592"/>
      <c r="AH8" s="592"/>
      <c r="AI8" s="592">
        <v>401</v>
      </c>
      <c r="AJ8" s="592">
        <v>4</v>
      </c>
      <c r="AK8" s="592"/>
      <c r="AL8" s="592"/>
      <c r="AM8" s="592"/>
      <c r="AN8" s="592"/>
      <c r="AO8" s="592"/>
      <c r="AP8" s="592"/>
      <c r="AQ8" s="592"/>
      <c r="AR8" s="592"/>
      <c r="AS8" s="590"/>
      <c r="AT8" s="590"/>
      <c r="AU8" s="590"/>
      <c r="AV8" s="590"/>
      <c r="AW8" s="590"/>
      <c r="AX8" s="590"/>
      <c r="AY8" s="590"/>
      <c r="AZ8" s="590"/>
      <c r="BA8" s="590"/>
      <c r="BB8" s="590"/>
      <c r="BC8" s="590"/>
      <c r="BD8" s="590"/>
      <c r="BE8" s="590"/>
      <c r="BF8" s="590"/>
      <c r="BG8" s="590"/>
      <c r="BH8" s="590"/>
      <c r="BI8" s="590"/>
      <c r="BJ8" s="590"/>
      <c r="BK8" s="591"/>
      <c r="BL8" s="591"/>
      <c r="BM8" s="591"/>
      <c r="BN8" s="591"/>
      <c r="BO8" s="591"/>
      <c r="BP8" s="591"/>
      <c r="BQ8" s="591"/>
      <c r="BR8" s="591"/>
      <c r="BS8" s="591"/>
      <c r="BT8" s="591"/>
      <c r="BU8" s="591"/>
      <c r="BV8" s="591"/>
      <c r="BW8" s="591"/>
      <c r="BX8" s="591"/>
      <c r="BY8" s="591"/>
      <c r="BZ8" s="591"/>
      <c r="CA8" s="591"/>
      <c r="CB8" s="591"/>
      <c r="CC8" s="591"/>
      <c r="CD8" s="591"/>
      <c r="CE8" s="591"/>
      <c r="CF8" s="591"/>
    </row>
    <row r="9" spans="1:84">
      <c r="A9" s="590"/>
      <c r="B9" s="605" t="s">
        <v>358</v>
      </c>
      <c r="C9" s="597" t="s">
        <v>366</v>
      </c>
      <c r="D9" s="592"/>
      <c r="E9" s="606">
        <f>'Consolidated IS'!O267</f>
        <v>1695582.8407992346</v>
      </c>
      <c r="F9" s="597" t="s">
        <v>360</v>
      </c>
      <c r="G9" s="592"/>
      <c r="H9" s="592"/>
      <c r="I9" s="592"/>
      <c r="J9" s="597"/>
      <c r="K9" s="608"/>
      <c r="L9" s="598"/>
      <c r="M9" s="592"/>
      <c r="N9" s="592"/>
      <c r="O9" s="592"/>
      <c r="P9" s="592"/>
      <c r="Q9" s="592"/>
      <c r="R9" s="592"/>
      <c r="S9" s="592"/>
      <c r="T9" s="592"/>
      <c r="U9" s="592"/>
      <c r="V9" s="592"/>
      <c r="W9" s="592"/>
      <c r="X9" s="592"/>
      <c r="Y9" s="592"/>
      <c r="Z9" s="592"/>
      <c r="AA9" s="600"/>
      <c r="AB9" s="592"/>
      <c r="AC9" s="592"/>
      <c r="AD9" s="592"/>
      <c r="AE9" s="592"/>
      <c r="AF9" s="592"/>
      <c r="AG9" s="592"/>
      <c r="AH9" s="592"/>
      <c r="AI9" s="592"/>
      <c r="AJ9" s="592"/>
      <c r="AK9" s="592"/>
      <c r="AL9" s="592"/>
      <c r="AM9" s="592"/>
      <c r="AN9" s="592"/>
      <c r="AO9" s="592"/>
      <c r="AP9" s="592"/>
      <c r="AQ9" s="592"/>
      <c r="AR9" s="592"/>
      <c r="AS9" s="590"/>
      <c r="AT9" s="590"/>
      <c r="AU9" s="590"/>
      <c r="AV9" s="590"/>
      <c r="AW9" s="590"/>
      <c r="AX9" s="590"/>
      <c r="AY9" s="590"/>
      <c r="AZ9" s="590"/>
      <c r="BA9" s="590"/>
      <c r="BB9" s="590"/>
      <c r="BC9" s="590"/>
      <c r="BD9" s="590"/>
      <c r="BE9" s="590"/>
      <c r="BF9" s="590"/>
      <c r="BG9" s="590"/>
      <c r="BH9" s="590"/>
      <c r="BI9" s="590"/>
      <c r="BJ9" s="590"/>
      <c r="BK9" s="591"/>
      <c r="BL9" s="591"/>
      <c r="BM9" s="591"/>
      <c r="BN9" s="591"/>
      <c r="BO9" s="591"/>
      <c r="BP9" s="591"/>
      <c r="BQ9" s="591"/>
      <c r="BR9" s="591"/>
      <c r="BS9" s="591"/>
      <c r="BT9" s="591"/>
      <c r="BU9" s="591"/>
      <c r="BV9" s="591"/>
      <c r="BW9" s="591"/>
      <c r="BX9" s="591"/>
      <c r="BY9" s="591"/>
      <c r="BZ9" s="591"/>
      <c r="CA9" s="591"/>
      <c r="CB9" s="591"/>
      <c r="CC9" s="591"/>
      <c r="CD9" s="591"/>
      <c r="CE9" s="591"/>
      <c r="CF9" s="591"/>
    </row>
    <row r="10" spans="1:84">
      <c r="A10" s="590"/>
      <c r="B10" s="594"/>
      <c r="C10" s="597" t="s">
        <v>367</v>
      </c>
      <c r="D10" s="592"/>
      <c r="E10" s="600">
        <f>V5</f>
        <v>215.50292322068273</v>
      </c>
      <c r="F10" s="597" t="s">
        <v>368</v>
      </c>
      <c r="G10" s="592"/>
      <c r="H10" s="600"/>
      <c r="I10" s="600"/>
      <c r="J10" s="594"/>
      <c r="K10" s="595"/>
      <c r="L10" s="592"/>
      <c r="M10" s="592"/>
      <c r="N10" s="592"/>
      <c r="O10" s="592"/>
      <c r="P10" s="592"/>
      <c r="Q10" s="592"/>
      <c r="R10" s="592"/>
      <c r="S10" s="592"/>
      <c r="T10" s="592"/>
      <c r="U10" s="592"/>
      <c r="V10" s="609" t="s">
        <v>369</v>
      </c>
      <c r="W10" s="609" t="s">
        <v>331</v>
      </c>
      <c r="X10" s="609" t="s">
        <v>341</v>
      </c>
      <c r="Y10" s="609" t="s">
        <v>342</v>
      </c>
      <c r="Z10" s="592"/>
      <c r="AA10" s="600"/>
      <c r="AB10" s="592"/>
      <c r="AC10" s="592"/>
      <c r="AD10" s="592"/>
      <c r="AE10" s="592"/>
      <c r="AF10" s="592"/>
      <c r="AG10" s="592"/>
      <c r="AH10" s="592"/>
      <c r="AI10" s="592" t="s">
        <v>370</v>
      </c>
      <c r="AJ10" s="592"/>
      <c r="AK10" s="592"/>
      <c r="AL10" s="592"/>
      <c r="AM10" s="592"/>
      <c r="AN10" s="592"/>
      <c r="AO10" s="592"/>
      <c r="AP10" s="592"/>
      <c r="AQ10" s="592"/>
      <c r="AR10" s="592"/>
      <c r="AS10" s="590"/>
      <c r="AT10" s="590"/>
      <c r="AU10" s="590"/>
      <c r="AV10" s="590"/>
      <c r="AW10" s="590"/>
      <c r="AX10" s="590"/>
      <c r="AY10" s="590"/>
      <c r="AZ10" s="590"/>
      <c r="BA10" s="590"/>
      <c r="BB10" s="590"/>
      <c r="BC10" s="590"/>
      <c r="BD10" s="590"/>
      <c r="BE10" s="590"/>
      <c r="BF10" s="590"/>
      <c r="BG10" s="590"/>
      <c r="BH10" s="590"/>
      <c r="BI10" s="590"/>
      <c r="BJ10" s="590"/>
      <c r="BK10" s="591"/>
      <c r="BL10" s="591"/>
      <c r="BM10" s="591"/>
      <c r="BN10" s="591"/>
      <c r="BO10" s="591"/>
      <c r="BP10" s="591"/>
      <c r="BQ10" s="591"/>
      <c r="BR10" s="591"/>
      <c r="BS10" s="591"/>
      <c r="BT10" s="591"/>
      <c r="BU10" s="591"/>
      <c r="BV10" s="591"/>
      <c r="BW10" s="591"/>
      <c r="BX10" s="591"/>
      <c r="BY10" s="591"/>
      <c r="BZ10" s="591"/>
      <c r="CA10" s="591"/>
      <c r="CB10" s="591"/>
      <c r="CC10" s="591"/>
      <c r="CD10" s="591"/>
      <c r="CE10" s="591"/>
      <c r="CF10" s="591"/>
    </row>
    <row r="11" spans="1:84">
      <c r="A11" s="590"/>
      <c r="B11" s="594"/>
      <c r="C11" s="597" t="s">
        <v>371</v>
      </c>
      <c r="D11" s="592"/>
      <c r="E11" s="600">
        <f>HLOOKUP($AJ$34,$AJ$28:$AR$32,($E$12)+1)</f>
        <v>193.51676137824956</v>
      </c>
      <c r="F11" s="597" t="s">
        <v>368</v>
      </c>
      <c r="G11" s="592"/>
      <c r="H11" s="592"/>
      <c r="I11" s="592"/>
      <c r="J11" s="605"/>
      <c r="K11" s="595"/>
      <c r="L11" s="592"/>
      <c r="M11" s="592"/>
      <c r="N11" s="592"/>
      <c r="O11" s="592"/>
      <c r="P11" s="592"/>
      <c r="Q11" s="592"/>
      <c r="R11" s="592"/>
      <c r="S11" s="592"/>
      <c r="T11" s="592"/>
      <c r="U11" s="592"/>
      <c r="V11" s="600">
        <f>100*(+AD5/$E$9)</f>
        <v>192.76277537346235</v>
      </c>
      <c r="W11" s="610">
        <f>EXP(5.7226-(0.68367*LN(+V11)))</f>
        <v>8.3770635694201623</v>
      </c>
      <c r="X11" s="601">
        <f>(+W11*V11)/100</f>
        <v>16.147860231213535</v>
      </c>
      <c r="Y11" s="600">
        <f>100*((((X11/100)-((X11/100)-0.03574)*$E$21)-0.03574-0.00619)/0.344)</f>
        <v>22.324848118025965</v>
      </c>
      <c r="Z11" s="592">
        <f>$E$20</f>
        <v>0.25</v>
      </c>
      <c r="AA11" s="600">
        <f>Y11+Z11</f>
        <v>22.574848118025965</v>
      </c>
      <c r="AB11" s="600">
        <f>100*($E$17*$E$19+($E$18*(AA11/100))/(1-$E$21))</f>
        <v>21.751094303852447</v>
      </c>
      <c r="AC11" s="601">
        <f>AB11/V11</f>
        <v>0.11283866535803634</v>
      </c>
      <c r="AD11" s="599">
        <f>$E$8/(1-AC11)</f>
        <v>3295031.4175045257</v>
      </c>
      <c r="AE11" s="592" t="str">
        <f>IF(AD11=AD5,"yes","not yet")</f>
        <v>not yet</v>
      </c>
      <c r="AF11" s="600">
        <f>100*(1-AC11)</f>
        <v>88.716133464196361</v>
      </c>
      <c r="AG11" s="592"/>
      <c r="AH11" s="592"/>
      <c r="AI11" s="592"/>
      <c r="AJ11" s="592"/>
      <c r="AK11" s="592"/>
      <c r="AL11" s="592"/>
      <c r="AM11" s="592"/>
      <c r="AN11" s="592"/>
      <c r="AO11" s="592"/>
      <c r="AP11" s="592"/>
      <c r="AQ11" s="592"/>
      <c r="AR11" s="592"/>
      <c r="AS11" s="590"/>
      <c r="AT11" s="590"/>
      <c r="AU11" s="590"/>
      <c r="AV11" s="590"/>
      <c r="AW11" s="590"/>
      <c r="AX11" s="590"/>
      <c r="AY11" s="590"/>
      <c r="AZ11" s="590"/>
      <c r="BA11" s="590"/>
      <c r="BB11" s="590"/>
      <c r="BC11" s="590"/>
      <c r="BD11" s="590"/>
      <c r="BE11" s="590"/>
      <c r="BF11" s="590"/>
      <c r="BG11" s="590"/>
      <c r="BH11" s="590"/>
      <c r="BI11" s="590"/>
      <c r="BJ11" s="590"/>
      <c r="BK11" s="591"/>
      <c r="BL11" s="591"/>
      <c r="BM11" s="591"/>
      <c r="BN11" s="591"/>
      <c r="BO11" s="591"/>
      <c r="BP11" s="591"/>
      <c r="BQ11" s="591"/>
      <c r="BR11" s="591"/>
      <c r="BS11" s="591"/>
      <c r="BT11" s="591"/>
      <c r="BU11" s="591"/>
      <c r="BV11" s="591"/>
      <c r="BW11" s="591"/>
      <c r="BX11" s="591"/>
      <c r="BY11" s="591"/>
      <c r="BZ11" s="591"/>
      <c r="CA11" s="591"/>
      <c r="CB11" s="591"/>
      <c r="CC11" s="591"/>
      <c r="CD11" s="591"/>
      <c r="CE11" s="591"/>
      <c r="CF11" s="591"/>
    </row>
    <row r="12" spans="1:84">
      <c r="A12" s="590"/>
      <c r="B12" s="594"/>
      <c r="C12" s="597" t="s">
        <v>372</v>
      </c>
      <c r="D12" s="592"/>
      <c r="E12" s="592">
        <f>VLOOKUP(E10,AI5:AJ8,2)</f>
        <v>3</v>
      </c>
      <c r="F12" s="597" t="s">
        <v>368</v>
      </c>
      <c r="G12" s="592"/>
      <c r="H12" s="592"/>
      <c r="I12" s="592"/>
      <c r="J12" s="605"/>
      <c r="K12" s="595"/>
      <c r="L12" s="592"/>
      <c r="M12" s="592"/>
      <c r="N12" s="592"/>
      <c r="O12" s="592"/>
      <c r="P12" s="592"/>
      <c r="Q12" s="592"/>
      <c r="R12" s="592"/>
      <c r="S12" s="592"/>
      <c r="T12" s="592"/>
      <c r="U12" s="592"/>
      <c r="V12" s="600">
        <f>100*(+AD6/$E$9)</f>
        <v>192.34850725785506</v>
      </c>
      <c r="W12" s="610">
        <f>EXP(5.70827-(0.68367*LN(+V12)))</f>
        <v>8.2700313992437522</v>
      </c>
      <c r="X12" s="601">
        <f>(+W12*V12)/100</f>
        <v>15.907281946201261</v>
      </c>
      <c r="Y12" s="600">
        <f>100*((((X12/100)-((X12/100)-0.03574)*$E$21)-0.03574-0.00619)/0.344)</f>
        <v>21.863273501432648</v>
      </c>
      <c r="Z12" s="592">
        <f>$E$20</f>
        <v>0.25</v>
      </c>
      <c r="AA12" s="600">
        <f>Y12+Z12</f>
        <v>22.113273501432648</v>
      </c>
      <c r="AB12" s="600">
        <f>100*($E$17*$E$19+($E$18*(AA12/100))/(1-$E$21))</f>
        <v>21.331481016040343</v>
      </c>
      <c r="AC12" s="601">
        <f>AB12/V12</f>
        <v>0.11090016408312529</v>
      </c>
      <c r="AD12" s="599">
        <f>$E$8/(1-AC12)</f>
        <v>3287847.271983773</v>
      </c>
      <c r="AE12" s="592" t="str">
        <f>IF(AD12=AD6,"yes","not yet")</f>
        <v>not yet</v>
      </c>
      <c r="AF12" s="600">
        <f>100*(1-AC12)</f>
        <v>88.909983591687464</v>
      </c>
      <c r="AG12" s="592"/>
      <c r="AH12" s="592"/>
      <c r="AI12" s="592"/>
      <c r="AJ12" s="592"/>
      <c r="AK12" s="592"/>
      <c r="AL12" s="592"/>
      <c r="AM12" s="592"/>
      <c r="AN12" s="592"/>
      <c r="AO12" s="592"/>
      <c r="AP12" s="592"/>
      <c r="AQ12" s="592"/>
      <c r="AR12" s="592"/>
      <c r="AS12" s="590"/>
      <c r="AT12" s="590"/>
      <c r="AU12" s="590"/>
      <c r="AV12" s="590"/>
      <c r="AW12" s="590"/>
      <c r="AX12" s="590"/>
      <c r="AY12" s="590"/>
      <c r="AZ12" s="590"/>
      <c r="BA12" s="590"/>
      <c r="BB12" s="590"/>
      <c r="BC12" s="590"/>
      <c r="BD12" s="590"/>
      <c r="BE12" s="590"/>
      <c r="BF12" s="590"/>
      <c r="BG12" s="590"/>
      <c r="BH12" s="590"/>
      <c r="BI12" s="590"/>
      <c r="BJ12" s="590"/>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row>
    <row r="13" spans="1:84">
      <c r="A13" s="590"/>
      <c r="B13" s="594"/>
      <c r="C13" s="592"/>
      <c r="D13" s="592"/>
      <c r="E13" s="592"/>
      <c r="F13" s="592"/>
      <c r="G13" s="592"/>
      <c r="H13" s="592"/>
      <c r="I13" s="592"/>
      <c r="J13" s="605"/>
      <c r="K13" s="595"/>
      <c r="L13" s="611"/>
      <c r="M13" s="596"/>
      <c r="N13" s="595"/>
      <c r="O13" s="592"/>
      <c r="P13" s="592"/>
      <c r="Q13" s="592"/>
      <c r="R13" s="592"/>
      <c r="S13" s="592"/>
      <c r="T13" s="592"/>
      <c r="U13" s="592"/>
      <c r="V13" s="600">
        <f>100*(+AD7/$E$9)</f>
        <v>192.07045141111072</v>
      </c>
      <c r="W13" s="610">
        <f>EXP(5.6985-(0.68367*LN(V13)))</f>
        <v>8.1977302973983743</v>
      </c>
      <c r="X13" s="601">
        <f>(+W13*V13)/100</f>
        <v>15.745417587678446</v>
      </c>
      <c r="Y13" s="600">
        <f>100*((((X13/100)-((X13/100)-0.03574)*$E$21)-0.03574-0.00619)/0.344)</f>
        <v>21.552719790313294</v>
      </c>
      <c r="Z13" s="592">
        <f>$E$20</f>
        <v>0.25</v>
      </c>
      <c r="AA13" s="600">
        <f>Y13+Z13</f>
        <v>21.802719790313294</v>
      </c>
      <c r="AB13" s="600">
        <f>100*($E$17*$E$19+($E$18*(AA13/100))/(1-$E$21))</f>
        <v>21.049159460477291</v>
      </c>
      <c r="AC13" s="601">
        <f>AB13/V13</f>
        <v>0.10959082620898999</v>
      </c>
      <c r="AD13" s="599">
        <f>$E$8/(1-AC13)</f>
        <v>3283012.5251232339</v>
      </c>
      <c r="AE13" s="592" t="str">
        <f>IF(AD13=AD7,"yes","not yet")</f>
        <v>not yet</v>
      </c>
      <c r="AF13" s="600">
        <f>100*(1-AC13)</f>
        <v>89.040917379101003</v>
      </c>
      <c r="AG13" s="592"/>
      <c r="AH13" s="592"/>
      <c r="AI13" s="592"/>
      <c r="AJ13" s="592">
        <v>1</v>
      </c>
      <c r="AK13" s="592">
        <v>2</v>
      </c>
      <c r="AL13" s="592">
        <v>3</v>
      </c>
      <c r="AM13" s="592">
        <v>4</v>
      </c>
      <c r="AN13" s="592">
        <v>5</v>
      </c>
      <c r="AO13" s="592">
        <v>6</v>
      </c>
      <c r="AP13" s="592">
        <v>7</v>
      </c>
      <c r="AQ13" s="592">
        <v>8</v>
      </c>
      <c r="AR13" s="592">
        <v>9</v>
      </c>
      <c r="AS13" s="590"/>
      <c r="AT13" s="590"/>
      <c r="AU13" s="590"/>
      <c r="AV13" s="590"/>
      <c r="AW13" s="590"/>
      <c r="AX13" s="590"/>
      <c r="AY13" s="590"/>
      <c r="AZ13" s="590"/>
      <c r="BA13" s="590"/>
      <c r="BB13" s="590"/>
      <c r="BC13" s="590"/>
      <c r="BD13" s="590"/>
      <c r="BE13" s="590"/>
      <c r="BF13" s="590"/>
      <c r="BG13" s="590"/>
      <c r="BH13" s="590"/>
      <c r="BI13" s="590"/>
      <c r="BJ13" s="590"/>
      <c r="BK13" s="591"/>
      <c r="BL13" s="591"/>
      <c r="BM13" s="591"/>
      <c r="BN13" s="591"/>
      <c r="BO13" s="591"/>
      <c r="BP13" s="591"/>
      <c r="BQ13" s="591"/>
      <c r="BR13" s="591"/>
      <c r="BS13" s="591"/>
      <c r="BT13" s="591"/>
      <c r="BU13" s="591"/>
      <c r="BV13" s="591"/>
      <c r="BW13" s="591"/>
      <c r="BX13" s="591"/>
      <c r="BY13" s="591"/>
      <c r="BZ13" s="591"/>
      <c r="CA13" s="591"/>
      <c r="CB13" s="591"/>
      <c r="CC13" s="591"/>
      <c r="CD13" s="591"/>
      <c r="CE13" s="591"/>
      <c r="CF13" s="591"/>
    </row>
    <row r="14" spans="1:84">
      <c r="A14" s="590"/>
      <c r="B14" s="594"/>
      <c r="C14" s="597" t="s">
        <v>373</v>
      </c>
      <c r="D14" s="592"/>
      <c r="E14" s="592"/>
      <c r="F14" s="592"/>
      <c r="G14" s="592"/>
      <c r="H14" s="592"/>
      <c r="I14" s="592"/>
      <c r="J14" s="594"/>
      <c r="K14" s="595"/>
      <c r="L14" s="611"/>
      <c r="M14" s="596"/>
      <c r="N14" s="595"/>
      <c r="O14" s="592"/>
      <c r="P14" s="592"/>
      <c r="Q14" s="592"/>
      <c r="R14" s="592"/>
      <c r="S14" s="592"/>
      <c r="T14" s="592"/>
      <c r="U14" s="592"/>
      <c r="V14" s="600">
        <f>100*(+AD8/$E$9)</f>
        <v>191.89300885526055</v>
      </c>
      <c r="W14" s="610">
        <f>EXP(5.6922-(0.68367*LN(V14)))</f>
        <v>8.1513961330850453</v>
      </c>
      <c r="X14" s="601">
        <f>(+W14*V14)/100</f>
        <v>15.641959303488251</v>
      </c>
      <c r="Y14" s="600">
        <f>100*((((X14/100)-((X14/100)-0.03574)*$E$21)-0.03574-0.00619)/0.344)</f>
        <v>21.354224245064664</v>
      </c>
      <c r="Z14" s="592">
        <f>$E$20</f>
        <v>0.25</v>
      </c>
      <c r="AA14" s="600">
        <f>Y14+Z14</f>
        <v>21.604224245064664</v>
      </c>
      <c r="AB14" s="600">
        <f>100*($E$17*$E$19+($E$18*(AA14/100))/(1-$E$21))</f>
        <v>20.868708964796721</v>
      </c>
      <c r="AC14" s="601">
        <f>AB14/V14</f>
        <v>0.10875179397774411</v>
      </c>
      <c r="AD14" s="599">
        <f>$E$8/(1-AC14)</f>
        <v>3279921.8559857826</v>
      </c>
      <c r="AE14" s="592" t="str">
        <f>IF(AD14=AD8,"yes","not yet")</f>
        <v>not yet</v>
      </c>
      <c r="AF14" s="600">
        <f>100*(1-AC14)</f>
        <v>89.124820602225583</v>
      </c>
      <c r="AG14" s="592"/>
      <c r="AH14" s="592"/>
      <c r="AI14" s="592"/>
      <c r="AJ14" s="592" t="str">
        <f>AE5</f>
        <v>not yet</v>
      </c>
      <c r="AK14" s="592" t="str">
        <f>AE11</f>
        <v>not yet</v>
      </c>
      <c r="AL14" s="592" t="str">
        <f>AE17</f>
        <v>not yet</v>
      </c>
      <c r="AM14" s="592" t="str">
        <f>AE23</f>
        <v>not yet</v>
      </c>
      <c r="AN14" s="592" t="str">
        <f>AE29</f>
        <v>not yet</v>
      </c>
      <c r="AO14" s="592" t="str">
        <f>AE35</f>
        <v>not yet</v>
      </c>
      <c r="AP14" s="592" t="str">
        <f>AE41</f>
        <v>yes</v>
      </c>
      <c r="AQ14" s="592" t="str">
        <f>AE47</f>
        <v>yes</v>
      </c>
      <c r="AR14" s="592" t="str">
        <f>AE53</f>
        <v>yes</v>
      </c>
      <c r="AS14" s="590"/>
      <c r="AT14" s="590"/>
      <c r="AU14" s="590"/>
      <c r="AV14" s="590"/>
      <c r="AW14" s="590"/>
      <c r="AX14" s="590"/>
      <c r="AY14" s="590"/>
      <c r="AZ14" s="590"/>
      <c r="BA14" s="590"/>
      <c r="BB14" s="590"/>
      <c r="BC14" s="590"/>
      <c r="BD14" s="590"/>
      <c r="BE14" s="590"/>
      <c r="BF14" s="590"/>
      <c r="BG14" s="590"/>
      <c r="BH14" s="590"/>
      <c r="BI14" s="590"/>
      <c r="BJ14" s="590"/>
      <c r="BK14" s="591"/>
      <c r="BL14" s="591"/>
      <c r="BM14" s="591"/>
      <c r="BN14" s="591"/>
      <c r="BO14" s="591"/>
      <c r="BP14" s="591"/>
      <c r="BQ14" s="591"/>
      <c r="BR14" s="591"/>
      <c r="BS14" s="591"/>
      <c r="BT14" s="591"/>
      <c r="BU14" s="591"/>
      <c r="BV14" s="591"/>
      <c r="BW14" s="591"/>
      <c r="BX14" s="591"/>
      <c r="BY14" s="591"/>
      <c r="BZ14" s="591"/>
      <c r="CA14" s="591"/>
      <c r="CB14" s="591"/>
      <c r="CC14" s="591"/>
      <c r="CD14" s="591"/>
      <c r="CE14" s="591"/>
      <c r="CF14" s="591"/>
    </row>
    <row r="15" spans="1:84">
      <c r="A15" s="590"/>
      <c r="B15" s="594"/>
      <c r="C15" s="597" t="s">
        <v>374</v>
      </c>
      <c r="D15" s="592"/>
      <c r="E15" s="605" t="s">
        <v>349</v>
      </c>
      <c r="F15" s="597" t="s">
        <v>375</v>
      </c>
      <c r="G15" s="592"/>
      <c r="H15" s="600">
        <f>HLOOKUP($AJ$25,$AJ$19:$AR$23,($E$12)+1)</f>
        <v>89.089106149575443</v>
      </c>
      <c r="I15" s="597" t="s">
        <v>351</v>
      </c>
      <c r="J15" s="590"/>
      <c r="K15" s="677"/>
      <c r="L15" s="611"/>
      <c r="M15" s="596"/>
      <c r="N15" s="595"/>
      <c r="O15" s="592"/>
      <c r="P15" s="592"/>
      <c r="Q15" s="592"/>
      <c r="R15" s="592"/>
      <c r="S15" s="592"/>
      <c r="T15" s="592"/>
      <c r="U15" s="592"/>
      <c r="V15" s="592"/>
      <c r="W15" s="592"/>
      <c r="X15" s="592"/>
      <c r="Y15" s="592"/>
      <c r="Z15" s="592"/>
      <c r="AA15" s="600"/>
      <c r="AB15" s="592"/>
      <c r="AC15" s="592"/>
      <c r="AD15" s="592"/>
      <c r="AE15" s="592"/>
      <c r="AF15" s="592"/>
      <c r="AG15" s="592"/>
      <c r="AH15" s="592"/>
      <c r="AI15" s="592"/>
      <c r="AJ15" s="592" t="str">
        <f>AE6</f>
        <v>not yet</v>
      </c>
      <c r="AK15" s="592" t="str">
        <f>AE12</f>
        <v>not yet</v>
      </c>
      <c r="AL15" s="592" t="str">
        <f>AE18</f>
        <v>not yet</v>
      </c>
      <c r="AM15" s="592" t="str">
        <f>AE24</f>
        <v>not yet</v>
      </c>
      <c r="AN15" s="592" t="str">
        <f>AE30</f>
        <v>not yet</v>
      </c>
      <c r="AO15" s="592" t="str">
        <f>AE36</f>
        <v>not yet</v>
      </c>
      <c r="AP15" s="592" t="str">
        <f>AE42</f>
        <v>yes</v>
      </c>
      <c r="AQ15" s="592" t="str">
        <f>AE48</f>
        <v>yes</v>
      </c>
      <c r="AR15" s="592" t="str">
        <f>AE54</f>
        <v>yes</v>
      </c>
      <c r="AS15" s="590"/>
      <c r="AT15" s="590"/>
      <c r="AU15" s="590"/>
      <c r="AV15" s="590"/>
      <c r="AW15" s="590"/>
      <c r="AX15" s="590"/>
      <c r="AY15" s="590"/>
      <c r="AZ15" s="590"/>
      <c r="BA15" s="590"/>
      <c r="BB15" s="590"/>
      <c r="BC15" s="590"/>
      <c r="BD15" s="590"/>
      <c r="BE15" s="590"/>
      <c r="BF15" s="590"/>
      <c r="BG15" s="590"/>
      <c r="BH15" s="590"/>
      <c r="BI15" s="590"/>
      <c r="BJ15" s="590"/>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row>
    <row r="16" spans="1:84">
      <c r="A16" s="590"/>
      <c r="B16" s="594"/>
      <c r="C16" s="612"/>
      <c r="D16" s="612"/>
      <c r="E16" s="613"/>
      <c r="F16" s="592"/>
      <c r="G16" s="592"/>
      <c r="H16" s="612"/>
      <c r="I16" s="594"/>
      <c r="J16" s="590"/>
      <c r="K16" s="595"/>
      <c r="L16" s="592"/>
      <c r="M16" s="592"/>
      <c r="N16" s="592"/>
      <c r="O16" s="592"/>
      <c r="P16" s="592"/>
      <c r="Q16" s="592"/>
      <c r="R16" s="592"/>
      <c r="S16" s="592"/>
      <c r="T16" s="592"/>
      <c r="U16" s="592"/>
      <c r="V16" s="597" t="s">
        <v>376</v>
      </c>
      <c r="W16" s="609" t="s">
        <v>331</v>
      </c>
      <c r="X16" s="609" t="s">
        <v>341</v>
      </c>
      <c r="Y16" s="609" t="s">
        <v>342</v>
      </c>
      <c r="Z16" s="592"/>
      <c r="AA16" s="600"/>
      <c r="AB16" s="592"/>
      <c r="AC16" s="592"/>
      <c r="AD16" s="592"/>
      <c r="AE16" s="592"/>
      <c r="AF16" s="592"/>
      <c r="AG16" s="592"/>
      <c r="AH16" s="592"/>
      <c r="AI16" s="592"/>
      <c r="AJ16" s="592" t="str">
        <f>AE7</f>
        <v>not yet</v>
      </c>
      <c r="AK16" s="592" t="str">
        <f>AE13</f>
        <v>not yet</v>
      </c>
      <c r="AL16" s="592" t="str">
        <f>AE19</f>
        <v>not yet</v>
      </c>
      <c r="AM16" s="592" t="str">
        <f>AE25</f>
        <v>not yet</v>
      </c>
      <c r="AN16" s="592" t="str">
        <f>AE31</f>
        <v>not yet</v>
      </c>
      <c r="AO16" s="592" t="str">
        <f>AE37</f>
        <v>not yet</v>
      </c>
      <c r="AP16" s="592" t="str">
        <f>AE43</f>
        <v>yes</v>
      </c>
      <c r="AQ16" s="592" t="str">
        <f>AE49</f>
        <v>yes</v>
      </c>
      <c r="AR16" s="592" t="str">
        <f>AE55</f>
        <v>yes</v>
      </c>
      <c r="AS16" s="590"/>
      <c r="AT16" s="590"/>
      <c r="AU16" s="590"/>
      <c r="AV16" s="590"/>
      <c r="AW16" s="590"/>
      <c r="AX16" s="590"/>
      <c r="AY16" s="590"/>
      <c r="AZ16" s="590"/>
      <c r="BA16" s="590"/>
      <c r="BB16" s="590"/>
      <c r="BC16" s="590"/>
      <c r="BD16" s="590"/>
      <c r="BE16" s="590"/>
      <c r="BF16" s="590"/>
      <c r="BG16" s="590"/>
      <c r="BH16" s="590"/>
      <c r="BI16" s="590"/>
      <c r="BJ16" s="590"/>
      <c r="BK16" s="591"/>
      <c r="BL16" s="591"/>
      <c r="BM16" s="591"/>
      <c r="BN16" s="591"/>
      <c r="BO16" s="591"/>
      <c r="BP16" s="591"/>
      <c r="BQ16" s="591"/>
      <c r="BR16" s="591"/>
      <c r="BS16" s="591"/>
      <c r="BT16" s="591"/>
      <c r="BU16" s="591"/>
      <c r="BV16" s="591"/>
      <c r="BW16" s="591"/>
      <c r="BX16" s="591"/>
      <c r="BY16" s="591"/>
      <c r="BZ16" s="591"/>
      <c r="CA16" s="591"/>
      <c r="CB16" s="591"/>
      <c r="CC16" s="591"/>
      <c r="CD16" s="591"/>
      <c r="CE16" s="591"/>
      <c r="CF16" s="591"/>
    </row>
    <row r="17" spans="1:84">
      <c r="A17" s="590"/>
      <c r="B17" s="605" t="s">
        <v>358</v>
      </c>
      <c r="C17" s="597" t="s">
        <v>377</v>
      </c>
      <c r="D17" s="592"/>
      <c r="E17" s="614">
        <f>'WCI BS'!D58</f>
        <v>0.4</v>
      </c>
      <c r="F17" s="597" t="s">
        <v>378</v>
      </c>
      <c r="G17" s="592"/>
      <c r="H17" s="592"/>
      <c r="I17" s="594"/>
      <c r="J17" s="590"/>
      <c r="K17" s="592"/>
      <c r="L17" s="592"/>
      <c r="M17" s="592"/>
      <c r="N17" s="592"/>
      <c r="O17" s="592"/>
      <c r="P17" s="592"/>
      <c r="Q17" s="592"/>
      <c r="R17" s="592"/>
      <c r="S17" s="592"/>
      <c r="T17" s="592"/>
      <c r="U17" s="592"/>
      <c r="V17" s="600">
        <f>100*(+AD11/$E$9)</f>
        <v>194.33031157306183</v>
      </c>
      <c r="W17" s="610">
        <f>EXP(5.7226-(0.68367*LN(+V17)))</f>
        <v>8.3308072514395235</v>
      </c>
      <c r="X17" s="601">
        <f>(+W17*V17)/100</f>
        <v>16.189283688273655</v>
      </c>
      <c r="Y17" s="600">
        <f>100*((((X17/100)-((X17/100)-0.03574)*$E$21)-0.03574-0.00619)/0.344)</f>
        <v>22.40432335540876</v>
      </c>
      <c r="Z17" s="592">
        <f>$E$20</f>
        <v>0.25</v>
      </c>
      <c r="AA17" s="600">
        <f>Y17+Z17</f>
        <v>22.65432335540876</v>
      </c>
      <c r="AB17" s="600">
        <f>100*($E$17*$E$19+($E$18*(AA17/100))/(1-$E$21))</f>
        <v>21.823344519654988</v>
      </c>
      <c r="AC17" s="601">
        <f>AB17/V17</f>
        <v>0.11230026002119657</v>
      </c>
      <c r="AD17" s="599">
        <f>$E$8/(1-AC17)</f>
        <v>3293032.9236215809</v>
      </c>
      <c r="AE17" s="592" t="str">
        <f>IF(AD17=AD11,"yes","not yet")</f>
        <v>not yet</v>
      </c>
      <c r="AF17" s="600">
        <f>100*(1-AC17)</f>
        <v>88.769973997880342</v>
      </c>
      <c r="AG17" s="592"/>
      <c r="AH17" s="592"/>
      <c r="AI17" s="592"/>
      <c r="AJ17" s="592" t="str">
        <f>AE8</f>
        <v>not yet</v>
      </c>
      <c r="AK17" s="592" t="str">
        <f>AE14</f>
        <v>not yet</v>
      </c>
      <c r="AL17" s="592" t="str">
        <f>AE20</f>
        <v>not yet</v>
      </c>
      <c r="AM17" s="592" t="str">
        <f>AE26</f>
        <v>not yet</v>
      </c>
      <c r="AN17" s="592" t="str">
        <f>AE32</f>
        <v>not yet</v>
      </c>
      <c r="AO17" s="592" t="str">
        <f>AE38</f>
        <v>not yet</v>
      </c>
      <c r="AP17" s="592" t="str">
        <f>AE44</f>
        <v>yes</v>
      </c>
      <c r="AQ17" s="592" t="str">
        <f>AE50</f>
        <v>yes</v>
      </c>
      <c r="AR17" s="592" t="str">
        <f>AE56</f>
        <v>yes</v>
      </c>
      <c r="AS17" s="590"/>
      <c r="AT17" s="590"/>
      <c r="AU17" s="590"/>
      <c r="AV17" s="590"/>
      <c r="AW17" s="590"/>
      <c r="AX17" s="590"/>
      <c r="AY17" s="590"/>
      <c r="AZ17" s="590"/>
      <c r="BA17" s="590"/>
      <c r="BB17" s="590"/>
      <c r="BC17" s="590"/>
      <c r="BD17" s="590"/>
      <c r="BE17" s="590"/>
      <c r="BF17" s="590"/>
      <c r="BG17" s="590"/>
      <c r="BH17" s="590"/>
      <c r="BI17" s="590"/>
      <c r="BJ17" s="590"/>
      <c r="BK17" s="591"/>
      <c r="BL17" s="591"/>
      <c r="BM17" s="591"/>
      <c r="BN17" s="591"/>
      <c r="BO17" s="591"/>
      <c r="BP17" s="591"/>
      <c r="BQ17" s="591"/>
      <c r="BR17" s="591"/>
      <c r="BS17" s="591"/>
      <c r="BT17" s="591"/>
      <c r="BU17" s="591"/>
      <c r="BV17" s="591"/>
      <c r="BW17" s="591"/>
      <c r="BX17" s="591"/>
      <c r="BY17" s="591"/>
      <c r="BZ17" s="591"/>
      <c r="CA17" s="591"/>
      <c r="CB17" s="591"/>
      <c r="CC17" s="591"/>
      <c r="CD17" s="591"/>
      <c r="CE17" s="591"/>
      <c r="CF17" s="591"/>
    </row>
    <row r="18" spans="1:84">
      <c r="A18" s="590"/>
      <c r="B18" s="605" t="s">
        <v>358</v>
      </c>
      <c r="C18" s="597" t="s">
        <v>379</v>
      </c>
      <c r="D18" s="592"/>
      <c r="E18" s="614">
        <f>'WCI BS'!D59</f>
        <v>0.6</v>
      </c>
      <c r="F18" s="597" t="s">
        <v>380</v>
      </c>
      <c r="G18" s="592"/>
      <c r="H18" s="598">
        <v>1.4999999999999999E-2</v>
      </c>
      <c r="I18" s="597" t="s">
        <v>358</v>
      </c>
      <c r="J18" s="590"/>
      <c r="K18" s="592"/>
      <c r="L18" s="592"/>
      <c r="M18" s="592"/>
      <c r="N18" s="592"/>
      <c r="O18" s="592"/>
      <c r="P18" s="592"/>
      <c r="Q18" s="592"/>
      <c r="R18" s="592"/>
      <c r="S18" s="592"/>
      <c r="T18" s="592"/>
      <c r="U18" s="592"/>
      <c r="V18" s="600">
        <f>100*(+AD12/$E$9)</f>
        <v>193.90661387172358</v>
      </c>
      <c r="W18" s="610">
        <f>EXP(5.70827-(0.68367*LN(+V18)))</f>
        <v>8.2245418344646346</v>
      </c>
      <c r="X18" s="601">
        <f>(+W18*V18)/100</f>
        <v>15.947930577673709</v>
      </c>
      <c r="Y18" s="600">
        <f>100*((((X18/100)-((X18/100)-0.03574)*$E$21)-0.03574-0.00619)/0.344)</f>
        <v>21.941262154839091</v>
      </c>
      <c r="Z18" s="592">
        <f>$E$20</f>
        <v>0.25</v>
      </c>
      <c r="AA18" s="600">
        <f>Y18+Z18</f>
        <v>22.191262154839091</v>
      </c>
      <c r="AB18" s="600">
        <f>100*($E$17*$E$19+($E$18*(AA18/100))/(1-$E$21))</f>
        <v>21.40237979186438</v>
      </c>
      <c r="AC18" s="601">
        <f>AB18/V18</f>
        <v>0.11037467657510047</v>
      </c>
      <c r="AD18" s="599">
        <f>$E$8/(1-AC18)</f>
        <v>3285905.1929711504</v>
      </c>
      <c r="AE18" s="592" t="str">
        <f>IF(AD18=AD12,"yes","not yet")</f>
        <v>not yet</v>
      </c>
      <c r="AF18" s="600">
        <f>100*(1-AC18)</f>
        <v>88.962532342489951</v>
      </c>
      <c r="AG18" s="592"/>
      <c r="AH18" s="592"/>
      <c r="AI18" s="592"/>
      <c r="AJ18" s="592"/>
      <c r="AK18" s="592"/>
      <c r="AL18" s="592"/>
      <c r="AM18" s="592"/>
      <c r="AN18" s="592"/>
      <c r="AO18" s="592"/>
      <c r="AP18" s="592"/>
      <c r="AQ18" s="592"/>
      <c r="AR18" s="592"/>
      <c r="AS18" s="590"/>
      <c r="AT18" s="590"/>
      <c r="AU18" s="590"/>
      <c r="AV18" s="590"/>
      <c r="AW18" s="590"/>
      <c r="AX18" s="590"/>
      <c r="AY18" s="590"/>
      <c r="AZ18" s="590"/>
      <c r="BA18" s="590"/>
      <c r="BB18" s="590"/>
      <c r="BC18" s="590"/>
      <c r="BD18" s="590"/>
      <c r="BE18" s="590"/>
      <c r="BF18" s="590"/>
      <c r="BG18" s="590"/>
      <c r="BH18" s="590"/>
      <c r="BI18" s="590"/>
      <c r="BJ18" s="590"/>
      <c r="BK18" s="591"/>
      <c r="BL18" s="591"/>
      <c r="BM18" s="591"/>
      <c r="BN18" s="591"/>
      <c r="BO18" s="591"/>
      <c r="BP18" s="591"/>
      <c r="BQ18" s="591"/>
      <c r="BR18" s="591"/>
      <c r="BS18" s="591"/>
      <c r="BT18" s="591"/>
      <c r="BU18" s="591"/>
      <c r="BV18" s="591"/>
      <c r="BW18" s="591"/>
      <c r="BX18" s="591"/>
      <c r="BY18" s="591"/>
      <c r="BZ18" s="591"/>
      <c r="CA18" s="591"/>
      <c r="CB18" s="591"/>
      <c r="CC18" s="591"/>
      <c r="CD18" s="591"/>
      <c r="CE18" s="591"/>
      <c r="CF18" s="591"/>
    </row>
    <row r="19" spans="1:84">
      <c r="A19" s="590"/>
      <c r="B19" s="605" t="s">
        <v>358</v>
      </c>
      <c r="C19" s="597" t="s">
        <v>381</v>
      </c>
      <c r="D19" s="592"/>
      <c r="E19" s="614">
        <f>'WCI BS'!B67</f>
        <v>3.071262764117556E-2</v>
      </c>
      <c r="F19" s="597" t="s">
        <v>382</v>
      </c>
      <c r="G19" s="592"/>
      <c r="H19" s="615">
        <v>5.1000000000000004E-3</v>
      </c>
      <c r="I19" s="597" t="s">
        <v>358</v>
      </c>
      <c r="J19" s="590"/>
      <c r="K19" s="592"/>
      <c r="L19" s="592"/>
      <c r="M19" s="592"/>
      <c r="N19" s="592"/>
      <c r="O19" s="592"/>
      <c r="P19" s="592"/>
      <c r="Q19" s="592"/>
      <c r="R19" s="592"/>
      <c r="S19" s="592"/>
      <c r="T19" s="592"/>
      <c r="U19" s="592"/>
      <c r="V19" s="600">
        <f>100*(+AD13/$E$9)</f>
        <v>193.62147611589086</v>
      </c>
      <c r="W19" s="610">
        <f>EXP(5.6985-(0.68367*LN(V19)))</f>
        <v>8.1527774526997181</v>
      </c>
      <c r="X19" s="601">
        <f>(+W19*V19)/100</f>
        <v>15.785528048360721</v>
      </c>
      <c r="Y19" s="600">
        <f>100*((((X19/100)-((X19/100)-0.03574)*$E$21)-0.03574-0.00619)/0.344)</f>
        <v>21.629675906738594</v>
      </c>
      <c r="Z19" s="592">
        <f>$E$20</f>
        <v>0.25</v>
      </c>
      <c r="AA19" s="600">
        <f>Y19+Z19</f>
        <v>21.879675906738594</v>
      </c>
      <c r="AB19" s="600">
        <f>100*($E$17*$E$19+($E$18*(AA19/100))/(1-$E$21))</f>
        <v>21.119119566318474</v>
      </c>
      <c r="AC19" s="601">
        <f>AB19/V19</f>
        <v>0.10907426175016745</v>
      </c>
      <c r="AD19" s="599">
        <f>$E$8/(1-AC19)</f>
        <v>3281109.0133988122</v>
      </c>
      <c r="AE19" s="592" t="str">
        <f>IF(AD19=AD13,"yes","not yet")</f>
        <v>not yet</v>
      </c>
      <c r="AF19" s="600">
        <f>100*(1-AC19)</f>
        <v>89.092573824983262</v>
      </c>
      <c r="AG19" s="592"/>
      <c r="AH19" s="592"/>
      <c r="AI19" s="592"/>
      <c r="AJ19" s="592" t="str">
        <f>HLOOKUP(1,$AJ$13:$AR$17,($E$12)+1)</f>
        <v>not yet</v>
      </c>
      <c r="AK19" s="592" t="str">
        <f>HLOOKUP(2,$AJ$13:$AR$17,($E$12)+1)</f>
        <v>not yet</v>
      </c>
      <c r="AL19" s="592" t="str">
        <f>HLOOKUP(3,$AJ$13:$AR$17,($E$12)+1)</f>
        <v>not yet</v>
      </c>
      <c r="AM19" s="592" t="str">
        <f>HLOOKUP(4,$AJ$13:$AR$17,($E$12)+1)</f>
        <v>not yet</v>
      </c>
      <c r="AN19" s="592" t="str">
        <f>HLOOKUP(5,$AJ$13:$AR$17,($E$12)+1)</f>
        <v>not yet</v>
      </c>
      <c r="AO19" s="592" t="str">
        <f>HLOOKUP(6,$AJ$13:$AR$17,($E$12)+1)</f>
        <v>not yet</v>
      </c>
      <c r="AP19" s="592" t="str">
        <f>HLOOKUP(7,$AJ$13:$AR$17,($E$12)+1)</f>
        <v>yes</v>
      </c>
      <c r="AQ19" s="592" t="str">
        <f>HLOOKUP(8,$AJ$13:$AR$17,($E$12)+1)</f>
        <v>yes</v>
      </c>
      <c r="AR19" s="592" t="str">
        <f>HLOOKUP(9,$AJ$13:$AR$17,($E$12)+1)</f>
        <v>yes</v>
      </c>
      <c r="AS19" s="590"/>
      <c r="AT19" s="590"/>
      <c r="AU19" s="590"/>
      <c r="AV19" s="590"/>
      <c r="AW19" s="590"/>
      <c r="AX19" s="590"/>
      <c r="AY19" s="590"/>
      <c r="AZ19" s="590"/>
      <c r="BA19" s="590"/>
      <c r="BB19" s="590"/>
      <c r="BC19" s="590"/>
      <c r="BD19" s="590"/>
      <c r="BE19" s="590"/>
      <c r="BF19" s="590"/>
      <c r="BG19" s="590"/>
      <c r="BH19" s="590"/>
      <c r="BI19" s="590"/>
      <c r="BJ19" s="590"/>
      <c r="BK19" s="591"/>
      <c r="BL19" s="591"/>
      <c r="BM19" s="591"/>
      <c r="BN19" s="591"/>
      <c r="BO19" s="591"/>
      <c r="BP19" s="591"/>
      <c r="BQ19" s="591"/>
      <c r="BR19" s="591"/>
      <c r="BS19" s="591"/>
      <c r="BT19" s="591"/>
      <c r="BU19" s="591"/>
      <c r="BV19" s="591"/>
      <c r="BW19" s="591"/>
      <c r="BX19" s="591"/>
      <c r="BY19" s="591"/>
      <c r="BZ19" s="591"/>
      <c r="CA19" s="591"/>
      <c r="CB19" s="591"/>
      <c r="CC19" s="591"/>
      <c r="CD19" s="591"/>
      <c r="CE19" s="591"/>
      <c r="CF19" s="591"/>
    </row>
    <row r="20" spans="1:84">
      <c r="A20" s="590"/>
      <c r="B20" s="605" t="s">
        <v>358</v>
      </c>
      <c r="C20" s="597" t="s">
        <v>383</v>
      </c>
      <c r="D20" s="592"/>
      <c r="E20" s="616">
        <v>0.25</v>
      </c>
      <c r="F20" s="597" t="s">
        <v>384</v>
      </c>
      <c r="G20" s="592"/>
      <c r="H20" s="598"/>
      <c r="I20" s="597" t="s">
        <v>358</v>
      </c>
      <c r="J20" s="590"/>
      <c r="K20" s="617"/>
      <c r="L20" s="592"/>
      <c r="M20" s="592"/>
      <c r="N20" s="592"/>
      <c r="O20" s="592"/>
      <c r="P20" s="592"/>
      <c r="Q20" s="592"/>
      <c r="R20" s="592"/>
      <c r="S20" s="592"/>
      <c r="T20" s="592"/>
      <c r="U20" s="592"/>
      <c r="V20" s="600">
        <f>100*(+AD14/$E$9)</f>
        <v>193.43919843159946</v>
      </c>
      <c r="W20" s="610">
        <f>EXP(5.6922-(0.68367*LN(V20)))</f>
        <v>8.106794843479797</v>
      </c>
      <c r="X20" s="601">
        <f>(+W20*V20)/100</f>
        <v>15.681718963721558</v>
      </c>
      <c r="Y20" s="600">
        <f>100*((((X20/100)-((X20/100)-0.03574)*$E$21)-0.03574-0.00619)/0.344)</f>
        <v>21.430507314116941</v>
      </c>
      <c r="Z20" s="592">
        <f>$E$20</f>
        <v>0.25</v>
      </c>
      <c r="AA20" s="600">
        <f>Y20+Z20</f>
        <v>21.680507314116941</v>
      </c>
      <c r="AB20" s="600">
        <f>100*($E$17*$E$19+($E$18*(AA20/100))/(1-$E$21))</f>
        <v>20.938057209389697</v>
      </c>
      <c r="AC20" s="601">
        <f>AB20/V20</f>
        <v>0.10824102549615063</v>
      </c>
      <c r="AD20" s="599">
        <f>$E$8/(1-AC20)</f>
        <v>3278043.2309828112</v>
      </c>
      <c r="AE20" s="592" t="str">
        <f>IF(AD20=AD14,"yes","not yet")</f>
        <v>not yet</v>
      </c>
      <c r="AF20" s="600">
        <f>100*(1-AC20)</f>
        <v>89.175897450384937</v>
      </c>
      <c r="AG20" s="592"/>
      <c r="AH20" s="592"/>
      <c r="AI20" s="592">
        <v>1</v>
      </c>
      <c r="AJ20" s="600">
        <f>AF5</f>
        <v>89.437568141738225</v>
      </c>
      <c r="AK20" s="600">
        <f>AF11</f>
        <v>88.716133464196361</v>
      </c>
      <c r="AL20" s="600">
        <f>AF17</f>
        <v>88.769973997880342</v>
      </c>
      <c r="AM20" s="600">
        <f>AF23</f>
        <v>88.765948740886429</v>
      </c>
      <c r="AN20" s="600">
        <f>AF29</f>
        <v>88.766249639458849</v>
      </c>
      <c r="AO20" s="600">
        <f>AF35</f>
        <v>88.766227146273721</v>
      </c>
      <c r="AP20" s="600">
        <f>AF41</f>
        <v>88.766228981609757</v>
      </c>
      <c r="AQ20" s="600">
        <f>AF47</f>
        <v>88.766228981609757</v>
      </c>
      <c r="AR20" s="600">
        <f>AF53</f>
        <v>88.766228981609757</v>
      </c>
      <c r="AS20" s="590"/>
      <c r="AT20" s="590"/>
      <c r="AU20" s="590"/>
      <c r="AV20" s="590"/>
      <c r="AW20" s="590"/>
      <c r="AX20" s="590"/>
      <c r="AY20" s="590"/>
      <c r="AZ20" s="590"/>
      <c r="BA20" s="590"/>
      <c r="BB20" s="590"/>
      <c r="BC20" s="590"/>
      <c r="BD20" s="590"/>
      <c r="BE20" s="590"/>
      <c r="BF20" s="590"/>
      <c r="BG20" s="590"/>
      <c r="BH20" s="590"/>
      <c r="BI20" s="590"/>
      <c r="BJ20" s="590"/>
      <c r="BK20" s="591"/>
      <c r="BL20" s="591"/>
      <c r="BM20" s="591"/>
      <c r="BN20" s="591"/>
      <c r="BO20" s="591"/>
      <c r="BP20" s="591"/>
      <c r="BQ20" s="591"/>
      <c r="BR20" s="591"/>
      <c r="BS20" s="591"/>
      <c r="BT20" s="591"/>
      <c r="BU20" s="591"/>
      <c r="BV20" s="591"/>
      <c r="BW20" s="591"/>
      <c r="BX20" s="591"/>
      <c r="BY20" s="591"/>
      <c r="BZ20" s="591"/>
      <c r="CA20" s="591"/>
      <c r="CB20" s="591"/>
      <c r="CC20" s="591"/>
      <c r="CD20" s="591"/>
      <c r="CE20" s="591"/>
      <c r="CF20" s="591"/>
    </row>
    <row r="21" spans="1:84">
      <c r="A21" s="590"/>
      <c r="B21" s="605" t="s">
        <v>358</v>
      </c>
      <c r="C21" s="597" t="s">
        <v>385</v>
      </c>
      <c r="D21" s="592"/>
      <c r="E21" s="616">
        <v>0.34</v>
      </c>
      <c r="F21" s="597" t="s">
        <v>386</v>
      </c>
      <c r="G21" s="592"/>
      <c r="H21" s="614">
        <f>'Restating Adj''s'!E108</f>
        <v>4.6855329951100907E-3</v>
      </c>
      <c r="I21" s="597" t="s">
        <v>358</v>
      </c>
      <c r="J21" s="590"/>
      <c r="K21" s="618"/>
      <c r="L21" s="592"/>
      <c r="M21" s="592"/>
      <c r="N21" s="592"/>
      <c r="O21" s="592"/>
      <c r="P21" s="592"/>
      <c r="Q21" s="592"/>
      <c r="R21" s="592"/>
      <c r="S21" s="592"/>
      <c r="T21" s="592"/>
      <c r="U21" s="592"/>
      <c r="V21" s="592"/>
      <c r="W21" s="592"/>
      <c r="X21" s="592"/>
      <c r="Y21" s="592"/>
      <c r="Z21" s="592"/>
      <c r="AA21" s="600"/>
      <c r="AB21" s="592"/>
      <c r="AC21" s="592"/>
      <c r="AD21" s="592"/>
      <c r="AE21" s="592"/>
      <c r="AF21" s="592"/>
      <c r="AG21" s="592"/>
      <c r="AH21" s="592"/>
      <c r="AI21" s="592">
        <v>2</v>
      </c>
      <c r="AJ21" s="600">
        <f>AF6</f>
        <v>89.630193150098222</v>
      </c>
      <c r="AK21" s="600">
        <f>AF12</f>
        <v>88.909983591687464</v>
      </c>
      <c r="AL21" s="600">
        <f>AF18</f>
        <v>88.962532342489951</v>
      </c>
      <c r="AM21" s="600">
        <f>AF24</f>
        <v>88.958691362164117</v>
      </c>
      <c r="AN21" s="600">
        <f>AF30</f>
        <v>88.958972076766557</v>
      </c>
      <c r="AO21" s="600">
        <f>AF36</f>
        <v>88.958951560795612</v>
      </c>
      <c r="AP21" s="600">
        <f>AF42</f>
        <v>88.95895215512337</v>
      </c>
      <c r="AQ21" s="600">
        <f>AF48</f>
        <v>88.95895215512337</v>
      </c>
      <c r="AR21" s="600">
        <f>AF54</f>
        <v>88.95895215512337</v>
      </c>
      <c r="AS21" s="590"/>
      <c r="AT21" s="590"/>
      <c r="AU21" s="590"/>
      <c r="AV21" s="590"/>
      <c r="AW21" s="590"/>
      <c r="AX21" s="590"/>
      <c r="AY21" s="590"/>
      <c r="AZ21" s="590"/>
      <c r="BA21" s="590"/>
      <c r="BB21" s="590"/>
      <c r="BC21" s="590"/>
      <c r="BD21" s="590"/>
      <c r="BE21" s="590"/>
      <c r="BF21" s="590"/>
      <c r="BG21" s="590"/>
      <c r="BH21" s="590"/>
      <c r="BI21" s="590"/>
      <c r="BJ21" s="590"/>
      <c r="BK21" s="591"/>
      <c r="BL21" s="591"/>
      <c r="BM21" s="591"/>
      <c r="BN21" s="591"/>
      <c r="BO21" s="591"/>
      <c r="BP21" s="591"/>
      <c r="BQ21" s="591"/>
      <c r="BR21" s="591"/>
      <c r="BS21" s="591"/>
      <c r="BT21" s="591"/>
      <c r="BU21" s="591"/>
      <c r="BV21" s="591"/>
      <c r="BW21" s="591"/>
      <c r="BX21" s="591"/>
      <c r="BY21" s="591"/>
      <c r="BZ21" s="591"/>
      <c r="CA21" s="591"/>
      <c r="CB21" s="591"/>
      <c r="CC21" s="591"/>
      <c r="CD21" s="591"/>
      <c r="CE21" s="591"/>
      <c r="CF21" s="591"/>
    </row>
    <row r="22" spans="1:84">
      <c r="A22" s="590"/>
      <c r="B22" s="594"/>
      <c r="C22" s="592"/>
      <c r="D22" s="592"/>
      <c r="E22" s="592"/>
      <c r="F22" s="592"/>
      <c r="G22" s="592"/>
      <c r="H22" s="612"/>
      <c r="I22" s="612"/>
      <c r="J22" s="594"/>
      <c r="K22" s="592"/>
      <c r="L22" s="592"/>
      <c r="M22" s="592"/>
      <c r="N22" s="592"/>
      <c r="O22" s="592"/>
      <c r="P22" s="592"/>
      <c r="Q22" s="592"/>
      <c r="R22" s="592"/>
      <c r="S22" s="592"/>
      <c r="T22" s="592"/>
      <c r="U22" s="592"/>
      <c r="V22" s="597" t="s">
        <v>387</v>
      </c>
      <c r="W22" s="609" t="s">
        <v>331</v>
      </c>
      <c r="X22" s="609" t="s">
        <v>341</v>
      </c>
      <c r="Y22" s="609" t="s">
        <v>342</v>
      </c>
      <c r="Z22" s="592"/>
      <c r="AA22" s="600"/>
      <c r="AB22" s="592"/>
      <c r="AC22" s="592"/>
      <c r="AD22" s="592"/>
      <c r="AE22" s="592"/>
      <c r="AF22" s="592"/>
      <c r="AG22" s="592"/>
      <c r="AH22" s="592"/>
      <c r="AI22" s="592">
        <v>3</v>
      </c>
      <c r="AJ22" s="600">
        <f>AF7</f>
        <v>89.759948659428829</v>
      </c>
      <c r="AK22" s="600">
        <f>AF13</f>
        <v>89.040917379101003</v>
      </c>
      <c r="AL22" s="600">
        <f>AF19</f>
        <v>89.092573824983262</v>
      </c>
      <c r="AM22" s="600">
        <f>AF25</f>
        <v>89.088856076132132</v>
      </c>
      <c r="AN22" s="600">
        <f>AF31</f>
        <v>89.089123610447189</v>
      </c>
      <c r="AO22" s="600">
        <f>AF37</f>
        <v>89.089104358131422</v>
      </c>
      <c r="AP22" s="600">
        <f>AF43</f>
        <v>89.089106149575443</v>
      </c>
      <c r="AQ22" s="600">
        <f>AF49</f>
        <v>89.089106149575443</v>
      </c>
      <c r="AR22" s="600">
        <f>AF55</f>
        <v>89.089106149575443</v>
      </c>
      <c r="AS22" s="590"/>
      <c r="AT22" s="590"/>
      <c r="AU22" s="590"/>
      <c r="AV22" s="590"/>
      <c r="AW22" s="590"/>
      <c r="AX22" s="590"/>
      <c r="AY22" s="590"/>
      <c r="AZ22" s="590"/>
      <c r="BA22" s="590"/>
      <c r="BB22" s="590"/>
      <c r="BC22" s="590"/>
      <c r="BD22" s="590"/>
      <c r="BE22" s="590"/>
      <c r="BF22" s="590"/>
      <c r="BG22" s="590"/>
      <c r="BH22" s="590"/>
      <c r="BI22" s="590"/>
      <c r="BJ22" s="590"/>
      <c r="BK22" s="591"/>
      <c r="BL22" s="591"/>
      <c r="BM22" s="591"/>
      <c r="BN22" s="591"/>
      <c r="BO22" s="591"/>
      <c r="BP22" s="591"/>
      <c r="BQ22" s="591"/>
      <c r="BR22" s="591"/>
      <c r="BS22" s="591"/>
      <c r="BT22" s="591"/>
      <c r="BU22" s="591"/>
      <c r="BV22" s="591"/>
      <c r="BW22" s="591"/>
      <c r="BX22" s="591"/>
      <c r="BY22" s="591"/>
      <c r="BZ22" s="591"/>
      <c r="CA22" s="591"/>
      <c r="CB22" s="591"/>
      <c r="CC22" s="591"/>
      <c r="CD22" s="591"/>
      <c r="CE22" s="591"/>
      <c r="CF22" s="591"/>
    </row>
    <row r="23" spans="1:84">
      <c r="A23" s="590"/>
      <c r="B23" s="594"/>
      <c r="C23" s="592"/>
      <c r="D23" s="592"/>
      <c r="E23" s="592"/>
      <c r="F23" s="597" t="s">
        <v>388</v>
      </c>
      <c r="G23" s="592"/>
      <c r="H23" s="598">
        <f>SUM(H18:H21)</f>
        <v>2.4785532995110091E-2</v>
      </c>
      <c r="I23" s="598"/>
      <c r="J23" s="594"/>
      <c r="K23" s="619"/>
      <c r="L23" s="592"/>
      <c r="M23" s="592"/>
      <c r="N23" s="595"/>
      <c r="O23" s="592"/>
      <c r="P23" s="595"/>
      <c r="Q23" s="592"/>
      <c r="R23" s="592"/>
      <c r="S23" s="592"/>
      <c r="T23" s="592"/>
      <c r="U23" s="592"/>
      <c r="V23" s="600">
        <f>100*(+AD17/$E$9)</f>
        <v>194.21244685805902</v>
      </c>
      <c r="W23" s="610">
        <f>EXP(5.7226-(0.68367*LN(+V23)))</f>
        <v>8.3342634499765165</v>
      </c>
      <c r="X23" s="601">
        <f>(+W23*V23)/100</f>
        <v>16.186176973796279</v>
      </c>
      <c r="Y23" s="600">
        <f>100*((((X23/100)-((X23/100)-0.03574)*$E$21)-0.03574-0.00619)/0.344)</f>
        <v>22.398362798562633</v>
      </c>
      <c r="Z23" s="592">
        <f>$E$20</f>
        <v>0.25</v>
      </c>
      <c r="AA23" s="600">
        <f>Y23+Z23</f>
        <v>22.648362798562633</v>
      </c>
      <c r="AB23" s="600">
        <f>100*($E$17*$E$19+($E$18*(AA23/100))/(1-$E$21))</f>
        <v>21.817925831613056</v>
      </c>
      <c r="AC23" s="601">
        <f>AB23/V23</f>
        <v>0.11234051259113571</v>
      </c>
      <c r="AD23" s="599">
        <f>$E$8/(1-AC23)</f>
        <v>3293182.2523224517</v>
      </c>
      <c r="AE23" s="592" t="str">
        <f>IF(AD23=AD17,"yes","not yet")</f>
        <v>not yet</v>
      </c>
      <c r="AF23" s="600">
        <f>100*(1-AC23)</f>
        <v>88.765948740886429</v>
      </c>
      <c r="AG23" s="592"/>
      <c r="AH23" s="592"/>
      <c r="AI23" s="592">
        <v>4</v>
      </c>
      <c r="AJ23" s="600">
        <f>AF8</f>
        <v>89.842949258554995</v>
      </c>
      <c r="AK23" s="600">
        <f>AF14</f>
        <v>89.124820602225583</v>
      </c>
      <c r="AL23" s="600">
        <f>AF20</f>
        <v>89.175897450384937</v>
      </c>
      <c r="AM23" s="600">
        <f>AF26</f>
        <v>89.172258079806426</v>
      </c>
      <c r="AN23" s="600">
        <f>AF32</f>
        <v>89.17251736208695</v>
      </c>
      <c r="AO23" s="600">
        <f>AF38</f>
        <v>89.172498889685457</v>
      </c>
      <c r="AP23" s="600">
        <f>AF44</f>
        <v>89.172499887050165</v>
      </c>
      <c r="AQ23" s="600">
        <f>AF50</f>
        <v>89.172499887050165</v>
      </c>
      <c r="AR23" s="600">
        <f>AF56</f>
        <v>89.172499887050165</v>
      </c>
      <c r="AS23" s="590"/>
      <c r="AT23" s="590"/>
      <c r="AU23" s="590"/>
      <c r="AV23" s="590"/>
      <c r="AW23" s="590"/>
      <c r="AX23" s="590"/>
      <c r="AY23" s="590"/>
      <c r="AZ23" s="590"/>
      <c r="BA23" s="590"/>
      <c r="BB23" s="590"/>
      <c r="BC23" s="590"/>
      <c r="BD23" s="590"/>
      <c r="BE23" s="590"/>
      <c r="BF23" s="590"/>
      <c r="BG23" s="590"/>
      <c r="BH23" s="590"/>
      <c r="BI23" s="590"/>
      <c r="BJ23" s="590"/>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row>
    <row r="24" spans="1:84">
      <c r="A24" s="590"/>
      <c r="B24" s="594"/>
      <c r="C24" s="592"/>
      <c r="D24" s="592"/>
      <c r="E24" s="592"/>
      <c r="F24" s="592"/>
      <c r="G24" s="592"/>
      <c r="H24" s="592"/>
      <c r="I24" s="592"/>
      <c r="J24" s="594"/>
      <c r="K24" s="592"/>
      <c r="L24" s="592"/>
      <c r="M24" s="592"/>
      <c r="N24" s="592"/>
      <c r="O24" s="592"/>
      <c r="P24" s="592"/>
      <c r="Q24" s="592"/>
      <c r="R24" s="592"/>
      <c r="S24" s="592"/>
      <c r="T24" s="592"/>
      <c r="U24" s="592"/>
      <c r="V24" s="600">
        <f>100*(+AD18/$E$9)</f>
        <v>193.79207632357833</v>
      </c>
      <c r="W24" s="610">
        <f>EXP(5.70827-(0.68367*LN(+V24)))</f>
        <v>8.2278648281335123</v>
      </c>
      <c r="X24" s="601">
        <f>(+W24*V24)/100</f>
        <v>15.944950087537352</v>
      </c>
      <c r="Y24" s="600">
        <f>100*((((X24/100)-((X24/100)-0.03574)*$E$21)-0.03574-0.00619)/0.344)</f>
        <v>21.935543772600731</v>
      </c>
      <c r="Z24" s="592">
        <f>$E$20</f>
        <v>0.25</v>
      </c>
      <c r="AA24" s="600">
        <f>Y24+Z24</f>
        <v>22.185543772600731</v>
      </c>
      <c r="AB24" s="600">
        <f>100*($E$17*$E$19+($E$18*(AA24/100))/(1-$E$21))</f>
        <v>21.397181262556781</v>
      </c>
      <c r="AC24" s="601">
        <f>AB24/V24</f>
        <v>0.11041308637835894</v>
      </c>
      <c r="AD24" s="599">
        <f>$E$8/(1-AC24)</f>
        <v>3286047.0689026136</v>
      </c>
      <c r="AE24" s="592" t="str">
        <f>IF(AD24=AD18,"yes","not yet")</f>
        <v>not yet</v>
      </c>
      <c r="AF24" s="600">
        <f>100*(1-AC24)</f>
        <v>88.958691362164117</v>
      </c>
      <c r="AG24" s="592"/>
      <c r="AH24" s="592"/>
      <c r="AI24" s="592"/>
      <c r="AJ24" s="592"/>
      <c r="AK24" s="592"/>
      <c r="AL24" s="592"/>
      <c r="AM24" s="592"/>
      <c r="AN24" s="592"/>
      <c r="AO24" s="592"/>
      <c r="AP24" s="592"/>
      <c r="AQ24" s="592"/>
      <c r="AR24" s="592"/>
      <c r="AS24" s="590"/>
      <c r="AT24" s="590"/>
      <c r="AU24" s="590"/>
      <c r="AV24" s="590"/>
      <c r="AW24" s="590"/>
      <c r="AX24" s="590"/>
      <c r="AY24" s="590"/>
      <c r="AZ24" s="590"/>
      <c r="BA24" s="590"/>
      <c r="BB24" s="590"/>
      <c r="BC24" s="590"/>
      <c r="BD24" s="590"/>
      <c r="BE24" s="590"/>
      <c r="BF24" s="590"/>
      <c r="BG24" s="590"/>
      <c r="BH24" s="590"/>
      <c r="BI24" s="590"/>
      <c r="BJ24" s="590"/>
      <c r="BK24" s="591"/>
      <c r="BL24" s="591"/>
      <c r="BM24" s="591"/>
      <c r="BN24" s="591"/>
      <c r="BO24" s="591"/>
      <c r="BP24" s="591"/>
      <c r="BQ24" s="591"/>
      <c r="BR24" s="591"/>
      <c r="BS24" s="591"/>
      <c r="BT24" s="591"/>
      <c r="BU24" s="591"/>
      <c r="BV24" s="591"/>
      <c r="BW24" s="591"/>
      <c r="BX24" s="591"/>
      <c r="BY24" s="591"/>
      <c r="BZ24" s="591"/>
      <c r="CA24" s="591"/>
      <c r="CB24" s="591"/>
      <c r="CC24" s="591"/>
      <c r="CD24" s="591"/>
      <c r="CE24" s="591"/>
      <c r="CF24" s="591"/>
    </row>
    <row r="25" spans="1:84">
      <c r="A25" s="590"/>
      <c r="B25" s="594"/>
      <c r="C25" s="592"/>
      <c r="D25" s="592"/>
      <c r="E25" s="592"/>
      <c r="F25" s="597" t="s">
        <v>389</v>
      </c>
      <c r="G25" s="592"/>
      <c r="H25" s="601">
        <f>((+H15/100)-H23)</f>
        <v>0.86610552850064437</v>
      </c>
      <c r="I25" s="601"/>
      <c r="J25" s="594"/>
      <c r="K25" s="592"/>
      <c r="L25" s="595"/>
      <c r="M25" s="592"/>
      <c r="N25" s="592"/>
      <c r="O25" s="592"/>
      <c r="P25" s="592"/>
      <c r="Q25" s="592"/>
      <c r="R25" s="592"/>
      <c r="S25" s="592"/>
      <c r="T25" s="592"/>
      <c r="U25" s="592"/>
      <c r="V25" s="600">
        <f>100*(+AD19/$E$9)</f>
        <v>193.50921314184919</v>
      </c>
      <c r="W25" s="610">
        <f>EXP(5.6985-(0.68367*LN(V25)))</f>
        <v>8.1560107613568924</v>
      </c>
      <c r="X25" s="601">
        <f>(+W25*V25)/100</f>
        <v>15.782632248066266</v>
      </c>
      <c r="Y25" s="600">
        <f>100*((((X25/100)-((X25/100)-0.03574)*$E$21)-0.03574-0.00619)/0.344)</f>
        <v>21.624120010824814</v>
      </c>
      <c r="Z25" s="592">
        <f>$E$20</f>
        <v>0.25</v>
      </c>
      <c r="AA25" s="600">
        <f>Y25+Z25</f>
        <v>21.874120010824814</v>
      </c>
      <c r="AB25" s="600">
        <f>100*($E$17*$E$19+($E$18*(AA25/100))/(1-$E$21))</f>
        <v>21.114068751851402</v>
      </c>
      <c r="AC25" s="601">
        <f>AB25/V25</f>
        <v>0.10911143923867869</v>
      </c>
      <c r="AD25" s="599">
        <f>$E$8/(1-AC25)</f>
        <v>3281245.9366886853</v>
      </c>
      <c r="AE25" s="592" t="str">
        <f>IF(AD25=AD19,"yes","not yet")</f>
        <v>not yet</v>
      </c>
      <c r="AF25" s="600">
        <f>100*(1-AC25)</f>
        <v>89.088856076132132</v>
      </c>
      <c r="AG25" s="592"/>
      <c r="AH25" s="592"/>
      <c r="AI25" s="592"/>
      <c r="AJ25" s="592" t="s">
        <v>390</v>
      </c>
      <c r="AK25" s="592"/>
      <c r="AL25" s="592"/>
      <c r="AM25" s="592"/>
      <c r="AN25" s="592"/>
      <c r="AO25" s="592"/>
      <c r="AP25" s="592"/>
      <c r="AQ25" s="592"/>
      <c r="AR25" s="592"/>
      <c r="AS25" s="590"/>
      <c r="AT25" s="590"/>
      <c r="AU25" s="590"/>
      <c r="AV25" s="590"/>
      <c r="AW25" s="590"/>
      <c r="AX25" s="590"/>
      <c r="AY25" s="590"/>
      <c r="AZ25" s="590"/>
      <c r="BA25" s="590"/>
      <c r="BB25" s="590"/>
      <c r="BC25" s="590"/>
      <c r="BD25" s="590"/>
      <c r="BE25" s="590"/>
      <c r="BF25" s="590"/>
      <c r="BG25" s="590"/>
      <c r="BH25" s="590"/>
      <c r="BI25" s="590"/>
      <c r="BJ25" s="590"/>
      <c r="BK25" s="591"/>
      <c r="BL25" s="591"/>
      <c r="BM25" s="591"/>
      <c r="BN25" s="591"/>
      <c r="BO25" s="591"/>
      <c r="BP25" s="591"/>
      <c r="BQ25" s="591"/>
      <c r="BR25" s="591"/>
      <c r="BS25" s="591"/>
      <c r="BT25" s="591"/>
      <c r="BU25" s="591"/>
      <c r="BV25" s="591"/>
      <c r="BW25" s="591"/>
      <c r="BX25" s="591"/>
      <c r="BY25" s="591"/>
      <c r="BZ25" s="591"/>
      <c r="CA25" s="591"/>
      <c r="CB25" s="591"/>
      <c r="CC25" s="591"/>
      <c r="CD25" s="591"/>
      <c r="CE25" s="591"/>
      <c r="CF25" s="591"/>
    </row>
    <row r="26" spans="1:84">
      <c r="A26" s="590"/>
      <c r="B26" s="594"/>
      <c r="C26" s="592"/>
      <c r="D26" s="592"/>
      <c r="E26" s="592"/>
      <c r="F26" s="592"/>
      <c r="G26" s="592"/>
      <c r="H26" s="592"/>
      <c r="I26" s="592"/>
      <c r="J26" s="594"/>
      <c r="K26" s="592"/>
      <c r="L26" s="592"/>
      <c r="M26" s="592"/>
      <c r="N26" s="592"/>
      <c r="O26" s="592"/>
      <c r="P26" s="592"/>
      <c r="Q26" s="592"/>
      <c r="R26" s="592"/>
      <c r="S26" s="592"/>
      <c r="T26" s="592"/>
      <c r="U26" s="592"/>
      <c r="V26" s="600">
        <f>100*(+AD20/$E$9)</f>
        <v>193.3284031960163</v>
      </c>
      <c r="W26" s="610">
        <f>EXP(5.6922-(0.68367*LN(V26)))</f>
        <v>8.1099708528078587</v>
      </c>
      <c r="X26" s="601">
        <f>(+W26*V26)/100</f>
        <v>15.678877149395777</v>
      </c>
      <c r="Y26" s="600">
        <f>100*((((X26/100)-((X26/100)-0.03574)*$E$21)-0.03574-0.00619)/0.344)</f>
        <v>21.42505499593376</v>
      </c>
      <c r="Z26" s="592">
        <f>$E$20</f>
        <v>0.25</v>
      </c>
      <c r="AA26" s="600">
        <f>Y26+Z26</f>
        <v>21.67505499593376</v>
      </c>
      <c r="AB26" s="600">
        <f>100*($E$17*$E$19+($E$18*(AA26/100))/(1-$E$21))</f>
        <v>20.933100556495898</v>
      </c>
      <c r="AC26" s="601">
        <f>AB26/V26</f>
        <v>0.10827741920193568</v>
      </c>
      <c r="AD26" s="599">
        <f>$E$8/(1-AC26)</f>
        <v>3278177.0171439648</v>
      </c>
      <c r="AE26" s="592" t="str">
        <f>IF(AD26=AD20,"yes","not yet")</f>
        <v>not yet</v>
      </c>
      <c r="AF26" s="600">
        <f>100*(1-AC26)</f>
        <v>89.172258079806426</v>
      </c>
      <c r="AG26" s="592"/>
      <c r="AH26" s="592"/>
      <c r="AI26" s="592"/>
      <c r="AJ26" s="600">
        <f>HLOOKUP($AJ$25,$AJ$19:$AR$23,($E$12)+1)</f>
        <v>89.089106149575443</v>
      </c>
      <c r="AK26" s="592"/>
      <c r="AL26" s="592"/>
      <c r="AM26" s="592"/>
      <c r="AN26" s="592"/>
      <c r="AO26" s="592"/>
      <c r="AP26" s="592"/>
      <c r="AQ26" s="592"/>
      <c r="AR26" s="592"/>
      <c r="AS26" s="590"/>
      <c r="AT26" s="590"/>
      <c r="AU26" s="590"/>
      <c r="AV26" s="590"/>
      <c r="AW26" s="590"/>
      <c r="AX26" s="590"/>
      <c r="AY26" s="590"/>
      <c r="AZ26" s="590"/>
      <c r="BA26" s="590"/>
      <c r="BB26" s="590"/>
      <c r="BC26" s="590"/>
      <c r="BD26" s="590"/>
      <c r="BE26" s="590"/>
      <c r="BF26" s="590"/>
      <c r="BG26" s="590"/>
      <c r="BH26" s="590"/>
      <c r="BI26" s="590"/>
      <c r="BJ26" s="590"/>
      <c r="BK26" s="591"/>
      <c r="BL26" s="591"/>
      <c r="BM26" s="591"/>
      <c r="BN26" s="591"/>
      <c r="BO26" s="591"/>
      <c r="BP26" s="591"/>
      <c r="BQ26" s="591"/>
      <c r="BR26" s="591"/>
      <c r="BS26" s="591"/>
      <c r="BT26" s="591"/>
      <c r="BU26" s="591"/>
      <c r="BV26" s="591"/>
      <c r="BW26" s="591"/>
      <c r="BX26" s="591"/>
      <c r="BY26" s="591"/>
      <c r="BZ26" s="591"/>
      <c r="CA26" s="591"/>
      <c r="CB26" s="591"/>
      <c r="CC26" s="591"/>
      <c r="CD26" s="591"/>
      <c r="CE26" s="591"/>
      <c r="CF26" s="591"/>
    </row>
    <row r="27" spans="1:84" ht="15.75">
      <c r="A27" s="590"/>
      <c r="B27" s="594"/>
      <c r="C27" s="592"/>
      <c r="D27" s="592"/>
      <c r="E27" s="620"/>
      <c r="F27" s="621"/>
      <c r="G27" s="621"/>
      <c r="H27" s="592"/>
      <c r="I27" s="592"/>
      <c r="J27" s="594"/>
      <c r="K27" s="592"/>
      <c r="L27" s="592"/>
      <c r="M27" s="592"/>
      <c r="N27" s="592"/>
      <c r="O27" s="592"/>
      <c r="P27" s="592"/>
      <c r="Q27" s="592"/>
      <c r="R27" s="592"/>
      <c r="S27" s="592"/>
      <c r="T27" s="592"/>
      <c r="U27" s="592"/>
      <c r="V27" s="592"/>
      <c r="W27" s="592"/>
      <c r="X27" s="592"/>
      <c r="Y27" s="592"/>
      <c r="Z27" s="592"/>
      <c r="AA27" s="600"/>
      <c r="AB27" s="592"/>
      <c r="AC27" s="592"/>
      <c r="AD27" s="592"/>
      <c r="AE27" s="592"/>
      <c r="AF27" s="592"/>
      <c r="AG27" s="592"/>
      <c r="AH27" s="592"/>
      <c r="AI27" s="592"/>
      <c r="AJ27" s="592"/>
      <c r="AK27" s="592"/>
      <c r="AL27" s="592"/>
      <c r="AM27" s="592"/>
      <c r="AN27" s="592"/>
      <c r="AO27" s="592"/>
      <c r="AP27" s="592"/>
      <c r="AQ27" s="592"/>
      <c r="AR27" s="592"/>
      <c r="AS27" s="590"/>
      <c r="AT27" s="590"/>
      <c r="AU27" s="590"/>
      <c r="AV27" s="590"/>
      <c r="AW27" s="590"/>
      <c r="AX27" s="590"/>
      <c r="AY27" s="590"/>
      <c r="AZ27" s="590"/>
      <c r="BA27" s="590"/>
      <c r="BB27" s="590"/>
      <c r="BC27" s="590"/>
      <c r="BD27" s="590"/>
      <c r="BE27" s="590"/>
      <c r="BF27" s="590"/>
      <c r="BG27" s="590"/>
      <c r="BH27" s="590"/>
      <c r="BI27" s="590"/>
      <c r="BJ27" s="590"/>
      <c r="BK27" s="591"/>
      <c r="BL27" s="591"/>
      <c r="BM27" s="591"/>
      <c r="BN27" s="591"/>
      <c r="BO27" s="591"/>
      <c r="BP27" s="591"/>
      <c r="BQ27" s="591"/>
      <c r="BR27" s="591"/>
      <c r="BS27" s="591"/>
      <c r="BT27" s="591"/>
      <c r="BU27" s="591"/>
      <c r="BV27" s="591"/>
      <c r="BW27" s="591"/>
      <c r="BX27" s="591"/>
      <c r="BY27" s="591"/>
      <c r="BZ27" s="591"/>
      <c r="CA27" s="591"/>
      <c r="CB27" s="591"/>
      <c r="CC27" s="591"/>
      <c r="CD27" s="591"/>
      <c r="CE27" s="591"/>
      <c r="CF27" s="591"/>
    </row>
    <row r="28" spans="1:84">
      <c r="A28" s="590"/>
      <c r="B28" s="594"/>
      <c r="C28" s="622"/>
      <c r="D28" s="623"/>
      <c r="E28" s="606"/>
      <c r="F28" s="624"/>
      <c r="G28" s="625"/>
      <c r="H28" s="622"/>
      <c r="I28" s="622"/>
      <c r="J28" s="592"/>
      <c r="K28" s="592"/>
      <c r="L28" s="592"/>
      <c r="M28" s="592"/>
      <c r="N28" s="592"/>
      <c r="O28" s="592"/>
      <c r="P28" s="592"/>
      <c r="Q28" s="592"/>
      <c r="R28" s="592"/>
      <c r="S28" s="592"/>
      <c r="T28" s="592"/>
      <c r="U28" s="592"/>
      <c r="V28" s="597" t="s">
        <v>391</v>
      </c>
      <c r="W28" s="609" t="s">
        <v>331</v>
      </c>
      <c r="X28" s="609" t="s">
        <v>341</v>
      </c>
      <c r="Y28" s="609" t="s">
        <v>342</v>
      </c>
      <c r="Z28" s="592"/>
      <c r="AA28" s="600"/>
      <c r="AB28" s="592"/>
      <c r="AC28" s="592"/>
      <c r="AD28" s="592"/>
      <c r="AE28" s="592"/>
      <c r="AF28" s="592"/>
      <c r="AG28" s="592"/>
      <c r="AH28" s="592"/>
      <c r="AI28" s="592"/>
      <c r="AJ28" s="592" t="str">
        <f>HLOOKUP(1,$AJ$13:$AR$17,($E$12)+1)</f>
        <v>not yet</v>
      </c>
      <c r="AK28" s="592" t="str">
        <f>HLOOKUP(2,$AJ$13:$AR$17,($E$12)+1)</f>
        <v>not yet</v>
      </c>
      <c r="AL28" s="592" t="str">
        <f>HLOOKUP(3,$AJ$13:$AR$17,($E$12)+1)</f>
        <v>not yet</v>
      </c>
      <c r="AM28" s="592" t="str">
        <f>HLOOKUP(4,$AJ$13:$AR$17,($E$12)+1)</f>
        <v>not yet</v>
      </c>
      <c r="AN28" s="592" t="str">
        <f>HLOOKUP(5,$AJ$13:$AR$17,($E$12)+1)</f>
        <v>not yet</v>
      </c>
      <c r="AO28" s="592" t="str">
        <f>HLOOKUP(6,$AJ$13:$AR$17,($E$12)+1)</f>
        <v>not yet</v>
      </c>
      <c r="AP28" s="592" t="str">
        <f>HLOOKUP(7,$AJ$13:$AR$17,($E$12)+1)</f>
        <v>yes</v>
      </c>
      <c r="AQ28" s="592" t="str">
        <f>HLOOKUP(8,$AJ$13:$AR$17,($E$12)+1)</f>
        <v>yes</v>
      </c>
      <c r="AR28" s="592" t="str">
        <f>HLOOKUP(9,$AJ$13:$AR$17,($E$12)+1)</f>
        <v>yes</v>
      </c>
      <c r="AS28" s="590"/>
      <c r="AT28" s="590"/>
      <c r="AU28" s="590"/>
      <c r="AV28" s="590"/>
      <c r="AW28" s="590"/>
      <c r="AX28" s="590"/>
      <c r="AY28" s="590"/>
      <c r="AZ28" s="590"/>
      <c r="BA28" s="590"/>
      <c r="BB28" s="590"/>
      <c r="BC28" s="590"/>
      <c r="BD28" s="590"/>
      <c r="BE28" s="590"/>
      <c r="BF28" s="590"/>
      <c r="BG28" s="590"/>
      <c r="BH28" s="590"/>
      <c r="BI28" s="590"/>
      <c r="BJ28" s="590"/>
      <c r="BK28" s="591"/>
      <c r="BL28" s="591"/>
      <c r="BM28" s="591"/>
      <c r="BN28" s="591"/>
      <c r="BO28" s="591"/>
      <c r="BP28" s="591"/>
      <c r="BQ28" s="591"/>
      <c r="BR28" s="591"/>
      <c r="BS28" s="591"/>
      <c r="BT28" s="591"/>
      <c r="BU28" s="591"/>
      <c r="BV28" s="591"/>
      <c r="BW28" s="591"/>
      <c r="BX28" s="591"/>
      <c r="BY28" s="591"/>
      <c r="BZ28" s="591"/>
      <c r="CA28" s="591"/>
      <c r="CB28" s="591"/>
      <c r="CC28" s="591"/>
      <c r="CD28" s="591"/>
      <c r="CE28" s="591"/>
      <c r="CF28" s="591"/>
    </row>
    <row r="29" spans="1:84">
      <c r="A29" s="590"/>
      <c r="B29" s="592"/>
      <c r="C29" s="629"/>
      <c r="D29" s="628"/>
      <c r="E29" s="611"/>
      <c r="F29" s="626"/>
      <c r="G29" s="627"/>
      <c r="H29" s="592"/>
      <c r="I29" s="596"/>
      <c r="J29" s="592"/>
      <c r="K29" s="592"/>
      <c r="L29" s="592"/>
      <c r="M29" s="592"/>
      <c r="N29" s="592"/>
      <c r="O29" s="592"/>
      <c r="P29" s="592"/>
      <c r="Q29" s="592"/>
      <c r="R29" s="592"/>
      <c r="S29" s="592"/>
      <c r="T29" s="592"/>
      <c r="U29" s="592"/>
      <c r="V29" s="600">
        <f>100*(+AD23/$E$9)</f>
        <v>194.22125378257357</v>
      </c>
      <c r="W29" s="610">
        <f>EXP(5.7226-(0.68367*LN(+V29)))</f>
        <v>8.3340050786094526</v>
      </c>
      <c r="X29" s="601">
        <f>(+W29*V29)/100</f>
        <v>16.186409153978634</v>
      </c>
      <c r="Y29" s="600">
        <f>100*((((X29/100)-((X29/100)-0.03574)*$E$21)-0.03574-0.00619)/0.344)</f>
        <v>22.398808260540402</v>
      </c>
      <c r="Z29" s="592">
        <f>$E$20</f>
        <v>0.25</v>
      </c>
      <c r="AA29" s="600">
        <f>Y29+Z29</f>
        <v>22.648808260540402</v>
      </c>
      <c r="AB29" s="600">
        <f>100*($E$17*$E$19+($E$18*(AA29/100))/(1-$E$21))</f>
        <v>21.818330797047391</v>
      </c>
      <c r="AC29" s="601">
        <f>AB29/V29</f>
        <v>0.11233750360541145</v>
      </c>
      <c r="AD29" s="599">
        <f>$E$8/(1-AC29)</f>
        <v>3293171.0891400203</v>
      </c>
      <c r="AE29" s="592" t="str">
        <f>IF(AD29=AD23,"yes","not yet")</f>
        <v>not yet</v>
      </c>
      <c r="AF29" s="600">
        <f>100*(1-AC29)</f>
        <v>88.766249639458849</v>
      </c>
      <c r="AG29" s="592"/>
      <c r="AH29" s="592"/>
      <c r="AI29" s="592">
        <v>1</v>
      </c>
      <c r="AJ29" s="600">
        <f>V5</f>
        <v>215.50292322068273</v>
      </c>
      <c r="AK29" s="600">
        <f>V11</f>
        <v>192.76277537346235</v>
      </c>
      <c r="AL29" s="600">
        <f>V17</f>
        <v>194.33031157306183</v>
      </c>
      <c r="AM29" s="600">
        <f>V23</f>
        <v>194.21244685805902</v>
      </c>
      <c r="AN29" s="600">
        <f>V29</f>
        <v>194.22125378257357</v>
      </c>
      <c r="AO29" s="600">
        <f>V35</f>
        <v>194.22059541412568</v>
      </c>
      <c r="AP29" s="600">
        <f>V41</f>
        <v>194.22064913370562</v>
      </c>
      <c r="AQ29" s="600">
        <f>V47</f>
        <v>194.22064913370562</v>
      </c>
      <c r="AR29" s="600">
        <f>V53</f>
        <v>194.22064913370562</v>
      </c>
      <c r="AS29" s="590"/>
      <c r="AT29" s="590"/>
      <c r="AU29" s="590"/>
      <c r="AV29" s="590"/>
      <c r="AW29" s="590"/>
      <c r="AX29" s="590"/>
      <c r="AY29" s="590"/>
      <c r="AZ29" s="590"/>
      <c r="BA29" s="590"/>
      <c r="BB29" s="590"/>
      <c r="BC29" s="590"/>
      <c r="BD29" s="590"/>
      <c r="BE29" s="590"/>
      <c r="BF29" s="590"/>
      <c r="BG29" s="590"/>
      <c r="BH29" s="590"/>
      <c r="BI29" s="590"/>
      <c r="BJ29" s="590"/>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row>
    <row r="30" spans="1:84">
      <c r="A30" s="590"/>
      <c r="B30" s="592"/>
      <c r="C30" s="629"/>
      <c r="D30" s="628"/>
      <c r="E30" s="668"/>
      <c r="F30" s="626"/>
      <c r="G30" s="627"/>
      <c r="H30" s="592"/>
      <c r="I30" s="596"/>
      <c r="J30" s="592"/>
      <c r="K30" s="592"/>
      <c r="L30" s="592"/>
      <c r="M30" s="592"/>
      <c r="N30" s="592"/>
      <c r="O30" s="592"/>
      <c r="P30" s="592"/>
      <c r="Q30" s="592"/>
      <c r="R30" s="592"/>
      <c r="S30" s="592"/>
      <c r="T30" s="592"/>
      <c r="U30" s="592"/>
      <c r="V30" s="600">
        <f>100*(+AD24/$E$9)</f>
        <v>193.80044370782224</v>
      </c>
      <c r="W30" s="610">
        <f>EXP(5.70827-(0.68367*LN(+V30)))</f>
        <v>8.2276219594140052</v>
      </c>
      <c r="X30" s="601">
        <f>(+W30*V30)/100</f>
        <v>15.94516786394656</v>
      </c>
      <c r="Y30" s="600">
        <f>100*((((X30/100)-((X30/100)-0.03574)*$E$21)-0.03574-0.00619)/0.344)</f>
        <v>21.935961599432353</v>
      </c>
      <c r="Z30" s="592">
        <f>$E$20</f>
        <v>0.25</v>
      </c>
      <c r="AA30" s="600">
        <f>Y30+Z30</f>
        <v>22.185961599432353</v>
      </c>
      <c r="AB30" s="600">
        <f>100*($E$17*$E$19+($E$18*(AA30/100))/(1-$E$21))</f>
        <v>21.397561105130979</v>
      </c>
      <c r="AC30" s="601">
        <f>AB30/V30</f>
        <v>0.11041027923233451</v>
      </c>
      <c r="AD30" s="599">
        <f>$E$8/(1-AC30)</f>
        <v>3286036.6996124228</v>
      </c>
      <c r="AE30" s="592" t="str">
        <f>IF(AD30=AD24,"yes","not yet")</f>
        <v>not yet</v>
      </c>
      <c r="AF30" s="600">
        <f>100*(1-AC30)</f>
        <v>88.958972076766557</v>
      </c>
      <c r="AG30" s="592"/>
      <c r="AH30" s="592"/>
      <c r="AI30" s="592">
        <v>2</v>
      </c>
      <c r="AJ30" s="600">
        <f>V6</f>
        <v>215.50292322068273</v>
      </c>
      <c r="AK30" s="600">
        <f>V12</f>
        <v>192.34850725785506</v>
      </c>
      <c r="AL30" s="600">
        <f>V18</f>
        <v>193.90661387172358</v>
      </c>
      <c r="AM30" s="600">
        <f>V24</f>
        <v>193.79207632357833</v>
      </c>
      <c r="AN30" s="600">
        <f>V30</f>
        <v>193.80044370782224</v>
      </c>
      <c r="AO30" s="600">
        <f>V36</f>
        <v>193.79983216057479</v>
      </c>
      <c r="AP30" s="600">
        <f>V42</f>
        <v>193.79984987646398</v>
      </c>
      <c r="AQ30" s="600">
        <f>V48</f>
        <v>193.79984987646398</v>
      </c>
      <c r="AR30" s="600">
        <f>V54</f>
        <v>193.79984987646398</v>
      </c>
      <c r="AS30" s="590"/>
      <c r="AT30" s="590"/>
      <c r="AU30" s="590"/>
      <c r="AV30" s="590"/>
      <c r="AW30" s="590"/>
      <c r="AX30" s="590"/>
      <c r="AY30" s="590"/>
      <c r="AZ30" s="590"/>
      <c r="BA30" s="590"/>
      <c r="BB30" s="590"/>
      <c r="BC30" s="590"/>
      <c r="BD30" s="590"/>
      <c r="BE30" s="590"/>
      <c r="BF30" s="590"/>
      <c r="BG30" s="590"/>
      <c r="BH30" s="590"/>
      <c r="BI30" s="590"/>
      <c r="BJ30" s="590"/>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row>
    <row r="31" spans="1:84">
      <c r="A31" s="590"/>
      <c r="B31" s="592"/>
      <c r="C31" s="629"/>
      <c r="D31" s="629"/>
      <c r="E31" s="669"/>
      <c r="F31" s="630"/>
      <c r="G31" s="631"/>
      <c r="H31" s="632"/>
      <c r="I31" s="631"/>
      <c r="J31" s="592"/>
      <c r="K31" s="592"/>
      <c r="L31" s="592"/>
      <c r="M31" s="592"/>
      <c r="N31" s="592"/>
      <c r="O31" s="592"/>
      <c r="P31" s="592"/>
      <c r="Q31" s="592"/>
      <c r="R31" s="592"/>
      <c r="S31" s="592"/>
      <c r="T31" s="592"/>
      <c r="U31" s="592"/>
      <c r="V31" s="600">
        <f>100*(+AD25/$E$9)</f>
        <v>193.51728843528684</v>
      </c>
      <c r="W31" s="610">
        <f>EXP(5.6985-(0.68367*LN(V31)))</f>
        <v>8.1557780777848929</v>
      </c>
      <c r="X31" s="601">
        <f>(+W31*V31)/100</f>
        <v>15.782840586928884</v>
      </c>
      <c r="Y31" s="600">
        <f>100*((((X31/100)-((X31/100)-0.03574)*$E$21)-0.03574-0.00619)/0.344)</f>
        <v>21.624519730735653</v>
      </c>
      <c r="Z31" s="592">
        <f>$E$20</f>
        <v>0.25</v>
      </c>
      <c r="AA31" s="600">
        <f>Y31+Z31</f>
        <v>21.874519730735653</v>
      </c>
      <c r="AB31" s="600">
        <f>100*($E$17*$E$19+($E$18*(AA31/100))/(1-$E$21))</f>
        <v>21.114432133588529</v>
      </c>
      <c r="AC31" s="601">
        <f>AB31/V31</f>
        <v>0.10910876389552814</v>
      </c>
      <c r="AD31" s="599">
        <f>$E$8/(1-AC31)</f>
        <v>3281236.0831190394</v>
      </c>
      <c r="AE31" s="592" t="str">
        <f>IF(AD31=AD25,"yes","not yet")</f>
        <v>not yet</v>
      </c>
      <c r="AF31" s="600">
        <f>100*(1-AC31)</f>
        <v>89.089123610447189</v>
      </c>
      <c r="AG31" s="592"/>
      <c r="AH31" s="592"/>
      <c r="AI31" s="592">
        <v>3</v>
      </c>
      <c r="AJ31" s="600">
        <f>V7</f>
        <v>215.50292322068273</v>
      </c>
      <c r="AK31" s="600">
        <f>V13</f>
        <v>192.07045141111072</v>
      </c>
      <c r="AL31" s="600">
        <f>V19</f>
        <v>193.62147611589086</v>
      </c>
      <c r="AM31" s="600">
        <f>V25</f>
        <v>193.50921314184919</v>
      </c>
      <c r="AN31" s="600">
        <f>V31</f>
        <v>193.51728843528684</v>
      </c>
      <c r="AO31" s="600">
        <f>V37</f>
        <v>193.51670730357162</v>
      </c>
      <c r="AP31" s="600">
        <f>V43</f>
        <v>193.51676137824956</v>
      </c>
      <c r="AQ31" s="600">
        <f>V49</f>
        <v>193.51676137824956</v>
      </c>
      <c r="AR31" s="600">
        <f>V55</f>
        <v>193.51676137824956</v>
      </c>
      <c r="AS31" s="590"/>
      <c r="AT31" s="590"/>
      <c r="AU31" s="590"/>
      <c r="AV31" s="590"/>
      <c r="AW31" s="590"/>
      <c r="AX31" s="590"/>
      <c r="AY31" s="590"/>
      <c r="AZ31" s="590"/>
      <c r="BA31" s="590"/>
      <c r="BB31" s="590"/>
      <c r="BC31" s="590"/>
      <c r="BD31" s="590"/>
      <c r="BE31" s="590"/>
      <c r="BF31" s="590"/>
      <c r="BG31" s="590"/>
      <c r="BH31" s="590"/>
      <c r="BI31" s="590"/>
      <c r="BJ31" s="590"/>
      <c r="BK31" s="591"/>
      <c r="BL31" s="591"/>
      <c r="BM31" s="591"/>
      <c r="BN31" s="591"/>
      <c r="BO31" s="591"/>
      <c r="BP31" s="591"/>
      <c r="BQ31" s="591"/>
      <c r="BR31" s="591"/>
      <c r="BS31" s="591"/>
      <c r="BT31" s="591"/>
      <c r="BU31" s="591"/>
      <c r="BV31" s="591"/>
      <c r="BW31" s="591"/>
      <c r="BX31" s="591"/>
      <c r="BY31" s="591"/>
      <c r="BZ31" s="591"/>
      <c r="CA31" s="591"/>
      <c r="CB31" s="591"/>
      <c r="CC31" s="591"/>
      <c r="CD31" s="591"/>
      <c r="CE31" s="591"/>
      <c r="CF31" s="591"/>
    </row>
    <row r="32" spans="1:84">
      <c r="A32" s="590"/>
      <c r="B32" s="592"/>
      <c r="C32" s="629"/>
      <c r="D32" s="633"/>
      <c r="E32" s="670"/>
      <c r="F32" s="630"/>
      <c r="G32" s="599"/>
      <c r="H32" s="592"/>
      <c r="I32" s="592"/>
      <c r="J32" s="592"/>
      <c r="K32" s="592"/>
      <c r="L32" s="592"/>
      <c r="M32" s="592"/>
      <c r="N32" s="592"/>
      <c r="O32" s="592"/>
      <c r="P32" s="592"/>
      <c r="Q32" s="592"/>
      <c r="R32" s="592"/>
      <c r="S32" s="592"/>
      <c r="T32" s="592"/>
      <c r="U32" s="592"/>
      <c r="V32" s="600">
        <f>100*(+AD26/$E$9)</f>
        <v>193.33629347173357</v>
      </c>
      <c r="W32" s="610">
        <f>EXP(5.6922-(0.68367*LN(V32)))</f>
        <v>8.1097445721613042</v>
      </c>
      <c r="X32" s="601">
        <f>(+W32*V32)/100</f>
        <v>15.679079565841763</v>
      </c>
      <c r="Y32" s="600">
        <f>100*((((X32/100)-((X32/100)-0.03574)*$E$21)-0.03574-0.00619)/0.344)</f>
        <v>21.425443353068502</v>
      </c>
      <c r="Z32" s="592">
        <f>$E$20</f>
        <v>0.25</v>
      </c>
      <c r="AA32" s="600">
        <f>Y32+Z32</f>
        <v>21.675443353068502</v>
      </c>
      <c r="AB32" s="600">
        <f>100*($E$17*$E$19+($E$18*(AA32/100))/(1-$E$21))</f>
        <v>20.933453608436576</v>
      </c>
      <c r="AC32" s="601">
        <f>AB32/V32</f>
        <v>0.10827482637913051</v>
      </c>
      <c r="AD32" s="599">
        <f>$E$8/(1-AC32)</f>
        <v>3278167.4853595304</v>
      </c>
      <c r="AE32" s="592" t="str">
        <f>IF(AD32=AD26,"yes","not yet")</f>
        <v>not yet</v>
      </c>
      <c r="AF32" s="600">
        <f>100*(1-AC32)</f>
        <v>89.17251736208695</v>
      </c>
      <c r="AG32" s="592"/>
      <c r="AH32" s="592"/>
      <c r="AI32" s="592">
        <v>4</v>
      </c>
      <c r="AJ32" s="600">
        <f>V8</f>
        <v>215.50292322068273</v>
      </c>
      <c r="AK32" s="600">
        <f>V14</f>
        <v>191.89300885526055</v>
      </c>
      <c r="AL32" s="600">
        <f>V20</f>
        <v>193.43919843159946</v>
      </c>
      <c r="AM32" s="600">
        <f>V26</f>
        <v>193.3284031960163</v>
      </c>
      <c r="AN32" s="600">
        <f>V32</f>
        <v>193.33629347173357</v>
      </c>
      <c r="AO32" s="600">
        <f>V38</f>
        <v>193.33573131787088</v>
      </c>
      <c r="AP32" s="600">
        <f>V44</f>
        <v>193.33576166970371</v>
      </c>
      <c r="AQ32" s="600">
        <f>V50</f>
        <v>193.33576166970371</v>
      </c>
      <c r="AR32" s="600">
        <f>V56</f>
        <v>193.33576166970371</v>
      </c>
      <c r="AS32" s="590"/>
      <c r="AT32" s="590"/>
      <c r="AU32" s="590"/>
      <c r="AV32" s="590"/>
      <c r="AW32" s="590"/>
      <c r="AX32" s="590"/>
      <c r="AY32" s="590"/>
      <c r="AZ32" s="590"/>
      <c r="BA32" s="590"/>
      <c r="BB32" s="590"/>
      <c r="BC32" s="590"/>
      <c r="BD32" s="590"/>
      <c r="BE32" s="590"/>
      <c r="BF32" s="590"/>
      <c r="BG32" s="590"/>
      <c r="BH32" s="590"/>
      <c r="BI32" s="590"/>
      <c r="BJ32" s="590"/>
      <c r="BK32" s="591"/>
      <c r="BL32" s="591"/>
      <c r="BM32" s="591"/>
      <c r="BN32" s="591"/>
      <c r="BO32" s="591"/>
      <c r="BP32" s="591"/>
      <c r="BQ32" s="591"/>
      <c r="BR32" s="591"/>
      <c r="BS32" s="591"/>
      <c r="BT32" s="591"/>
      <c r="BU32" s="591"/>
      <c r="BV32" s="591"/>
      <c r="BW32" s="591"/>
      <c r="BX32" s="591"/>
      <c r="BY32" s="591"/>
      <c r="BZ32" s="591"/>
      <c r="CA32" s="591"/>
      <c r="CB32" s="591"/>
      <c r="CC32" s="591"/>
      <c r="CD32" s="591"/>
      <c r="CE32" s="591"/>
      <c r="CF32" s="591"/>
    </row>
    <row r="33" spans="1:84">
      <c r="A33" s="590"/>
      <c r="B33" s="592"/>
      <c r="C33" s="629"/>
      <c r="D33" s="629"/>
      <c r="E33" s="671"/>
      <c r="F33" s="630"/>
      <c r="G33" s="598"/>
      <c r="H33" s="592"/>
      <c r="I33" s="598"/>
      <c r="J33" s="592"/>
      <c r="K33" s="592"/>
      <c r="L33" s="592"/>
      <c r="M33" s="592"/>
      <c r="N33" s="592"/>
      <c r="O33" s="592"/>
      <c r="P33" s="592"/>
      <c r="Q33" s="592"/>
      <c r="R33" s="592"/>
      <c r="S33" s="592"/>
      <c r="T33" s="592"/>
      <c r="U33" s="592"/>
      <c r="V33" s="592"/>
      <c r="W33" s="592"/>
      <c r="X33" s="592"/>
      <c r="Y33" s="592"/>
      <c r="Z33" s="592"/>
      <c r="AA33" s="600"/>
      <c r="AB33" s="592"/>
      <c r="AC33" s="592"/>
      <c r="AD33" s="592"/>
      <c r="AE33" s="592"/>
      <c r="AF33" s="592"/>
      <c r="AG33" s="592"/>
      <c r="AH33" s="592"/>
      <c r="AI33" s="592"/>
      <c r="AJ33" s="592"/>
      <c r="AK33" s="592"/>
      <c r="AL33" s="592"/>
      <c r="AM33" s="592"/>
      <c r="AN33" s="592"/>
      <c r="AO33" s="592"/>
      <c r="AP33" s="592"/>
      <c r="AQ33" s="592"/>
      <c r="AR33" s="592"/>
      <c r="AS33" s="590"/>
      <c r="AT33" s="590"/>
      <c r="AU33" s="590"/>
      <c r="AV33" s="590"/>
      <c r="AW33" s="590"/>
      <c r="AX33" s="590"/>
      <c r="AY33" s="590"/>
      <c r="AZ33" s="590"/>
      <c r="BA33" s="590"/>
      <c r="BB33" s="590"/>
      <c r="BC33" s="590"/>
      <c r="BD33" s="590"/>
      <c r="BE33" s="590"/>
      <c r="BF33" s="590"/>
      <c r="BG33" s="590"/>
      <c r="BH33" s="590"/>
      <c r="BI33" s="590"/>
      <c r="BJ33" s="590"/>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row>
    <row r="34" spans="1:84">
      <c r="A34" s="590"/>
      <c r="B34" s="592"/>
      <c r="C34" s="629"/>
      <c r="D34" s="629"/>
      <c r="E34" s="668"/>
      <c r="F34" s="630"/>
      <c r="G34" s="592"/>
      <c r="H34" s="592"/>
      <c r="I34" s="592"/>
      <c r="J34" s="592"/>
      <c r="K34" s="592"/>
      <c r="L34" s="592"/>
      <c r="M34" s="592"/>
      <c r="N34" s="592"/>
      <c r="O34" s="592"/>
      <c r="P34" s="592"/>
      <c r="Q34" s="592"/>
      <c r="R34" s="592"/>
      <c r="S34" s="592"/>
      <c r="T34" s="592"/>
      <c r="U34" s="592"/>
      <c r="V34" s="597" t="s">
        <v>392</v>
      </c>
      <c r="W34" s="609" t="s">
        <v>331</v>
      </c>
      <c r="X34" s="609" t="s">
        <v>341</v>
      </c>
      <c r="Y34" s="609" t="s">
        <v>342</v>
      </c>
      <c r="Z34" s="592"/>
      <c r="AA34" s="600"/>
      <c r="AB34" s="592"/>
      <c r="AC34" s="592"/>
      <c r="AD34" s="592"/>
      <c r="AE34" s="592"/>
      <c r="AF34" s="592"/>
      <c r="AG34" s="592"/>
      <c r="AH34" s="592"/>
      <c r="AI34" s="592"/>
      <c r="AJ34" s="592" t="s">
        <v>390</v>
      </c>
      <c r="AK34" s="592"/>
      <c r="AL34" s="592"/>
      <c r="AM34" s="592"/>
      <c r="AN34" s="592"/>
      <c r="AO34" s="592"/>
      <c r="AP34" s="592"/>
      <c r="AQ34" s="592"/>
      <c r="AR34" s="592"/>
      <c r="AS34" s="590"/>
      <c r="AT34" s="590"/>
      <c r="AU34" s="590"/>
      <c r="AV34" s="590"/>
      <c r="AW34" s="590"/>
      <c r="AX34" s="590"/>
      <c r="AY34" s="590"/>
      <c r="AZ34" s="590"/>
      <c r="BA34" s="590"/>
      <c r="BB34" s="590"/>
      <c r="BC34" s="590"/>
      <c r="BD34" s="590"/>
      <c r="BE34" s="590"/>
      <c r="BF34" s="590"/>
      <c r="BG34" s="590"/>
      <c r="BH34" s="590"/>
      <c r="BI34" s="590"/>
      <c r="BJ34" s="590"/>
      <c r="BK34" s="591"/>
      <c r="BL34" s="591"/>
      <c r="BM34" s="591"/>
      <c r="BN34" s="591"/>
      <c r="BO34" s="591"/>
      <c r="BP34" s="591"/>
      <c r="BQ34" s="591"/>
      <c r="BR34" s="591"/>
      <c r="BS34" s="591"/>
      <c r="BT34" s="591"/>
      <c r="BU34" s="591"/>
      <c r="BV34" s="591"/>
      <c r="BW34" s="591"/>
      <c r="BX34" s="591"/>
      <c r="BY34" s="591"/>
      <c r="BZ34" s="591"/>
      <c r="CA34" s="591"/>
      <c r="CB34" s="591"/>
      <c r="CC34" s="591"/>
      <c r="CD34" s="591"/>
      <c r="CE34" s="591"/>
      <c r="CF34" s="591"/>
    </row>
    <row r="35" spans="1:84">
      <c r="A35" s="590"/>
      <c r="B35" s="592"/>
      <c r="C35" s="629"/>
      <c r="D35" s="629"/>
      <c r="E35" s="672"/>
      <c r="F35" s="630"/>
      <c r="G35" s="630"/>
      <c r="H35" s="592"/>
      <c r="I35" s="592"/>
      <c r="J35" s="592"/>
      <c r="K35" s="592"/>
      <c r="L35" s="592"/>
      <c r="M35" s="592"/>
      <c r="N35" s="592"/>
      <c r="O35" s="592"/>
      <c r="P35" s="592"/>
      <c r="Q35" s="592"/>
      <c r="R35" s="592"/>
      <c r="S35" s="592"/>
      <c r="T35" s="592"/>
      <c r="U35" s="592"/>
      <c r="V35" s="600">
        <f>100*(+AD29/$E$9)</f>
        <v>194.22059541412568</v>
      </c>
      <c r="W35" s="610">
        <f>EXP(5.7226-(0.68367*LN(+V35)))</f>
        <v>8.3340243926784758</v>
      </c>
      <c r="X35" s="601">
        <f>(+W35*V35)/100</f>
        <v>16.186391797418608</v>
      </c>
      <c r="Y35" s="600">
        <f>100*((((X35/100)-((X35/100)-0.03574)*$E$21)-0.03574-0.00619)/0.344)</f>
        <v>22.398774960163614</v>
      </c>
      <c r="Z35" s="592">
        <f>$E$20</f>
        <v>0.25</v>
      </c>
      <c r="AA35" s="600">
        <f>Y35+Z35</f>
        <v>22.648774960163614</v>
      </c>
      <c r="AB35" s="600">
        <f>100*($E$17*$E$19+($E$18*(AA35/100))/(1-$E$21))</f>
        <v>21.818300523977584</v>
      </c>
      <c r="AC35" s="601">
        <f>AB35/V35</f>
        <v>0.11233772853726272</v>
      </c>
      <c r="AD35" s="599">
        <f>ROUND($E$8/(1-AC35),0)</f>
        <v>3293172</v>
      </c>
      <c r="AE35" s="592" t="str">
        <f>IF(AD35=AD29,"yes","not yet")</f>
        <v>not yet</v>
      </c>
      <c r="AF35" s="600">
        <f>100*(1-AC35)</f>
        <v>88.766227146273721</v>
      </c>
      <c r="AG35" s="592"/>
      <c r="AH35" s="592"/>
      <c r="AI35" s="592"/>
      <c r="AJ35" s="600">
        <f>HLOOKUP($AJ$34,$AJ$28:$AR$32,($E$12)+1)</f>
        <v>193.51676137824956</v>
      </c>
      <c r="AK35" s="592"/>
      <c r="AL35" s="592"/>
      <c r="AM35" s="592"/>
      <c r="AN35" s="592"/>
      <c r="AO35" s="592"/>
      <c r="AP35" s="592"/>
      <c r="AQ35" s="592"/>
      <c r="AR35" s="592"/>
      <c r="AS35" s="590"/>
      <c r="AT35" s="590"/>
      <c r="AU35" s="590"/>
      <c r="AV35" s="590"/>
      <c r="AW35" s="590"/>
      <c r="AX35" s="590"/>
      <c r="AY35" s="590"/>
      <c r="AZ35" s="590"/>
      <c r="BA35" s="590"/>
      <c r="BB35" s="590"/>
      <c r="BC35" s="590"/>
      <c r="BD35" s="590"/>
      <c r="BE35" s="590"/>
      <c r="BF35" s="590"/>
      <c r="BG35" s="590"/>
      <c r="BH35" s="590"/>
      <c r="BI35" s="590"/>
      <c r="BJ35" s="590"/>
      <c r="BK35" s="591"/>
      <c r="BL35" s="591"/>
      <c r="BM35" s="591"/>
      <c r="BN35" s="591"/>
      <c r="BO35" s="591"/>
      <c r="BP35" s="591"/>
      <c r="BQ35" s="591"/>
      <c r="BR35" s="591"/>
      <c r="BS35" s="591"/>
      <c r="BT35" s="591"/>
      <c r="BU35" s="591"/>
      <c r="BV35" s="591"/>
      <c r="BW35" s="591"/>
      <c r="BX35" s="591"/>
      <c r="BY35" s="591"/>
      <c r="BZ35" s="591"/>
      <c r="CA35" s="591"/>
      <c r="CB35" s="591"/>
      <c r="CC35" s="591"/>
      <c r="CD35" s="591"/>
      <c r="CE35" s="591"/>
      <c r="CF35" s="591"/>
    </row>
    <row r="36" spans="1:84" ht="15.75">
      <c r="A36" s="590"/>
      <c r="B36" s="592"/>
      <c r="C36" s="629"/>
      <c r="D36" s="629"/>
      <c r="E36" s="673"/>
      <c r="F36" s="592"/>
      <c r="G36" s="592"/>
      <c r="H36" s="592"/>
      <c r="I36" s="592"/>
      <c r="J36" s="592"/>
      <c r="K36" s="592"/>
      <c r="L36" s="592"/>
      <c r="M36" s="592"/>
      <c r="N36" s="592"/>
      <c r="O36" s="592"/>
      <c r="P36" s="592"/>
      <c r="Q36" s="592"/>
      <c r="R36" s="592"/>
      <c r="S36" s="592"/>
      <c r="T36" s="592"/>
      <c r="U36" s="592"/>
      <c r="V36" s="600">
        <f>100*(+AD30/$E$9)</f>
        <v>193.79983216057479</v>
      </c>
      <c r="W36" s="610">
        <f>EXP(5.70827-(0.68367*LN(+V36)))</f>
        <v>8.2276397093689209</v>
      </c>
      <c r="X36" s="601">
        <f>(+W36*V36)/100</f>
        <v>15.945151947533773</v>
      </c>
      <c r="Y36" s="600">
        <f>100*((((X36/100)-((X36/100)-0.03574)*$E$21)-0.03574-0.00619)/0.344)</f>
        <v>21.935931062128748</v>
      </c>
      <c r="Z36" s="592">
        <f>$E$20</f>
        <v>0.25</v>
      </c>
      <c r="AA36" s="600">
        <f>Y36+Z36</f>
        <v>22.185931062128748</v>
      </c>
      <c r="AB36" s="600">
        <f>100*($E$17*$E$19+($E$18*(AA36/100))/(1-$E$21))</f>
        <v>21.397533343945888</v>
      </c>
      <c r="AC36" s="601">
        <f>AB36/V36</f>
        <v>0.11041048439204398</v>
      </c>
      <c r="AD36" s="599">
        <f>ROUND($E$8/(1-AC36),0)</f>
        <v>3286037</v>
      </c>
      <c r="AE36" s="592" t="str">
        <f>IF(AD36=AD30,"yes","not yet")</f>
        <v>not yet</v>
      </c>
      <c r="AF36" s="600">
        <f>100*(1-AC36)</f>
        <v>88.958951560795612</v>
      </c>
      <c r="AG36" s="592"/>
      <c r="AH36" s="592"/>
      <c r="AI36" s="592"/>
      <c r="AJ36" s="592"/>
      <c r="AK36" s="592"/>
      <c r="AL36" s="592"/>
      <c r="AM36" s="592"/>
      <c r="AN36" s="592"/>
      <c r="AO36" s="592"/>
      <c r="AP36" s="592"/>
      <c r="AQ36" s="592"/>
      <c r="AR36" s="592"/>
      <c r="AS36" s="590"/>
      <c r="AT36" s="590"/>
      <c r="AU36" s="590"/>
      <c r="AV36" s="590"/>
      <c r="AW36" s="590"/>
      <c r="AX36" s="590"/>
      <c r="AY36" s="590"/>
      <c r="AZ36" s="590"/>
      <c r="BA36" s="590"/>
      <c r="BB36" s="590"/>
      <c r="BC36" s="590"/>
      <c r="BD36" s="590"/>
      <c r="BE36" s="590"/>
      <c r="BF36" s="590"/>
      <c r="BG36" s="590"/>
      <c r="BH36" s="590"/>
      <c r="BI36" s="590"/>
      <c r="BJ36" s="590"/>
      <c r="BK36" s="591"/>
      <c r="BL36" s="591"/>
      <c r="BM36" s="591"/>
      <c r="BN36" s="591"/>
      <c r="BO36" s="591"/>
      <c r="BP36" s="591"/>
      <c r="BQ36" s="591"/>
      <c r="BR36" s="591"/>
      <c r="BS36" s="591"/>
      <c r="BT36" s="591"/>
      <c r="BU36" s="591"/>
      <c r="BV36" s="591"/>
      <c r="BW36" s="591"/>
      <c r="BX36" s="591"/>
      <c r="BY36" s="591"/>
      <c r="BZ36" s="591"/>
      <c r="CA36" s="591"/>
      <c r="CB36" s="591"/>
      <c r="CC36" s="591"/>
      <c r="CD36" s="591"/>
      <c r="CE36" s="591"/>
      <c r="CF36" s="591"/>
    </row>
    <row r="37" spans="1:84">
      <c r="A37" s="590"/>
      <c r="B37" s="592"/>
      <c r="C37" s="629"/>
      <c r="D37" s="629"/>
      <c r="E37" s="611"/>
      <c r="F37" s="592"/>
      <c r="G37" s="630"/>
      <c r="H37" s="592"/>
      <c r="I37" s="592"/>
      <c r="J37" s="592"/>
      <c r="K37" s="592"/>
      <c r="L37" s="592"/>
      <c r="M37" s="592"/>
      <c r="N37" s="592"/>
      <c r="O37" s="592"/>
      <c r="P37" s="592"/>
      <c r="Q37" s="592"/>
      <c r="R37" s="592"/>
      <c r="S37" s="592"/>
      <c r="T37" s="592"/>
      <c r="U37" s="592"/>
      <c r="V37" s="600">
        <f>100*(+AD31/$E$9)</f>
        <v>193.51670730357162</v>
      </c>
      <c r="W37" s="610">
        <f>EXP(5.6985-(0.68367*LN(V37)))</f>
        <v>8.1557948221169791</v>
      </c>
      <c r="X37" s="601">
        <f>(+W37*V37)/100</f>
        <v>15.782825594195964</v>
      </c>
      <c r="Y37" s="600">
        <f>100*((((X37/100)-((X37/100)-0.03574)*$E$21)-0.03574-0.00619)/0.344)</f>
        <v>21.62449096560854</v>
      </c>
      <c r="Z37" s="592">
        <f>$E$20</f>
        <v>0.25</v>
      </c>
      <c r="AA37" s="600">
        <f>Y37+Z37</f>
        <v>21.87449096560854</v>
      </c>
      <c r="AB37" s="600">
        <f>100*($E$17*$E$19+($E$18*(AA37/100))/(1-$E$21))</f>
        <v>21.11440598347297</v>
      </c>
      <c r="AC37" s="601">
        <f>AB37/V37</f>
        <v>0.10910895641868579</v>
      </c>
      <c r="AD37" s="599">
        <f>ROUND($E$8/(1-AC37),0)</f>
        <v>3281237</v>
      </c>
      <c r="AE37" s="592" t="str">
        <f>IF(AD37=AD31,"yes","not yet")</f>
        <v>not yet</v>
      </c>
      <c r="AF37" s="600">
        <f>100*(1-AC37)</f>
        <v>89.089104358131422</v>
      </c>
      <c r="AG37" s="592"/>
      <c r="AH37" s="592"/>
      <c r="AI37" s="592"/>
      <c r="AJ37" s="592" t="str">
        <f>HLOOKUP(1,$AJ$13:$AR$17,($E$12)+1)</f>
        <v>not yet</v>
      </c>
      <c r="AK37" s="592" t="str">
        <f>HLOOKUP(2,$AJ$13:$AR$17,($E$12)+1)</f>
        <v>not yet</v>
      </c>
      <c r="AL37" s="592" t="str">
        <f>HLOOKUP(3,$AJ$13:$AR$17,($E$12)+1)</f>
        <v>not yet</v>
      </c>
      <c r="AM37" s="592" t="str">
        <f>HLOOKUP(4,$AJ$13:$AR$17,($E$12)+1)</f>
        <v>not yet</v>
      </c>
      <c r="AN37" s="592" t="str">
        <f>HLOOKUP(5,$AJ$13:$AR$17,($E$12)+1)</f>
        <v>not yet</v>
      </c>
      <c r="AO37" s="592" t="str">
        <f>HLOOKUP(6,$AJ$13:$AR$17,($E$12)+1)</f>
        <v>not yet</v>
      </c>
      <c r="AP37" s="592" t="str">
        <f>HLOOKUP(7,$AJ$13:$AR$17,($E$12)+1)</f>
        <v>yes</v>
      </c>
      <c r="AQ37" s="592" t="str">
        <f>HLOOKUP(8,$AJ$13:$AR$17,($E$12)+1)</f>
        <v>yes</v>
      </c>
      <c r="AR37" s="592" t="str">
        <f>HLOOKUP(9,$AJ$13:$AR$17,($E$12)+1)</f>
        <v>yes</v>
      </c>
      <c r="AS37" s="590"/>
      <c r="AT37" s="590"/>
      <c r="AU37" s="590"/>
      <c r="AV37" s="590"/>
      <c r="AW37" s="590"/>
      <c r="AX37" s="590"/>
      <c r="AY37" s="590"/>
      <c r="AZ37" s="590"/>
      <c r="BA37" s="590"/>
      <c r="BB37" s="590"/>
      <c r="BC37" s="590"/>
      <c r="BD37" s="590"/>
      <c r="BE37" s="590"/>
      <c r="BF37" s="590"/>
      <c r="BG37" s="590"/>
      <c r="BH37" s="590"/>
      <c r="BI37" s="590"/>
      <c r="BJ37" s="590"/>
      <c r="BK37" s="591"/>
      <c r="BL37" s="591"/>
      <c r="BM37" s="591"/>
      <c r="BN37" s="591"/>
      <c r="BO37" s="591"/>
      <c r="BP37" s="591"/>
      <c r="BQ37" s="591"/>
      <c r="BR37" s="591"/>
      <c r="BS37" s="591"/>
      <c r="BT37" s="591"/>
      <c r="BU37" s="591"/>
      <c r="BV37" s="591"/>
      <c r="BW37" s="591"/>
      <c r="BX37" s="591"/>
      <c r="BY37" s="591"/>
      <c r="BZ37" s="591"/>
      <c r="CA37" s="591"/>
      <c r="CB37" s="591"/>
      <c r="CC37" s="591"/>
      <c r="CD37" s="591"/>
      <c r="CE37" s="591"/>
      <c r="CF37" s="591"/>
    </row>
    <row r="38" spans="1:84">
      <c r="A38" s="590"/>
      <c r="B38" s="592"/>
      <c r="C38" s="629"/>
      <c r="D38" s="629"/>
      <c r="E38" s="672"/>
      <c r="F38" s="592"/>
      <c r="G38" s="592"/>
      <c r="H38" s="592"/>
      <c r="I38" s="592"/>
      <c r="J38" s="592"/>
      <c r="K38" s="592"/>
      <c r="L38" s="592"/>
      <c r="M38" s="592"/>
      <c r="N38" s="592"/>
      <c r="O38" s="592"/>
      <c r="P38" s="592"/>
      <c r="Q38" s="592"/>
      <c r="R38" s="592"/>
      <c r="S38" s="592"/>
      <c r="T38" s="592"/>
      <c r="U38" s="592"/>
      <c r="V38" s="600">
        <f>100*(+AD32/$E$9)</f>
        <v>193.33573131787088</v>
      </c>
      <c r="W38" s="610">
        <f>EXP(5.6922-(0.68367*LN(V38)))</f>
        <v>8.1097606933318627</v>
      </c>
      <c r="X38" s="601">
        <f>(+W38*V38)/100</f>
        <v>15.679065144582394</v>
      </c>
      <c r="Y38" s="600">
        <f>100*((((X38/100)-((X38/100)-0.03574)*$E$21)-0.03574-0.00619)/0.344)</f>
        <v>21.425415684373196</v>
      </c>
      <c r="Z38" s="592">
        <f>$E$20</f>
        <v>0.25</v>
      </c>
      <c r="AA38" s="600">
        <f>Y38+Z38</f>
        <v>21.675415684373196</v>
      </c>
      <c r="AB38" s="600">
        <f>100*($E$17*$E$19+($E$18*(AA38/100))/(1-$E$21))</f>
        <v>20.933428455077205</v>
      </c>
      <c r="AC38" s="601">
        <f>AB38/V38</f>
        <v>0.1082750111031454</v>
      </c>
      <c r="AD38" s="599">
        <f>ROUND($E$8/(1-AC38),0)</f>
        <v>3278168</v>
      </c>
      <c r="AE38" s="592" t="str">
        <f>IF(AD38=AD32,"yes","not yet")</f>
        <v>not yet</v>
      </c>
      <c r="AF38" s="600">
        <f>100*(1-AC38)</f>
        <v>89.172498889685457</v>
      </c>
      <c r="AG38" s="592"/>
      <c r="AH38" s="592"/>
      <c r="AI38" s="592">
        <v>1</v>
      </c>
      <c r="AJ38" s="599">
        <f>AD5</f>
        <v>3268452.5426808004</v>
      </c>
      <c r="AK38" s="599">
        <f>AD11</f>
        <v>3295031.4175045257</v>
      </c>
      <c r="AL38" s="599">
        <f>AD17</f>
        <v>3293032.9236215809</v>
      </c>
      <c r="AM38" s="599">
        <f>AD23</f>
        <v>3293182.2523224517</v>
      </c>
      <c r="AN38" s="599">
        <f>AD29</f>
        <v>3293171.0891400203</v>
      </c>
      <c r="AO38" s="599">
        <f>AD35</f>
        <v>3293172</v>
      </c>
      <c r="AP38" s="599">
        <f>AD41</f>
        <v>3293172</v>
      </c>
      <c r="AQ38" s="599">
        <f>AD47</f>
        <v>3293172</v>
      </c>
      <c r="AR38" s="599">
        <f>AD53</f>
        <v>3293172</v>
      </c>
      <c r="AS38" s="590"/>
      <c r="AT38" s="590"/>
      <c r="AU38" s="590"/>
      <c r="AV38" s="590"/>
      <c r="AW38" s="590"/>
      <c r="AX38" s="590"/>
      <c r="AY38" s="590"/>
      <c r="AZ38" s="590"/>
      <c r="BA38" s="590"/>
      <c r="BB38" s="590"/>
      <c r="BC38" s="590"/>
      <c r="BD38" s="590"/>
      <c r="BE38" s="590"/>
      <c r="BF38" s="590"/>
      <c r="BG38" s="590"/>
      <c r="BH38" s="590"/>
      <c r="BI38" s="590"/>
      <c r="BJ38" s="590"/>
      <c r="BK38" s="591"/>
      <c r="BL38" s="591"/>
      <c r="BM38" s="591"/>
      <c r="BN38" s="591"/>
      <c r="BO38" s="591"/>
      <c r="BP38" s="591"/>
      <c r="BQ38" s="591"/>
      <c r="BR38" s="591"/>
      <c r="BS38" s="591"/>
      <c r="BT38" s="591"/>
      <c r="BU38" s="591"/>
      <c r="BV38" s="591"/>
      <c r="BW38" s="591"/>
      <c r="BX38" s="591"/>
      <c r="BY38" s="591"/>
      <c r="BZ38" s="591"/>
      <c r="CA38" s="591"/>
      <c r="CB38" s="591"/>
      <c r="CC38" s="591"/>
      <c r="CD38" s="591"/>
      <c r="CE38" s="591"/>
      <c r="CF38" s="591"/>
    </row>
    <row r="39" spans="1:84" ht="15.75">
      <c r="A39" s="590"/>
      <c r="B39" s="592"/>
      <c r="C39" s="629"/>
      <c r="D39" s="629"/>
      <c r="E39" s="674"/>
      <c r="F39" s="592"/>
      <c r="G39" s="592"/>
      <c r="H39" s="592"/>
      <c r="I39" s="592"/>
      <c r="J39" s="592"/>
      <c r="K39" s="592"/>
      <c r="L39" s="592"/>
      <c r="M39" s="592"/>
      <c r="N39" s="592"/>
      <c r="O39" s="592"/>
      <c r="P39" s="592"/>
      <c r="Q39" s="592"/>
      <c r="R39" s="592"/>
      <c r="S39" s="592"/>
      <c r="T39" s="592"/>
      <c r="U39" s="592"/>
      <c r="V39" s="592"/>
      <c r="W39" s="592"/>
      <c r="X39" s="592"/>
      <c r="Y39" s="592"/>
      <c r="Z39" s="592"/>
      <c r="AA39" s="600"/>
      <c r="AB39" s="592"/>
      <c r="AC39" s="592"/>
      <c r="AD39" s="592"/>
      <c r="AE39" s="592"/>
      <c r="AF39" s="592"/>
      <c r="AG39" s="592"/>
      <c r="AH39" s="592"/>
      <c r="AI39" s="592">
        <v>2</v>
      </c>
      <c r="AJ39" s="599">
        <f>AD6</f>
        <v>3261428.2835976607</v>
      </c>
      <c r="AK39" s="599">
        <f>AD12</f>
        <v>3287847.271983773</v>
      </c>
      <c r="AL39" s="599">
        <f>AD18</f>
        <v>3285905.1929711504</v>
      </c>
      <c r="AM39" s="599">
        <f>AD24</f>
        <v>3286047.0689026136</v>
      </c>
      <c r="AN39" s="599">
        <f>AD30</f>
        <v>3286036.6996124228</v>
      </c>
      <c r="AO39" s="599">
        <f>AD36</f>
        <v>3286037</v>
      </c>
      <c r="AP39" s="599">
        <f>AD42</f>
        <v>3286037</v>
      </c>
      <c r="AQ39" s="599">
        <f>AD48</f>
        <v>3286037</v>
      </c>
      <c r="AR39" s="599">
        <f>AD54</f>
        <v>3286037</v>
      </c>
      <c r="AS39" s="590"/>
      <c r="AT39" s="590"/>
      <c r="AU39" s="590"/>
      <c r="AV39" s="590"/>
      <c r="AW39" s="590"/>
      <c r="AX39" s="590"/>
      <c r="AY39" s="590"/>
      <c r="AZ39" s="590"/>
      <c r="BA39" s="590"/>
      <c r="BB39" s="590"/>
      <c r="BC39" s="590"/>
      <c r="BD39" s="590"/>
      <c r="BE39" s="590"/>
      <c r="BF39" s="590"/>
      <c r="BG39" s="590"/>
      <c r="BH39" s="590"/>
      <c r="BI39" s="590"/>
      <c r="BJ39" s="590"/>
      <c r="BK39" s="591"/>
      <c r="BL39" s="591"/>
      <c r="BM39" s="591"/>
      <c r="BN39" s="591"/>
      <c r="BO39" s="591"/>
      <c r="BP39" s="591"/>
      <c r="BQ39" s="591"/>
      <c r="BR39" s="591"/>
      <c r="BS39" s="591"/>
      <c r="BT39" s="591"/>
      <c r="BU39" s="591"/>
      <c r="BV39" s="591"/>
      <c r="BW39" s="591"/>
      <c r="BX39" s="591"/>
      <c r="BY39" s="591"/>
      <c r="BZ39" s="591"/>
      <c r="CA39" s="591"/>
      <c r="CB39" s="591"/>
      <c r="CC39" s="591"/>
      <c r="CD39" s="591"/>
      <c r="CE39" s="591"/>
      <c r="CF39" s="591"/>
    </row>
    <row r="40" spans="1:84">
      <c r="A40" s="590"/>
      <c r="B40" s="592"/>
      <c r="C40" s="592"/>
      <c r="D40" s="592"/>
      <c r="E40" s="596"/>
      <c r="F40" s="592"/>
      <c r="G40" s="592"/>
      <c r="H40" s="592"/>
      <c r="I40" s="592"/>
      <c r="J40" s="592"/>
      <c r="K40" s="592"/>
      <c r="L40" s="592"/>
      <c r="M40" s="592"/>
      <c r="N40" s="592"/>
      <c r="O40" s="592"/>
      <c r="P40" s="592"/>
      <c r="Q40" s="592"/>
      <c r="R40" s="592"/>
      <c r="S40" s="592"/>
      <c r="T40" s="592"/>
      <c r="U40" s="592"/>
      <c r="V40" s="597" t="s">
        <v>393</v>
      </c>
      <c r="W40" s="609" t="s">
        <v>331</v>
      </c>
      <c r="X40" s="609" t="s">
        <v>341</v>
      </c>
      <c r="Y40" s="609" t="s">
        <v>342</v>
      </c>
      <c r="Z40" s="592"/>
      <c r="AA40" s="600"/>
      <c r="AB40" s="592"/>
      <c r="AC40" s="592"/>
      <c r="AD40" s="592"/>
      <c r="AE40" s="592"/>
      <c r="AF40" s="592"/>
      <c r="AG40" s="592"/>
      <c r="AH40" s="592"/>
      <c r="AI40" s="592">
        <v>3</v>
      </c>
      <c r="AJ40" s="599">
        <f>AD7</f>
        <v>3256713.6163724246</v>
      </c>
      <c r="AK40" s="599">
        <f>AD13</f>
        <v>3283012.5251232339</v>
      </c>
      <c r="AL40" s="599">
        <f>AD19</f>
        <v>3281109.0133988122</v>
      </c>
      <c r="AM40" s="599">
        <f>AD25</f>
        <v>3281245.9366886853</v>
      </c>
      <c r="AN40" s="599">
        <f>AD31</f>
        <v>3281236.0831190394</v>
      </c>
      <c r="AO40" s="599">
        <f>AD37</f>
        <v>3281237</v>
      </c>
      <c r="AP40" s="599">
        <f>AD43</f>
        <v>3281237</v>
      </c>
      <c r="AQ40" s="599">
        <f>AD49</f>
        <v>3281237</v>
      </c>
      <c r="AR40" s="599">
        <f>AD55</f>
        <v>3281237</v>
      </c>
      <c r="AS40" s="590"/>
      <c r="AT40" s="590"/>
      <c r="AU40" s="590"/>
      <c r="AV40" s="590"/>
      <c r="AW40" s="590"/>
      <c r="AX40" s="590"/>
      <c r="AY40" s="590"/>
      <c r="AZ40" s="590"/>
      <c r="BA40" s="590"/>
      <c r="BB40" s="590"/>
      <c r="BC40" s="590"/>
      <c r="BD40" s="590"/>
      <c r="BE40" s="590"/>
      <c r="BF40" s="590"/>
      <c r="BG40" s="590"/>
      <c r="BH40" s="590"/>
      <c r="BI40" s="590"/>
      <c r="BJ40" s="590"/>
      <c r="BK40" s="591"/>
      <c r="BL40" s="591"/>
      <c r="BM40" s="591"/>
      <c r="BN40" s="591"/>
      <c r="BO40" s="591"/>
      <c r="BP40" s="591"/>
      <c r="BQ40" s="591"/>
      <c r="BR40" s="591"/>
      <c r="BS40" s="591"/>
      <c r="BT40" s="591"/>
      <c r="BU40" s="591"/>
      <c r="BV40" s="591"/>
      <c r="BW40" s="591"/>
      <c r="BX40" s="591"/>
      <c r="BY40" s="591"/>
      <c r="BZ40" s="591"/>
      <c r="CA40" s="591"/>
      <c r="CB40" s="591"/>
      <c r="CC40" s="591"/>
      <c r="CD40" s="591"/>
      <c r="CE40" s="591"/>
      <c r="CF40" s="591"/>
    </row>
    <row r="41" spans="1:84">
      <c r="A41" s="590"/>
      <c r="B41" s="592"/>
      <c r="C41" s="592"/>
      <c r="D41" s="592"/>
      <c r="E41" s="596"/>
      <c r="F41" s="592"/>
      <c r="G41" s="592"/>
      <c r="H41" s="592"/>
      <c r="I41" s="592"/>
      <c r="J41" s="592"/>
      <c r="K41" s="592"/>
      <c r="L41" s="592"/>
      <c r="M41" s="592"/>
      <c r="N41" s="592"/>
      <c r="O41" s="592"/>
      <c r="P41" s="592"/>
      <c r="Q41" s="592"/>
      <c r="R41" s="592"/>
      <c r="S41" s="592"/>
      <c r="T41" s="592"/>
      <c r="U41" s="592"/>
      <c r="V41" s="600">
        <f>100*(+AD35/$E$9)</f>
        <v>194.22064913370562</v>
      </c>
      <c r="W41" s="610">
        <f>EXP(5.7226-(0.68367*LN(+V41)))</f>
        <v>8.334022816742694</v>
      </c>
      <c r="X41" s="601">
        <f>(+W41*V41)/100</f>
        <v>16.186393213628797</v>
      </c>
      <c r="Y41" s="600">
        <f>100*((((X41/100)-((X41/100)-0.03574)*$E$21)-0.03574-0.00619)/0.344)</f>
        <v>22.398777677311067</v>
      </c>
      <c r="Z41" s="592">
        <f>$E$20</f>
        <v>0.25</v>
      </c>
      <c r="AA41" s="600">
        <f>Y41+Z41</f>
        <v>22.648777677311067</v>
      </c>
      <c r="AB41" s="600">
        <f>100*($E$17*$E$19+($E$18*(AA41/100))/(1-$E$21))</f>
        <v>21.81830299411163</v>
      </c>
      <c r="AC41" s="601">
        <f>AB41/V41</f>
        <v>0.11233771018390247</v>
      </c>
      <c r="AD41" s="599">
        <f>ROUND($E$8/(1-AC41),0)</f>
        <v>3293172</v>
      </c>
      <c r="AE41" s="592" t="str">
        <f>IF(OR(OR(AD41=AD35,AD41=(AD35+1)),AD41=(AD27-1)),"yes","not yet")</f>
        <v>yes</v>
      </c>
      <c r="AF41" s="600">
        <f>100*(1-AC41)</f>
        <v>88.766228981609757</v>
      </c>
      <c r="AG41" s="592"/>
      <c r="AH41" s="592"/>
      <c r="AI41" s="592">
        <v>4</v>
      </c>
      <c r="AJ41" s="599">
        <f>AD8</f>
        <v>3253704.9308431535</v>
      </c>
      <c r="AK41" s="599">
        <f>AD14</f>
        <v>3279921.8559857826</v>
      </c>
      <c r="AL41" s="599">
        <f>AD20</f>
        <v>3278043.2309828112</v>
      </c>
      <c r="AM41" s="599">
        <f>AD26</f>
        <v>3278177.0171439648</v>
      </c>
      <c r="AN41" s="599">
        <f>AD32</f>
        <v>3278167.4853595304</v>
      </c>
      <c r="AO41" s="599">
        <f>AD38</f>
        <v>3278168</v>
      </c>
      <c r="AP41" s="599">
        <f>AD44</f>
        <v>3278168</v>
      </c>
      <c r="AQ41" s="599">
        <f>AD50</f>
        <v>3278168</v>
      </c>
      <c r="AR41" s="599">
        <f>AD56</f>
        <v>3278168</v>
      </c>
      <c r="AS41" s="590"/>
      <c r="AT41" s="590"/>
      <c r="AU41" s="590"/>
      <c r="AV41" s="590"/>
      <c r="AW41" s="590"/>
      <c r="AX41" s="590"/>
      <c r="AY41" s="590"/>
      <c r="AZ41" s="590"/>
      <c r="BA41" s="590"/>
      <c r="BB41" s="590"/>
      <c r="BC41" s="590"/>
      <c r="BD41" s="590"/>
      <c r="BE41" s="590"/>
      <c r="BF41" s="590"/>
      <c r="BG41" s="590"/>
      <c r="BH41" s="590"/>
      <c r="BI41" s="590"/>
      <c r="BJ41" s="590"/>
      <c r="BK41" s="591"/>
      <c r="BL41" s="591"/>
      <c r="BM41" s="591"/>
      <c r="BN41" s="591"/>
      <c r="BO41" s="591"/>
      <c r="BP41" s="591"/>
      <c r="BQ41" s="591"/>
      <c r="BR41" s="591"/>
      <c r="BS41" s="591"/>
      <c r="BT41" s="591"/>
      <c r="BU41" s="591"/>
      <c r="BV41" s="591"/>
      <c r="BW41" s="591"/>
      <c r="BX41" s="591"/>
      <c r="BY41" s="591"/>
      <c r="BZ41" s="591"/>
      <c r="CA41" s="591"/>
      <c r="CB41" s="591"/>
      <c r="CC41" s="591"/>
      <c r="CD41" s="591"/>
      <c r="CE41" s="591"/>
      <c r="CF41" s="591"/>
    </row>
    <row r="42" spans="1:84">
      <c r="A42" s="590"/>
      <c r="B42" s="592"/>
      <c r="C42" s="592"/>
      <c r="D42" s="592"/>
      <c r="E42" s="595"/>
      <c r="F42" s="592"/>
      <c r="G42" s="592"/>
      <c r="H42" s="592"/>
      <c r="I42" s="592"/>
      <c r="J42" s="592"/>
      <c r="K42" s="592"/>
      <c r="L42" s="592"/>
      <c r="M42" s="592"/>
      <c r="N42" s="592"/>
      <c r="O42" s="592"/>
      <c r="P42" s="592"/>
      <c r="Q42" s="592"/>
      <c r="R42" s="592"/>
      <c r="S42" s="592"/>
      <c r="T42" s="592"/>
      <c r="U42" s="592"/>
      <c r="V42" s="600">
        <f>100*(+AD36/$E$9)</f>
        <v>193.79984987646398</v>
      </c>
      <c r="W42" s="610">
        <f>EXP(5.70827-(0.68367*LN(+V42)))</f>
        <v>8.227639195169818</v>
      </c>
      <c r="X42" s="601">
        <f>(+W42*V42)/100</f>
        <v>15.945152408616217</v>
      </c>
      <c r="Y42" s="600">
        <f>100*((((X42/100)-((X42/100)-0.03574)*$E$21)-0.03574-0.00619)/0.344)</f>
        <v>21.935931946763677</v>
      </c>
      <c r="Z42" s="592">
        <f>$E$20</f>
        <v>0.25</v>
      </c>
      <c r="AA42" s="600">
        <f>Y42+Z42</f>
        <v>22.185931946763677</v>
      </c>
      <c r="AB42" s="600">
        <f>100*($E$17*$E$19+($E$18*(AA42/100))/(1-$E$21))</f>
        <v>21.397534148159455</v>
      </c>
      <c r="AC42" s="601">
        <f>AB42/V42</f>
        <v>0.11041047844876622</v>
      </c>
      <c r="AD42" s="599">
        <f>ROUND($E$8/(1-AC42),0)</f>
        <v>3286037</v>
      </c>
      <c r="AE42" s="592" t="str">
        <f>IF(OR(OR(AD42=AD36,AD42=(AD36+5)),AD42=(AD28-5)),"yes","not yet")</f>
        <v>yes</v>
      </c>
      <c r="AF42" s="600">
        <f>100*(1-AC42)</f>
        <v>88.95895215512337</v>
      </c>
      <c r="AG42" s="592"/>
      <c r="AH42" s="592"/>
      <c r="AI42" s="592"/>
      <c r="AJ42" s="592"/>
      <c r="AK42" s="592"/>
      <c r="AL42" s="592"/>
      <c r="AM42" s="592"/>
      <c r="AN42" s="592"/>
      <c r="AO42" s="592"/>
      <c r="AP42" s="592"/>
      <c r="AQ42" s="592"/>
      <c r="AR42" s="592"/>
      <c r="AS42" s="590"/>
      <c r="AT42" s="590"/>
      <c r="AU42" s="590"/>
      <c r="AV42" s="590"/>
      <c r="AW42" s="590"/>
      <c r="AX42" s="590"/>
      <c r="AY42" s="590"/>
      <c r="AZ42" s="590"/>
      <c r="BA42" s="590"/>
      <c r="BB42" s="590"/>
      <c r="BC42" s="590"/>
      <c r="BD42" s="590"/>
      <c r="BE42" s="590"/>
      <c r="BF42" s="590"/>
      <c r="BG42" s="590"/>
      <c r="BH42" s="590"/>
      <c r="BI42" s="590"/>
      <c r="BJ42" s="590"/>
      <c r="BK42" s="591"/>
      <c r="BL42" s="591"/>
      <c r="BM42" s="591"/>
      <c r="BN42" s="591"/>
      <c r="BO42" s="591"/>
      <c r="BP42" s="591"/>
      <c r="BQ42" s="591"/>
      <c r="BR42" s="591"/>
      <c r="BS42" s="591"/>
      <c r="BT42" s="591"/>
      <c r="BU42" s="591"/>
      <c r="BV42" s="591"/>
      <c r="BW42" s="591"/>
      <c r="BX42" s="591"/>
      <c r="BY42" s="591"/>
      <c r="BZ42" s="591"/>
      <c r="CA42" s="591"/>
      <c r="CB42" s="591"/>
      <c r="CC42" s="591"/>
      <c r="CD42" s="591"/>
      <c r="CE42" s="591"/>
      <c r="CF42" s="591"/>
    </row>
    <row r="43" spans="1:84">
      <c r="A43" s="590"/>
      <c r="B43" s="592"/>
      <c r="C43" s="592"/>
      <c r="D43" s="592"/>
      <c r="E43" s="596"/>
      <c r="F43" s="592"/>
      <c r="G43" s="592"/>
      <c r="H43" s="592"/>
      <c r="I43" s="592"/>
      <c r="J43" s="592"/>
      <c r="K43" s="592"/>
      <c r="L43" s="592"/>
      <c r="M43" s="592"/>
      <c r="N43" s="592"/>
      <c r="O43" s="592"/>
      <c r="P43" s="592"/>
      <c r="Q43" s="592"/>
      <c r="R43" s="592"/>
      <c r="S43" s="592"/>
      <c r="T43" s="592"/>
      <c r="U43" s="592"/>
      <c r="V43" s="600">
        <f>100*(+AD37/$E$9)</f>
        <v>193.51676137824956</v>
      </c>
      <c r="W43" s="610">
        <f>EXP(5.6985-(0.68367*LN(V43)))</f>
        <v>8.1557932640425914</v>
      </c>
      <c r="X43" s="601">
        <f>(+W43*V43)/100</f>
        <v>15.782826989280652</v>
      </c>
      <c r="Y43" s="600">
        <f>100*((((X43/100)-((X43/100)-0.03574)*$E$21)-0.03574-0.00619)/0.344)</f>
        <v>21.624493642224504</v>
      </c>
      <c r="Z43" s="592">
        <f>$E$20</f>
        <v>0.25</v>
      </c>
      <c r="AA43" s="600">
        <f>Y43+Z43</f>
        <v>21.874493642224504</v>
      </c>
      <c r="AB43" s="600">
        <f>100*($E$17*$E$19+($E$18*(AA43/100))/(1-$E$21))</f>
        <v>21.11440841676021</v>
      </c>
      <c r="AC43" s="601">
        <f>AB43/V43</f>
        <v>0.10910893850424565</v>
      </c>
      <c r="AD43" s="599">
        <f>ROUND($E$8/(1-AC43),0)</f>
        <v>3281237</v>
      </c>
      <c r="AE43" s="592" t="str">
        <f>IF(OR(OR(AD43=AD37,AD43=(AD37+5)),AD43=(AD29-5)),"yes","not yet")</f>
        <v>yes</v>
      </c>
      <c r="AF43" s="600">
        <f>100*(1-AC43)</f>
        <v>89.089106149575443</v>
      </c>
      <c r="AG43" s="592"/>
      <c r="AH43" s="592"/>
      <c r="AI43" s="592"/>
      <c r="AJ43" s="592" t="s">
        <v>390</v>
      </c>
      <c r="AK43" s="592"/>
      <c r="AL43" s="592"/>
      <c r="AM43" s="592"/>
      <c r="AN43" s="592"/>
      <c r="AO43" s="592"/>
      <c r="AP43" s="592"/>
      <c r="AQ43" s="592"/>
      <c r="AR43" s="592"/>
      <c r="AS43" s="590"/>
      <c r="AT43" s="590"/>
      <c r="AU43" s="590"/>
      <c r="AV43" s="590"/>
      <c r="AW43" s="590"/>
      <c r="AX43" s="590"/>
      <c r="AY43" s="590"/>
      <c r="AZ43" s="590"/>
      <c r="BA43" s="590"/>
      <c r="BB43" s="590"/>
      <c r="BC43" s="590"/>
      <c r="BD43" s="590"/>
      <c r="BE43" s="590"/>
      <c r="BF43" s="590"/>
      <c r="BG43" s="590"/>
      <c r="BH43" s="590"/>
      <c r="BI43" s="590"/>
      <c r="BJ43" s="590"/>
      <c r="BK43" s="591"/>
      <c r="BL43" s="591"/>
      <c r="BM43" s="591"/>
      <c r="BN43" s="591"/>
      <c r="BO43" s="591"/>
      <c r="BP43" s="591"/>
      <c r="BQ43" s="591"/>
      <c r="BR43" s="591"/>
      <c r="BS43" s="591"/>
      <c r="BT43" s="591"/>
      <c r="BU43" s="591"/>
      <c r="BV43" s="591"/>
      <c r="BW43" s="591"/>
      <c r="BX43" s="591"/>
      <c r="BY43" s="591"/>
      <c r="BZ43" s="591"/>
      <c r="CA43" s="591"/>
      <c r="CB43" s="591"/>
      <c r="CC43" s="591"/>
      <c r="CD43" s="591"/>
      <c r="CE43" s="591"/>
      <c r="CF43" s="591"/>
    </row>
    <row r="44" spans="1:84">
      <c r="A44" s="590"/>
      <c r="B44" s="592"/>
      <c r="C44" s="592"/>
      <c r="D44" s="592"/>
      <c r="E44" s="630"/>
      <c r="F44" s="592"/>
      <c r="G44" s="592"/>
      <c r="H44" s="592"/>
      <c r="I44" s="592"/>
      <c r="J44" s="592"/>
      <c r="K44" s="592"/>
      <c r="L44" s="592"/>
      <c r="M44" s="592"/>
      <c r="N44" s="592"/>
      <c r="O44" s="592"/>
      <c r="P44" s="592"/>
      <c r="Q44" s="592"/>
      <c r="R44" s="592"/>
      <c r="S44" s="592"/>
      <c r="T44" s="592"/>
      <c r="U44" s="592"/>
      <c r="V44" s="600">
        <f>100*(+AD38/$E$9)</f>
        <v>193.33576166970371</v>
      </c>
      <c r="W44" s="610">
        <f>EXP(5.6922-(0.68367*LN(V44)))</f>
        <v>8.1097598229149881</v>
      </c>
      <c r="X44" s="601">
        <f>(+W44*V44)/100</f>
        <v>15.679065923216308</v>
      </c>
      <c r="Y44" s="600">
        <f>100*((((X44/100)-((X44/100)-0.03574)*$E$21)-0.03574-0.00619)/0.344)</f>
        <v>21.425417178263846</v>
      </c>
      <c r="Z44" s="592">
        <f>$E$20</f>
        <v>0.25</v>
      </c>
      <c r="AA44" s="600">
        <f>Y44+Z44</f>
        <v>21.675417178263846</v>
      </c>
      <c r="AB44" s="600">
        <f>100*($E$17*$E$19+($E$18*(AA44/100))/(1-$E$21))</f>
        <v>20.933429813159613</v>
      </c>
      <c r="AC44" s="601">
        <f>AB44/V44</f>
        <v>0.10827500112949845</v>
      </c>
      <c r="AD44" s="599">
        <f>ROUND($E$8/(1-AC44),0)</f>
        <v>3278168</v>
      </c>
      <c r="AE44" s="592" t="str">
        <f>IF(OR(OR(AD44=AD38,AD44=(AD38+5)),AD44=(AD30-5)),"yes","not yet")</f>
        <v>yes</v>
      </c>
      <c r="AF44" s="600">
        <f>100*(1-AC44)</f>
        <v>89.172499887050165</v>
      </c>
      <c r="AG44" s="592"/>
      <c r="AH44" s="592"/>
      <c r="AI44" s="592"/>
      <c r="AJ44" s="599">
        <f>HLOOKUP($AJ$34,$AJ$37:$AR$41,($E$12)+1)</f>
        <v>3281237</v>
      </c>
      <c r="AK44" s="592"/>
      <c r="AL44" s="592"/>
      <c r="AM44" s="592"/>
      <c r="AN44" s="592"/>
      <c r="AO44" s="592"/>
      <c r="AP44" s="592"/>
      <c r="AQ44" s="592"/>
      <c r="AR44" s="592"/>
      <c r="AS44" s="590"/>
      <c r="AT44" s="590"/>
      <c r="AU44" s="590"/>
      <c r="AV44" s="590"/>
      <c r="AW44" s="590"/>
      <c r="AX44" s="590"/>
      <c r="AY44" s="590"/>
      <c r="AZ44" s="590"/>
      <c r="BA44" s="590"/>
      <c r="BB44" s="590"/>
      <c r="BC44" s="590"/>
      <c r="BD44" s="590"/>
      <c r="BE44" s="590"/>
      <c r="BF44" s="590"/>
      <c r="BG44" s="590"/>
      <c r="BH44" s="590"/>
      <c r="BI44" s="590"/>
      <c r="BJ44" s="590"/>
      <c r="BK44" s="591"/>
      <c r="BL44" s="591"/>
      <c r="BM44" s="591"/>
      <c r="BN44" s="591"/>
      <c r="BO44" s="591"/>
      <c r="BP44" s="591"/>
      <c r="BQ44" s="591"/>
      <c r="BR44" s="591"/>
      <c r="BS44" s="591"/>
      <c r="BT44" s="591"/>
      <c r="BU44" s="591"/>
      <c r="BV44" s="591"/>
      <c r="BW44" s="591"/>
      <c r="BX44" s="591"/>
      <c r="BY44" s="591"/>
      <c r="BZ44" s="591"/>
      <c r="CA44" s="591"/>
      <c r="CB44" s="591"/>
      <c r="CC44" s="591"/>
      <c r="CD44" s="591"/>
      <c r="CE44" s="591"/>
      <c r="CF44" s="591"/>
    </row>
    <row r="45" spans="1:84">
      <c r="A45" s="590"/>
      <c r="B45" s="592"/>
      <c r="C45" s="592"/>
      <c r="D45" s="592"/>
      <c r="E45" s="592"/>
      <c r="F45" s="592"/>
      <c r="G45" s="592"/>
      <c r="H45" s="592"/>
      <c r="I45" s="592"/>
      <c r="J45" s="592"/>
      <c r="K45" s="592"/>
      <c r="L45" s="592"/>
      <c r="M45" s="592"/>
      <c r="N45" s="592"/>
      <c r="O45" s="592"/>
      <c r="P45" s="592"/>
      <c r="Q45" s="592"/>
      <c r="R45" s="592"/>
      <c r="S45" s="592"/>
      <c r="T45" s="592"/>
      <c r="U45" s="592"/>
      <c r="V45" s="592"/>
      <c r="W45" s="592"/>
      <c r="X45" s="592"/>
      <c r="Y45" s="592"/>
      <c r="Z45" s="592"/>
      <c r="AA45" s="600"/>
      <c r="AB45" s="592"/>
      <c r="AC45" s="592"/>
      <c r="AD45" s="592"/>
      <c r="AE45" s="592"/>
      <c r="AF45" s="592"/>
      <c r="AG45" s="592"/>
      <c r="AH45" s="592"/>
      <c r="AI45" s="592"/>
      <c r="AJ45" s="592"/>
      <c r="AK45" s="592"/>
      <c r="AL45" s="592"/>
      <c r="AM45" s="592"/>
      <c r="AN45" s="592"/>
      <c r="AO45" s="592"/>
      <c r="AP45" s="592"/>
      <c r="AQ45" s="592"/>
      <c r="AR45" s="592"/>
      <c r="AS45" s="590"/>
      <c r="AT45" s="590"/>
      <c r="AU45" s="590"/>
      <c r="AV45" s="590"/>
      <c r="AW45" s="590"/>
      <c r="AX45" s="590"/>
      <c r="AY45" s="590"/>
      <c r="AZ45" s="590"/>
      <c r="BA45" s="590"/>
      <c r="BB45" s="590"/>
      <c r="BC45" s="590"/>
      <c r="BD45" s="590"/>
      <c r="BE45" s="590"/>
      <c r="BF45" s="590"/>
      <c r="BG45" s="590"/>
      <c r="BH45" s="590"/>
      <c r="BI45" s="590"/>
      <c r="BJ45" s="590"/>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row>
    <row r="46" spans="1:84">
      <c r="A46" s="590"/>
      <c r="B46" s="592"/>
      <c r="C46" s="592"/>
      <c r="D46" s="599"/>
      <c r="E46" s="599"/>
      <c r="F46" s="599"/>
      <c r="G46" s="592"/>
      <c r="H46" s="592"/>
      <c r="I46" s="592"/>
      <c r="J46" s="592"/>
      <c r="K46" s="592"/>
      <c r="L46" s="592"/>
      <c r="M46" s="592"/>
      <c r="N46" s="592"/>
      <c r="O46" s="592"/>
      <c r="P46" s="592"/>
      <c r="Q46" s="592"/>
      <c r="R46" s="592"/>
      <c r="S46" s="592"/>
      <c r="T46" s="592"/>
      <c r="U46" s="592"/>
      <c r="V46" s="597" t="s">
        <v>394</v>
      </c>
      <c r="W46" s="609" t="s">
        <v>331</v>
      </c>
      <c r="X46" s="609" t="s">
        <v>341</v>
      </c>
      <c r="Y46" s="609" t="s">
        <v>342</v>
      </c>
      <c r="Z46" s="592"/>
      <c r="AA46" s="600"/>
      <c r="AB46" s="592"/>
      <c r="AC46" s="592"/>
      <c r="AD46" s="592"/>
      <c r="AE46" s="592"/>
      <c r="AF46" s="592"/>
      <c r="AG46" s="592"/>
      <c r="AH46" s="592"/>
      <c r="AI46" s="592"/>
      <c r="AJ46" s="592"/>
      <c r="AK46" s="592"/>
      <c r="AL46" s="592"/>
      <c r="AM46" s="592"/>
      <c r="AN46" s="592"/>
      <c r="AO46" s="592"/>
      <c r="AP46" s="592"/>
      <c r="AQ46" s="592"/>
      <c r="AR46" s="592"/>
      <c r="AS46" s="590"/>
      <c r="AT46" s="590"/>
      <c r="AU46" s="590"/>
      <c r="AV46" s="590"/>
      <c r="AW46" s="590"/>
      <c r="AX46" s="590"/>
      <c r="AY46" s="590"/>
      <c r="AZ46" s="590"/>
      <c r="BA46" s="590"/>
      <c r="BB46" s="590"/>
      <c r="BC46" s="590"/>
      <c r="BD46" s="590"/>
      <c r="BE46" s="590"/>
      <c r="BF46" s="590"/>
      <c r="BG46" s="590"/>
      <c r="BH46" s="590"/>
      <c r="BI46" s="590"/>
      <c r="BJ46" s="590"/>
      <c r="BK46" s="591"/>
      <c r="BL46" s="591"/>
      <c r="BM46" s="591"/>
      <c r="BN46" s="591"/>
      <c r="BO46" s="591"/>
      <c r="BP46" s="591"/>
      <c r="BQ46" s="591"/>
      <c r="BR46" s="591"/>
      <c r="BS46" s="591"/>
      <c r="BT46" s="591"/>
      <c r="BU46" s="591"/>
      <c r="BV46" s="591"/>
      <c r="BW46" s="591"/>
      <c r="BX46" s="591"/>
      <c r="BY46" s="591"/>
      <c r="BZ46" s="591"/>
      <c r="CA46" s="591"/>
      <c r="CB46" s="591"/>
      <c r="CC46" s="591"/>
      <c r="CD46" s="591"/>
      <c r="CE46" s="591"/>
      <c r="CF46" s="591"/>
    </row>
    <row r="47" spans="1:84">
      <c r="A47" s="590"/>
      <c r="B47" s="592"/>
      <c r="C47" s="592"/>
      <c r="D47" s="599"/>
      <c r="E47" s="599"/>
      <c r="F47" s="599"/>
      <c r="G47" s="592"/>
      <c r="H47" s="592"/>
      <c r="I47" s="592"/>
      <c r="J47" s="592"/>
      <c r="K47" s="592"/>
      <c r="L47" s="592"/>
      <c r="M47" s="592"/>
      <c r="N47" s="592"/>
      <c r="O47" s="592"/>
      <c r="P47" s="592"/>
      <c r="Q47" s="592"/>
      <c r="R47" s="592"/>
      <c r="S47" s="592"/>
      <c r="T47" s="592"/>
      <c r="U47" s="592"/>
      <c r="V47" s="600">
        <f>100*(+AD41/$E$9)</f>
        <v>194.22064913370562</v>
      </c>
      <c r="W47" s="610">
        <f>EXP(5.7226-(0.68367*LN(+V47)))</f>
        <v>8.334022816742694</v>
      </c>
      <c r="X47" s="601">
        <f>(+W47*V47)/100</f>
        <v>16.186393213628797</v>
      </c>
      <c r="Y47" s="600">
        <f>100*((((X47/100)-((X47/100)-0.03574)*$E$21)-0.03574-0.00619)/0.344)</f>
        <v>22.398777677311067</v>
      </c>
      <c r="Z47" s="592">
        <f>$E$20</f>
        <v>0.25</v>
      </c>
      <c r="AA47" s="600">
        <f>Y47+Z47</f>
        <v>22.648777677311067</v>
      </c>
      <c r="AB47" s="600">
        <f>100*($E$17*$E$19+($E$18*(AA47/100))/(1-$E$21))</f>
        <v>21.81830299411163</v>
      </c>
      <c r="AC47" s="601">
        <f>AB47/V47</f>
        <v>0.11233771018390247</v>
      </c>
      <c r="AD47" s="599">
        <f>ROUND($E$8/(1-AC47),0)</f>
        <v>3293172</v>
      </c>
      <c r="AE47" s="592" t="str">
        <f>IF(OR(OR(AD47=AD41,AD47=(AD41+1)),AD47=(AD33-1)),"yes","not yet")</f>
        <v>yes</v>
      </c>
      <c r="AF47" s="600">
        <f>100*(1-AC47)</f>
        <v>88.766228981609757</v>
      </c>
      <c r="AG47" s="592"/>
      <c r="AH47" s="592"/>
      <c r="AI47" s="592"/>
      <c r="AJ47" s="592"/>
      <c r="AK47" s="592"/>
      <c r="AL47" s="592"/>
      <c r="AM47" s="592"/>
      <c r="AN47" s="592"/>
      <c r="AO47" s="592"/>
      <c r="AP47" s="592"/>
      <c r="AQ47" s="592"/>
      <c r="AR47" s="592"/>
      <c r="AS47" s="590"/>
      <c r="AT47" s="590"/>
      <c r="AU47" s="590"/>
      <c r="AV47" s="590"/>
      <c r="AW47" s="590"/>
      <c r="AX47" s="590"/>
      <c r="AY47" s="590"/>
      <c r="AZ47" s="590"/>
      <c r="BA47" s="590"/>
      <c r="BB47" s="590"/>
      <c r="BC47" s="590"/>
      <c r="BD47" s="590"/>
      <c r="BE47" s="590"/>
      <c r="BF47" s="590"/>
      <c r="BG47" s="590"/>
      <c r="BH47" s="590"/>
      <c r="BI47" s="590"/>
      <c r="BJ47" s="590"/>
      <c r="BK47" s="591"/>
      <c r="BL47" s="591"/>
      <c r="BM47" s="591"/>
      <c r="BN47" s="591"/>
      <c r="BO47" s="591"/>
      <c r="BP47" s="591"/>
      <c r="BQ47" s="591"/>
      <c r="BR47" s="591"/>
      <c r="BS47" s="591"/>
      <c r="BT47" s="591"/>
      <c r="BU47" s="591"/>
      <c r="BV47" s="591"/>
      <c r="BW47" s="591"/>
      <c r="BX47" s="591"/>
      <c r="BY47" s="591"/>
      <c r="BZ47" s="591"/>
      <c r="CA47" s="591"/>
      <c r="CB47" s="591"/>
      <c r="CC47" s="591"/>
      <c r="CD47" s="591"/>
      <c r="CE47" s="591"/>
      <c r="CF47" s="591"/>
    </row>
    <row r="48" spans="1:84">
      <c r="A48" s="590"/>
      <c r="B48" s="592"/>
      <c r="C48" s="592"/>
      <c r="D48" s="592"/>
      <c r="E48" s="595"/>
      <c r="F48" s="592"/>
      <c r="G48" s="592"/>
      <c r="H48" s="592"/>
      <c r="I48" s="592"/>
      <c r="J48" s="592"/>
      <c r="K48" s="592"/>
      <c r="L48" s="592"/>
      <c r="M48" s="592"/>
      <c r="N48" s="592"/>
      <c r="O48" s="592"/>
      <c r="P48" s="592"/>
      <c r="Q48" s="592"/>
      <c r="R48" s="592"/>
      <c r="S48" s="592"/>
      <c r="T48" s="592"/>
      <c r="U48" s="592"/>
      <c r="V48" s="600">
        <f>100*(+AD42/$E$9)</f>
        <v>193.79984987646398</v>
      </c>
      <c r="W48" s="610">
        <f>EXP(5.70827-(0.68367*LN(+V48)))</f>
        <v>8.227639195169818</v>
      </c>
      <c r="X48" s="601">
        <f>(+W48*V48)/100</f>
        <v>15.945152408616217</v>
      </c>
      <c r="Y48" s="600">
        <f>100*((((X48/100)-((X48/100)-0.03574)*$E$21)-0.03574-0.00619)/0.344)</f>
        <v>21.935931946763677</v>
      </c>
      <c r="Z48" s="592">
        <f>$E$20</f>
        <v>0.25</v>
      </c>
      <c r="AA48" s="600">
        <f>Y48+Z48</f>
        <v>22.185931946763677</v>
      </c>
      <c r="AB48" s="600">
        <f>100*($E$17*$E$19+($E$18*(AA48/100))/(1-$E$21))</f>
        <v>21.397534148159455</v>
      </c>
      <c r="AC48" s="601">
        <f>AB48/V48</f>
        <v>0.11041047844876622</v>
      </c>
      <c r="AD48" s="599">
        <f>ROUND($E$8/(1-AC48),0)</f>
        <v>3286037</v>
      </c>
      <c r="AE48" s="592" t="str">
        <f>IF(OR(OR(AD48=AD42,AD48=(AD42+1)),AD48=(AD42-1)),"yes","not yet")</f>
        <v>yes</v>
      </c>
      <c r="AF48" s="600">
        <f>100*(1-AC48)</f>
        <v>88.95895215512337</v>
      </c>
      <c r="AG48" s="592"/>
      <c r="AH48" s="592"/>
      <c r="AI48" s="592"/>
      <c r="AJ48" s="592"/>
      <c r="AK48" s="592"/>
      <c r="AL48" s="592"/>
      <c r="AM48" s="592"/>
      <c r="AN48" s="592"/>
      <c r="AO48" s="592"/>
      <c r="AP48" s="592"/>
      <c r="AQ48" s="592"/>
      <c r="AR48" s="592"/>
      <c r="AS48" s="590"/>
      <c r="AT48" s="590"/>
      <c r="AU48" s="590"/>
      <c r="AV48" s="590"/>
      <c r="AW48" s="590"/>
      <c r="AX48" s="590"/>
      <c r="AY48" s="590"/>
      <c r="AZ48" s="590"/>
      <c r="BA48" s="590"/>
      <c r="BB48" s="590"/>
      <c r="BC48" s="590"/>
      <c r="BD48" s="590"/>
      <c r="BE48" s="590"/>
      <c r="BF48" s="590"/>
      <c r="BG48" s="590"/>
      <c r="BH48" s="590"/>
      <c r="BI48" s="590"/>
      <c r="BJ48" s="590"/>
      <c r="BK48" s="591"/>
      <c r="BL48" s="591"/>
      <c r="BM48" s="591"/>
      <c r="BN48" s="591"/>
      <c r="BO48" s="591"/>
      <c r="BP48" s="591"/>
      <c r="BQ48" s="591"/>
      <c r="BR48" s="591"/>
      <c r="BS48" s="591"/>
      <c r="BT48" s="591"/>
      <c r="BU48" s="591"/>
      <c r="BV48" s="591"/>
      <c r="BW48" s="591"/>
      <c r="BX48" s="591"/>
      <c r="BY48" s="591"/>
      <c r="BZ48" s="591"/>
      <c r="CA48" s="591"/>
      <c r="CB48" s="591"/>
      <c r="CC48" s="591"/>
      <c r="CD48" s="591"/>
      <c r="CE48" s="591"/>
      <c r="CF48" s="591"/>
    </row>
    <row r="49" spans="1:84">
      <c r="A49" s="590"/>
      <c r="B49" s="592"/>
      <c r="C49" s="592"/>
      <c r="D49" s="592"/>
      <c r="E49" s="595"/>
      <c r="F49" s="592"/>
      <c r="G49" s="592"/>
      <c r="H49" s="592"/>
      <c r="I49" s="592"/>
      <c r="J49" s="592"/>
      <c r="K49" s="592"/>
      <c r="L49" s="592"/>
      <c r="M49" s="592"/>
      <c r="N49" s="592"/>
      <c r="O49" s="592"/>
      <c r="P49" s="592"/>
      <c r="Q49" s="592"/>
      <c r="R49" s="592"/>
      <c r="S49" s="592"/>
      <c r="T49" s="592"/>
      <c r="U49" s="592"/>
      <c r="V49" s="600">
        <f>100*(+AD43/$E$9)</f>
        <v>193.51676137824956</v>
      </c>
      <c r="W49" s="610">
        <f>EXP(5.6985-(0.68367*LN(V49)))</f>
        <v>8.1557932640425914</v>
      </c>
      <c r="X49" s="601">
        <f>(+W49*V49)/100</f>
        <v>15.782826989280652</v>
      </c>
      <c r="Y49" s="600">
        <f>100*((((X49/100)-((X49/100)-0.03574)*$E$21)-0.03574-0.00619)/0.344)</f>
        <v>21.624493642224504</v>
      </c>
      <c r="Z49" s="592">
        <f>$E$20</f>
        <v>0.25</v>
      </c>
      <c r="AA49" s="600">
        <f>Y49+Z49</f>
        <v>21.874493642224504</v>
      </c>
      <c r="AB49" s="600">
        <f>100*($E$17*$E$19+($E$18*(AA49/100))/(1-$E$21))</f>
        <v>21.11440841676021</v>
      </c>
      <c r="AC49" s="601">
        <f>AB49/V49</f>
        <v>0.10910893850424565</v>
      </c>
      <c r="AD49" s="599">
        <f>ROUND($E$8/(1-AC49),0)</f>
        <v>3281237</v>
      </c>
      <c r="AE49" s="592" t="str">
        <f>IF(OR(OR(AD49=AD43,AD49=(AD43+1)),AD49=(AD43-1)),"yes","not yet")</f>
        <v>yes</v>
      </c>
      <c r="AF49" s="600">
        <f>100*(1-AC49)</f>
        <v>89.089106149575443</v>
      </c>
      <c r="AG49" s="592"/>
      <c r="AH49" s="592"/>
      <c r="AI49" s="592"/>
      <c r="AJ49" s="592"/>
      <c r="AK49" s="592"/>
      <c r="AL49" s="592"/>
      <c r="AM49" s="592"/>
      <c r="AN49" s="592"/>
      <c r="AO49" s="592"/>
      <c r="AP49" s="592"/>
      <c r="AQ49" s="592"/>
      <c r="AR49" s="592"/>
      <c r="AS49" s="590"/>
      <c r="AT49" s="590"/>
      <c r="AU49" s="590"/>
      <c r="AV49" s="590"/>
      <c r="AW49" s="590"/>
      <c r="AX49" s="590"/>
      <c r="AY49" s="590"/>
      <c r="AZ49" s="590"/>
      <c r="BA49" s="590"/>
      <c r="BB49" s="590"/>
      <c r="BC49" s="590"/>
      <c r="BD49" s="590"/>
      <c r="BE49" s="590"/>
      <c r="BF49" s="590"/>
      <c r="BG49" s="590"/>
      <c r="BH49" s="590"/>
      <c r="BI49" s="590"/>
      <c r="BJ49" s="590"/>
      <c r="BK49" s="591"/>
      <c r="BL49" s="591"/>
      <c r="BM49" s="591"/>
      <c r="BN49" s="591"/>
      <c r="BO49" s="591"/>
      <c r="BP49" s="591"/>
      <c r="BQ49" s="591"/>
      <c r="BR49" s="591"/>
      <c r="BS49" s="591"/>
      <c r="BT49" s="591"/>
      <c r="BU49" s="591"/>
      <c r="BV49" s="591"/>
      <c r="BW49" s="591"/>
      <c r="BX49" s="591"/>
      <c r="BY49" s="591"/>
      <c r="BZ49" s="591"/>
      <c r="CA49" s="591"/>
      <c r="CB49" s="591"/>
      <c r="CC49" s="591"/>
      <c r="CD49" s="591"/>
      <c r="CE49" s="591"/>
      <c r="CF49" s="591"/>
    </row>
    <row r="50" spans="1:84">
      <c r="A50" s="590"/>
      <c r="B50" s="592"/>
      <c r="C50" s="592"/>
      <c r="D50" s="592"/>
      <c r="E50" s="595"/>
      <c r="F50" s="592"/>
      <c r="G50" s="592"/>
      <c r="H50" s="592"/>
      <c r="I50" s="592"/>
      <c r="J50" s="592"/>
      <c r="K50" s="592"/>
      <c r="L50" s="592"/>
      <c r="M50" s="592"/>
      <c r="N50" s="592"/>
      <c r="O50" s="592"/>
      <c r="P50" s="592"/>
      <c r="Q50" s="592"/>
      <c r="R50" s="592"/>
      <c r="S50" s="592"/>
      <c r="T50" s="592"/>
      <c r="U50" s="592"/>
      <c r="V50" s="600">
        <f>100*(+AD44/$E$9)</f>
        <v>193.33576166970371</v>
      </c>
      <c r="W50" s="610">
        <f>EXP(5.6922-(0.68367*LN(V50)))</f>
        <v>8.1097598229149881</v>
      </c>
      <c r="X50" s="601">
        <f>(+W50*V50)/100</f>
        <v>15.679065923216308</v>
      </c>
      <c r="Y50" s="600">
        <f>100*((((X50/100)-((X50/100)-0.03574)*$E$21)-0.03574-0.00619)/0.344)</f>
        <v>21.425417178263846</v>
      </c>
      <c r="Z50" s="592">
        <f>$E$20</f>
        <v>0.25</v>
      </c>
      <c r="AA50" s="600">
        <f>Y50+Z50</f>
        <v>21.675417178263846</v>
      </c>
      <c r="AB50" s="600">
        <f>100*($E$17*$E$19+($E$18*(AA50/100))/(1-$E$21))</f>
        <v>20.933429813159613</v>
      </c>
      <c r="AC50" s="601">
        <f>AB50/V50</f>
        <v>0.10827500112949845</v>
      </c>
      <c r="AD50" s="599">
        <f>ROUND($E$8/(1-AC50),0)</f>
        <v>3278168</v>
      </c>
      <c r="AE50" s="592" t="str">
        <f>IF(OR(OR(AD50=AD44,AD50=(AD44+1)),AD50=(AD44-1)),"yes","not yet")</f>
        <v>yes</v>
      </c>
      <c r="AF50" s="600">
        <f>100*(1-AC50)</f>
        <v>89.172499887050165</v>
      </c>
      <c r="AG50" s="592"/>
      <c r="AH50" s="592"/>
      <c r="AI50" s="592"/>
      <c r="AJ50" s="592"/>
      <c r="AK50" s="592"/>
      <c r="AL50" s="592"/>
      <c r="AM50" s="592"/>
      <c r="AN50" s="592"/>
      <c r="AO50" s="592"/>
      <c r="AP50" s="592"/>
      <c r="AQ50" s="592"/>
      <c r="AR50" s="592"/>
      <c r="AS50" s="590"/>
      <c r="AT50" s="590"/>
      <c r="AU50" s="590"/>
      <c r="AV50" s="590"/>
      <c r="AW50" s="590"/>
      <c r="AX50" s="590"/>
      <c r="AY50" s="590"/>
      <c r="AZ50" s="590"/>
      <c r="BA50" s="590"/>
      <c r="BB50" s="590"/>
      <c r="BC50" s="590"/>
      <c r="BD50" s="590"/>
      <c r="BE50" s="590"/>
      <c r="BF50" s="590"/>
      <c r="BG50" s="590"/>
      <c r="BH50" s="590"/>
      <c r="BI50" s="590"/>
      <c r="BJ50" s="590"/>
      <c r="BK50" s="591"/>
      <c r="BL50" s="591"/>
      <c r="BM50" s="591"/>
      <c r="BN50" s="591"/>
      <c r="BO50" s="591"/>
      <c r="BP50" s="591"/>
      <c r="BQ50" s="591"/>
      <c r="BR50" s="591"/>
      <c r="BS50" s="591"/>
      <c r="BT50" s="591"/>
      <c r="BU50" s="591"/>
      <c r="BV50" s="591"/>
      <c r="BW50" s="591"/>
      <c r="BX50" s="591"/>
      <c r="BY50" s="591"/>
      <c r="BZ50" s="591"/>
      <c r="CA50" s="591"/>
      <c r="CB50" s="591"/>
      <c r="CC50" s="591"/>
      <c r="CD50" s="591"/>
      <c r="CE50" s="591"/>
      <c r="CF50" s="591"/>
    </row>
    <row r="51" spans="1:84">
      <c r="A51" s="590"/>
      <c r="B51" s="592"/>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600"/>
      <c r="AB51" s="592"/>
      <c r="AC51" s="592"/>
      <c r="AD51" s="592"/>
      <c r="AE51" s="592"/>
      <c r="AF51" s="592"/>
      <c r="AG51" s="592"/>
      <c r="AH51" s="592"/>
      <c r="AI51" s="592"/>
      <c r="AJ51" s="592"/>
      <c r="AK51" s="592"/>
      <c r="AL51" s="592"/>
      <c r="AM51" s="592"/>
      <c r="AN51" s="592"/>
      <c r="AO51" s="592"/>
      <c r="AP51" s="592"/>
      <c r="AQ51" s="592"/>
      <c r="AR51" s="592"/>
      <c r="AS51" s="590"/>
      <c r="AT51" s="590"/>
      <c r="AU51" s="590"/>
      <c r="AV51" s="590"/>
      <c r="AW51" s="590"/>
      <c r="AX51" s="590"/>
      <c r="AY51" s="590"/>
      <c r="AZ51" s="590"/>
      <c r="BA51" s="590"/>
      <c r="BB51" s="590"/>
      <c r="BC51" s="590"/>
      <c r="BD51" s="590"/>
      <c r="BE51" s="590"/>
      <c r="BF51" s="590"/>
      <c r="BG51" s="590"/>
      <c r="BH51" s="590"/>
      <c r="BI51" s="590"/>
      <c r="BJ51" s="590"/>
      <c r="BK51" s="591"/>
      <c r="BL51" s="591"/>
      <c r="BM51" s="591"/>
      <c r="BN51" s="591"/>
      <c r="BO51" s="591"/>
      <c r="BP51" s="591"/>
      <c r="BQ51" s="591"/>
      <c r="BR51" s="591"/>
      <c r="BS51" s="591"/>
      <c r="BT51" s="591"/>
      <c r="BU51" s="591"/>
      <c r="BV51" s="591"/>
      <c r="BW51" s="591"/>
      <c r="BX51" s="591"/>
      <c r="BY51" s="591"/>
      <c r="BZ51" s="591"/>
      <c r="CA51" s="591"/>
      <c r="CB51" s="591"/>
      <c r="CC51" s="591"/>
      <c r="CD51" s="591"/>
      <c r="CE51" s="591"/>
      <c r="CF51" s="591"/>
    </row>
    <row r="52" spans="1:84">
      <c r="A52" s="590"/>
      <c r="B52" s="592"/>
      <c r="C52" s="592"/>
      <c r="D52" s="592"/>
      <c r="E52" s="592"/>
      <c r="F52" s="592"/>
      <c r="G52" s="592"/>
      <c r="H52" s="592"/>
      <c r="I52" s="592"/>
      <c r="J52" s="592"/>
      <c r="K52" s="592"/>
      <c r="L52" s="592"/>
      <c r="M52" s="592"/>
      <c r="N52" s="592"/>
      <c r="O52" s="592"/>
      <c r="P52" s="592"/>
      <c r="Q52" s="592"/>
      <c r="R52" s="592"/>
      <c r="S52" s="592"/>
      <c r="T52" s="592"/>
      <c r="U52" s="592"/>
      <c r="V52" s="597" t="s">
        <v>395</v>
      </c>
      <c r="W52" s="609" t="s">
        <v>331</v>
      </c>
      <c r="X52" s="609" t="s">
        <v>341</v>
      </c>
      <c r="Y52" s="609" t="s">
        <v>342</v>
      </c>
      <c r="Z52" s="592"/>
      <c r="AA52" s="600"/>
      <c r="AB52" s="592"/>
      <c r="AC52" s="592"/>
      <c r="AD52" s="592"/>
      <c r="AE52" s="592"/>
      <c r="AF52" s="592"/>
      <c r="AG52" s="592"/>
      <c r="AH52" s="592"/>
      <c r="AI52" s="592"/>
      <c r="AJ52" s="592"/>
      <c r="AK52" s="592"/>
      <c r="AL52" s="592"/>
      <c r="AM52" s="592"/>
      <c r="AN52" s="592"/>
      <c r="AO52" s="592"/>
      <c r="AP52" s="592"/>
      <c r="AQ52" s="592"/>
      <c r="AR52" s="592"/>
      <c r="AS52" s="590"/>
      <c r="AT52" s="590"/>
      <c r="AU52" s="590"/>
      <c r="AV52" s="590"/>
      <c r="AW52" s="590"/>
      <c r="AX52" s="590"/>
      <c r="AY52" s="590"/>
      <c r="AZ52" s="590"/>
      <c r="BA52" s="590"/>
      <c r="BB52" s="590"/>
      <c r="BC52" s="590"/>
      <c r="BD52" s="590"/>
      <c r="BE52" s="590"/>
      <c r="BF52" s="590"/>
      <c r="BG52" s="590"/>
      <c r="BH52" s="590"/>
      <c r="BI52" s="590"/>
      <c r="BJ52" s="590"/>
      <c r="BK52" s="591"/>
      <c r="BL52" s="591"/>
      <c r="BM52" s="591"/>
      <c r="BN52" s="591"/>
      <c r="BO52" s="591"/>
      <c r="BP52" s="591"/>
      <c r="BQ52" s="591"/>
      <c r="BR52" s="591"/>
      <c r="BS52" s="591"/>
      <c r="BT52" s="591"/>
      <c r="BU52" s="591"/>
      <c r="BV52" s="591"/>
      <c r="BW52" s="591"/>
      <c r="BX52" s="591"/>
      <c r="BY52" s="591"/>
      <c r="BZ52" s="591"/>
      <c r="CA52" s="591"/>
      <c r="CB52" s="591"/>
      <c r="CC52" s="591"/>
      <c r="CD52" s="591"/>
      <c r="CE52" s="591"/>
      <c r="CF52" s="591"/>
    </row>
    <row r="53" spans="1:84">
      <c r="A53" s="590"/>
      <c r="B53" s="592"/>
      <c r="C53" s="592"/>
      <c r="D53" s="592"/>
      <c r="E53" s="592"/>
      <c r="F53" s="592"/>
      <c r="G53" s="592"/>
      <c r="H53" s="592"/>
      <c r="I53" s="592"/>
      <c r="J53" s="592"/>
      <c r="K53" s="592"/>
      <c r="L53" s="592"/>
      <c r="M53" s="592"/>
      <c r="N53" s="592"/>
      <c r="O53" s="592"/>
      <c r="P53" s="592"/>
      <c r="Q53" s="592"/>
      <c r="R53" s="592"/>
      <c r="S53" s="592"/>
      <c r="T53" s="592"/>
      <c r="U53" s="592"/>
      <c r="V53" s="600">
        <f>100*(+AD47/$E$9)</f>
        <v>194.22064913370562</v>
      </c>
      <c r="W53" s="610">
        <f>EXP(5.7226-(0.68367*LN(+V53)))</f>
        <v>8.334022816742694</v>
      </c>
      <c r="X53" s="601">
        <f>(+W53*V53)/100</f>
        <v>16.186393213628797</v>
      </c>
      <c r="Y53" s="600">
        <f>100*((((X53/100)-((X53/100)-0.03574)*$E$21)-0.03574-0.00619)/0.344)</f>
        <v>22.398777677311067</v>
      </c>
      <c r="Z53" s="592">
        <f>$E$20</f>
        <v>0.25</v>
      </c>
      <c r="AA53" s="600">
        <f>Y53+Z53</f>
        <v>22.648777677311067</v>
      </c>
      <c r="AB53" s="600">
        <f>100*($E$17*$E$19+($E$18*(AA53/100))/(1-$E$21))</f>
        <v>21.81830299411163</v>
      </c>
      <c r="AC53" s="601">
        <f>AB53/V53</f>
        <v>0.11233771018390247</v>
      </c>
      <c r="AD53" s="599">
        <f>ROUND($E$8/(1-AC53),0)</f>
        <v>3293172</v>
      </c>
      <c r="AE53" s="592" t="str">
        <f>IF(OR(OR(AD53=AD47,AD53=(AD47+1)),AD53=(AD39-1)),"yes","not yet")</f>
        <v>yes</v>
      </c>
      <c r="AF53" s="600">
        <f>100*(1-AC53)</f>
        <v>88.766228981609757</v>
      </c>
      <c r="AG53" s="592"/>
      <c r="AH53" s="592"/>
      <c r="AI53" s="592"/>
      <c r="AJ53" s="592"/>
      <c r="AK53" s="592"/>
      <c r="AL53" s="592"/>
      <c r="AM53" s="592"/>
      <c r="AN53" s="592"/>
      <c r="AO53" s="592"/>
      <c r="AP53" s="592"/>
      <c r="AQ53" s="592"/>
      <c r="AR53" s="592"/>
      <c r="AS53" s="590"/>
      <c r="AT53" s="590"/>
      <c r="AU53" s="590"/>
      <c r="AV53" s="590"/>
      <c r="AW53" s="590"/>
      <c r="AX53" s="590"/>
      <c r="AY53" s="590"/>
      <c r="AZ53" s="590"/>
      <c r="BA53" s="590"/>
      <c r="BB53" s="590"/>
      <c r="BC53" s="590"/>
      <c r="BD53" s="590"/>
      <c r="BE53" s="590"/>
      <c r="BF53" s="590"/>
      <c r="BG53" s="590"/>
      <c r="BH53" s="590"/>
      <c r="BI53" s="590"/>
      <c r="BJ53" s="590"/>
      <c r="BK53" s="591"/>
      <c r="BL53" s="591"/>
      <c r="BM53" s="591"/>
      <c r="BN53" s="591"/>
      <c r="BO53" s="591"/>
      <c r="BP53" s="591"/>
      <c r="BQ53" s="591"/>
      <c r="BR53" s="591"/>
      <c r="BS53" s="591"/>
      <c r="BT53" s="591"/>
      <c r="BU53" s="591"/>
      <c r="BV53" s="591"/>
      <c r="BW53" s="591"/>
      <c r="BX53" s="591"/>
      <c r="BY53" s="591"/>
      <c r="BZ53" s="591"/>
      <c r="CA53" s="591"/>
      <c r="CB53" s="591"/>
      <c r="CC53" s="591"/>
      <c r="CD53" s="591"/>
      <c r="CE53" s="591"/>
      <c r="CF53" s="591"/>
    </row>
    <row r="54" spans="1:84">
      <c r="A54" s="590"/>
      <c r="B54" s="592"/>
      <c r="C54" s="592"/>
      <c r="D54" s="592"/>
      <c r="E54" s="592"/>
      <c r="F54" s="592"/>
      <c r="G54" s="592"/>
      <c r="H54" s="592"/>
      <c r="I54" s="592"/>
      <c r="J54" s="592"/>
      <c r="K54" s="592"/>
      <c r="L54" s="592"/>
      <c r="M54" s="592"/>
      <c r="N54" s="592"/>
      <c r="O54" s="592"/>
      <c r="P54" s="592"/>
      <c r="Q54" s="592"/>
      <c r="R54" s="592"/>
      <c r="S54" s="592"/>
      <c r="T54" s="592"/>
      <c r="U54" s="592"/>
      <c r="V54" s="600">
        <f>100*(+AD48/$E$9)</f>
        <v>193.79984987646398</v>
      </c>
      <c r="W54" s="610">
        <f>EXP(5.70827-(0.68367*LN(+V54)))</f>
        <v>8.227639195169818</v>
      </c>
      <c r="X54" s="601">
        <f>(+W54*V54)/100</f>
        <v>15.945152408616217</v>
      </c>
      <c r="Y54" s="600">
        <f>100*((((X54/100)-((X54/100)-0.03574)*$E$21)-0.03574-0.00619)/0.344)</f>
        <v>21.935931946763677</v>
      </c>
      <c r="Z54" s="592">
        <f>$E$20</f>
        <v>0.25</v>
      </c>
      <c r="AA54" s="600">
        <f>Y54+Z54</f>
        <v>22.185931946763677</v>
      </c>
      <c r="AB54" s="600">
        <f>100*($E$17*$E$19+($E$18*(AA54/100))/(1-$E$21))</f>
        <v>21.397534148159455</v>
      </c>
      <c r="AC54" s="601">
        <f>AB54/V54</f>
        <v>0.11041047844876622</v>
      </c>
      <c r="AD54" s="599">
        <f>ROUND($E$8/(1-AC54),0)</f>
        <v>3286037</v>
      </c>
      <c r="AE54" s="592" t="str">
        <f>IF(OR(OR(AD54=AD48,AD54=(AD48+1)),AD54=(AD48-1)),"yes","not yet")</f>
        <v>yes</v>
      </c>
      <c r="AF54" s="600">
        <f>100*(1-AC54)</f>
        <v>88.95895215512337</v>
      </c>
      <c r="AG54" s="592"/>
      <c r="AH54" s="592"/>
      <c r="AI54" s="592"/>
      <c r="AJ54" s="592"/>
      <c r="AK54" s="592"/>
      <c r="AL54" s="592"/>
      <c r="AM54" s="592"/>
      <c r="AN54" s="592"/>
      <c r="AO54" s="592"/>
      <c r="AP54" s="592"/>
      <c r="AQ54" s="592"/>
      <c r="AR54" s="592"/>
      <c r="AS54" s="590"/>
      <c r="AT54" s="590"/>
      <c r="AU54" s="590"/>
      <c r="AV54" s="590"/>
      <c r="AW54" s="590"/>
      <c r="AX54" s="590"/>
      <c r="AY54" s="590"/>
      <c r="AZ54" s="590"/>
      <c r="BA54" s="590"/>
      <c r="BB54" s="590"/>
      <c r="BC54" s="590"/>
      <c r="BD54" s="590"/>
      <c r="BE54" s="590"/>
      <c r="BF54" s="590"/>
      <c r="BG54" s="590"/>
      <c r="BH54" s="590"/>
      <c r="BI54" s="590"/>
      <c r="BJ54" s="590"/>
      <c r="BK54" s="591"/>
      <c r="BL54" s="591"/>
      <c r="BM54" s="591"/>
      <c r="BN54" s="591"/>
      <c r="BO54" s="591"/>
      <c r="BP54" s="591"/>
      <c r="BQ54" s="591"/>
      <c r="BR54" s="591"/>
      <c r="BS54" s="591"/>
      <c r="BT54" s="591"/>
      <c r="BU54" s="591"/>
      <c r="BV54" s="591"/>
      <c r="BW54" s="591"/>
      <c r="BX54" s="591"/>
      <c r="BY54" s="591"/>
      <c r="BZ54" s="591"/>
      <c r="CA54" s="591"/>
      <c r="CB54" s="591"/>
      <c r="CC54" s="591"/>
      <c r="CD54" s="591"/>
      <c r="CE54" s="591"/>
      <c r="CF54" s="591"/>
    </row>
    <row r="55" spans="1:84">
      <c r="A55" s="590"/>
      <c r="B55" s="592"/>
      <c r="C55" s="592"/>
      <c r="D55" s="592"/>
      <c r="E55" s="592"/>
      <c r="F55" s="592"/>
      <c r="G55" s="592"/>
      <c r="H55" s="592"/>
      <c r="I55" s="592"/>
      <c r="J55" s="592"/>
      <c r="K55" s="592"/>
      <c r="L55" s="592"/>
      <c r="M55" s="592"/>
      <c r="N55" s="592"/>
      <c r="O55" s="592"/>
      <c r="P55" s="592"/>
      <c r="Q55" s="592"/>
      <c r="R55" s="592"/>
      <c r="S55" s="592"/>
      <c r="T55" s="592"/>
      <c r="U55" s="592"/>
      <c r="V55" s="600">
        <f>100*(+AD49/$E$9)</f>
        <v>193.51676137824956</v>
      </c>
      <c r="W55" s="610">
        <f>EXP(5.6985-(0.68367*LN(V55)))</f>
        <v>8.1557932640425914</v>
      </c>
      <c r="X55" s="601">
        <f>(+W55*V55)/100</f>
        <v>15.782826989280652</v>
      </c>
      <c r="Y55" s="600">
        <f>100*((((X55/100)-((X55/100)-0.03574)*$E$21)-0.03574-0.00619)/0.344)</f>
        <v>21.624493642224504</v>
      </c>
      <c r="Z55" s="592">
        <f>$E$20</f>
        <v>0.25</v>
      </c>
      <c r="AA55" s="600">
        <f>Y55+Z55</f>
        <v>21.874493642224504</v>
      </c>
      <c r="AB55" s="600">
        <f>100*($E$17*$E$19+($E$18*(AA55/100))/(1-$E$21))</f>
        <v>21.11440841676021</v>
      </c>
      <c r="AC55" s="601">
        <f>AB55/V55</f>
        <v>0.10910893850424565</v>
      </c>
      <c r="AD55" s="599">
        <f>ROUND($E$8/(1-AC55),0)</f>
        <v>3281237</v>
      </c>
      <c r="AE55" s="592" t="str">
        <f>IF(OR(OR(AD55=AD49,AD55=(AD49+1)),AD55=(AD49-1)),"yes","not yet")</f>
        <v>yes</v>
      </c>
      <c r="AF55" s="600">
        <f>100*(1-AC55)</f>
        <v>89.089106149575443</v>
      </c>
      <c r="AG55" s="592"/>
      <c r="AH55" s="592"/>
      <c r="AI55" s="592"/>
      <c r="AJ55" s="592"/>
      <c r="AK55" s="592"/>
      <c r="AL55" s="592"/>
      <c r="AM55" s="592"/>
      <c r="AN55" s="592"/>
      <c r="AO55" s="592"/>
      <c r="AP55" s="592"/>
      <c r="AQ55" s="592"/>
      <c r="AR55" s="592"/>
      <c r="AS55" s="590"/>
      <c r="AT55" s="590"/>
      <c r="AU55" s="590"/>
      <c r="AV55" s="590"/>
      <c r="AW55" s="590"/>
      <c r="AX55" s="590"/>
      <c r="AY55" s="590"/>
      <c r="AZ55" s="590"/>
      <c r="BA55" s="590"/>
      <c r="BB55" s="590"/>
      <c r="BC55" s="590"/>
      <c r="BD55" s="590"/>
      <c r="BE55" s="590"/>
      <c r="BF55" s="590"/>
      <c r="BG55" s="590"/>
      <c r="BH55" s="590"/>
      <c r="BI55" s="590"/>
      <c r="BJ55" s="590"/>
      <c r="BK55" s="591"/>
      <c r="BL55" s="591"/>
      <c r="BM55" s="591"/>
      <c r="BN55" s="591"/>
      <c r="BO55" s="591"/>
      <c r="BP55" s="591"/>
      <c r="BQ55" s="591"/>
      <c r="BR55" s="591"/>
      <c r="BS55" s="591"/>
      <c r="BT55" s="591"/>
      <c r="BU55" s="591"/>
      <c r="BV55" s="591"/>
      <c r="BW55" s="591"/>
      <c r="BX55" s="591"/>
      <c r="BY55" s="591"/>
      <c r="BZ55" s="591"/>
      <c r="CA55" s="591"/>
      <c r="CB55" s="591"/>
      <c r="CC55" s="591"/>
      <c r="CD55" s="591"/>
      <c r="CE55" s="591"/>
      <c r="CF55" s="591"/>
    </row>
    <row r="56" spans="1:84">
      <c r="A56" s="590"/>
      <c r="B56" s="592"/>
      <c r="C56" s="592"/>
      <c r="D56" s="592"/>
      <c r="E56" s="592"/>
      <c r="F56" s="592"/>
      <c r="G56" s="592"/>
      <c r="H56" s="592"/>
      <c r="I56" s="592"/>
      <c r="J56" s="592"/>
      <c r="K56" s="592"/>
      <c r="L56" s="592"/>
      <c r="M56" s="592"/>
      <c r="N56" s="592"/>
      <c r="O56" s="592"/>
      <c r="P56" s="592"/>
      <c r="Q56" s="592"/>
      <c r="R56" s="592"/>
      <c r="S56" s="592"/>
      <c r="T56" s="592"/>
      <c r="U56" s="592"/>
      <c r="V56" s="600">
        <f>100*(+AD50/$E$9)</f>
        <v>193.33576166970371</v>
      </c>
      <c r="W56" s="610">
        <f>EXP(5.6922-(0.68367*LN(V56)))</f>
        <v>8.1097598229149881</v>
      </c>
      <c r="X56" s="601">
        <f>(+W56*V56)/100</f>
        <v>15.679065923216308</v>
      </c>
      <c r="Y56" s="600">
        <f>100*((((X56/100)-((X56/100)-0.03574)*$E$21)-0.03574-0.00619)/0.344)</f>
        <v>21.425417178263846</v>
      </c>
      <c r="Z56" s="592">
        <f>$E$20</f>
        <v>0.25</v>
      </c>
      <c r="AA56" s="600">
        <f>Y56+Z56</f>
        <v>21.675417178263846</v>
      </c>
      <c r="AB56" s="600">
        <f>100*($E$17*$E$19+($E$18*(AA56/100))/(1-$E$21))</f>
        <v>20.933429813159613</v>
      </c>
      <c r="AC56" s="601">
        <f>AB56/V56</f>
        <v>0.10827500112949845</v>
      </c>
      <c r="AD56" s="599">
        <f>ROUND($E$8/(1-AC56),0)</f>
        <v>3278168</v>
      </c>
      <c r="AE56" s="592" t="str">
        <f>IF(OR(OR(AD56=AD50,AD56=(AD50+1)),AD56=(AD50-1)),"yes","not yet")</f>
        <v>yes</v>
      </c>
      <c r="AF56" s="600">
        <f>100*(1-AC56)</f>
        <v>89.172499887050165</v>
      </c>
      <c r="AG56" s="592"/>
      <c r="AH56" s="592"/>
      <c r="AI56" s="592"/>
      <c r="AJ56" s="592"/>
      <c r="AK56" s="592"/>
      <c r="AL56" s="592"/>
      <c r="AM56" s="592"/>
      <c r="AN56" s="592"/>
      <c r="AO56" s="592"/>
      <c r="AP56" s="592"/>
      <c r="AQ56" s="592"/>
      <c r="AR56" s="592"/>
      <c r="AS56" s="590"/>
      <c r="AT56" s="590"/>
      <c r="AU56" s="590"/>
      <c r="AV56" s="590"/>
      <c r="AW56" s="590"/>
      <c r="AX56" s="590"/>
      <c r="AY56" s="590"/>
      <c r="AZ56" s="590"/>
      <c r="BA56" s="590"/>
      <c r="BB56" s="590"/>
      <c r="BC56" s="590"/>
      <c r="BD56" s="590"/>
      <c r="BE56" s="590"/>
      <c r="BF56" s="590"/>
      <c r="BG56" s="590"/>
      <c r="BH56" s="590"/>
      <c r="BI56" s="590"/>
      <c r="BJ56" s="590"/>
      <c r="BK56" s="591"/>
      <c r="BL56" s="591"/>
      <c r="BM56" s="591"/>
      <c r="BN56" s="591"/>
      <c r="BO56" s="591"/>
      <c r="BP56" s="591"/>
      <c r="BQ56" s="591"/>
      <c r="BR56" s="591"/>
      <c r="BS56" s="591"/>
      <c r="BT56" s="591"/>
      <c r="BU56" s="591"/>
      <c r="BV56" s="591"/>
      <c r="BW56" s="591"/>
      <c r="BX56" s="591"/>
      <c r="BY56" s="591"/>
      <c r="BZ56" s="591"/>
      <c r="CA56" s="591"/>
      <c r="CB56" s="591"/>
      <c r="CC56" s="591"/>
      <c r="CD56" s="591"/>
      <c r="CE56" s="591"/>
      <c r="CF56" s="591"/>
    </row>
    <row r="57" spans="1:84">
      <c r="A57" s="590"/>
      <c r="B57" s="592"/>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600"/>
      <c r="AB57" s="592"/>
      <c r="AC57" s="592"/>
      <c r="AD57" s="592"/>
      <c r="AE57" s="592"/>
      <c r="AF57" s="592"/>
      <c r="AG57" s="592"/>
      <c r="AH57" s="592"/>
      <c r="AI57" s="592"/>
      <c r="AJ57" s="592"/>
      <c r="AK57" s="592"/>
      <c r="AL57" s="592"/>
      <c r="AM57" s="592"/>
      <c r="AN57" s="592"/>
      <c r="AO57" s="592"/>
      <c r="AP57" s="592"/>
      <c r="AQ57" s="592"/>
      <c r="AR57" s="592"/>
      <c r="AS57" s="590"/>
      <c r="AT57" s="590"/>
      <c r="AU57" s="590"/>
      <c r="AV57" s="590"/>
      <c r="AW57" s="590"/>
      <c r="AX57" s="590"/>
      <c r="AY57" s="590"/>
      <c r="AZ57" s="590"/>
      <c r="BA57" s="590"/>
      <c r="BB57" s="590"/>
      <c r="BC57" s="590"/>
      <c r="BD57" s="590"/>
      <c r="BE57" s="590"/>
      <c r="BF57" s="590"/>
      <c r="BG57" s="590"/>
      <c r="BH57" s="590"/>
      <c r="BI57" s="590"/>
      <c r="BJ57" s="590"/>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row>
    <row r="58" spans="1:84">
      <c r="A58" s="590"/>
      <c r="B58" s="590"/>
      <c r="C58" s="590"/>
      <c r="D58" s="590"/>
      <c r="E58" s="590"/>
      <c r="F58" s="590"/>
      <c r="G58" s="590"/>
      <c r="H58" s="590"/>
      <c r="I58" s="590"/>
      <c r="J58" s="590"/>
      <c r="K58" s="590"/>
      <c r="L58" s="590"/>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0"/>
      <c r="AP58" s="590"/>
      <c r="AQ58" s="590"/>
      <c r="AR58" s="590"/>
      <c r="AS58" s="590"/>
      <c r="AT58" s="590"/>
      <c r="AU58" s="590"/>
      <c r="AV58" s="590"/>
      <c r="AW58" s="590"/>
      <c r="AX58" s="590"/>
      <c r="AY58" s="590"/>
      <c r="AZ58" s="590"/>
      <c r="BA58" s="590"/>
      <c r="BB58" s="590"/>
      <c r="BC58" s="590"/>
      <c r="BD58" s="590"/>
      <c r="BE58" s="590"/>
      <c r="BF58" s="590"/>
      <c r="BG58" s="590"/>
      <c r="BH58" s="590"/>
      <c r="BI58" s="590"/>
      <c r="BJ58" s="590"/>
      <c r="BK58" s="591"/>
      <c r="BL58" s="591"/>
      <c r="BM58" s="591"/>
      <c r="BN58" s="591"/>
      <c r="BO58" s="591"/>
      <c r="BP58" s="591"/>
      <c r="BQ58" s="591"/>
      <c r="BR58" s="591"/>
      <c r="BS58" s="591"/>
      <c r="BT58" s="591"/>
      <c r="BU58" s="591"/>
      <c r="BV58" s="591"/>
      <c r="BW58" s="591"/>
      <c r="BX58" s="591"/>
      <c r="BY58" s="591"/>
      <c r="BZ58" s="591"/>
      <c r="CA58" s="591"/>
      <c r="CB58" s="591"/>
      <c r="CC58" s="591"/>
      <c r="CD58" s="591"/>
      <c r="CE58" s="591"/>
      <c r="CF58" s="591"/>
    </row>
    <row r="59" spans="1:84">
      <c r="A59" s="590"/>
      <c r="B59" s="590"/>
      <c r="C59" s="590"/>
      <c r="D59" s="590"/>
      <c r="E59" s="590"/>
      <c r="F59" s="590"/>
      <c r="G59" s="590"/>
      <c r="H59" s="590"/>
      <c r="I59" s="590"/>
      <c r="J59" s="590"/>
      <c r="K59" s="590"/>
      <c r="L59" s="590"/>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0"/>
      <c r="AP59" s="590"/>
      <c r="AQ59" s="590"/>
      <c r="AR59" s="590"/>
      <c r="AS59" s="590"/>
      <c r="AT59" s="590"/>
      <c r="AU59" s="590"/>
      <c r="AV59" s="590"/>
      <c r="AW59" s="590"/>
      <c r="AX59" s="590"/>
      <c r="AY59" s="590"/>
      <c r="AZ59" s="590"/>
      <c r="BA59" s="590"/>
      <c r="BB59" s="590"/>
      <c r="BC59" s="590"/>
      <c r="BD59" s="590"/>
      <c r="BE59" s="590"/>
      <c r="BF59" s="590"/>
      <c r="BG59" s="590"/>
      <c r="BH59" s="590"/>
      <c r="BI59" s="590"/>
      <c r="BJ59" s="590"/>
      <c r="BK59" s="591"/>
      <c r="BL59" s="591"/>
      <c r="BM59" s="591"/>
      <c r="BN59" s="591"/>
      <c r="BO59" s="591"/>
      <c r="BP59" s="591"/>
      <c r="BQ59" s="591"/>
      <c r="BR59" s="591"/>
      <c r="BS59" s="591"/>
      <c r="BT59" s="591"/>
      <c r="BU59" s="591"/>
      <c r="BV59" s="591"/>
      <c r="BW59" s="591"/>
      <c r="BX59" s="591"/>
      <c r="BY59" s="591"/>
      <c r="BZ59" s="591"/>
      <c r="CA59" s="591"/>
      <c r="CB59" s="591"/>
      <c r="CC59" s="591"/>
      <c r="CD59" s="591"/>
      <c r="CE59" s="591"/>
      <c r="CF59" s="591"/>
    </row>
    <row r="60" spans="1:84">
      <c r="A60" s="59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590"/>
      <c r="AY60" s="590"/>
      <c r="AZ60" s="590"/>
      <c r="BA60" s="590"/>
      <c r="BB60" s="590"/>
      <c r="BC60" s="590"/>
      <c r="BD60" s="590"/>
      <c r="BE60" s="590"/>
      <c r="BF60" s="590"/>
      <c r="BG60" s="590"/>
      <c r="BH60" s="590"/>
      <c r="BI60" s="590"/>
      <c r="BJ60" s="590"/>
      <c r="BK60" s="591"/>
      <c r="BL60" s="591"/>
      <c r="BM60" s="591"/>
      <c r="BN60" s="591"/>
      <c r="BO60" s="591"/>
      <c r="BP60" s="591"/>
      <c r="BQ60" s="591"/>
      <c r="BR60" s="591"/>
      <c r="BS60" s="591"/>
      <c r="BT60" s="591"/>
      <c r="BU60" s="591"/>
      <c r="BV60" s="591"/>
      <c r="BW60" s="591"/>
      <c r="BX60" s="591"/>
      <c r="BY60" s="591"/>
      <c r="BZ60" s="591"/>
      <c r="CA60" s="591"/>
      <c r="CB60" s="591"/>
      <c r="CC60" s="591"/>
      <c r="CD60" s="591"/>
      <c r="CE60" s="591"/>
      <c r="CF60" s="591"/>
    </row>
    <row r="61" spans="1:84">
      <c r="A61" s="590"/>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0"/>
      <c r="AQ61" s="590"/>
      <c r="AR61" s="590"/>
      <c r="AS61" s="590"/>
      <c r="AT61" s="590"/>
      <c r="AU61" s="590"/>
      <c r="AV61" s="590"/>
      <c r="AW61" s="590"/>
      <c r="AX61" s="590"/>
      <c r="AY61" s="590"/>
      <c r="AZ61" s="590"/>
      <c r="BA61" s="590"/>
      <c r="BB61" s="590"/>
      <c r="BC61" s="590"/>
      <c r="BD61" s="590"/>
      <c r="BE61" s="590"/>
      <c r="BF61" s="590"/>
      <c r="BG61" s="590"/>
      <c r="BH61" s="590"/>
      <c r="BI61" s="590"/>
      <c r="BJ61" s="590"/>
      <c r="BK61" s="591"/>
      <c r="BL61" s="591"/>
      <c r="BM61" s="591"/>
      <c r="BN61" s="591"/>
      <c r="BO61" s="591"/>
      <c r="BP61" s="591"/>
      <c r="BQ61" s="591"/>
      <c r="BR61" s="591"/>
      <c r="BS61" s="591"/>
      <c r="BT61" s="591"/>
      <c r="BU61" s="591"/>
      <c r="BV61" s="591"/>
      <c r="BW61" s="591"/>
      <c r="BX61" s="591"/>
      <c r="BY61" s="591"/>
      <c r="BZ61" s="591"/>
      <c r="CA61" s="591"/>
      <c r="CB61" s="591"/>
      <c r="CC61" s="591"/>
      <c r="CD61" s="591"/>
      <c r="CE61" s="591"/>
      <c r="CF61" s="591"/>
    </row>
    <row r="62" spans="1:84">
      <c r="A62" s="590"/>
      <c r="B62" s="590"/>
      <c r="C62" s="590"/>
      <c r="D62" s="590"/>
      <c r="E62" s="590"/>
      <c r="F62" s="590"/>
      <c r="G62" s="590"/>
      <c r="H62" s="590"/>
      <c r="I62" s="590"/>
      <c r="J62" s="590"/>
      <c r="K62" s="590"/>
      <c r="L62" s="590"/>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90"/>
      <c r="AZ62" s="590"/>
      <c r="BA62" s="590"/>
      <c r="BB62" s="590"/>
      <c r="BC62" s="590"/>
      <c r="BD62" s="590"/>
      <c r="BE62" s="590"/>
      <c r="BF62" s="590"/>
      <c r="BG62" s="590"/>
      <c r="BH62" s="590"/>
      <c r="BI62" s="590"/>
      <c r="BJ62" s="590"/>
      <c r="BK62" s="591"/>
      <c r="BL62" s="591"/>
      <c r="BM62" s="591"/>
      <c r="BN62" s="591"/>
      <c r="BO62" s="591"/>
      <c r="BP62" s="591"/>
      <c r="BQ62" s="591"/>
      <c r="BR62" s="591"/>
      <c r="BS62" s="591"/>
      <c r="BT62" s="591"/>
      <c r="BU62" s="591"/>
      <c r="BV62" s="591"/>
      <c r="BW62" s="591"/>
      <c r="BX62" s="591"/>
      <c r="BY62" s="591"/>
      <c r="BZ62" s="591"/>
      <c r="CA62" s="591"/>
      <c r="CB62" s="591"/>
      <c r="CC62" s="591"/>
      <c r="CD62" s="591"/>
      <c r="CE62" s="591"/>
      <c r="CF62" s="591"/>
    </row>
    <row r="63" spans="1:84">
      <c r="A63" s="590"/>
      <c r="B63" s="590"/>
      <c r="C63" s="590"/>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1"/>
      <c r="BL63" s="591"/>
      <c r="BM63" s="591"/>
      <c r="BN63" s="591"/>
      <c r="BO63" s="591"/>
      <c r="BP63" s="591"/>
      <c r="BQ63" s="591"/>
      <c r="BR63" s="591"/>
      <c r="BS63" s="591"/>
      <c r="BT63" s="591"/>
      <c r="BU63" s="591"/>
      <c r="BV63" s="591"/>
      <c r="BW63" s="591"/>
      <c r="BX63" s="591"/>
      <c r="BY63" s="591"/>
      <c r="BZ63" s="591"/>
      <c r="CA63" s="591"/>
      <c r="CB63" s="591"/>
      <c r="CC63" s="591"/>
      <c r="CD63" s="591"/>
      <c r="CE63" s="591"/>
      <c r="CF63" s="591"/>
    </row>
    <row r="64" spans="1:84">
      <c r="A64" s="590"/>
      <c r="B64" s="590"/>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90"/>
      <c r="AZ64" s="590"/>
      <c r="BA64" s="590"/>
      <c r="BB64" s="590"/>
      <c r="BC64" s="590"/>
      <c r="BD64" s="590"/>
      <c r="BE64" s="590"/>
      <c r="BF64" s="590"/>
      <c r="BG64" s="590"/>
      <c r="BH64" s="590"/>
      <c r="BI64" s="590"/>
      <c r="BJ64" s="590"/>
      <c r="BK64" s="591"/>
      <c r="BL64" s="591"/>
      <c r="BM64" s="591"/>
      <c r="BN64" s="591"/>
      <c r="BO64" s="591"/>
      <c r="BP64" s="591"/>
      <c r="BQ64" s="591"/>
      <c r="BR64" s="591"/>
      <c r="BS64" s="591"/>
      <c r="BT64" s="591"/>
      <c r="BU64" s="591"/>
      <c r="BV64" s="591"/>
      <c r="BW64" s="591"/>
      <c r="BX64" s="591"/>
      <c r="BY64" s="591"/>
      <c r="BZ64" s="591"/>
      <c r="CA64" s="591"/>
      <c r="CB64" s="591"/>
      <c r="CC64" s="591"/>
      <c r="CD64" s="591"/>
      <c r="CE64" s="591"/>
      <c r="CF64" s="591"/>
    </row>
    <row r="65" spans="1:84">
      <c r="A65" s="590"/>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90"/>
      <c r="AZ65" s="590"/>
      <c r="BA65" s="590"/>
      <c r="BB65" s="590"/>
      <c r="BC65" s="590"/>
      <c r="BD65" s="590"/>
      <c r="BE65" s="590"/>
      <c r="BF65" s="590"/>
      <c r="BG65" s="590"/>
      <c r="BH65" s="590"/>
      <c r="BI65" s="590"/>
      <c r="BJ65" s="590"/>
      <c r="BK65" s="591"/>
      <c r="BL65" s="591"/>
      <c r="BM65" s="591"/>
      <c r="BN65" s="591"/>
      <c r="BO65" s="591"/>
      <c r="BP65" s="591"/>
      <c r="BQ65" s="591"/>
      <c r="BR65" s="591"/>
      <c r="BS65" s="591"/>
      <c r="BT65" s="591"/>
      <c r="BU65" s="591"/>
      <c r="BV65" s="591"/>
      <c r="BW65" s="591"/>
      <c r="BX65" s="591"/>
      <c r="BY65" s="591"/>
      <c r="BZ65" s="591"/>
      <c r="CA65" s="591"/>
      <c r="CB65" s="591"/>
      <c r="CC65" s="591"/>
      <c r="CD65" s="591"/>
      <c r="CE65" s="591"/>
      <c r="CF65" s="591"/>
    </row>
    <row r="66" spans="1:84">
      <c r="A66" s="590"/>
      <c r="B66" s="590"/>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c r="BF66" s="590"/>
      <c r="BG66" s="590"/>
      <c r="BH66" s="590"/>
      <c r="BI66" s="590"/>
      <c r="BJ66" s="590"/>
      <c r="BK66" s="591"/>
      <c r="BL66" s="591"/>
      <c r="BM66" s="591"/>
      <c r="BN66" s="591"/>
      <c r="BO66" s="591"/>
      <c r="BP66" s="591"/>
      <c r="BQ66" s="591"/>
      <c r="BR66" s="591"/>
      <c r="BS66" s="591"/>
      <c r="BT66" s="591"/>
      <c r="BU66" s="591"/>
      <c r="BV66" s="591"/>
      <c r="BW66" s="591"/>
      <c r="BX66" s="591"/>
      <c r="BY66" s="591"/>
      <c r="BZ66" s="591"/>
      <c r="CA66" s="591"/>
      <c r="CB66" s="591"/>
      <c r="CC66" s="591"/>
      <c r="CD66" s="591"/>
      <c r="CE66" s="591"/>
      <c r="CF66" s="591"/>
    </row>
    <row r="67" spans="1:84">
      <c r="A67" s="590"/>
      <c r="B67" s="590"/>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1"/>
      <c r="BL67" s="591"/>
      <c r="BM67" s="591"/>
      <c r="BN67" s="591"/>
      <c r="BO67" s="591"/>
      <c r="BP67" s="591"/>
      <c r="BQ67" s="591"/>
      <c r="BR67" s="591"/>
      <c r="BS67" s="591"/>
      <c r="BT67" s="591"/>
      <c r="BU67" s="591"/>
      <c r="BV67" s="591"/>
      <c r="BW67" s="591"/>
      <c r="BX67" s="591"/>
      <c r="BY67" s="591"/>
      <c r="BZ67" s="591"/>
      <c r="CA67" s="591"/>
      <c r="CB67" s="591"/>
      <c r="CC67" s="591"/>
      <c r="CD67" s="591"/>
      <c r="CE67" s="591"/>
      <c r="CF67" s="591"/>
    </row>
    <row r="68" spans="1:84">
      <c r="A68" s="590"/>
      <c r="B68" s="590"/>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1"/>
      <c r="BL68" s="591"/>
      <c r="BM68" s="591"/>
      <c r="BN68" s="591"/>
      <c r="BO68" s="591"/>
      <c r="BP68" s="591"/>
      <c r="BQ68" s="591"/>
      <c r="BR68" s="591"/>
      <c r="BS68" s="591"/>
      <c r="BT68" s="591"/>
      <c r="BU68" s="591"/>
      <c r="BV68" s="591"/>
      <c r="BW68" s="591"/>
      <c r="BX68" s="591"/>
      <c r="BY68" s="591"/>
      <c r="BZ68" s="591"/>
      <c r="CA68" s="591"/>
      <c r="CB68" s="591"/>
      <c r="CC68" s="591"/>
      <c r="CD68" s="591"/>
      <c r="CE68" s="591"/>
      <c r="CF68" s="591"/>
    </row>
    <row r="69" spans="1:84">
      <c r="A69" s="590"/>
      <c r="B69" s="590"/>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1"/>
      <c r="BL69" s="591"/>
      <c r="BM69" s="591"/>
      <c r="BN69" s="591"/>
      <c r="BO69" s="591"/>
      <c r="BP69" s="591"/>
      <c r="BQ69" s="591"/>
      <c r="BR69" s="591"/>
      <c r="BS69" s="591"/>
      <c r="BT69" s="591"/>
      <c r="BU69" s="591"/>
      <c r="BV69" s="591"/>
      <c r="BW69" s="591"/>
      <c r="BX69" s="591"/>
      <c r="BY69" s="591"/>
      <c r="BZ69" s="591"/>
      <c r="CA69" s="591"/>
      <c r="CB69" s="591"/>
      <c r="CC69" s="591"/>
      <c r="CD69" s="591"/>
      <c r="CE69" s="591"/>
      <c r="CF69" s="591"/>
    </row>
    <row r="70" spans="1:84">
      <c r="A70" s="590"/>
      <c r="B70" s="590"/>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590"/>
      <c r="BH70" s="590"/>
      <c r="BI70" s="590"/>
      <c r="BJ70" s="590"/>
      <c r="BK70" s="591"/>
      <c r="BL70" s="591"/>
      <c r="BM70" s="591"/>
      <c r="BN70" s="591"/>
      <c r="BO70" s="591"/>
      <c r="BP70" s="591"/>
      <c r="BQ70" s="591"/>
      <c r="BR70" s="591"/>
      <c r="BS70" s="591"/>
      <c r="BT70" s="591"/>
      <c r="BU70" s="591"/>
      <c r="BV70" s="591"/>
      <c r="BW70" s="591"/>
      <c r="BX70" s="591"/>
      <c r="BY70" s="591"/>
      <c r="BZ70" s="591"/>
      <c r="CA70" s="591"/>
      <c r="CB70" s="591"/>
      <c r="CC70" s="591"/>
      <c r="CD70" s="591"/>
      <c r="CE70" s="591"/>
      <c r="CF70" s="591"/>
    </row>
    <row r="71" spans="1:84">
      <c r="A71" s="590"/>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1"/>
      <c r="BL71" s="591"/>
      <c r="BM71" s="591"/>
      <c r="BN71" s="591"/>
      <c r="BO71" s="591"/>
      <c r="BP71" s="591"/>
      <c r="BQ71" s="591"/>
      <c r="BR71" s="591"/>
      <c r="BS71" s="591"/>
      <c r="BT71" s="591"/>
      <c r="BU71" s="591"/>
      <c r="BV71" s="591"/>
      <c r="BW71" s="591"/>
      <c r="BX71" s="591"/>
      <c r="BY71" s="591"/>
      <c r="BZ71" s="591"/>
      <c r="CA71" s="591"/>
      <c r="CB71" s="591"/>
      <c r="CC71" s="591"/>
      <c r="CD71" s="591"/>
      <c r="CE71" s="591"/>
      <c r="CF71" s="591"/>
    </row>
    <row r="72" spans="1:84">
      <c r="A72" s="590"/>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1"/>
      <c r="BL72" s="591"/>
      <c r="BM72" s="591"/>
      <c r="BN72" s="591"/>
      <c r="BO72" s="591"/>
      <c r="BP72" s="591"/>
      <c r="BQ72" s="591"/>
      <c r="BR72" s="591"/>
      <c r="BS72" s="591"/>
      <c r="BT72" s="591"/>
      <c r="BU72" s="591"/>
      <c r="BV72" s="591"/>
      <c r="BW72" s="591"/>
      <c r="BX72" s="591"/>
      <c r="BY72" s="591"/>
      <c r="BZ72" s="591"/>
      <c r="CA72" s="591"/>
      <c r="CB72" s="591"/>
      <c r="CC72" s="591"/>
      <c r="CD72" s="591"/>
      <c r="CE72" s="591"/>
      <c r="CF72" s="591"/>
    </row>
    <row r="73" spans="1:84">
      <c r="A73" s="590"/>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590"/>
      <c r="BH73" s="590"/>
      <c r="BI73" s="590"/>
      <c r="BJ73" s="590"/>
      <c r="BK73" s="591"/>
      <c r="BL73" s="591"/>
      <c r="BM73" s="591"/>
      <c r="BN73" s="591"/>
      <c r="BO73" s="591"/>
      <c r="BP73" s="591"/>
      <c r="BQ73" s="591"/>
      <c r="BR73" s="591"/>
      <c r="BS73" s="591"/>
      <c r="BT73" s="591"/>
      <c r="BU73" s="591"/>
      <c r="BV73" s="591"/>
      <c r="BW73" s="591"/>
      <c r="BX73" s="591"/>
      <c r="BY73" s="591"/>
      <c r="BZ73" s="591"/>
      <c r="CA73" s="591"/>
      <c r="CB73" s="591"/>
      <c r="CC73" s="591"/>
      <c r="CD73" s="591"/>
      <c r="CE73" s="591"/>
      <c r="CF73" s="591"/>
    </row>
    <row r="74" spans="1:84">
      <c r="A74" s="590"/>
      <c r="B74" s="590"/>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1"/>
      <c r="BL74" s="591"/>
      <c r="BM74" s="591"/>
      <c r="BN74" s="591"/>
      <c r="BO74" s="591"/>
      <c r="BP74" s="591"/>
      <c r="BQ74" s="591"/>
      <c r="BR74" s="591"/>
      <c r="BS74" s="591"/>
      <c r="BT74" s="591"/>
      <c r="BU74" s="591"/>
      <c r="BV74" s="591"/>
      <c r="BW74" s="591"/>
      <c r="BX74" s="591"/>
      <c r="BY74" s="591"/>
      <c r="BZ74" s="591"/>
      <c r="CA74" s="591"/>
      <c r="CB74" s="591"/>
      <c r="CC74" s="591"/>
      <c r="CD74" s="591"/>
      <c r="CE74" s="591"/>
      <c r="CF74" s="591"/>
    </row>
    <row r="75" spans="1:84">
      <c r="A75" s="590"/>
      <c r="B75" s="590"/>
      <c r="C75" s="590"/>
      <c r="D75" s="590"/>
      <c r="E75" s="590"/>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0"/>
      <c r="AP75" s="590"/>
      <c r="AQ75" s="590"/>
      <c r="AR75" s="590"/>
      <c r="AS75" s="590"/>
      <c r="AT75" s="590"/>
      <c r="AU75" s="590"/>
      <c r="AV75" s="590"/>
      <c r="AW75" s="590"/>
      <c r="AX75" s="590"/>
      <c r="AY75" s="590"/>
      <c r="AZ75" s="590"/>
      <c r="BA75" s="590"/>
      <c r="BB75" s="590"/>
      <c r="BC75" s="590"/>
      <c r="BD75" s="590"/>
      <c r="BE75" s="590"/>
      <c r="BF75" s="590"/>
      <c r="BG75" s="590"/>
      <c r="BH75" s="590"/>
      <c r="BI75" s="590"/>
      <c r="BJ75" s="590"/>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row>
    <row r="76" spans="1:84">
      <c r="A76" s="590"/>
      <c r="B76" s="590"/>
      <c r="C76" s="590"/>
      <c r="D76" s="590"/>
      <c r="E76" s="590"/>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590"/>
      <c r="BH76" s="590"/>
      <c r="BI76" s="590"/>
      <c r="BJ76" s="590"/>
      <c r="BK76" s="591"/>
      <c r="BL76" s="591"/>
      <c r="BM76" s="591"/>
      <c r="BN76" s="591"/>
      <c r="BO76" s="591"/>
      <c r="BP76" s="591"/>
      <c r="BQ76" s="591"/>
      <c r="BR76" s="591"/>
      <c r="BS76" s="591"/>
      <c r="BT76" s="591"/>
      <c r="BU76" s="591"/>
      <c r="BV76" s="591"/>
      <c r="BW76" s="591"/>
      <c r="BX76" s="591"/>
      <c r="BY76" s="591"/>
      <c r="BZ76" s="591"/>
      <c r="CA76" s="591"/>
      <c r="CB76" s="591"/>
      <c r="CC76" s="591"/>
      <c r="CD76" s="591"/>
      <c r="CE76" s="591"/>
      <c r="CF76" s="591"/>
    </row>
    <row r="77" spans="1:84">
      <c r="A77" s="590"/>
      <c r="B77" s="590"/>
      <c r="C77" s="590"/>
      <c r="D77" s="590"/>
      <c r="E77" s="590"/>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0"/>
      <c r="AP77" s="590"/>
      <c r="AQ77" s="590"/>
      <c r="AR77" s="590"/>
      <c r="AS77" s="590"/>
      <c r="AT77" s="590"/>
      <c r="AU77" s="590"/>
      <c r="AV77" s="590"/>
      <c r="AW77" s="590"/>
      <c r="AX77" s="590"/>
      <c r="AY77" s="590"/>
      <c r="AZ77" s="590"/>
      <c r="BA77" s="590"/>
      <c r="BB77" s="590"/>
      <c r="BC77" s="590"/>
      <c r="BD77" s="590"/>
      <c r="BE77" s="590"/>
      <c r="BF77" s="590"/>
      <c r="BG77" s="590"/>
      <c r="BH77" s="590"/>
      <c r="BI77" s="590"/>
      <c r="BJ77" s="590"/>
      <c r="BK77" s="591"/>
      <c r="BL77" s="591"/>
      <c r="BM77" s="591"/>
      <c r="BN77" s="591"/>
      <c r="BO77" s="591"/>
      <c r="BP77" s="591"/>
      <c r="BQ77" s="591"/>
      <c r="BR77" s="591"/>
      <c r="BS77" s="591"/>
      <c r="BT77" s="591"/>
      <c r="BU77" s="591"/>
      <c r="BV77" s="591"/>
      <c r="BW77" s="591"/>
      <c r="BX77" s="591"/>
      <c r="BY77" s="591"/>
      <c r="BZ77" s="591"/>
      <c r="CA77" s="591"/>
      <c r="CB77" s="591"/>
      <c r="CC77" s="591"/>
      <c r="CD77" s="591"/>
      <c r="CE77" s="591"/>
      <c r="CF77" s="591"/>
    </row>
    <row r="78" spans="1:84">
      <c r="A78" s="590"/>
      <c r="B78" s="590"/>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0"/>
      <c r="AP78" s="590"/>
      <c r="AQ78" s="590"/>
      <c r="AR78" s="590"/>
      <c r="AS78" s="590"/>
      <c r="AT78" s="590"/>
      <c r="AU78" s="590"/>
      <c r="AV78" s="590"/>
      <c r="AW78" s="590"/>
      <c r="AX78" s="590"/>
      <c r="AY78" s="590"/>
      <c r="AZ78" s="590"/>
      <c r="BA78" s="590"/>
      <c r="BB78" s="590"/>
      <c r="BC78" s="590"/>
      <c r="BD78" s="590"/>
      <c r="BE78" s="590"/>
      <c r="BF78" s="590"/>
      <c r="BG78" s="590"/>
      <c r="BH78" s="590"/>
      <c r="BI78" s="590"/>
      <c r="BJ78" s="590"/>
      <c r="BK78" s="591"/>
      <c r="BL78" s="591"/>
      <c r="BM78" s="591"/>
      <c r="BN78" s="591"/>
      <c r="BO78" s="591"/>
      <c r="BP78" s="591"/>
      <c r="BQ78" s="591"/>
      <c r="BR78" s="591"/>
      <c r="BS78" s="591"/>
      <c r="BT78" s="591"/>
      <c r="BU78" s="591"/>
      <c r="BV78" s="591"/>
      <c r="BW78" s="591"/>
      <c r="BX78" s="591"/>
      <c r="BY78" s="591"/>
      <c r="BZ78" s="591"/>
      <c r="CA78" s="591"/>
      <c r="CB78" s="591"/>
      <c r="CC78" s="591"/>
      <c r="CD78" s="591"/>
      <c r="CE78" s="591"/>
      <c r="CF78" s="591"/>
    </row>
    <row r="79" spans="1:84">
      <c r="A79" s="590"/>
      <c r="B79" s="590"/>
      <c r="C79" s="590"/>
      <c r="D79" s="590"/>
      <c r="E79" s="590"/>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0"/>
      <c r="AP79" s="590"/>
      <c r="AQ79" s="590"/>
      <c r="AR79" s="590"/>
      <c r="AS79" s="590"/>
      <c r="AT79" s="590"/>
      <c r="AU79" s="590"/>
      <c r="AV79" s="590"/>
      <c r="AW79" s="590"/>
      <c r="AX79" s="590"/>
      <c r="AY79" s="590"/>
      <c r="AZ79" s="590"/>
      <c r="BA79" s="590"/>
      <c r="BB79" s="590"/>
      <c r="BC79" s="590"/>
      <c r="BD79" s="590"/>
      <c r="BE79" s="590"/>
      <c r="BF79" s="590"/>
      <c r="BG79" s="590"/>
      <c r="BH79" s="590"/>
      <c r="BI79" s="590"/>
      <c r="BJ79" s="590"/>
      <c r="BK79" s="591"/>
      <c r="BL79" s="591"/>
      <c r="BM79" s="591"/>
      <c r="BN79" s="591"/>
      <c r="BO79" s="591"/>
      <c r="BP79" s="591"/>
      <c r="BQ79" s="591"/>
      <c r="BR79" s="591"/>
      <c r="BS79" s="591"/>
      <c r="BT79" s="591"/>
      <c r="BU79" s="591"/>
      <c r="BV79" s="591"/>
      <c r="BW79" s="591"/>
      <c r="BX79" s="591"/>
      <c r="BY79" s="591"/>
      <c r="BZ79" s="591"/>
      <c r="CA79" s="591"/>
      <c r="CB79" s="591"/>
      <c r="CC79" s="591"/>
      <c r="CD79" s="591"/>
      <c r="CE79" s="591"/>
      <c r="CF79" s="591"/>
    </row>
    <row r="80" spans="1:84">
      <c r="A80" s="590"/>
      <c r="B80" s="590"/>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0"/>
      <c r="AP80" s="590"/>
      <c r="AQ80" s="590"/>
      <c r="AR80" s="590"/>
      <c r="AS80" s="590"/>
      <c r="AT80" s="590"/>
      <c r="AU80" s="590"/>
      <c r="AV80" s="590"/>
      <c r="AW80" s="590"/>
      <c r="AX80" s="590"/>
      <c r="AY80" s="590"/>
      <c r="AZ80" s="590"/>
      <c r="BA80" s="590"/>
      <c r="BB80" s="590"/>
      <c r="BC80" s="590"/>
      <c r="BD80" s="590"/>
      <c r="BE80" s="590"/>
      <c r="BF80" s="590"/>
      <c r="BG80" s="590"/>
      <c r="BH80" s="590"/>
      <c r="BI80" s="590"/>
      <c r="BJ80" s="590"/>
      <c r="BK80" s="591"/>
      <c r="BL80" s="591"/>
      <c r="BM80" s="591"/>
      <c r="BN80" s="591"/>
      <c r="BO80" s="591"/>
      <c r="BP80" s="591"/>
      <c r="BQ80" s="591"/>
      <c r="BR80" s="591"/>
      <c r="BS80" s="591"/>
      <c r="BT80" s="591"/>
      <c r="BU80" s="591"/>
      <c r="BV80" s="591"/>
      <c r="BW80" s="591"/>
      <c r="BX80" s="591"/>
      <c r="BY80" s="591"/>
      <c r="BZ80" s="591"/>
      <c r="CA80" s="591"/>
      <c r="CB80" s="591"/>
      <c r="CC80" s="591"/>
      <c r="CD80" s="591"/>
      <c r="CE80" s="591"/>
      <c r="CF80" s="591"/>
    </row>
    <row r="81" spans="1:84">
      <c r="A81" s="590"/>
      <c r="B81" s="590"/>
      <c r="C81" s="590"/>
      <c r="D81" s="590"/>
      <c r="E81" s="590"/>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0"/>
      <c r="AP81" s="590"/>
      <c r="AQ81" s="590"/>
      <c r="AR81" s="590"/>
      <c r="AS81" s="590"/>
      <c r="AT81" s="590"/>
      <c r="AU81" s="590"/>
      <c r="AV81" s="590"/>
      <c r="AW81" s="590"/>
      <c r="AX81" s="590"/>
      <c r="AY81" s="590"/>
      <c r="AZ81" s="590"/>
      <c r="BA81" s="590"/>
      <c r="BB81" s="590"/>
      <c r="BC81" s="590"/>
      <c r="BD81" s="590"/>
      <c r="BE81" s="590"/>
      <c r="BF81" s="590"/>
      <c r="BG81" s="590"/>
      <c r="BH81" s="590"/>
      <c r="BI81" s="590"/>
      <c r="BJ81" s="590"/>
      <c r="BK81" s="591"/>
      <c r="BL81" s="591"/>
      <c r="BM81" s="591"/>
      <c r="BN81" s="591"/>
      <c r="BO81" s="591"/>
      <c r="BP81" s="591"/>
      <c r="BQ81" s="591"/>
      <c r="BR81" s="591"/>
      <c r="BS81" s="591"/>
      <c r="BT81" s="591"/>
      <c r="BU81" s="591"/>
      <c r="BV81" s="591"/>
      <c r="BW81" s="591"/>
      <c r="BX81" s="591"/>
      <c r="BY81" s="591"/>
      <c r="BZ81" s="591"/>
      <c r="CA81" s="591"/>
      <c r="CB81" s="591"/>
      <c r="CC81" s="591"/>
      <c r="CD81" s="591"/>
      <c r="CE81" s="591"/>
      <c r="CF81" s="591"/>
    </row>
    <row r="82" spans="1:84">
      <c r="A82" s="590"/>
      <c r="B82" s="590"/>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0"/>
      <c r="AP82" s="590"/>
      <c r="AQ82" s="590"/>
      <c r="AR82" s="590"/>
      <c r="AS82" s="590"/>
      <c r="AT82" s="590"/>
      <c r="AU82" s="590"/>
      <c r="AV82" s="590"/>
      <c r="AW82" s="590"/>
      <c r="AX82" s="590"/>
      <c r="AY82" s="590"/>
      <c r="AZ82" s="590"/>
      <c r="BA82" s="590"/>
      <c r="BB82" s="590"/>
      <c r="BC82" s="590"/>
      <c r="BD82" s="590"/>
      <c r="BE82" s="590"/>
      <c r="BF82" s="590"/>
      <c r="BG82" s="590"/>
      <c r="BH82" s="590"/>
      <c r="BI82" s="590"/>
      <c r="BJ82" s="590"/>
      <c r="BK82" s="591"/>
      <c r="BL82" s="591"/>
      <c r="BM82" s="591"/>
      <c r="BN82" s="591"/>
      <c r="BO82" s="591"/>
      <c r="BP82" s="591"/>
      <c r="BQ82" s="591"/>
      <c r="BR82" s="591"/>
      <c r="BS82" s="591"/>
      <c r="BT82" s="591"/>
      <c r="BU82" s="591"/>
      <c r="BV82" s="591"/>
      <c r="BW82" s="591"/>
      <c r="BX82" s="591"/>
      <c r="BY82" s="591"/>
      <c r="BZ82" s="591"/>
      <c r="CA82" s="591"/>
      <c r="CB82" s="591"/>
      <c r="CC82" s="591"/>
      <c r="CD82" s="591"/>
      <c r="CE82" s="591"/>
      <c r="CF82" s="591"/>
    </row>
    <row r="83" spans="1:84">
      <c r="A83" s="590"/>
      <c r="B83" s="590"/>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0"/>
      <c r="AP83" s="590"/>
      <c r="AQ83" s="590"/>
      <c r="AR83" s="590"/>
      <c r="AS83" s="590"/>
      <c r="AT83" s="590"/>
      <c r="AU83" s="590"/>
      <c r="AV83" s="590"/>
      <c r="AW83" s="590"/>
      <c r="AX83" s="590"/>
      <c r="AY83" s="590"/>
      <c r="AZ83" s="590"/>
      <c r="BA83" s="590"/>
      <c r="BB83" s="590"/>
      <c r="BC83" s="590"/>
      <c r="BD83" s="590"/>
      <c r="BE83" s="590"/>
      <c r="BF83" s="590"/>
      <c r="BG83" s="590"/>
      <c r="BH83" s="590"/>
      <c r="BI83" s="590"/>
      <c r="BJ83" s="590"/>
      <c r="BK83" s="591"/>
      <c r="BL83" s="591"/>
      <c r="BM83" s="591"/>
      <c r="BN83" s="591"/>
      <c r="BO83" s="591"/>
      <c r="BP83" s="591"/>
      <c r="BQ83" s="591"/>
      <c r="BR83" s="591"/>
      <c r="BS83" s="591"/>
      <c r="BT83" s="591"/>
      <c r="BU83" s="591"/>
      <c r="BV83" s="591"/>
      <c r="BW83" s="591"/>
      <c r="BX83" s="591"/>
      <c r="BY83" s="591"/>
      <c r="BZ83" s="591"/>
      <c r="CA83" s="591"/>
      <c r="CB83" s="591"/>
      <c r="CC83" s="591"/>
      <c r="CD83" s="591"/>
      <c r="CE83" s="591"/>
      <c r="CF83" s="591"/>
    </row>
    <row r="84" spans="1:84">
      <c r="A84" s="590"/>
      <c r="B84" s="590"/>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0"/>
      <c r="AP84" s="590"/>
      <c r="AQ84" s="590"/>
      <c r="AR84" s="590"/>
      <c r="AS84" s="590"/>
      <c r="AT84" s="590"/>
      <c r="AU84" s="590"/>
      <c r="AV84" s="590"/>
      <c r="AW84" s="590"/>
      <c r="AX84" s="590"/>
      <c r="AY84" s="590"/>
      <c r="AZ84" s="590"/>
      <c r="BA84" s="590"/>
      <c r="BB84" s="590"/>
      <c r="BC84" s="590"/>
      <c r="BD84" s="590"/>
      <c r="BE84" s="590"/>
      <c r="BF84" s="590"/>
      <c r="BG84" s="590"/>
      <c r="BH84" s="590"/>
      <c r="BI84" s="590"/>
      <c r="BJ84" s="590"/>
      <c r="BK84" s="591"/>
      <c r="BL84" s="591"/>
      <c r="BM84" s="591"/>
      <c r="BN84" s="591"/>
      <c r="BO84" s="591"/>
      <c r="BP84" s="591"/>
      <c r="BQ84" s="591"/>
      <c r="BR84" s="591"/>
      <c r="BS84" s="591"/>
      <c r="BT84" s="591"/>
      <c r="BU84" s="591"/>
      <c r="BV84" s="591"/>
      <c r="BW84" s="591"/>
      <c r="BX84" s="591"/>
      <c r="BY84" s="591"/>
      <c r="BZ84" s="591"/>
      <c r="CA84" s="591"/>
      <c r="CB84" s="591"/>
      <c r="CC84" s="591"/>
      <c r="CD84" s="591"/>
      <c r="CE84" s="591"/>
      <c r="CF84" s="591"/>
    </row>
    <row r="85" spans="1:84">
      <c r="A85" s="590"/>
      <c r="B85" s="590"/>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0"/>
      <c r="AP85" s="590"/>
      <c r="AQ85" s="590"/>
      <c r="AR85" s="590"/>
      <c r="AS85" s="590"/>
      <c r="AT85" s="590"/>
      <c r="AU85" s="590"/>
      <c r="AV85" s="590"/>
      <c r="AW85" s="590"/>
      <c r="AX85" s="590"/>
      <c r="AY85" s="590"/>
      <c r="AZ85" s="590"/>
      <c r="BA85" s="590"/>
      <c r="BB85" s="590"/>
      <c r="BC85" s="590"/>
      <c r="BD85" s="590"/>
      <c r="BE85" s="590"/>
      <c r="BF85" s="590"/>
      <c r="BG85" s="590"/>
      <c r="BH85" s="590"/>
      <c r="BI85" s="590"/>
      <c r="BJ85" s="590"/>
      <c r="BK85" s="591"/>
      <c r="BL85" s="591"/>
      <c r="BM85" s="591"/>
      <c r="BN85" s="591"/>
      <c r="BO85" s="591"/>
      <c r="BP85" s="591"/>
      <c r="BQ85" s="591"/>
      <c r="BR85" s="591"/>
      <c r="BS85" s="591"/>
      <c r="BT85" s="591"/>
      <c r="BU85" s="591"/>
      <c r="BV85" s="591"/>
      <c r="BW85" s="591"/>
      <c r="BX85" s="591"/>
      <c r="BY85" s="591"/>
      <c r="BZ85" s="591"/>
      <c r="CA85" s="591"/>
      <c r="CB85" s="591"/>
      <c r="CC85" s="591"/>
      <c r="CD85" s="591"/>
      <c r="CE85" s="591"/>
      <c r="CF85" s="591"/>
    </row>
    <row r="86" spans="1:84">
      <c r="A86" s="590"/>
      <c r="B86" s="590"/>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0"/>
      <c r="AP86" s="590"/>
      <c r="AQ86" s="590"/>
      <c r="AR86" s="590"/>
      <c r="AS86" s="590"/>
      <c r="AT86" s="590"/>
      <c r="AU86" s="590"/>
      <c r="AV86" s="590"/>
      <c r="AW86" s="590"/>
      <c r="AX86" s="590"/>
      <c r="AY86" s="590"/>
      <c r="AZ86" s="590"/>
      <c r="BA86" s="590"/>
      <c r="BB86" s="590"/>
      <c r="BC86" s="590"/>
      <c r="BD86" s="590"/>
      <c r="BE86" s="590"/>
      <c r="BF86" s="590"/>
      <c r="BG86" s="590"/>
      <c r="BH86" s="590"/>
      <c r="BI86" s="590"/>
      <c r="BJ86" s="590"/>
      <c r="BK86" s="591"/>
      <c r="BL86" s="591"/>
      <c r="BM86" s="591"/>
      <c r="BN86" s="591"/>
      <c r="BO86" s="591"/>
      <c r="BP86" s="591"/>
      <c r="BQ86" s="591"/>
      <c r="BR86" s="591"/>
      <c r="BS86" s="591"/>
      <c r="BT86" s="591"/>
      <c r="BU86" s="591"/>
      <c r="BV86" s="591"/>
      <c r="BW86" s="591"/>
      <c r="BX86" s="591"/>
      <c r="BY86" s="591"/>
      <c r="BZ86" s="591"/>
      <c r="CA86" s="591"/>
      <c r="CB86" s="591"/>
      <c r="CC86" s="591"/>
      <c r="CD86" s="591"/>
      <c r="CE86" s="591"/>
      <c r="CF86" s="591"/>
    </row>
    <row r="87" spans="1:84">
      <c r="A87" s="590"/>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0"/>
      <c r="AP87" s="590"/>
      <c r="AQ87" s="590"/>
      <c r="AR87" s="590"/>
      <c r="AS87" s="590"/>
      <c r="AT87" s="590"/>
      <c r="AU87" s="590"/>
      <c r="AV87" s="590"/>
      <c r="AW87" s="590"/>
      <c r="AX87" s="590"/>
      <c r="AY87" s="590"/>
      <c r="AZ87" s="590"/>
      <c r="BA87" s="590"/>
      <c r="BB87" s="590"/>
      <c r="BC87" s="590"/>
      <c r="BD87" s="590"/>
      <c r="BE87" s="590"/>
      <c r="BF87" s="590"/>
      <c r="BG87" s="590"/>
      <c r="BH87" s="590"/>
      <c r="BI87" s="590"/>
      <c r="BJ87" s="590"/>
      <c r="BK87" s="591"/>
      <c r="BL87" s="591"/>
      <c r="BM87" s="591"/>
      <c r="BN87" s="591"/>
      <c r="BO87" s="591"/>
      <c r="BP87" s="591"/>
      <c r="BQ87" s="591"/>
      <c r="BR87" s="591"/>
      <c r="BS87" s="591"/>
      <c r="BT87" s="591"/>
      <c r="BU87" s="591"/>
      <c r="BV87" s="591"/>
      <c r="BW87" s="591"/>
      <c r="BX87" s="591"/>
      <c r="BY87" s="591"/>
      <c r="BZ87" s="591"/>
      <c r="CA87" s="591"/>
      <c r="CB87" s="591"/>
      <c r="CC87" s="591"/>
      <c r="CD87" s="591"/>
      <c r="CE87" s="591"/>
      <c r="CF87" s="591"/>
    </row>
    <row r="88" spans="1:84">
      <c r="A88" s="590"/>
      <c r="B88" s="590"/>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1"/>
      <c r="BL88" s="591"/>
      <c r="BM88" s="591"/>
      <c r="BN88" s="591"/>
      <c r="BO88" s="591"/>
      <c r="BP88" s="591"/>
      <c r="BQ88" s="591"/>
      <c r="BR88" s="591"/>
      <c r="BS88" s="591"/>
      <c r="BT88" s="591"/>
      <c r="BU88" s="591"/>
      <c r="BV88" s="591"/>
      <c r="BW88" s="591"/>
      <c r="BX88" s="591"/>
      <c r="BY88" s="591"/>
      <c r="BZ88" s="591"/>
      <c r="CA88" s="591"/>
      <c r="CB88" s="591"/>
      <c r="CC88" s="591"/>
      <c r="CD88" s="591"/>
      <c r="CE88" s="591"/>
      <c r="CF88" s="591"/>
    </row>
    <row r="89" spans="1:84">
      <c r="A89" s="590"/>
      <c r="B89" s="590"/>
      <c r="C89" s="590"/>
      <c r="D89" s="590"/>
      <c r="E89" s="590"/>
      <c r="F89" s="590"/>
      <c r="G89" s="590"/>
      <c r="H89" s="590"/>
      <c r="I89" s="590"/>
      <c r="J89" s="590"/>
      <c r="K89" s="590"/>
      <c r="L89" s="590"/>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0"/>
      <c r="AP89" s="590"/>
      <c r="AQ89" s="590"/>
      <c r="AR89" s="590"/>
      <c r="AS89" s="590"/>
      <c r="AT89" s="590"/>
      <c r="AU89" s="590"/>
      <c r="AV89" s="590"/>
      <c r="AW89" s="590"/>
      <c r="AX89" s="590"/>
      <c r="AY89" s="590"/>
      <c r="AZ89" s="590"/>
      <c r="BA89" s="590"/>
      <c r="BB89" s="590"/>
      <c r="BC89" s="590"/>
      <c r="BD89" s="590"/>
      <c r="BE89" s="590"/>
      <c r="BF89" s="590"/>
      <c r="BG89" s="590"/>
      <c r="BH89" s="590"/>
      <c r="BI89" s="590"/>
      <c r="BJ89" s="590"/>
      <c r="BK89" s="591"/>
      <c r="BL89" s="591"/>
      <c r="BM89" s="591"/>
      <c r="BN89" s="591"/>
      <c r="BO89" s="591"/>
      <c r="BP89" s="591"/>
      <c r="BQ89" s="591"/>
      <c r="BR89" s="591"/>
      <c r="BS89" s="591"/>
      <c r="BT89" s="591"/>
      <c r="BU89" s="591"/>
      <c r="BV89" s="591"/>
      <c r="BW89" s="591"/>
      <c r="BX89" s="591"/>
      <c r="BY89" s="591"/>
      <c r="BZ89" s="591"/>
      <c r="CA89" s="591"/>
      <c r="CB89" s="591"/>
      <c r="CC89" s="591"/>
      <c r="CD89" s="591"/>
      <c r="CE89" s="591"/>
      <c r="CF89" s="591"/>
    </row>
    <row r="90" spans="1:84">
      <c r="A90" s="590"/>
      <c r="B90" s="590"/>
      <c r="C90" s="590"/>
      <c r="D90" s="590"/>
      <c r="E90" s="590"/>
      <c r="F90" s="590"/>
      <c r="G90" s="590"/>
      <c r="H90" s="590"/>
      <c r="I90" s="590"/>
      <c r="J90" s="590"/>
      <c r="K90" s="590"/>
      <c r="L90" s="590"/>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0"/>
      <c r="AP90" s="590"/>
      <c r="AQ90" s="590"/>
      <c r="AR90" s="590"/>
      <c r="AS90" s="590"/>
      <c r="AT90" s="590"/>
      <c r="AU90" s="590"/>
      <c r="AV90" s="590"/>
      <c r="AW90" s="590"/>
      <c r="AX90" s="590"/>
      <c r="AY90" s="590"/>
      <c r="AZ90" s="590"/>
      <c r="BA90" s="590"/>
      <c r="BB90" s="590"/>
      <c r="BC90" s="590"/>
      <c r="BD90" s="590"/>
      <c r="BE90" s="590"/>
      <c r="BF90" s="590"/>
      <c r="BG90" s="590"/>
      <c r="BH90" s="590"/>
      <c r="BI90" s="590"/>
      <c r="BJ90" s="590"/>
      <c r="BK90" s="591"/>
      <c r="BL90" s="591"/>
      <c r="BM90" s="591"/>
      <c r="BN90" s="591"/>
      <c r="BO90" s="591"/>
      <c r="BP90" s="591"/>
      <c r="BQ90" s="591"/>
      <c r="BR90" s="591"/>
      <c r="BS90" s="591"/>
      <c r="BT90" s="591"/>
      <c r="BU90" s="591"/>
      <c r="BV90" s="591"/>
      <c r="BW90" s="591"/>
      <c r="BX90" s="591"/>
      <c r="BY90" s="591"/>
      <c r="BZ90" s="591"/>
      <c r="CA90" s="591"/>
      <c r="CB90" s="591"/>
      <c r="CC90" s="591"/>
      <c r="CD90" s="591"/>
      <c r="CE90" s="591"/>
      <c r="CF90" s="591"/>
    </row>
    <row r="91" spans="1:84">
      <c r="A91" s="590"/>
      <c r="B91" s="590"/>
      <c r="C91" s="590"/>
      <c r="D91" s="590"/>
      <c r="E91" s="590"/>
      <c r="F91" s="590"/>
      <c r="G91" s="590"/>
      <c r="H91" s="590"/>
      <c r="I91" s="590"/>
      <c r="J91" s="590"/>
      <c r="K91" s="590"/>
      <c r="L91" s="590"/>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0"/>
      <c r="AP91" s="590"/>
      <c r="AQ91" s="590"/>
      <c r="AR91" s="590"/>
      <c r="AS91" s="590"/>
      <c r="AT91" s="590"/>
      <c r="AU91" s="590"/>
      <c r="AV91" s="590"/>
      <c r="AW91" s="590"/>
      <c r="AX91" s="590"/>
      <c r="AY91" s="590"/>
      <c r="AZ91" s="590"/>
      <c r="BA91" s="590"/>
      <c r="BB91" s="590"/>
      <c r="BC91" s="590"/>
      <c r="BD91" s="590"/>
      <c r="BE91" s="590"/>
      <c r="BF91" s="590"/>
      <c r="BG91" s="590"/>
      <c r="BH91" s="590"/>
      <c r="BI91" s="590"/>
      <c r="BJ91" s="590"/>
      <c r="BK91" s="591"/>
      <c r="BL91" s="591"/>
      <c r="BM91" s="591"/>
      <c r="BN91" s="591"/>
      <c r="BO91" s="591"/>
      <c r="BP91" s="591"/>
      <c r="BQ91" s="591"/>
      <c r="BR91" s="591"/>
      <c r="BS91" s="591"/>
      <c r="BT91" s="591"/>
      <c r="BU91" s="591"/>
      <c r="BV91" s="591"/>
      <c r="BW91" s="591"/>
      <c r="BX91" s="591"/>
      <c r="BY91" s="591"/>
      <c r="BZ91" s="591"/>
      <c r="CA91" s="591"/>
      <c r="CB91" s="591"/>
      <c r="CC91" s="591"/>
      <c r="CD91" s="591"/>
      <c r="CE91" s="591"/>
      <c r="CF91" s="591"/>
    </row>
    <row r="92" spans="1:84">
      <c r="A92" s="590"/>
      <c r="B92" s="590"/>
      <c r="C92" s="590"/>
      <c r="D92" s="590"/>
      <c r="E92" s="590"/>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0"/>
      <c r="AP92" s="590"/>
      <c r="AQ92" s="590"/>
      <c r="AR92" s="590"/>
      <c r="AS92" s="590"/>
      <c r="AT92" s="590"/>
      <c r="AU92" s="590"/>
      <c r="AV92" s="590"/>
      <c r="AW92" s="590"/>
      <c r="AX92" s="590"/>
      <c r="AY92" s="590"/>
      <c r="AZ92" s="590"/>
      <c r="BA92" s="590"/>
      <c r="BB92" s="590"/>
      <c r="BC92" s="590"/>
      <c r="BD92" s="590"/>
      <c r="BE92" s="590"/>
      <c r="BF92" s="590"/>
      <c r="BG92" s="590"/>
      <c r="BH92" s="590"/>
      <c r="BI92" s="590"/>
      <c r="BJ92" s="590"/>
      <c r="BK92" s="591"/>
      <c r="BL92" s="591"/>
      <c r="BM92" s="591"/>
      <c r="BN92" s="591"/>
      <c r="BO92" s="591"/>
      <c r="BP92" s="591"/>
      <c r="BQ92" s="591"/>
      <c r="BR92" s="591"/>
      <c r="BS92" s="591"/>
      <c r="BT92" s="591"/>
      <c r="BU92" s="591"/>
      <c r="BV92" s="591"/>
      <c r="BW92" s="591"/>
      <c r="BX92" s="591"/>
      <c r="BY92" s="591"/>
      <c r="BZ92" s="591"/>
      <c r="CA92" s="591"/>
      <c r="CB92" s="591"/>
      <c r="CC92" s="591"/>
      <c r="CD92" s="591"/>
      <c r="CE92" s="591"/>
      <c r="CF92" s="591"/>
    </row>
    <row r="93" spans="1:84">
      <c r="A93" s="590"/>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0"/>
      <c r="AP93" s="590"/>
      <c r="AQ93" s="590"/>
      <c r="AR93" s="590"/>
      <c r="AS93" s="590"/>
      <c r="AT93" s="590"/>
      <c r="AU93" s="590"/>
      <c r="AV93" s="590"/>
      <c r="AW93" s="590"/>
      <c r="AX93" s="590"/>
      <c r="AY93" s="590"/>
      <c r="AZ93" s="590"/>
      <c r="BA93" s="590"/>
      <c r="BB93" s="590"/>
      <c r="BC93" s="590"/>
      <c r="BD93" s="590"/>
      <c r="BE93" s="590"/>
      <c r="BF93" s="590"/>
      <c r="BG93" s="590"/>
      <c r="BH93" s="590"/>
      <c r="BI93" s="590"/>
      <c r="BJ93" s="590"/>
      <c r="BK93" s="591"/>
      <c r="BL93" s="591"/>
      <c r="BM93" s="591"/>
      <c r="BN93" s="591"/>
      <c r="BO93" s="591"/>
      <c r="BP93" s="591"/>
      <c r="BQ93" s="591"/>
      <c r="BR93" s="591"/>
      <c r="BS93" s="591"/>
      <c r="BT93" s="591"/>
      <c r="BU93" s="591"/>
      <c r="BV93" s="591"/>
      <c r="BW93" s="591"/>
      <c r="BX93" s="591"/>
      <c r="BY93" s="591"/>
      <c r="BZ93" s="591"/>
      <c r="CA93" s="591"/>
      <c r="CB93" s="591"/>
      <c r="CC93" s="591"/>
      <c r="CD93" s="591"/>
      <c r="CE93" s="591"/>
      <c r="CF93" s="591"/>
    </row>
    <row r="94" spans="1:84">
      <c r="A94" s="590"/>
      <c r="B94" s="590"/>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0"/>
      <c r="AP94" s="590"/>
      <c r="AQ94" s="590"/>
      <c r="AR94" s="590"/>
      <c r="AS94" s="590"/>
      <c r="AT94" s="590"/>
      <c r="AU94" s="590"/>
      <c r="AV94" s="590"/>
      <c r="AW94" s="590"/>
      <c r="AX94" s="590"/>
      <c r="AY94" s="590"/>
      <c r="AZ94" s="590"/>
      <c r="BA94" s="590"/>
      <c r="BB94" s="590"/>
      <c r="BC94" s="590"/>
      <c r="BD94" s="590"/>
      <c r="BE94" s="590"/>
      <c r="BF94" s="590"/>
      <c r="BG94" s="590"/>
      <c r="BH94" s="590"/>
      <c r="BI94" s="590"/>
      <c r="BJ94" s="590"/>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row>
    <row r="95" spans="1:84">
      <c r="A95" s="590"/>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0"/>
      <c r="AP95" s="590"/>
      <c r="AQ95" s="590"/>
      <c r="AR95" s="590"/>
      <c r="AS95" s="590"/>
      <c r="AT95" s="590"/>
      <c r="AU95" s="590"/>
      <c r="AV95" s="590"/>
      <c r="AW95" s="590"/>
      <c r="AX95" s="590"/>
      <c r="AY95" s="590"/>
      <c r="AZ95" s="590"/>
      <c r="BA95" s="590"/>
      <c r="BB95" s="590"/>
      <c r="BC95" s="590"/>
      <c r="BD95" s="590"/>
      <c r="BE95" s="590"/>
      <c r="BF95" s="590"/>
      <c r="BG95" s="590"/>
      <c r="BH95" s="590"/>
      <c r="BI95" s="590"/>
      <c r="BJ95" s="590"/>
      <c r="BK95" s="591"/>
      <c r="BL95" s="591"/>
      <c r="BM95" s="591"/>
      <c r="BN95" s="591"/>
      <c r="BO95" s="591"/>
      <c r="BP95" s="591"/>
      <c r="BQ95" s="591"/>
      <c r="BR95" s="591"/>
      <c r="BS95" s="591"/>
      <c r="BT95" s="591"/>
      <c r="BU95" s="591"/>
      <c r="BV95" s="591"/>
      <c r="BW95" s="591"/>
      <c r="BX95" s="591"/>
      <c r="BY95" s="591"/>
      <c r="BZ95" s="591"/>
      <c r="CA95" s="591"/>
      <c r="CB95" s="591"/>
      <c r="CC95" s="591"/>
      <c r="CD95" s="591"/>
      <c r="CE95" s="591"/>
      <c r="CF95" s="591"/>
    </row>
    <row r="96" spans="1:84">
      <c r="A96" s="590"/>
      <c r="B96" s="590"/>
      <c r="C96" s="590"/>
      <c r="D96" s="590"/>
      <c r="E96" s="590"/>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0"/>
      <c r="AP96" s="590"/>
      <c r="AQ96" s="590"/>
      <c r="AR96" s="590"/>
      <c r="AS96" s="590"/>
      <c r="AT96" s="590"/>
      <c r="AU96" s="590"/>
      <c r="AV96" s="590"/>
      <c r="AW96" s="590"/>
      <c r="AX96" s="590"/>
      <c r="AY96" s="590"/>
      <c r="AZ96" s="590"/>
      <c r="BA96" s="590"/>
      <c r="BB96" s="590"/>
      <c r="BC96" s="590"/>
      <c r="BD96" s="590"/>
      <c r="BE96" s="590"/>
      <c r="BF96" s="590"/>
      <c r="BG96" s="590"/>
      <c r="BH96" s="590"/>
      <c r="BI96" s="590"/>
      <c r="BJ96" s="590"/>
      <c r="BK96" s="591"/>
      <c r="BL96" s="591"/>
      <c r="BM96" s="591"/>
      <c r="BN96" s="591"/>
      <c r="BO96" s="591"/>
      <c r="BP96" s="591"/>
      <c r="BQ96" s="591"/>
      <c r="BR96" s="591"/>
      <c r="BS96" s="591"/>
      <c r="BT96" s="591"/>
      <c r="BU96" s="591"/>
      <c r="BV96" s="591"/>
      <c r="BW96" s="591"/>
      <c r="BX96" s="591"/>
      <c r="BY96" s="591"/>
      <c r="BZ96" s="591"/>
      <c r="CA96" s="591"/>
      <c r="CB96" s="591"/>
      <c r="CC96" s="591"/>
      <c r="CD96" s="591"/>
      <c r="CE96" s="591"/>
      <c r="CF96" s="591"/>
    </row>
    <row r="97" spans="1:84">
      <c r="A97" s="590"/>
      <c r="B97" s="590"/>
      <c r="C97" s="590"/>
      <c r="D97" s="590"/>
      <c r="E97" s="590"/>
      <c r="F97" s="590"/>
      <c r="G97" s="590"/>
      <c r="H97" s="590"/>
      <c r="I97" s="590"/>
      <c r="J97" s="590"/>
      <c r="K97" s="590"/>
      <c r="L97" s="590"/>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0"/>
      <c r="AP97" s="590"/>
      <c r="AQ97" s="590"/>
      <c r="AR97" s="590"/>
      <c r="AS97" s="590"/>
      <c r="AT97" s="590"/>
      <c r="AU97" s="590"/>
      <c r="AV97" s="590"/>
      <c r="AW97" s="590"/>
      <c r="AX97" s="590"/>
      <c r="AY97" s="590"/>
      <c r="AZ97" s="590"/>
      <c r="BA97" s="590"/>
      <c r="BB97" s="590"/>
      <c r="BC97" s="590"/>
      <c r="BD97" s="590"/>
      <c r="BE97" s="590"/>
      <c r="BF97" s="590"/>
      <c r="BG97" s="590"/>
      <c r="BH97" s="590"/>
      <c r="BI97" s="590"/>
      <c r="BJ97" s="590"/>
      <c r="BK97" s="591"/>
      <c r="BL97" s="591"/>
      <c r="BM97" s="591"/>
      <c r="BN97" s="591"/>
      <c r="BO97" s="591"/>
      <c r="BP97" s="591"/>
      <c r="BQ97" s="591"/>
      <c r="BR97" s="591"/>
      <c r="BS97" s="591"/>
      <c r="BT97" s="591"/>
      <c r="BU97" s="591"/>
      <c r="BV97" s="591"/>
      <c r="BW97" s="591"/>
      <c r="BX97" s="591"/>
      <c r="BY97" s="591"/>
      <c r="BZ97" s="591"/>
      <c r="CA97" s="591"/>
      <c r="CB97" s="591"/>
      <c r="CC97" s="591"/>
      <c r="CD97" s="591"/>
      <c r="CE97" s="591"/>
      <c r="CF97" s="591"/>
    </row>
    <row r="98" spans="1:84">
      <c r="A98" s="590"/>
      <c r="B98" s="590"/>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0"/>
      <c r="AP98" s="590"/>
      <c r="AQ98" s="590"/>
      <c r="AR98" s="590"/>
      <c r="AS98" s="590"/>
      <c r="AT98" s="590"/>
      <c r="AU98" s="590"/>
      <c r="AV98" s="590"/>
      <c r="AW98" s="590"/>
      <c r="AX98" s="590"/>
      <c r="AY98" s="590"/>
      <c r="AZ98" s="590"/>
      <c r="BA98" s="590"/>
      <c r="BB98" s="590"/>
      <c r="BC98" s="590"/>
      <c r="BD98" s="590"/>
      <c r="BE98" s="590"/>
      <c r="BF98" s="590"/>
      <c r="BG98" s="590"/>
      <c r="BH98" s="590"/>
      <c r="BI98" s="590"/>
      <c r="BJ98" s="590"/>
      <c r="BK98" s="591"/>
      <c r="BL98" s="591"/>
      <c r="BM98" s="591"/>
      <c r="BN98" s="591"/>
      <c r="BO98" s="591"/>
      <c r="BP98" s="591"/>
      <c r="BQ98" s="591"/>
      <c r="BR98" s="591"/>
      <c r="BS98" s="591"/>
      <c r="BT98" s="591"/>
      <c r="BU98" s="591"/>
      <c r="BV98" s="591"/>
      <c r="BW98" s="591"/>
      <c r="BX98" s="591"/>
      <c r="BY98" s="591"/>
      <c r="BZ98" s="591"/>
      <c r="CA98" s="591"/>
      <c r="CB98" s="591"/>
      <c r="CC98" s="591"/>
      <c r="CD98" s="591"/>
      <c r="CE98" s="591"/>
      <c r="CF98" s="591"/>
    </row>
    <row r="99" spans="1:84">
      <c r="A99" s="590"/>
      <c r="B99" s="590"/>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1"/>
      <c r="BL99" s="591"/>
      <c r="BM99" s="591"/>
      <c r="BN99" s="591"/>
      <c r="BO99" s="591"/>
      <c r="BP99" s="591"/>
      <c r="BQ99" s="591"/>
      <c r="BR99" s="591"/>
      <c r="BS99" s="591"/>
      <c r="BT99" s="591"/>
      <c r="BU99" s="591"/>
      <c r="BV99" s="591"/>
      <c r="BW99" s="591"/>
      <c r="BX99" s="591"/>
      <c r="BY99" s="591"/>
      <c r="BZ99" s="591"/>
      <c r="CA99" s="591"/>
      <c r="CB99" s="591"/>
      <c r="CC99" s="591"/>
      <c r="CD99" s="591"/>
      <c r="CE99" s="591"/>
      <c r="CF99" s="591"/>
    </row>
    <row r="100" spans="1:84">
      <c r="A100" s="590"/>
      <c r="B100" s="590"/>
      <c r="C100" s="590"/>
      <c r="D100" s="590"/>
      <c r="E100" s="590"/>
      <c r="F100" s="590"/>
      <c r="G100" s="590"/>
      <c r="H100" s="590"/>
      <c r="I100" s="590"/>
      <c r="J100" s="590"/>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0"/>
      <c r="AP100" s="590"/>
      <c r="AQ100" s="590"/>
      <c r="AR100" s="590"/>
      <c r="AS100" s="590"/>
      <c r="AT100" s="590"/>
      <c r="AU100" s="590"/>
      <c r="AV100" s="590"/>
      <c r="AW100" s="590"/>
      <c r="AX100" s="590"/>
      <c r="AY100" s="590"/>
      <c r="AZ100" s="590"/>
      <c r="BA100" s="590"/>
      <c r="BB100" s="590"/>
      <c r="BC100" s="590"/>
      <c r="BD100" s="590"/>
      <c r="BE100" s="590"/>
      <c r="BF100" s="590"/>
      <c r="BG100" s="590"/>
      <c r="BH100" s="590"/>
      <c r="BI100" s="590"/>
      <c r="BJ100" s="590"/>
      <c r="BK100" s="591"/>
      <c r="BL100" s="591"/>
      <c r="BM100" s="591"/>
      <c r="BN100" s="591"/>
      <c r="BO100" s="591"/>
      <c r="BP100" s="591"/>
      <c r="BQ100" s="591"/>
      <c r="BR100" s="591"/>
      <c r="BS100" s="591"/>
      <c r="BT100" s="591"/>
      <c r="BU100" s="591"/>
      <c r="BV100" s="591"/>
      <c r="BW100" s="591"/>
      <c r="BX100" s="591"/>
      <c r="BY100" s="591"/>
      <c r="BZ100" s="591"/>
      <c r="CA100" s="591"/>
      <c r="CB100" s="591"/>
      <c r="CC100" s="591"/>
      <c r="CD100" s="591"/>
      <c r="CE100" s="591"/>
      <c r="CF100" s="591"/>
    </row>
    <row r="101" spans="1:84">
      <c r="A101" s="590"/>
      <c r="B101" s="590"/>
      <c r="C101" s="590"/>
      <c r="D101" s="590"/>
      <c r="E101" s="590"/>
      <c r="F101" s="590"/>
      <c r="G101" s="590"/>
      <c r="H101" s="590"/>
      <c r="I101" s="590"/>
      <c r="J101" s="590"/>
      <c r="K101" s="590"/>
      <c r="L101" s="590"/>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0"/>
      <c r="AP101" s="590"/>
      <c r="AQ101" s="590"/>
      <c r="AR101" s="590"/>
      <c r="AS101" s="590"/>
      <c r="AT101" s="590"/>
      <c r="AU101" s="590"/>
      <c r="AV101" s="590"/>
      <c r="AW101" s="590"/>
      <c r="AX101" s="590"/>
      <c r="AY101" s="590"/>
      <c r="AZ101" s="590"/>
      <c r="BA101" s="590"/>
      <c r="BB101" s="590"/>
      <c r="BC101" s="590"/>
      <c r="BD101" s="590"/>
      <c r="BE101" s="590"/>
      <c r="BF101" s="590"/>
      <c r="BG101" s="590"/>
      <c r="BH101" s="590"/>
      <c r="BI101" s="590"/>
      <c r="BJ101" s="590"/>
      <c r="BK101" s="591"/>
      <c r="BL101" s="591"/>
      <c r="BM101" s="591"/>
      <c r="BN101" s="591"/>
      <c r="BO101" s="591"/>
      <c r="BP101" s="591"/>
      <c r="BQ101" s="591"/>
      <c r="BR101" s="591"/>
      <c r="BS101" s="591"/>
      <c r="BT101" s="591"/>
      <c r="BU101" s="591"/>
      <c r="BV101" s="591"/>
      <c r="BW101" s="591"/>
      <c r="BX101" s="591"/>
      <c r="BY101" s="591"/>
      <c r="BZ101" s="591"/>
      <c r="CA101" s="591"/>
      <c r="CB101" s="591"/>
      <c r="CC101" s="591"/>
      <c r="CD101" s="591"/>
      <c r="CE101" s="591"/>
      <c r="CF101" s="591"/>
    </row>
    <row r="102" spans="1:84">
      <c r="A102" s="590"/>
      <c r="B102" s="590"/>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0"/>
      <c r="AP102" s="590"/>
      <c r="AQ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1"/>
      <c r="BL102" s="591"/>
      <c r="BM102" s="591"/>
      <c r="BN102" s="591"/>
      <c r="BO102" s="591"/>
      <c r="BP102" s="591"/>
      <c r="BQ102" s="591"/>
      <c r="BR102" s="591"/>
      <c r="BS102" s="591"/>
      <c r="BT102" s="591"/>
      <c r="BU102" s="591"/>
      <c r="BV102" s="591"/>
      <c r="BW102" s="591"/>
      <c r="BX102" s="591"/>
      <c r="BY102" s="591"/>
      <c r="BZ102" s="591"/>
      <c r="CA102" s="591"/>
      <c r="CB102" s="591"/>
      <c r="CC102" s="591"/>
      <c r="CD102" s="591"/>
      <c r="CE102" s="591"/>
      <c r="CF102" s="591"/>
    </row>
    <row r="103" spans="1:84">
      <c r="A103" s="590"/>
      <c r="B103" s="590"/>
      <c r="C103" s="590"/>
      <c r="D103" s="590"/>
      <c r="E103" s="590"/>
      <c r="F103" s="590"/>
      <c r="G103" s="590"/>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1"/>
      <c r="BL103" s="591"/>
      <c r="BM103" s="591"/>
      <c r="BN103" s="591"/>
      <c r="BO103" s="591"/>
      <c r="BP103" s="591"/>
      <c r="BQ103" s="591"/>
      <c r="BR103" s="591"/>
      <c r="BS103" s="591"/>
      <c r="BT103" s="591"/>
      <c r="BU103" s="591"/>
      <c r="BV103" s="591"/>
      <c r="BW103" s="591"/>
      <c r="BX103" s="591"/>
      <c r="BY103" s="591"/>
      <c r="BZ103" s="591"/>
      <c r="CA103" s="591"/>
      <c r="CB103" s="591"/>
      <c r="CC103" s="591"/>
      <c r="CD103" s="591"/>
      <c r="CE103" s="591"/>
      <c r="CF103" s="591"/>
    </row>
    <row r="104" spans="1:84">
      <c r="A104" s="590"/>
      <c r="B104" s="590"/>
      <c r="C104" s="590"/>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0"/>
      <c r="AP104" s="590"/>
      <c r="AQ104" s="590"/>
      <c r="AR104" s="590"/>
      <c r="AS104" s="590"/>
      <c r="AT104" s="590"/>
      <c r="AU104" s="590"/>
      <c r="AV104" s="590"/>
      <c r="AW104" s="590"/>
      <c r="AX104" s="590"/>
      <c r="AY104" s="590"/>
      <c r="AZ104" s="590"/>
      <c r="BA104" s="590"/>
      <c r="BB104" s="590"/>
      <c r="BC104" s="590"/>
      <c r="BD104" s="590"/>
      <c r="BE104" s="590"/>
      <c r="BF104" s="590"/>
      <c r="BG104" s="590"/>
      <c r="BH104" s="590"/>
      <c r="BI104" s="590"/>
      <c r="BJ104" s="590"/>
      <c r="BK104" s="591"/>
      <c r="BL104" s="591"/>
      <c r="BM104" s="591"/>
      <c r="BN104" s="591"/>
      <c r="BO104" s="591"/>
      <c r="BP104" s="591"/>
      <c r="BQ104" s="591"/>
      <c r="BR104" s="591"/>
      <c r="BS104" s="591"/>
      <c r="BT104" s="591"/>
      <c r="BU104" s="591"/>
      <c r="BV104" s="591"/>
      <c r="BW104" s="591"/>
      <c r="BX104" s="591"/>
      <c r="BY104" s="591"/>
      <c r="BZ104" s="591"/>
      <c r="CA104" s="591"/>
      <c r="CB104" s="591"/>
      <c r="CC104" s="591"/>
      <c r="CD104" s="591"/>
      <c r="CE104" s="591"/>
      <c r="CF104" s="591"/>
    </row>
    <row r="105" spans="1:84">
      <c r="A105" s="590"/>
      <c r="B105" s="590"/>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0"/>
      <c r="AP105" s="590"/>
      <c r="AQ105" s="590"/>
      <c r="AR105" s="590"/>
      <c r="AS105" s="590"/>
      <c r="AT105" s="590"/>
      <c r="AU105" s="590"/>
      <c r="AV105" s="590"/>
      <c r="AW105" s="590"/>
      <c r="AX105" s="590"/>
      <c r="AY105" s="590"/>
      <c r="AZ105" s="590"/>
      <c r="BA105" s="590"/>
      <c r="BB105" s="590"/>
      <c r="BC105" s="590"/>
      <c r="BD105" s="590"/>
      <c r="BE105" s="590"/>
      <c r="BF105" s="590"/>
      <c r="BG105" s="590"/>
      <c r="BH105" s="590"/>
      <c r="BI105" s="590"/>
      <c r="BJ105" s="590"/>
      <c r="BK105" s="591"/>
      <c r="BL105" s="591"/>
      <c r="BM105" s="591"/>
      <c r="BN105" s="591"/>
      <c r="BO105" s="591"/>
      <c r="BP105" s="591"/>
      <c r="BQ105" s="591"/>
      <c r="BR105" s="591"/>
      <c r="BS105" s="591"/>
      <c r="BT105" s="591"/>
      <c r="BU105" s="591"/>
      <c r="BV105" s="591"/>
      <c r="BW105" s="591"/>
      <c r="BX105" s="591"/>
      <c r="BY105" s="591"/>
      <c r="BZ105" s="591"/>
      <c r="CA105" s="591"/>
      <c r="CB105" s="591"/>
      <c r="CC105" s="591"/>
      <c r="CD105" s="591"/>
      <c r="CE105" s="591"/>
      <c r="CF105" s="591"/>
    </row>
    <row r="106" spans="1:84">
      <c r="A106" s="590"/>
      <c r="B106" s="590"/>
      <c r="C106" s="590"/>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0"/>
      <c r="AP106" s="590"/>
      <c r="AQ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1"/>
      <c r="BL106" s="591"/>
      <c r="BM106" s="591"/>
      <c r="BN106" s="591"/>
      <c r="BO106" s="591"/>
      <c r="BP106" s="591"/>
      <c r="BQ106" s="591"/>
      <c r="BR106" s="591"/>
      <c r="BS106" s="591"/>
      <c r="BT106" s="591"/>
      <c r="BU106" s="591"/>
      <c r="BV106" s="591"/>
      <c r="BW106" s="591"/>
      <c r="BX106" s="591"/>
      <c r="BY106" s="591"/>
      <c r="BZ106" s="591"/>
      <c r="CA106" s="591"/>
      <c r="CB106" s="591"/>
      <c r="CC106" s="591"/>
      <c r="CD106" s="591"/>
      <c r="CE106" s="591"/>
      <c r="CF106" s="591"/>
    </row>
    <row r="107" spans="1:84">
      <c r="A107" s="590"/>
      <c r="B107" s="590"/>
      <c r="C107" s="590"/>
      <c r="D107" s="590"/>
      <c r="E107" s="590"/>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0"/>
      <c r="AP107" s="590"/>
      <c r="AQ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1"/>
      <c r="BL107" s="591"/>
      <c r="BM107" s="591"/>
      <c r="BN107" s="591"/>
      <c r="BO107" s="591"/>
      <c r="BP107" s="591"/>
      <c r="BQ107" s="591"/>
      <c r="BR107" s="591"/>
      <c r="BS107" s="591"/>
      <c r="BT107" s="591"/>
      <c r="BU107" s="591"/>
      <c r="BV107" s="591"/>
      <c r="BW107" s="591"/>
      <c r="BX107" s="591"/>
      <c r="BY107" s="591"/>
      <c r="BZ107" s="591"/>
      <c r="CA107" s="591"/>
      <c r="CB107" s="591"/>
      <c r="CC107" s="591"/>
      <c r="CD107" s="591"/>
      <c r="CE107" s="591"/>
      <c r="CF107" s="591"/>
    </row>
    <row r="108" spans="1:84">
      <c r="A108" s="590"/>
      <c r="B108" s="590"/>
      <c r="C108" s="590"/>
      <c r="D108" s="590"/>
      <c r="E108" s="590"/>
      <c r="F108" s="590"/>
      <c r="G108" s="590"/>
      <c r="H108" s="590"/>
      <c r="I108" s="590"/>
      <c r="J108" s="590"/>
      <c r="K108" s="590"/>
      <c r="L108" s="590"/>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0"/>
      <c r="AP108" s="590"/>
      <c r="AQ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1"/>
      <c r="BL108" s="591"/>
      <c r="BM108" s="591"/>
      <c r="BN108" s="591"/>
      <c r="BO108" s="591"/>
      <c r="BP108" s="591"/>
      <c r="BQ108" s="591"/>
      <c r="BR108" s="591"/>
      <c r="BS108" s="591"/>
      <c r="BT108" s="591"/>
      <c r="BU108" s="591"/>
      <c r="BV108" s="591"/>
      <c r="BW108" s="591"/>
      <c r="BX108" s="591"/>
      <c r="BY108" s="591"/>
      <c r="BZ108" s="591"/>
      <c r="CA108" s="591"/>
      <c r="CB108" s="591"/>
      <c r="CC108" s="591"/>
      <c r="CD108" s="591"/>
      <c r="CE108" s="591"/>
      <c r="CF108" s="591"/>
    </row>
    <row r="109" spans="1:84">
      <c r="A109" s="590"/>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0"/>
      <c r="AP109" s="590"/>
      <c r="AQ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1"/>
      <c r="BL109" s="591"/>
      <c r="BM109" s="591"/>
      <c r="BN109" s="591"/>
      <c r="BO109" s="591"/>
      <c r="BP109" s="591"/>
      <c r="BQ109" s="591"/>
      <c r="BR109" s="591"/>
      <c r="BS109" s="591"/>
      <c r="BT109" s="591"/>
      <c r="BU109" s="591"/>
      <c r="BV109" s="591"/>
      <c r="BW109" s="591"/>
      <c r="BX109" s="591"/>
      <c r="BY109" s="591"/>
      <c r="BZ109" s="591"/>
      <c r="CA109" s="591"/>
      <c r="CB109" s="591"/>
      <c r="CC109" s="591"/>
      <c r="CD109" s="591"/>
      <c r="CE109" s="591"/>
      <c r="CF109" s="591"/>
    </row>
    <row r="110" spans="1:84">
      <c r="A110" s="590"/>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0"/>
      <c r="AP110" s="590"/>
      <c r="AQ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1"/>
      <c r="BL110" s="591"/>
      <c r="BM110" s="591"/>
      <c r="BN110" s="591"/>
      <c r="BO110" s="591"/>
      <c r="BP110" s="591"/>
      <c r="BQ110" s="591"/>
      <c r="BR110" s="591"/>
      <c r="BS110" s="591"/>
      <c r="BT110" s="591"/>
      <c r="BU110" s="591"/>
      <c r="BV110" s="591"/>
      <c r="BW110" s="591"/>
      <c r="BX110" s="591"/>
      <c r="BY110" s="591"/>
      <c r="BZ110" s="591"/>
      <c r="CA110" s="591"/>
      <c r="CB110" s="591"/>
      <c r="CC110" s="591"/>
      <c r="CD110" s="591"/>
      <c r="CE110" s="591"/>
      <c r="CF110" s="591"/>
    </row>
    <row r="111" spans="1:84">
      <c r="A111" s="590"/>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0"/>
      <c r="AP111" s="590"/>
      <c r="AQ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1"/>
      <c r="BL111" s="591"/>
      <c r="BM111" s="591"/>
      <c r="BN111" s="591"/>
      <c r="BO111" s="591"/>
      <c r="BP111" s="591"/>
      <c r="BQ111" s="591"/>
      <c r="BR111" s="591"/>
      <c r="BS111" s="591"/>
      <c r="BT111" s="591"/>
      <c r="BU111" s="591"/>
      <c r="BV111" s="591"/>
      <c r="BW111" s="591"/>
      <c r="BX111" s="591"/>
      <c r="BY111" s="591"/>
      <c r="BZ111" s="591"/>
      <c r="CA111" s="591"/>
      <c r="CB111" s="591"/>
      <c r="CC111" s="591"/>
      <c r="CD111" s="591"/>
      <c r="CE111" s="591"/>
      <c r="CF111" s="591"/>
    </row>
    <row r="112" spans="1:84">
      <c r="A112" s="590"/>
      <c r="B112" s="590"/>
      <c r="C112" s="590"/>
      <c r="D112" s="590"/>
      <c r="E112" s="590"/>
      <c r="F112" s="590"/>
      <c r="G112" s="590"/>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1"/>
      <c r="BL112" s="591"/>
      <c r="BM112" s="591"/>
      <c r="BN112" s="591"/>
      <c r="BO112" s="591"/>
      <c r="BP112" s="591"/>
      <c r="BQ112" s="591"/>
      <c r="BR112" s="591"/>
      <c r="BS112" s="591"/>
      <c r="BT112" s="591"/>
      <c r="BU112" s="591"/>
      <c r="BV112" s="591"/>
      <c r="BW112" s="591"/>
      <c r="BX112" s="591"/>
      <c r="BY112" s="591"/>
      <c r="BZ112" s="591"/>
      <c r="CA112" s="591"/>
      <c r="CB112" s="591"/>
      <c r="CC112" s="591"/>
      <c r="CD112" s="591"/>
      <c r="CE112" s="591"/>
      <c r="CF112" s="591"/>
    </row>
    <row r="113" spans="1:84">
      <c r="A113" s="590"/>
      <c r="B113" s="590"/>
      <c r="C113" s="590"/>
      <c r="D113" s="590"/>
      <c r="E113" s="590"/>
      <c r="F113" s="590"/>
      <c r="G113" s="590"/>
      <c r="H113" s="590"/>
      <c r="I113" s="590"/>
      <c r="J113" s="590"/>
      <c r="K113" s="590"/>
      <c r="L113" s="590"/>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0"/>
      <c r="AP113" s="590"/>
      <c r="AQ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1"/>
      <c r="BL113" s="591"/>
      <c r="BM113" s="591"/>
      <c r="BN113" s="591"/>
      <c r="BO113" s="591"/>
      <c r="BP113" s="591"/>
      <c r="BQ113" s="591"/>
      <c r="BR113" s="591"/>
      <c r="BS113" s="591"/>
      <c r="BT113" s="591"/>
      <c r="BU113" s="591"/>
      <c r="BV113" s="591"/>
      <c r="BW113" s="591"/>
      <c r="BX113" s="591"/>
      <c r="BY113" s="591"/>
      <c r="BZ113" s="591"/>
      <c r="CA113" s="591"/>
      <c r="CB113" s="591"/>
      <c r="CC113" s="591"/>
      <c r="CD113" s="591"/>
      <c r="CE113" s="591"/>
      <c r="CF113" s="591"/>
    </row>
    <row r="114" spans="1:84">
      <c r="A114" s="590"/>
      <c r="B114" s="590"/>
      <c r="C114" s="590"/>
      <c r="D114" s="590"/>
      <c r="E114" s="590"/>
      <c r="F114" s="590"/>
      <c r="G114" s="590"/>
      <c r="H114" s="590"/>
      <c r="I114" s="590"/>
      <c r="J114" s="590"/>
      <c r="K114" s="590"/>
      <c r="L114" s="590"/>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0"/>
      <c r="AP114" s="590"/>
      <c r="AQ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1"/>
      <c r="BL114" s="591"/>
      <c r="BM114" s="591"/>
      <c r="BN114" s="591"/>
      <c r="BO114" s="591"/>
      <c r="BP114" s="591"/>
      <c r="BQ114" s="591"/>
      <c r="BR114" s="591"/>
      <c r="BS114" s="591"/>
      <c r="BT114" s="591"/>
      <c r="BU114" s="591"/>
      <c r="BV114" s="591"/>
      <c r="BW114" s="591"/>
      <c r="BX114" s="591"/>
      <c r="BY114" s="591"/>
      <c r="BZ114" s="591"/>
      <c r="CA114" s="591"/>
      <c r="CB114" s="591"/>
      <c r="CC114" s="591"/>
      <c r="CD114" s="591"/>
      <c r="CE114" s="591"/>
      <c r="CF114" s="591"/>
    </row>
    <row r="115" spans="1:84">
      <c r="A115" s="590"/>
      <c r="B115" s="590"/>
      <c r="C115" s="590"/>
      <c r="D115" s="590"/>
      <c r="E115" s="590"/>
      <c r="F115" s="590"/>
      <c r="G115" s="590"/>
      <c r="H115" s="590"/>
      <c r="I115" s="590"/>
      <c r="J115" s="590"/>
      <c r="K115" s="590"/>
      <c r="L115" s="590"/>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0"/>
      <c r="AP115" s="590"/>
      <c r="AQ115" s="590"/>
      <c r="AR115" s="590"/>
      <c r="AS115" s="590"/>
      <c r="AT115" s="590"/>
      <c r="AU115" s="590"/>
      <c r="AV115" s="590"/>
      <c r="AW115" s="590"/>
      <c r="AX115" s="590"/>
      <c r="AY115" s="590"/>
      <c r="AZ115" s="590"/>
      <c r="BA115" s="590"/>
      <c r="BB115" s="590"/>
      <c r="BC115" s="590"/>
      <c r="BD115" s="590"/>
      <c r="BE115" s="590"/>
      <c r="BF115" s="590"/>
      <c r="BG115" s="590"/>
      <c r="BH115" s="590"/>
      <c r="BI115" s="590"/>
      <c r="BJ115" s="590"/>
      <c r="BK115" s="591"/>
      <c r="BL115" s="591"/>
      <c r="BM115" s="591"/>
      <c r="BN115" s="591"/>
      <c r="BO115" s="591"/>
      <c r="BP115" s="591"/>
      <c r="BQ115" s="591"/>
      <c r="BR115" s="591"/>
      <c r="BS115" s="591"/>
      <c r="BT115" s="591"/>
      <c r="BU115" s="591"/>
      <c r="BV115" s="591"/>
      <c r="BW115" s="591"/>
      <c r="BX115" s="591"/>
      <c r="BY115" s="591"/>
      <c r="BZ115" s="591"/>
      <c r="CA115" s="591"/>
      <c r="CB115" s="591"/>
      <c r="CC115" s="591"/>
      <c r="CD115" s="591"/>
      <c r="CE115" s="591"/>
      <c r="CF115" s="591"/>
    </row>
    <row r="116" spans="1:84">
      <c r="A116" s="590"/>
      <c r="B116" s="590"/>
      <c r="C116" s="590"/>
      <c r="D116" s="590"/>
      <c r="E116" s="590"/>
      <c r="F116" s="590"/>
      <c r="G116" s="590"/>
      <c r="H116" s="590"/>
      <c r="I116" s="590"/>
      <c r="J116" s="590"/>
      <c r="K116" s="590"/>
      <c r="L116" s="590"/>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0"/>
      <c r="AP116" s="590"/>
      <c r="AQ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1"/>
      <c r="BL116" s="591"/>
      <c r="BM116" s="591"/>
      <c r="BN116" s="591"/>
      <c r="BO116" s="591"/>
      <c r="BP116" s="591"/>
      <c r="BQ116" s="591"/>
      <c r="BR116" s="591"/>
      <c r="BS116" s="591"/>
      <c r="BT116" s="591"/>
      <c r="BU116" s="591"/>
      <c r="BV116" s="591"/>
      <c r="BW116" s="591"/>
      <c r="BX116" s="591"/>
      <c r="BY116" s="591"/>
      <c r="BZ116" s="591"/>
      <c r="CA116" s="591"/>
      <c r="CB116" s="591"/>
      <c r="CC116" s="591"/>
      <c r="CD116" s="591"/>
      <c r="CE116" s="591"/>
      <c r="CF116" s="591"/>
    </row>
    <row r="117" spans="1:84">
      <c r="A117" s="590"/>
      <c r="B117" s="590"/>
      <c r="C117" s="590"/>
      <c r="D117" s="590"/>
      <c r="E117" s="590"/>
      <c r="F117" s="590"/>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0"/>
      <c r="AP117" s="590"/>
      <c r="AQ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1"/>
      <c r="BL117" s="591"/>
      <c r="BM117" s="591"/>
      <c r="BN117" s="591"/>
      <c r="BO117" s="591"/>
      <c r="BP117" s="591"/>
      <c r="BQ117" s="591"/>
      <c r="BR117" s="591"/>
      <c r="BS117" s="591"/>
      <c r="BT117" s="591"/>
      <c r="BU117" s="591"/>
      <c r="BV117" s="591"/>
      <c r="BW117" s="591"/>
      <c r="BX117" s="591"/>
      <c r="BY117" s="591"/>
      <c r="BZ117" s="591"/>
      <c r="CA117" s="591"/>
      <c r="CB117" s="591"/>
      <c r="CC117" s="591"/>
      <c r="CD117" s="591"/>
      <c r="CE117" s="591"/>
      <c r="CF117" s="591"/>
    </row>
    <row r="118" spans="1:84">
      <c r="A118" s="590"/>
      <c r="B118" s="590"/>
      <c r="C118" s="590"/>
      <c r="D118" s="590"/>
      <c r="E118" s="590"/>
      <c r="F118" s="590"/>
      <c r="G118" s="590"/>
      <c r="H118" s="590"/>
      <c r="I118" s="590"/>
      <c r="J118" s="590"/>
      <c r="K118" s="590"/>
      <c r="L118" s="590"/>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0"/>
      <c r="AP118" s="590"/>
      <c r="AQ118" s="590"/>
      <c r="AR118" s="590"/>
      <c r="AS118" s="590"/>
      <c r="AT118" s="590"/>
      <c r="AU118" s="590"/>
      <c r="AV118" s="590"/>
      <c r="AW118" s="590"/>
      <c r="AX118" s="590"/>
      <c r="AY118" s="590"/>
      <c r="AZ118" s="590"/>
      <c r="BA118" s="590"/>
      <c r="BB118" s="590"/>
      <c r="BC118" s="590"/>
      <c r="BD118" s="590"/>
      <c r="BE118" s="590"/>
      <c r="BF118" s="590"/>
      <c r="BG118" s="590"/>
      <c r="BH118" s="590"/>
      <c r="BI118" s="590"/>
      <c r="BJ118" s="590"/>
      <c r="BK118" s="591"/>
      <c r="BL118" s="591"/>
      <c r="BM118" s="591"/>
      <c r="BN118" s="591"/>
      <c r="BO118" s="591"/>
      <c r="BP118" s="591"/>
      <c r="BQ118" s="591"/>
      <c r="BR118" s="591"/>
      <c r="BS118" s="591"/>
      <c r="BT118" s="591"/>
      <c r="BU118" s="591"/>
      <c r="BV118" s="591"/>
      <c r="BW118" s="591"/>
      <c r="BX118" s="591"/>
      <c r="BY118" s="591"/>
      <c r="BZ118" s="591"/>
      <c r="CA118" s="591"/>
      <c r="CB118" s="591"/>
      <c r="CC118" s="591"/>
      <c r="CD118" s="591"/>
      <c r="CE118" s="591"/>
      <c r="CF118" s="591"/>
    </row>
    <row r="119" spans="1:84">
      <c r="A119" s="590"/>
      <c r="B119" s="590"/>
      <c r="C119" s="590"/>
      <c r="D119" s="590"/>
      <c r="E119" s="590"/>
      <c r="F119" s="590"/>
      <c r="G119" s="590"/>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1"/>
      <c r="BL119" s="591"/>
      <c r="BM119" s="591"/>
      <c r="BN119" s="591"/>
      <c r="BO119" s="591"/>
      <c r="BP119" s="591"/>
      <c r="BQ119" s="591"/>
      <c r="BR119" s="591"/>
      <c r="BS119" s="591"/>
      <c r="BT119" s="591"/>
      <c r="BU119" s="591"/>
      <c r="BV119" s="591"/>
      <c r="BW119" s="591"/>
      <c r="BX119" s="591"/>
      <c r="BY119" s="591"/>
      <c r="BZ119" s="591"/>
      <c r="CA119" s="591"/>
      <c r="CB119" s="591"/>
      <c r="CC119" s="591"/>
      <c r="CD119" s="591"/>
      <c r="CE119" s="591"/>
      <c r="CF119" s="591"/>
    </row>
    <row r="120" spans="1:84">
      <c r="A120" s="590"/>
      <c r="B120" s="590"/>
      <c r="C120" s="590"/>
      <c r="D120" s="590"/>
      <c r="E120" s="590"/>
      <c r="F120" s="590"/>
      <c r="G120" s="590"/>
      <c r="H120" s="590"/>
      <c r="I120" s="590"/>
      <c r="J120" s="590"/>
      <c r="K120" s="590"/>
      <c r="L120" s="590"/>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1"/>
      <c r="BL120" s="591"/>
      <c r="BM120" s="591"/>
      <c r="BN120" s="591"/>
      <c r="BO120" s="591"/>
      <c r="BP120" s="591"/>
      <c r="BQ120" s="591"/>
      <c r="BR120" s="591"/>
      <c r="BS120" s="591"/>
      <c r="BT120" s="591"/>
      <c r="BU120" s="591"/>
      <c r="BV120" s="591"/>
      <c r="BW120" s="591"/>
      <c r="BX120" s="591"/>
      <c r="BY120" s="591"/>
      <c r="BZ120" s="591"/>
      <c r="CA120" s="591"/>
      <c r="CB120" s="591"/>
      <c r="CC120" s="591"/>
      <c r="CD120" s="591"/>
      <c r="CE120" s="591"/>
      <c r="CF120" s="591"/>
    </row>
    <row r="121" spans="1:84">
      <c r="A121" s="590"/>
      <c r="B121" s="590"/>
      <c r="C121" s="590"/>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1"/>
      <c r="BL121" s="591"/>
      <c r="BM121" s="591"/>
      <c r="BN121" s="591"/>
      <c r="BO121" s="591"/>
      <c r="BP121" s="591"/>
      <c r="BQ121" s="591"/>
      <c r="BR121" s="591"/>
      <c r="BS121" s="591"/>
      <c r="BT121" s="591"/>
      <c r="BU121" s="591"/>
      <c r="BV121" s="591"/>
      <c r="BW121" s="591"/>
      <c r="BX121" s="591"/>
      <c r="BY121" s="591"/>
      <c r="BZ121" s="591"/>
      <c r="CA121" s="591"/>
      <c r="CB121" s="591"/>
      <c r="CC121" s="591"/>
      <c r="CD121" s="591"/>
      <c r="CE121" s="591"/>
      <c r="CF121" s="591"/>
    </row>
    <row r="122" spans="1:84">
      <c r="A122" s="590"/>
      <c r="B122" s="590"/>
      <c r="C122" s="590"/>
      <c r="D122" s="590"/>
      <c r="E122" s="590"/>
      <c r="F122" s="590"/>
      <c r="G122" s="590"/>
      <c r="H122" s="590"/>
      <c r="I122" s="590"/>
      <c r="J122" s="590"/>
      <c r="K122" s="590"/>
      <c r="L122" s="590"/>
      <c r="M122" s="590"/>
      <c r="N122" s="590"/>
      <c r="O122" s="590"/>
      <c r="P122" s="590"/>
      <c r="Q122" s="590"/>
      <c r="R122" s="590"/>
      <c r="S122" s="590"/>
      <c r="T122" s="590"/>
      <c r="U122" s="590"/>
      <c r="V122" s="590"/>
      <c r="W122" s="590"/>
      <c r="X122" s="590"/>
      <c r="Y122" s="590"/>
      <c r="Z122" s="590"/>
      <c r="AA122" s="590"/>
      <c r="AB122" s="590"/>
      <c r="AC122" s="590"/>
      <c r="AD122" s="590"/>
      <c r="AE122" s="590"/>
      <c r="AF122" s="590"/>
      <c r="AG122" s="590"/>
      <c r="AH122" s="590"/>
      <c r="AI122" s="590"/>
      <c r="AJ122" s="590"/>
      <c r="AK122" s="590"/>
      <c r="AL122" s="590"/>
      <c r="AM122" s="590"/>
      <c r="AN122" s="590"/>
      <c r="AO122" s="590"/>
      <c r="AP122" s="590"/>
      <c r="AQ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1"/>
      <c r="BL122" s="591"/>
      <c r="BM122" s="591"/>
      <c r="BN122" s="591"/>
      <c r="BO122" s="591"/>
      <c r="BP122" s="591"/>
      <c r="BQ122" s="591"/>
      <c r="BR122" s="591"/>
      <c r="BS122" s="591"/>
      <c r="BT122" s="591"/>
      <c r="BU122" s="591"/>
      <c r="BV122" s="591"/>
      <c r="BW122" s="591"/>
      <c r="BX122" s="591"/>
      <c r="BY122" s="591"/>
      <c r="BZ122" s="591"/>
      <c r="CA122" s="591"/>
      <c r="CB122" s="591"/>
      <c r="CC122" s="591"/>
      <c r="CD122" s="591"/>
      <c r="CE122" s="591"/>
      <c r="CF122" s="591"/>
    </row>
    <row r="123" spans="1:84">
      <c r="A123" s="590"/>
      <c r="B123" s="590"/>
      <c r="C123" s="590"/>
      <c r="D123" s="590"/>
      <c r="E123" s="590"/>
      <c r="F123" s="590"/>
      <c r="G123" s="590"/>
      <c r="H123" s="590"/>
      <c r="I123" s="590"/>
      <c r="J123" s="590"/>
      <c r="K123" s="590"/>
      <c r="L123" s="590"/>
      <c r="M123" s="590"/>
      <c r="N123" s="590"/>
      <c r="O123" s="590"/>
      <c r="P123" s="590"/>
      <c r="Q123" s="590"/>
      <c r="R123" s="590"/>
      <c r="S123" s="590"/>
      <c r="T123" s="590"/>
      <c r="U123" s="590"/>
      <c r="V123" s="590"/>
      <c r="W123" s="590"/>
      <c r="X123" s="590"/>
      <c r="Y123" s="590"/>
      <c r="Z123" s="590"/>
      <c r="AA123" s="590"/>
      <c r="AB123" s="590"/>
      <c r="AC123" s="590"/>
      <c r="AD123" s="590"/>
      <c r="AE123" s="590"/>
      <c r="AF123" s="590"/>
      <c r="AG123" s="590"/>
      <c r="AH123" s="590"/>
      <c r="AI123" s="590"/>
      <c r="AJ123" s="590"/>
      <c r="AK123" s="590"/>
      <c r="AL123" s="590"/>
      <c r="AM123" s="590"/>
      <c r="AN123" s="590"/>
      <c r="AO123" s="590"/>
      <c r="AP123" s="590"/>
      <c r="AQ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1"/>
      <c r="BL123" s="591"/>
      <c r="BM123" s="591"/>
      <c r="BN123" s="591"/>
      <c r="BO123" s="591"/>
      <c r="BP123" s="591"/>
      <c r="BQ123" s="591"/>
      <c r="BR123" s="591"/>
      <c r="BS123" s="591"/>
      <c r="BT123" s="591"/>
      <c r="BU123" s="591"/>
      <c r="BV123" s="591"/>
      <c r="BW123" s="591"/>
      <c r="BX123" s="591"/>
      <c r="BY123" s="591"/>
      <c r="BZ123" s="591"/>
      <c r="CA123" s="591"/>
      <c r="CB123" s="591"/>
      <c r="CC123" s="591"/>
      <c r="CD123" s="591"/>
      <c r="CE123" s="591"/>
      <c r="CF123" s="591"/>
    </row>
    <row r="124" spans="1:84">
      <c r="A124" s="590"/>
      <c r="B124" s="590"/>
      <c r="C124" s="590"/>
      <c r="D124" s="590"/>
      <c r="E124" s="590"/>
      <c r="F124" s="590"/>
      <c r="G124" s="590"/>
      <c r="H124" s="590"/>
      <c r="I124" s="590"/>
      <c r="J124" s="590"/>
      <c r="K124" s="590"/>
      <c r="L124" s="590"/>
      <c r="M124" s="590"/>
      <c r="N124" s="590"/>
      <c r="O124" s="590"/>
      <c r="P124" s="590"/>
      <c r="Q124" s="590"/>
      <c r="R124" s="590"/>
      <c r="S124" s="590"/>
      <c r="T124" s="590"/>
      <c r="U124" s="590"/>
      <c r="V124" s="590"/>
      <c r="W124" s="590"/>
      <c r="X124" s="590"/>
      <c r="Y124" s="590"/>
      <c r="Z124" s="590"/>
      <c r="AA124" s="590"/>
      <c r="AB124" s="590"/>
      <c r="AC124" s="590"/>
      <c r="AD124" s="590"/>
      <c r="AE124" s="590"/>
      <c r="AF124" s="590"/>
      <c r="AG124" s="590"/>
      <c r="AH124" s="590"/>
      <c r="AI124" s="590"/>
      <c r="AJ124" s="590"/>
      <c r="AK124" s="590"/>
      <c r="AL124" s="590"/>
      <c r="AM124" s="590"/>
      <c r="AN124" s="590"/>
      <c r="AO124" s="590"/>
      <c r="AP124" s="590"/>
      <c r="AQ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1"/>
      <c r="BL124" s="591"/>
      <c r="BM124" s="591"/>
      <c r="BN124" s="591"/>
      <c r="BO124" s="591"/>
      <c r="BP124" s="591"/>
      <c r="BQ124" s="591"/>
      <c r="BR124" s="591"/>
      <c r="BS124" s="591"/>
      <c r="BT124" s="591"/>
      <c r="BU124" s="591"/>
      <c r="BV124" s="591"/>
      <c r="BW124" s="591"/>
      <c r="BX124" s="591"/>
      <c r="BY124" s="591"/>
      <c r="BZ124" s="591"/>
      <c r="CA124" s="591"/>
      <c r="CB124" s="591"/>
      <c r="CC124" s="591"/>
      <c r="CD124" s="591"/>
      <c r="CE124" s="591"/>
      <c r="CF124" s="591"/>
    </row>
    <row r="125" spans="1:84">
      <c r="A125" s="590"/>
      <c r="B125" s="590"/>
      <c r="C125" s="590"/>
      <c r="D125" s="590"/>
      <c r="E125" s="590"/>
      <c r="F125" s="590"/>
      <c r="G125" s="590"/>
      <c r="H125" s="590"/>
      <c r="I125" s="590"/>
      <c r="J125" s="590"/>
      <c r="K125" s="590"/>
      <c r="L125" s="590"/>
      <c r="M125" s="590"/>
      <c r="N125" s="590"/>
      <c r="O125" s="590"/>
      <c r="P125" s="590"/>
      <c r="Q125" s="590"/>
      <c r="R125" s="590"/>
      <c r="S125" s="590"/>
      <c r="T125" s="590"/>
      <c r="U125" s="590"/>
      <c r="V125" s="590"/>
      <c r="W125" s="590"/>
      <c r="X125" s="590"/>
      <c r="Y125" s="590"/>
      <c r="Z125" s="590"/>
      <c r="AA125" s="590"/>
      <c r="AB125" s="590"/>
      <c r="AC125" s="590"/>
      <c r="AD125" s="590"/>
      <c r="AE125" s="590"/>
      <c r="AF125" s="590"/>
      <c r="AG125" s="590"/>
      <c r="AH125" s="590"/>
      <c r="AI125" s="590"/>
      <c r="AJ125" s="590"/>
      <c r="AK125" s="590"/>
      <c r="AL125" s="590"/>
      <c r="AM125" s="590"/>
      <c r="AN125" s="590"/>
      <c r="AO125" s="590"/>
      <c r="AP125" s="590"/>
      <c r="AQ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1"/>
      <c r="BL125" s="591"/>
      <c r="BM125" s="591"/>
      <c r="BN125" s="591"/>
      <c r="BO125" s="591"/>
      <c r="BP125" s="591"/>
      <c r="BQ125" s="591"/>
      <c r="BR125" s="591"/>
      <c r="BS125" s="591"/>
      <c r="BT125" s="591"/>
      <c r="BU125" s="591"/>
      <c r="BV125" s="591"/>
      <c r="BW125" s="591"/>
      <c r="BX125" s="591"/>
      <c r="BY125" s="591"/>
      <c r="BZ125" s="591"/>
      <c r="CA125" s="591"/>
      <c r="CB125" s="591"/>
      <c r="CC125" s="591"/>
      <c r="CD125" s="591"/>
      <c r="CE125" s="591"/>
      <c r="CF125" s="591"/>
    </row>
    <row r="126" spans="1:84">
      <c r="A126" s="590"/>
      <c r="B126" s="590"/>
      <c r="C126" s="590"/>
      <c r="D126" s="590"/>
      <c r="E126" s="590"/>
      <c r="F126" s="590"/>
      <c r="G126" s="590"/>
      <c r="H126" s="590"/>
      <c r="I126" s="590"/>
      <c r="J126" s="590"/>
      <c r="K126" s="590"/>
      <c r="L126" s="590"/>
      <c r="M126" s="590"/>
      <c r="N126" s="590"/>
      <c r="O126" s="590"/>
      <c r="P126" s="590"/>
      <c r="Q126" s="590"/>
      <c r="R126" s="590"/>
      <c r="S126" s="590"/>
      <c r="T126" s="590"/>
      <c r="U126" s="590"/>
      <c r="V126" s="590"/>
      <c r="W126" s="590"/>
      <c r="X126" s="590"/>
      <c r="Y126" s="590"/>
      <c r="Z126" s="590"/>
      <c r="AA126" s="590"/>
      <c r="AB126" s="590"/>
      <c r="AC126" s="590"/>
      <c r="AD126" s="590"/>
      <c r="AE126" s="590"/>
      <c r="AF126" s="590"/>
      <c r="AG126" s="590"/>
      <c r="AH126" s="590"/>
      <c r="AI126" s="590"/>
      <c r="AJ126" s="590"/>
      <c r="AK126" s="590"/>
      <c r="AL126" s="590"/>
      <c r="AM126" s="590"/>
      <c r="AN126" s="590"/>
      <c r="AO126" s="590"/>
      <c r="AP126" s="590"/>
      <c r="AQ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1"/>
      <c r="BL126" s="591"/>
      <c r="BM126" s="591"/>
      <c r="BN126" s="591"/>
      <c r="BO126" s="591"/>
      <c r="BP126" s="591"/>
      <c r="BQ126" s="591"/>
      <c r="BR126" s="591"/>
      <c r="BS126" s="591"/>
      <c r="BT126" s="591"/>
      <c r="BU126" s="591"/>
      <c r="BV126" s="591"/>
      <c r="BW126" s="591"/>
      <c r="BX126" s="591"/>
      <c r="BY126" s="591"/>
      <c r="BZ126" s="591"/>
      <c r="CA126" s="591"/>
      <c r="CB126" s="591"/>
      <c r="CC126" s="591"/>
      <c r="CD126" s="591"/>
      <c r="CE126" s="591"/>
      <c r="CF126" s="591"/>
    </row>
    <row r="127" spans="1:84">
      <c r="A127" s="590"/>
      <c r="B127" s="590"/>
      <c r="C127" s="590"/>
      <c r="D127" s="590"/>
      <c r="E127" s="590"/>
      <c r="F127" s="590"/>
      <c r="G127" s="590"/>
      <c r="H127" s="590"/>
      <c r="I127" s="590"/>
      <c r="J127" s="590"/>
      <c r="K127" s="590"/>
      <c r="L127" s="590"/>
      <c r="M127" s="590"/>
      <c r="N127" s="590"/>
      <c r="O127" s="590"/>
      <c r="P127" s="590"/>
      <c r="Q127" s="590"/>
      <c r="R127" s="590"/>
      <c r="S127" s="590"/>
      <c r="T127" s="590"/>
      <c r="U127" s="590"/>
      <c r="V127" s="590"/>
      <c r="W127" s="590"/>
      <c r="X127" s="590"/>
      <c r="Y127" s="590"/>
      <c r="Z127" s="590"/>
      <c r="AA127" s="590"/>
      <c r="AB127" s="590"/>
      <c r="AC127" s="590"/>
      <c r="AD127" s="590"/>
      <c r="AE127" s="590"/>
      <c r="AF127" s="590"/>
      <c r="AG127" s="590"/>
      <c r="AH127" s="590"/>
      <c r="AI127" s="590"/>
      <c r="AJ127" s="590"/>
      <c r="AK127" s="590"/>
      <c r="AL127" s="590"/>
      <c r="AM127" s="590"/>
      <c r="AN127" s="590"/>
      <c r="AO127" s="590"/>
      <c r="AP127" s="590"/>
      <c r="AQ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1"/>
      <c r="BL127" s="591"/>
      <c r="BM127" s="591"/>
      <c r="BN127" s="591"/>
      <c r="BO127" s="591"/>
      <c r="BP127" s="591"/>
      <c r="BQ127" s="591"/>
      <c r="BR127" s="591"/>
      <c r="BS127" s="591"/>
      <c r="BT127" s="591"/>
      <c r="BU127" s="591"/>
      <c r="BV127" s="591"/>
      <c r="BW127" s="591"/>
      <c r="BX127" s="591"/>
      <c r="BY127" s="591"/>
      <c r="BZ127" s="591"/>
      <c r="CA127" s="591"/>
      <c r="CB127" s="591"/>
      <c r="CC127" s="591"/>
      <c r="CD127" s="591"/>
      <c r="CE127" s="591"/>
      <c r="CF127" s="591"/>
    </row>
    <row r="128" spans="1:84">
      <c r="A128" s="590"/>
      <c r="B128" s="590"/>
      <c r="C128" s="590"/>
      <c r="D128" s="590"/>
      <c r="E128" s="590"/>
      <c r="F128" s="590"/>
      <c r="G128" s="590"/>
      <c r="H128" s="590"/>
      <c r="I128" s="590"/>
      <c r="J128" s="590"/>
      <c r="K128" s="590"/>
      <c r="L128" s="590"/>
      <c r="M128" s="590"/>
      <c r="N128" s="590"/>
      <c r="O128" s="590"/>
      <c r="P128" s="590"/>
      <c r="Q128" s="590"/>
      <c r="R128" s="590"/>
      <c r="S128" s="590"/>
      <c r="T128" s="590"/>
      <c r="U128" s="590"/>
      <c r="V128" s="590"/>
      <c r="W128" s="590"/>
      <c r="X128" s="590"/>
      <c r="Y128" s="590"/>
      <c r="Z128" s="590"/>
      <c r="AA128" s="590"/>
      <c r="AB128" s="590"/>
      <c r="AC128" s="590"/>
      <c r="AD128" s="590"/>
      <c r="AE128" s="590"/>
      <c r="AF128" s="590"/>
      <c r="AG128" s="590"/>
      <c r="AH128" s="590"/>
      <c r="AI128" s="590"/>
      <c r="AJ128" s="590"/>
      <c r="AK128" s="590"/>
      <c r="AL128" s="590"/>
      <c r="AM128" s="590"/>
      <c r="AN128" s="590"/>
      <c r="AO128" s="590"/>
      <c r="AP128" s="590"/>
      <c r="AQ128" s="590"/>
      <c r="AR128" s="590"/>
      <c r="AS128" s="590"/>
      <c r="AT128" s="590"/>
      <c r="AU128" s="590"/>
      <c r="AV128" s="590"/>
      <c r="AW128" s="590"/>
      <c r="AX128" s="590"/>
      <c r="AY128" s="590"/>
      <c r="AZ128" s="590"/>
      <c r="BA128" s="590"/>
      <c r="BB128" s="590"/>
      <c r="BC128" s="590"/>
      <c r="BD128" s="590"/>
      <c r="BE128" s="590"/>
      <c r="BF128" s="590"/>
      <c r="BG128" s="590"/>
      <c r="BH128" s="590"/>
      <c r="BI128" s="590"/>
      <c r="BJ128" s="590"/>
      <c r="BK128" s="591"/>
      <c r="BL128" s="591"/>
      <c r="BM128" s="591"/>
      <c r="BN128" s="591"/>
      <c r="BO128" s="591"/>
      <c r="BP128" s="591"/>
      <c r="BQ128" s="591"/>
      <c r="BR128" s="591"/>
      <c r="BS128" s="591"/>
      <c r="BT128" s="591"/>
      <c r="BU128" s="591"/>
      <c r="BV128" s="591"/>
      <c r="BW128" s="591"/>
      <c r="BX128" s="591"/>
      <c r="BY128" s="591"/>
      <c r="BZ128" s="591"/>
      <c r="CA128" s="591"/>
      <c r="CB128" s="591"/>
      <c r="CC128" s="591"/>
      <c r="CD128" s="591"/>
      <c r="CE128" s="591"/>
      <c r="CF128" s="591"/>
    </row>
    <row r="129" spans="1:84">
      <c r="A129" s="590"/>
      <c r="B129" s="590"/>
      <c r="C129" s="590"/>
      <c r="D129" s="590"/>
      <c r="E129" s="590"/>
      <c r="F129" s="590"/>
      <c r="G129" s="590"/>
      <c r="H129" s="590"/>
      <c r="I129" s="590"/>
      <c r="J129" s="590"/>
      <c r="K129" s="590"/>
      <c r="L129" s="590"/>
      <c r="M129" s="590"/>
      <c r="N129" s="590"/>
      <c r="O129" s="590"/>
      <c r="P129" s="590"/>
      <c r="Q129" s="590"/>
      <c r="R129" s="590"/>
      <c r="S129" s="590"/>
      <c r="T129" s="590"/>
      <c r="U129" s="590"/>
      <c r="V129" s="590"/>
      <c r="W129" s="590"/>
      <c r="X129" s="590"/>
      <c r="Y129" s="590"/>
      <c r="Z129" s="590"/>
      <c r="AA129" s="590"/>
      <c r="AB129" s="590"/>
      <c r="AC129" s="590"/>
      <c r="AD129" s="590"/>
      <c r="AE129" s="590"/>
      <c r="AF129" s="590"/>
      <c r="AG129" s="590"/>
      <c r="AH129" s="590"/>
      <c r="AI129" s="590"/>
      <c r="AJ129" s="590"/>
      <c r="AK129" s="590"/>
      <c r="AL129" s="590"/>
      <c r="AM129" s="590"/>
      <c r="AN129" s="590"/>
      <c r="AO129" s="590"/>
      <c r="AP129" s="590"/>
      <c r="AQ129" s="590"/>
      <c r="AR129" s="590"/>
      <c r="AS129" s="590"/>
      <c r="AT129" s="590"/>
      <c r="AU129" s="590"/>
      <c r="AV129" s="590"/>
      <c r="AW129" s="590"/>
      <c r="AX129" s="590"/>
      <c r="AY129" s="590"/>
      <c r="AZ129" s="590"/>
      <c r="BA129" s="590"/>
      <c r="BB129" s="590"/>
      <c r="BC129" s="590"/>
      <c r="BD129" s="590"/>
      <c r="BE129" s="590"/>
      <c r="BF129" s="590"/>
      <c r="BG129" s="590"/>
      <c r="BH129" s="590"/>
      <c r="BI129" s="590"/>
      <c r="BJ129" s="590"/>
      <c r="BK129" s="591"/>
      <c r="BL129" s="591"/>
      <c r="BM129" s="591"/>
      <c r="BN129" s="591"/>
      <c r="BO129" s="591"/>
      <c r="BP129" s="591"/>
      <c r="BQ129" s="591"/>
      <c r="BR129" s="591"/>
      <c r="BS129" s="591"/>
      <c r="BT129" s="591"/>
      <c r="BU129" s="591"/>
      <c r="BV129" s="591"/>
      <c r="BW129" s="591"/>
      <c r="BX129" s="591"/>
      <c r="BY129" s="591"/>
      <c r="BZ129" s="591"/>
      <c r="CA129" s="591"/>
      <c r="CB129" s="591"/>
      <c r="CC129" s="591"/>
      <c r="CD129" s="591"/>
      <c r="CE129" s="591"/>
      <c r="CF129" s="591"/>
    </row>
    <row r="130" spans="1:84">
      <c r="A130" s="590"/>
      <c r="B130" s="590"/>
      <c r="C130" s="590"/>
      <c r="D130" s="590"/>
      <c r="E130" s="590"/>
      <c r="F130" s="590"/>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0"/>
      <c r="AQ130" s="590"/>
      <c r="AR130" s="590"/>
      <c r="AS130" s="590"/>
      <c r="AT130" s="590"/>
      <c r="AU130" s="590"/>
      <c r="AV130" s="590"/>
      <c r="AW130" s="590"/>
      <c r="AX130" s="590"/>
      <c r="AY130" s="590"/>
      <c r="AZ130" s="590"/>
      <c r="BA130" s="590"/>
      <c r="BB130" s="590"/>
      <c r="BC130" s="590"/>
      <c r="BD130" s="590"/>
      <c r="BE130" s="590"/>
      <c r="BF130" s="590"/>
      <c r="BG130" s="590"/>
      <c r="BH130" s="590"/>
      <c r="BI130" s="590"/>
      <c r="BJ130" s="590"/>
      <c r="BK130" s="591"/>
      <c r="BL130" s="591"/>
      <c r="BM130" s="591"/>
      <c r="BN130" s="591"/>
      <c r="BO130" s="591"/>
      <c r="BP130" s="591"/>
      <c r="BQ130" s="591"/>
      <c r="BR130" s="591"/>
      <c r="BS130" s="591"/>
      <c r="BT130" s="591"/>
      <c r="BU130" s="591"/>
      <c r="BV130" s="591"/>
      <c r="BW130" s="591"/>
      <c r="BX130" s="591"/>
      <c r="BY130" s="591"/>
      <c r="BZ130" s="591"/>
      <c r="CA130" s="591"/>
      <c r="CB130" s="591"/>
      <c r="CC130" s="591"/>
      <c r="CD130" s="591"/>
      <c r="CE130" s="591"/>
      <c r="CF130" s="591"/>
    </row>
    <row r="131" spans="1:84">
      <c r="A131" s="590"/>
      <c r="B131" s="590"/>
      <c r="C131" s="590"/>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1"/>
      <c r="BL131" s="591"/>
      <c r="BM131" s="591"/>
      <c r="BN131" s="591"/>
      <c r="BO131" s="591"/>
      <c r="BP131" s="591"/>
      <c r="BQ131" s="591"/>
      <c r="BR131" s="591"/>
      <c r="BS131" s="591"/>
      <c r="BT131" s="591"/>
      <c r="BU131" s="591"/>
      <c r="BV131" s="591"/>
      <c r="BW131" s="591"/>
      <c r="BX131" s="591"/>
      <c r="BY131" s="591"/>
      <c r="BZ131" s="591"/>
      <c r="CA131" s="591"/>
      <c r="CB131" s="591"/>
      <c r="CC131" s="591"/>
      <c r="CD131" s="591"/>
      <c r="CE131" s="591"/>
      <c r="CF131" s="591"/>
    </row>
    <row r="132" spans="1:84">
      <c r="A132" s="590"/>
      <c r="B132" s="590"/>
      <c r="C132" s="590"/>
      <c r="D132" s="590"/>
      <c r="E132" s="590"/>
      <c r="F132" s="590"/>
      <c r="G132" s="590"/>
      <c r="H132" s="590"/>
      <c r="I132" s="590"/>
      <c r="J132" s="590"/>
      <c r="K132" s="590"/>
      <c r="L132" s="590"/>
      <c r="M132" s="590"/>
      <c r="N132" s="590"/>
      <c r="O132" s="590"/>
      <c r="P132" s="590"/>
      <c r="Q132" s="590"/>
      <c r="R132" s="590"/>
      <c r="S132" s="590"/>
      <c r="T132" s="590"/>
      <c r="U132" s="590"/>
      <c r="V132" s="590"/>
      <c r="W132" s="590"/>
      <c r="X132" s="590"/>
      <c r="Y132" s="590"/>
      <c r="Z132" s="590"/>
      <c r="AA132" s="590"/>
      <c r="AB132" s="590"/>
      <c r="AC132" s="590"/>
      <c r="AD132" s="590"/>
      <c r="AE132" s="590"/>
      <c r="AF132" s="590"/>
      <c r="AG132" s="590"/>
      <c r="AH132" s="590"/>
      <c r="AI132" s="590"/>
      <c r="AJ132" s="590"/>
      <c r="AK132" s="590"/>
      <c r="AL132" s="590"/>
      <c r="AM132" s="590"/>
      <c r="AN132" s="590"/>
      <c r="AO132" s="590"/>
      <c r="AP132" s="590"/>
      <c r="AQ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1"/>
      <c r="BL132" s="591"/>
      <c r="BM132" s="591"/>
      <c r="BN132" s="591"/>
      <c r="BO132" s="591"/>
      <c r="BP132" s="591"/>
      <c r="BQ132" s="591"/>
      <c r="BR132" s="591"/>
      <c r="BS132" s="591"/>
      <c r="BT132" s="591"/>
      <c r="BU132" s="591"/>
      <c r="BV132" s="591"/>
      <c r="BW132" s="591"/>
      <c r="BX132" s="591"/>
      <c r="BY132" s="591"/>
      <c r="BZ132" s="591"/>
      <c r="CA132" s="591"/>
      <c r="CB132" s="591"/>
      <c r="CC132" s="591"/>
      <c r="CD132" s="591"/>
      <c r="CE132" s="591"/>
      <c r="CF132" s="591"/>
    </row>
    <row r="133" spans="1:84">
      <c r="A133" s="590"/>
      <c r="B133" s="590"/>
      <c r="C133" s="590"/>
      <c r="D133" s="590"/>
      <c r="E133" s="590"/>
      <c r="F133" s="590"/>
      <c r="G133" s="590"/>
      <c r="H133" s="590"/>
      <c r="I133" s="590"/>
      <c r="J133" s="590"/>
      <c r="K133" s="590"/>
      <c r="L133" s="590"/>
      <c r="M133" s="590"/>
      <c r="N133" s="590"/>
      <c r="O133" s="590"/>
      <c r="P133" s="590"/>
      <c r="Q133" s="590"/>
      <c r="R133" s="590"/>
      <c r="S133" s="590"/>
      <c r="T133" s="590"/>
      <c r="U133" s="590"/>
      <c r="V133" s="590"/>
      <c r="W133" s="590"/>
      <c r="X133" s="590"/>
      <c r="Y133" s="590"/>
      <c r="Z133" s="590"/>
      <c r="AA133" s="590"/>
      <c r="AB133" s="590"/>
      <c r="AC133" s="590"/>
      <c r="AD133" s="590"/>
      <c r="AE133" s="590"/>
      <c r="AF133" s="590"/>
      <c r="AG133" s="590"/>
      <c r="AH133" s="590"/>
      <c r="AI133" s="590"/>
      <c r="AJ133" s="590"/>
      <c r="AK133" s="590"/>
      <c r="AL133" s="590"/>
      <c r="AM133" s="590"/>
      <c r="AN133" s="590"/>
      <c r="AO133" s="590"/>
      <c r="AP133" s="590"/>
      <c r="AQ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1"/>
      <c r="BL133" s="591"/>
      <c r="BM133" s="591"/>
      <c r="BN133" s="591"/>
      <c r="BO133" s="591"/>
      <c r="BP133" s="591"/>
      <c r="BQ133" s="591"/>
      <c r="BR133" s="591"/>
      <c r="BS133" s="591"/>
      <c r="BT133" s="591"/>
      <c r="BU133" s="591"/>
      <c r="BV133" s="591"/>
      <c r="BW133" s="591"/>
      <c r="BX133" s="591"/>
      <c r="BY133" s="591"/>
      <c r="BZ133" s="591"/>
      <c r="CA133" s="591"/>
      <c r="CB133" s="591"/>
      <c r="CC133" s="591"/>
      <c r="CD133" s="591"/>
      <c r="CE133" s="591"/>
      <c r="CF133" s="591"/>
    </row>
    <row r="134" spans="1:84">
      <c r="A134" s="590"/>
      <c r="B134" s="590"/>
      <c r="C134" s="590"/>
      <c r="D134" s="590"/>
      <c r="E134" s="590"/>
      <c r="F134" s="590"/>
      <c r="G134" s="590"/>
      <c r="H134" s="590"/>
      <c r="I134" s="590"/>
      <c r="J134" s="590"/>
      <c r="K134" s="590"/>
      <c r="L134" s="590"/>
      <c r="M134" s="590"/>
      <c r="N134" s="590"/>
      <c r="O134" s="590"/>
      <c r="P134" s="590"/>
      <c r="Q134" s="590"/>
      <c r="R134" s="590"/>
      <c r="S134" s="590"/>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0"/>
      <c r="AQ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1"/>
      <c r="BL134" s="591"/>
      <c r="BM134" s="591"/>
      <c r="BN134" s="591"/>
      <c r="BO134" s="591"/>
      <c r="BP134" s="591"/>
      <c r="BQ134" s="591"/>
      <c r="BR134" s="591"/>
      <c r="BS134" s="591"/>
      <c r="BT134" s="591"/>
      <c r="BU134" s="591"/>
      <c r="BV134" s="591"/>
      <c r="BW134" s="591"/>
      <c r="BX134" s="591"/>
      <c r="BY134" s="591"/>
      <c r="BZ134" s="591"/>
      <c r="CA134" s="591"/>
      <c r="CB134" s="591"/>
      <c r="CC134" s="591"/>
      <c r="CD134" s="591"/>
      <c r="CE134" s="591"/>
      <c r="CF134" s="591"/>
    </row>
    <row r="135" spans="1:84">
      <c r="A135" s="590"/>
      <c r="B135" s="590"/>
      <c r="C135" s="590"/>
      <c r="D135" s="590"/>
      <c r="E135" s="590"/>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1"/>
      <c r="BL135" s="591"/>
      <c r="BM135" s="591"/>
      <c r="BN135" s="591"/>
      <c r="BO135" s="591"/>
      <c r="BP135" s="591"/>
      <c r="BQ135" s="591"/>
      <c r="BR135" s="591"/>
      <c r="BS135" s="591"/>
      <c r="BT135" s="591"/>
      <c r="BU135" s="591"/>
      <c r="BV135" s="591"/>
      <c r="BW135" s="591"/>
      <c r="BX135" s="591"/>
      <c r="BY135" s="591"/>
      <c r="BZ135" s="591"/>
      <c r="CA135" s="591"/>
      <c r="CB135" s="591"/>
      <c r="CC135" s="591"/>
      <c r="CD135" s="591"/>
      <c r="CE135" s="591"/>
      <c r="CF135" s="591"/>
    </row>
    <row r="136" spans="1:84">
      <c r="A136" s="590"/>
      <c r="B136" s="590"/>
      <c r="C136" s="590"/>
      <c r="D136" s="590"/>
      <c r="E136" s="590"/>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0"/>
      <c r="AQ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1"/>
      <c r="BL136" s="591"/>
      <c r="BM136" s="591"/>
      <c r="BN136" s="591"/>
      <c r="BO136" s="591"/>
      <c r="BP136" s="591"/>
      <c r="BQ136" s="591"/>
      <c r="BR136" s="591"/>
      <c r="BS136" s="591"/>
      <c r="BT136" s="591"/>
      <c r="BU136" s="591"/>
      <c r="BV136" s="591"/>
      <c r="BW136" s="591"/>
      <c r="BX136" s="591"/>
      <c r="BY136" s="591"/>
      <c r="BZ136" s="591"/>
      <c r="CA136" s="591"/>
      <c r="CB136" s="591"/>
      <c r="CC136" s="591"/>
      <c r="CD136" s="591"/>
      <c r="CE136" s="591"/>
      <c r="CF136" s="591"/>
    </row>
    <row r="137" spans="1:84">
      <c r="A137" s="590"/>
      <c r="B137" s="590"/>
      <c r="C137" s="590"/>
      <c r="D137" s="590"/>
      <c r="E137" s="590"/>
      <c r="F137" s="590"/>
      <c r="G137" s="590"/>
      <c r="H137" s="590"/>
      <c r="I137" s="590"/>
      <c r="J137" s="590"/>
      <c r="K137" s="590"/>
      <c r="L137" s="590"/>
      <c r="M137" s="590"/>
      <c r="N137" s="590"/>
      <c r="O137" s="590"/>
      <c r="P137" s="590"/>
      <c r="Q137" s="590"/>
      <c r="R137" s="590"/>
      <c r="S137" s="590"/>
      <c r="T137" s="590"/>
      <c r="U137" s="590"/>
      <c r="V137" s="590"/>
      <c r="W137" s="590"/>
      <c r="X137" s="590"/>
      <c r="Y137" s="590"/>
      <c r="Z137" s="590"/>
      <c r="AA137" s="590"/>
      <c r="AB137" s="590"/>
      <c r="AC137" s="590"/>
      <c r="AD137" s="590"/>
      <c r="AE137" s="590"/>
      <c r="AF137" s="590"/>
      <c r="AG137" s="590"/>
      <c r="AH137" s="590"/>
      <c r="AI137" s="590"/>
      <c r="AJ137" s="590"/>
      <c r="AK137" s="590"/>
      <c r="AL137" s="590"/>
      <c r="AM137" s="590"/>
      <c r="AN137" s="590"/>
      <c r="AO137" s="590"/>
      <c r="AP137" s="590"/>
      <c r="AQ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1"/>
      <c r="BL137" s="591"/>
      <c r="BM137" s="591"/>
      <c r="BN137" s="591"/>
      <c r="BO137" s="591"/>
      <c r="BP137" s="591"/>
      <c r="BQ137" s="591"/>
      <c r="BR137" s="591"/>
      <c r="BS137" s="591"/>
      <c r="BT137" s="591"/>
      <c r="BU137" s="591"/>
      <c r="BV137" s="591"/>
      <c r="BW137" s="591"/>
      <c r="BX137" s="591"/>
      <c r="BY137" s="591"/>
      <c r="BZ137" s="591"/>
      <c r="CA137" s="591"/>
      <c r="CB137" s="591"/>
      <c r="CC137" s="591"/>
      <c r="CD137" s="591"/>
      <c r="CE137" s="591"/>
      <c r="CF137" s="591"/>
    </row>
    <row r="138" spans="1:84">
      <c r="A138" s="590"/>
      <c r="B138" s="590"/>
      <c r="C138" s="590"/>
      <c r="D138" s="590"/>
      <c r="E138" s="590"/>
      <c r="F138" s="590"/>
      <c r="G138" s="590"/>
      <c r="H138" s="590"/>
      <c r="I138" s="590"/>
      <c r="J138" s="590"/>
      <c r="K138" s="590"/>
      <c r="L138" s="590"/>
      <c r="M138" s="590"/>
      <c r="N138" s="590"/>
      <c r="O138" s="590"/>
      <c r="P138" s="590"/>
      <c r="Q138" s="590"/>
      <c r="R138" s="590"/>
      <c r="S138" s="590"/>
      <c r="T138" s="590"/>
      <c r="U138" s="590"/>
      <c r="V138" s="590"/>
      <c r="W138" s="590"/>
      <c r="X138" s="590"/>
      <c r="Y138" s="590"/>
      <c r="Z138" s="590"/>
      <c r="AA138" s="590"/>
      <c r="AB138" s="590"/>
      <c r="AC138" s="590"/>
      <c r="AD138" s="590"/>
      <c r="AE138" s="590"/>
      <c r="AF138" s="590"/>
      <c r="AG138" s="590"/>
      <c r="AH138" s="590"/>
      <c r="AI138" s="590"/>
      <c r="AJ138" s="590"/>
      <c r="AK138" s="590"/>
      <c r="AL138" s="590"/>
      <c r="AM138" s="590"/>
      <c r="AN138" s="590"/>
      <c r="AO138" s="590"/>
      <c r="AP138" s="590"/>
      <c r="AQ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1"/>
      <c r="BL138" s="591"/>
      <c r="BM138" s="591"/>
      <c r="BN138" s="591"/>
      <c r="BO138" s="591"/>
      <c r="BP138" s="591"/>
      <c r="BQ138" s="591"/>
      <c r="BR138" s="591"/>
      <c r="BS138" s="591"/>
      <c r="BT138" s="591"/>
      <c r="BU138" s="591"/>
      <c r="BV138" s="591"/>
      <c r="BW138" s="591"/>
      <c r="BX138" s="591"/>
      <c r="BY138" s="591"/>
      <c r="BZ138" s="591"/>
      <c r="CA138" s="591"/>
      <c r="CB138" s="591"/>
      <c r="CC138" s="591"/>
      <c r="CD138" s="591"/>
      <c r="CE138" s="591"/>
      <c r="CF138" s="591"/>
    </row>
    <row r="139" spans="1:84">
      <c r="A139" s="590"/>
      <c r="B139" s="590"/>
      <c r="C139" s="590"/>
      <c r="D139" s="590"/>
      <c r="E139" s="590"/>
      <c r="F139" s="590"/>
      <c r="G139" s="590"/>
      <c r="H139" s="590"/>
      <c r="I139" s="590"/>
      <c r="J139" s="590"/>
      <c r="K139" s="590"/>
      <c r="L139" s="590"/>
      <c r="M139" s="590"/>
      <c r="N139" s="590"/>
      <c r="O139" s="590"/>
      <c r="P139" s="590"/>
      <c r="Q139" s="590"/>
      <c r="R139" s="590"/>
      <c r="S139" s="590"/>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0"/>
      <c r="AQ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1"/>
      <c r="BL139" s="591"/>
      <c r="BM139" s="591"/>
      <c r="BN139" s="591"/>
      <c r="BO139" s="591"/>
      <c r="BP139" s="591"/>
      <c r="BQ139" s="591"/>
      <c r="BR139" s="591"/>
      <c r="BS139" s="591"/>
      <c r="BT139" s="591"/>
      <c r="BU139" s="591"/>
      <c r="BV139" s="591"/>
      <c r="BW139" s="591"/>
      <c r="BX139" s="591"/>
      <c r="BY139" s="591"/>
      <c r="BZ139" s="591"/>
      <c r="CA139" s="591"/>
      <c r="CB139" s="591"/>
      <c r="CC139" s="591"/>
      <c r="CD139" s="591"/>
      <c r="CE139" s="591"/>
      <c r="CF139" s="591"/>
    </row>
    <row r="140" spans="1:84">
      <c r="A140" s="590"/>
      <c r="B140" s="590"/>
      <c r="C140" s="590"/>
      <c r="D140" s="590"/>
      <c r="E140" s="590"/>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0"/>
      <c r="AK140" s="590"/>
      <c r="AL140" s="590"/>
      <c r="AM140" s="590"/>
      <c r="AN140" s="590"/>
      <c r="AO140" s="590"/>
      <c r="AP140" s="590"/>
      <c r="AQ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1"/>
      <c r="BL140" s="591"/>
      <c r="BM140" s="591"/>
      <c r="BN140" s="591"/>
      <c r="BO140" s="591"/>
      <c r="BP140" s="591"/>
      <c r="BQ140" s="591"/>
      <c r="BR140" s="591"/>
      <c r="BS140" s="591"/>
      <c r="BT140" s="591"/>
      <c r="BU140" s="591"/>
      <c r="BV140" s="591"/>
      <c r="BW140" s="591"/>
      <c r="BX140" s="591"/>
      <c r="BY140" s="591"/>
      <c r="BZ140" s="591"/>
      <c r="CA140" s="591"/>
      <c r="CB140" s="591"/>
      <c r="CC140" s="591"/>
      <c r="CD140" s="591"/>
      <c r="CE140" s="591"/>
      <c r="CF140" s="591"/>
    </row>
    <row r="141" spans="1:84">
      <c r="A141" s="590"/>
      <c r="B141" s="590"/>
      <c r="C141" s="590"/>
      <c r="D141" s="590"/>
      <c r="E141" s="590"/>
      <c r="F141" s="590"/>
      <c r="G141" s="590"/>
      <c r="H141" s="590"/>
      <c r="I141" s="590"/>
      <c r="J141" s="590"/>
      <c r="K141" s="590"/>
      <c r="L141" s="590"/>
      <c r="M141" s="590"/>
      <c r="N141" s="590"/>
      <c r="O141" s="590"/>
      <c r="P141" s="590"/>
      <c r="Q141" s="590"/>
      <c r="R141" s="590"/>
      <c r="S141" s="590"/>
      <c r="T141" s="590"/>
      <c r="U141" s="590"/>
      <c r="V141" s="590"/>
      <c r="W141" s="590"/>
      <c r="X141" s="590"/>
      <c r="Y141" s="590"/>
      <c r="Z141" s="590"/>
      <c r="AA141" s="590"/>
      <c r="AB141" s="590"/>
      <c r="AC141" s="590"/>
      <c r="AD141" s="590"/>
      <c r="AE141" s="590"/>
      <c r="AF141" s="590"/>
      <c r="AG141" s="590"/>
      <c r="AH141" s="590"/>
      <c r="AI141" s="590"/>
      <c r="AJ141" s="590"/>
      <c r="AK141" s="590"/>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1"/>
      <c r="BL141" s="591"/>
      <c r="BM141" s="591"/>
      <c r="BN141" s="591"/>
      <c r="BO141" s="591"/>
      <c r="BP141" s="591"/>
      <c r="BQ141" s="591"/>
      <c r="BR141" s="591"/>
      <c r="BS141" s="591"/>
      <c r="BT141" s="591"/>
      <c r="BU141" s="591"/>
      <c r="BV141" s="591"/>
      <c r="BW141" s="591"/>
      <c r="BX141" s="591"/>
      <c r="BY141" s="591"/>
      <c r="BZ141" s="591"/>
      <c r="CA141" s="591"/>
      <c r="CB141" s="591"/>
      <c r="CC141" s="591"/>
      <c r="CD141" s="591"/>
      <c r="CE141" s="591"/>
      <c r="CF141" s="591"/>
    </row>
    <row r="142" spans="1:84">
      <c r="A142" s="590"/>
      <c r="B142" s="590"/>
      <c r="C142" s="590"/>
      <c r="D142" s="590"/>
      <c r="E142" s="590"/>
      <c r="F142" s="590"/>
      <c r="G142" s="590"/>
      <c r="H142" s="590"/>
      <c r="I142" s="590"/>
      <c r="J142" s="590"/>
      <c r="K142" s="590"/>
      <c r="L142" s="590"/>
      <c r="M142" s="590"/>
      <c r="N142" s="590"/>
      <c r="O142" s="590"/>
      <c r="P142" s="590"/>
      <c r="Q142" s="590"/>
      <c r="R142" s="590"/>
      <c r="S142" s="590"/>
      <c r="T142" s="590"/>
      <c r="U142" s="590"/>
      <c r="V142" s="590"/>
      <c r="W142" s="590"/>
      <c r="X142" s="590"/>
      <c r="Y142" s="590"/>
      <c r="Z142" s="590"/>
      <c r="AA142" s="590"/>
      <c r="AB142" s="590"/>
      <c r="AC142" s="590"/>
      <c r="AD142" s="590"/>
      <c r="AE142" s="590"/>
      <c r="AF142" s="590"/>
      <c r="AG142" s="590"/>
      <c r="AH142" s="590"/>
      <c r="AI142" s="590"/>
      <c r="AJ142" s="590"/>
      <c r="AK142" s="590"/>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1"/>
      <c r="BL142" s="591"/>
      <c r="BM142" s="591"/>
      <c r="BN142" s="591"/>
      <c r="BO142" s="591"/>
      <c r="BP142" s="591"/>
      <c r="BQ142" s="591"/>
      <c r="BR142" s="591"/>
      <c r="BS142" s="591"/>
      <c r="BT142" s="591"/>
      <c r="BU142" s="591"/>
      <c r="BV142" s="591"/>
      <c r="BW142" s="591"/>
      <c r="BX142" s="591"/>
      <c r="BY142" s="591"/>
      <c r="BZ142" s="591"/>
      <c r="CA142" s="591"/>
      <c r="CB142" s="591"/>
      <c r="CC142" s="591"/>
      <c r="CD142" s="591"/>
      <c r="CE142" s="591"/>
      <c r="CF142" s="591"/>
    </row>
    <row r="143" spans="1:84">
      <c r="A143" s="590"/>
      <c r="B143" s="590"/>
      <c r="C143" s="590"/>
      <c r="D143" s="590"/>
      <c r="E143" s="590"/>
      <c r="F143" s="590"/>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c r="AJ143" s="590"/>
      <c r="AK143" s="590"/>
      <c r="AL143" s="590"/>
      <c r="AM143" s="590"/>
      <c r="AN143" s="590"/>
      <c r="AO143" s="590"/>
      <c r="AP143" s="590"/>
      <c r="AQ143" s="590"/>
      <c r="AR143" s="590"/>
      <c r="AS143" s="590"/>
      <c r="AT143" s="590"/>
      <c r="AU143" s="590"/>
      <c r="AV143" s="590"/>
      <c r="AW143" s="590"/>
      <c r="AX143" s="590"/>
      <c r="AY143" s="590"/>
      <c r="AZ143" s="590"/>
      <c r="BA143" s="590"/>
      <c r="BB143" s="590"/>
      <c r="BC143" s="590"/>
      <c r="BD143" s="590"/>
      <c r="BE143" s="590"/>
      <c r="BF143" s="590"/>
      <c r="BG143" s="590"/>
      <c r="BH143" s="590"/>
      <c r="BI143" s="590"/>
      <c r="BJ143" s="590"/>
      <c r="BK143" s="591"/>
      <c r="BL143" s="591"/>
      <c r="BM143" s="591"/>
      <c r="BN143" s="591"/>
      <c r="BO143" s="591"/>
      <c r="BP143" s="591"/>
      <c r="BQ143" s="591"/>
      <c r="BR143" s="591"/>
      <c r="BS143" s="591"/>
      <c r="BT143" s="591"/>
      <c r="BU143" s="591"/>
      <c r="BV143" s="591"/>
      <c r="BW143" s="591"/>
      <c r="BX143" s="591"/>
      <c r="BY143" s="591"/>
      <c r="BZ143" s="591"/>
      <c r="CA143" s="591"/>
      <c r="CB143" s="591"/>
      <c r="CC143" s="591"/>
      <c r="CD143" s="591"/>
      <c r="CE143" s="591"/>
      <c r="CF143" s="591"/>
    </row>
    <row r="144" spans="1:84">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c r="AJ144" s="590"/>
      <c r="AK144" s="590"/>
      <c r="AL144" s="590"/>
      <c r="AM144" s="590"/>
      <c r="AN144" s="590"/>
      <c r="AO144" s="590"/>
      <c r="AP144" s="590"/>
      <c r="AQ144" s="590"/>
      <c r="AR144" s="590"/>
      <c r="AS144" s="590"/>
      <c r="AT144" s="590"/>
      <c r="AU144" s="590"/>
      <c r="AV144" s="590"/>
      <c r="AW144" s="590"/>
      <c r="AX144" s="590"/>
      <c r="AY144" s="590"/>
      <c r="AZ144" s="590"/>
      <c r="BA144" s="590"/>
      <c r="BB144" s="590"/>
      <c r="BC144" s="590"/>
      <c r="BD144" s="590"/>
      <c r="BE144" s="590"/>
      <c r="BF144" s="590"/>
      <c r="BG144" s="590"/>
      <c r="BH144" s="590"/>
      <c r="BI144" s="590"/>
      <c r="BJ144" s="590"/>
      <c r="BK144" s="591"/>
      <c r="BL144" s="591"/>
      <c r="BM144" s="591"/>
      <c r="BN144" s="591"/>
      <c r="BO144" s="591"/>
      <c r="BP144" s="591"/>
      <c r="BQ144" s="591"/>
      <c r="BR144" s="591"/>
      <c r="BS144" s="591"/>
      <c r="BT144" s="591"/>
      <c r="BU144" s="591"/>
      <c r="BV144" s="591"/>
      <c r="BW144" s="591"/>
      <c r="BX144" s="591"/>
      <c r="BY144" s="591"/>
      <c r="BZ144" s="591"/>
      <c r="CA144" s="591"/>
      <c r="CB144" s="591"/>
      <c r="CC144" s="591"/>
      <c r="CD144" s="591"/>
      <c r="CE144" s="591"/>
      <c r="CF144" s="591"/>
    </row>
    <row r="145" spans="1:84">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c r="AJ145" s="590"/>
      <c r="AK145" s="590"/>
      <c r="AL145" s="590"/>
      <c r="AM145" s="590"/>
      <c r="AN145" s="590"/>
      <c r="AO145" s="590"/>
      <c r="AP145" s="590"/>
      <c r="AQ145" s="590"/>
      <c r="AR145" s="590"/>
      <c r="AS145" s="590"/>
      <c r="AT145" s="590"/>
      <c r="AU145" s="590"/>
      <c r="AV145" s="590"/>
      <c r="AW145" s="590"/>
      <c r="AX145" s="590"/>
      <c r="AY145" s="590"/>
      <c r="AZ145" s="590"/>
      <c r="BA145" s="590"/>
      <c r="BB145" s="590"/>
      <c r="BC145" s="590"/>
      <c r="BD145" s="590"/>
      <c r="BE145" s="590"/>
      <c r="BF145" s="590"/>
      <c r="BG145" s="590"/>
      <c r="BH145" s="590"/>
      <c r="BI145" s="590"/>
      <c r="BJ145" s="590"/>
      <c r="BK145" s="591"/>
      <c r="BL145" s="591"/>
      <c r="BM145" s="591"/>
      <c r="BN145" s="591"/>
      <c r="BO145" s="591"/>
      <c r="BP145" s="591"/>
      <c r="BQ145" s="591"/>
      <c r="BR145" s="591"/>
      <c r="BS145" s="591"/>
      <c r="BT145" s="591"/>
      <c r="BU145" s="591"/>
      <c r="BV145" s="591"/>
      <c r="BW145" s="591"/>
      <c r="BX145" s="591"/>
      <c r="BY145" s="591"/>
      <c r="BZ145" s="591"/>
      <c r="CA145" s="591"/>
      <c r="CB145" s="591"/>
      <c r="CC145" s="591"/>
      <c r="CD145" s="591"/>
      <c r="CE145" s="591"/>
      <c r="CF145" s="591"/>
    </row>
    <row r="146" spans="1:84">
      <c r="A146" s="590"/>
      <c r="B146" s="590"/>
      <c r="C146" s="590"/>
      <c r="D146" s="590"/>
      <c r="E146" s="590"/>
      <c r="F146" s="590"/>
      <c r="G146" s="590"/>
      <c r="H146" s="590"/>
      <c r="I146" s="590"/>
      <c r="J146" s="590"/>
      <c r="K146" s="590"/>
      <c r="L146" s="590"/>
      <c r="M146" s="590"/>
      <c r="N146" s="590"/>
      <c r="O146" s="590"/>
      <c r="P146" s="590"/>
      <c r="Q146" s="590"/>
      <c r="R146" s="590"/>
      <c r="S146" s="590"/>
      <c r="T146" s="590"/>
      <c r="U146" s="590"/>
      <c r="V146" s="590"/>
      <c r="W146" s="590"/>
      <c r="X146" s="590"/>
      <c r="Y146" s="590"/>
      <c r="Z146" s="590"/>
      <c r="AA146" s="590"/>
      <c r="AB146" s="590"/>
      <c r="AC146" s="590"/>
      <c r="AD146" s="590"/>
      <c r="AE146" s="590"/>
      <c r="AF146" s="590"/>
      <c r="AG146" s="590"/>
      <c r="AH146" s="590"/>
      <c r="AI146" s="590"/>
      <c r="AJ146" s="590"/>
      <c r="AK146" s="590"/>
      <c r="AL146" s="590"/>
      <c r="AM146" s="590"/>
      <c r="AN146" s="590"/>
      <c r="AO146" s="590"/>
      <c r="AP146" s="590"/>
      <c r="AQ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1"/>
      <c r="BL146" s="591"/>
      <c r="BM146" s="591"/>
      <c r="BN146" s="591"/>
      <c r="BO146" s="591"/>
      <c r="BP146" s="591"/>
      <c r="BQ146" s="591"/>
      <c r="BR146" s="591"/>
      <c r="BS146" s="591"/>
      <c r="BT146" s="591"/>
      <c r="BU146" s="591"/>
      <c r="BV146" s="591"/>
      <c r="BW146" s="591"/>
      <c r="BX146" s="591"/>
      <c r="BY146" s="591"/>
      <c r="BZ146" s="591"/>
      <c r="CA146" s="591"/>
      <c r="CB146" s="591"/>
      <c r="CC146" s="591"/>
      <c r="CD146" s="591"/>
      <c r="CE146" s="591"/>
      <c r="CF146" s="591"/>
    </row>
    <row r="147" spans="1:84">
      <c r="A147" s="590"/>
      <c r="B147" s="590"/>
      <c r="C147" s="590"/>
      <c r="D147" s="590"/>
      <c r="E147" s="590"/>
      <c r="F147" s="590"/>
      <c r="G147" s="590"/>
      <c r="H147" s="590"/>
      <c r="I147" s="590"/>
      <c r="J147" s="590"/>
      <c r="K147" s="590"/>
      <c r="L147" s="590"/>
      <c r="M147" s="590"/>
      <c r="N147" s="590"/>
      <c r="O147" s="590"/>
      <c r="P147" s="590"/>
      <c r="Q147" s="590"/>
      <c r="R147" s="590"/>
      <c r="S147" s="590"/>
      <c r="T147" s="590"/>
      <c r="U147" s="590"/>
      <c r="V147" s="590"/>
      <c r="W147" s="590"/>
      <c r="X147" s="590"/>
      <c r="Y147" s="590"/>
      <c r="Z147" s="590"/>
      <c r="AA147" s="590"/>
      <c r="AB147" s="590"/>
      <c r="AC147" s="590"/>
      <c r="AD147" s="590"/>
      <c r="AE147" s="590"/>
      <c r="AF147" s="590"/>
      <c r="AG147" s="590"/>
      <c r="AH147" s="590"/>
      <c r="AI147" s="590"/>
      <c r="AJ147" s="590"/>
      <c r="AK147" s="590"/>
      <c r="AL147" s="590"/>
      <c r="AM147" s="590"/>
      <c r="AN147" s="590"/>
      <c r="AO147" s="590"/>
      <c r="AP147" s="590"/>
      <c r="AQ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1"/>
      <c r="BL147" s="591"/>
      <c r="BM147" s="591"/>
      <c r="BN147" s="591"/>
      <c r="BO147" s="591"/>
      <c r="BP147" s="591"/>
      <c r="BQ147" s="591"/>
      <c r="BR147" s="591"/>
      <c r="BS147" s="591"/>
      <c r="BT147" s="591"/>
      <c r="BU147" s="591"/>
      <c r="BV147" s="591"/>
      <c r="BW147" s="591"/>
      <c r="BX147" s="591"/>
      <c r="BY147" s="591"/>
      <c r="BZ147" s="591"/>
      <c r="CA147" s="591"/>
      <c r="CB147" s="591"/>
      <c r="CC147" s="591"/>
      <c r="CD147" s="591"/>
      <c r="CE147" s="591"/>
      <c r="CF147" s="591"/>
    </row>
    <row r="148" spans="1:84">
      <c r="A148" s="590"/>
      <c r="B148" s="590"/>
      <c r="C148" s="590"/>
      <c r="D148" s="590"/>
      <c r="E148" s="590"/>
      <c r="F148" s="590"/>
      <c r="G148" s="590"/>
      <c r="H148" s="590"/>
      <c r="I148" s="590"/>
      <c r="J148" s="590"/>
      <c r="K148" s="590"/>
      <c r="L148" s="590"/>
      <c r="M148" s="590"/>
      <c r="N148" s="590"/>
      <c r="O148" s="590"/>
      <c r="P148" s="590"/>
      <c r="Q148" s="590"/>
      <c r="R148" s="590"/>
      <c r="S148" s="590"/>
      <c r="T148" s="590"/>
      <c r="U148" s="590"/>
      <c r="V148" s="590"/>
      <c r="W148" s="590"/>
      <c r="X148" s="590"/>
      <c r="Y148" s="590"/>
      <c r="Z148" s="590"/>
      <c r="AA148" s="590"/>
      <c r="AB148" s="590"/>
      <c r="AC148" s="590"/>
      <c r="AD148" s="590"/>
      <c r="AE148" s="590"/>
      <c r="AF148" s="590"/>
      <c r="AG148" s="590"/>
      <c r="AH148" s="590"/>
      <c r="AI148" s="590"/>
      <c r="AJ148" s="590"/>
      <c r="AK148" s="590"/>
      <c r="AL148" s="590"/>
      <c r="AM148" s="590"/>
      <c r="AN148" s="590"/>
      <c r="AO148" s="590"/>
      <c r="AP148" s="590"/>
      <c r="AQ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1"/>
      <c r="BL148" s="591"/>
      <c r="BM148" s="591"/>
      <c r="BN148" s="591"/>
      <c r="BO148" s="591"/>
      <c r="BP148" s="591"/>
      <c r="BQ148" s="591"/>
      <c r="BR148" s="591"/>
      <c r="BS148" s="591"/>
      <c r="BT148" s="591"/>
      <c r="BU148" s="591"/>
      <c r="BV148" s="591"/>
      <c r="BW148" s="591"/>
      <c r="BX148" s="591"/>
      <c r="BY148" s="591"/>
      <c r="BZ148" s="591"/>
      <c r="CA148" s="591"/>
      <c r="CB148" s="591"/>
      <c r="CC148" s="591"/>
      <c r="CD148" s="591"/>
      <c r="CE148" s="591"/>
      <c r="CF148" s="591"/>
    </row>
    <row r="149" spans="1:84">
      <c r="A149" s="590"/>
      <c r="B149" s="590"/>
      <c r="C149" s="590"/>
      <c r="D149" s="590"/>
      <c r="E149" s="590"/>
      <c r="F149" s="590"/>
      <c r="G149" s="590"/>
      <c r="H149" s="590"/>
      <c r="I149" s="590"/>
      <c r="J149" s="590"/>
      <c r="K149" s="590"/>
      <c r="L149" s="590"/>
      <c r="M149" s="590"/>
      <c r="N149" s="590"/>
      <c r="O149" s="590"/>
      <c r="P149" s="590"/>
      <c r="Q149" s="590"/>
      <c r="R149" s="590"/>
      <c r="S149" s="590"/>
      <c r="T149" s="590"/>
      <c r="U149" s="590"/>
      <c r="V149" s="590"/>
      <c r="W149" s="590"/>
      <c r="X149" s="590"/>
      <c r="Y149" s="590"/>
      <c r="Z149" s="590"/>
      <c r="AA149" s="590"/>
      <c r="AB149" s="590"/>
      <c r="AC149" s="590"/>
      <c r="AD149" s="590"/>
      <c r="AE149" s="590"/>
      <c r="AF149" s="590"/>
      <c r="AG149" s="590"/>
      <c r="AH149" s="590"/>
      <c r="AI149" s="590"/>
      <c r="AJ149" s="590"/>
      <c r="AK149" s="590"/>
      <c r="AL149" s="590"/>
      <c r="AM149" s="590"/>
      <c r="AN149" s="590"/>
      <c r="AO149" s="590"/>
      <c r="AP149" s="590"/>
      <c r="AQ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1"/>
      <c r="BL149" s="591"/>
      <c r="BM149" s="591"/>
      <c r="BN149" s="591"/>
      <c r="BO149" s="591"/>
      <c r="BP149" s="591"/>
      <c r="BQ149" s="591"/>
      <c r="BR149" s="591"/>
      <c r="BS149" s="591"/>
      <c r="BT149" s="591"/>
      <c r="BU149" s="591"/>
      <c r="BV149" s="591"/>
      <c r="BW149" s="591"/>
      <c r="BX149" s="591"/>
      <c r="BY149" s="591"/>
      <c r="BZ149" s="591"/>
      <c r="CA149" s="591"/>
      <c r="CB149" s="591"/>
      <c r="CC149" s="591"/>
      <c r="CD149" s="591"/>
      <c r="CE149" s="591"/>
      <c r="CF149" s="591"/>
    </row>
    <row r="150" spans="1:84">
      <c r="A150" s="590"/>
      <c r="B150" s="590"/>
      <c r="C150" s="590"/>
      <c r="D150" s="590"/>
      <c r="E150" s="590"/>
      <c r="F150" s="590"/>
      <c r="G150" s="590"/>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1"/>
      <c r="BL150" s="591"/>
      <c r="BM150" s="591"/>
      <c r="BN150" s="591"/>
      <c r="BO150" s="591"/>
      <c r="BP150" s="591"/>
      <c r="BQ150" s="591"/>
      <c r="BR150" s="591"/>
      <c r="BS150" s="591"/>
      <c r="BT150" s="591"/>
      <c r="BU150" s="591"/>
      <c r="BV150" s="591"/>
      <c r="BW150" s="591"/>
      <c r="BX150" s="591"/>
      <c r="BY150" s="591"/>
      <c r="BZ150" s="591"/>
      <c r="CA150" s="591"/>
      <c r="CB150" s="591"/>
      <c r="CC150" s="591"/>
      <c r="CD150" s="591"/>
      <c r="CE150" s="591"/>
      <c r="CF150" s="591"/>
    </row>
    <row r="151" spans="1:84">
      <c r="A151" s="590"/>
      <c r="B151" s="590"/>
      <c r="C151" s="590"/>
      <c r="D151" s="590"/>
      <c r="E151" s="590"/>
      <c r="F151" s="590"/>
      <c r="G151" s="590"/>
      <c r="H151" s="590"/>
      <c r="I151" s="590"/>
      <c r="J151" s="590"/>
      <c r="K151" s="590"/>
      <c r="L151" s="590"/>
      <c r="M151" s="590"/>
      <c r="N151" s="590"/>
      <c r="O151" s="590"/>
      <c r="P151" s="590"/>
      <c r="Q151" s="590"/>
      <c r="R151" s="590"/>
      <c r="S151" s="590"/>
      <c r="T151" s="590"/>
      <c r="U151" s="590"/>
      <c r="V151" s="590"/>
      <c r="W151" s="590"/>
      <c r="X151" s="590"/>
      <c r="Y151" s="590"/>
      <c r="Z151" s="590"/>
      <c r="AA151" s="590"/>
      <c r="AB151" s="590"/>
      <c r="AC151" s="590"/>
      <c r="AD151" s="590"/>
      <c r="AE151" s="590"/>
      <c r="AF151" s="590"/>
      <c r="AG151" s="590"/>
      <c r="AH151" s="590"/>
      <c r="AI151" s="590"/>
      <c r="AJ151" s="590"/>
      <c r="AK151" s="590"/>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1"/>
      <c r="BL151" s="591"/>
      <c r="BM151" s="591"/>
      <c r="BN151" s="591"/>
      <c r="BO151" s="591"/>
      <c r="BP151" s="591"/>
      <c r="BQ151" s="591"/>
      <c r="BR151" s="591"/>
      <c r="BS151" s="591"/>
      <c r="BT151" s="591"/>
      <c r="BU151" s="591"/>
      <c r="BV151" s="591"/>
      <c r="BW151" s="591"/>
      <c r="BX151" s="591"/>
      <c r="BY151" s="591"/>
      <c r="BZ151" s="591"/>
      <c r="CA151" s="591"/>
      <c r="CB151" s="591"/>
      <c r="CC151" s="591"/>
      <c r="CD151" s="591"/>
      <c r="CE151" s="591"/>
      <c r="CF151" s="591"/>
    </row>
    <row r="152" spans="1:84">
      <c r="A152" s="590"/>
      <c r="B152" s="590"/>
      <c r="C152" s="590"/>
      <c r="D152" s="590"/>
      <c r="E152" s="590"/>
      <c r="F152" s="590"/>
      <c r="G152" s="590"/>
      <c r="H152" s="590"/>
      <c r="I152" s="590"/>
      <c r="J152" s="590"/>
      <c r="K152" s="590"/>
      <c r="L152" s="590"/>
      <c r="M152" s="590"/>
      <c r="N152" s="590"/>
      <c r="O152" s="590"/>
      <c r="P152" s="590"/>
      <c r="Q152" s="590"/>
      <c r="R152" s="590"/>
      <c r="S152" s="590"/>
      <c r="T152" s="590"/>
      <c r="U152" s="590"/>
      <c r="V152" s="590"/>
      <c r="W152" s="590"/>
      <c r="X152" s="590"/>
      <c r="Y152" s="590"/>
      <c r="Z152" s="590"/>
      <c r="AA152" s="590"/>
      <c r="AB152" s="590"/>
      <c r="AC152" s="590"/>
      <c r="AD152" s="590"/>
      <c r="AE152" s="590"/>
      <c r="AF152" s="590"/>
      <c r="AG152" s="590"/>
      <c r="AH152" s="590"/>
      <c r="AI152" s="590"/>
      <c r="AJ152" s="590"/>
      <c r="AK152" s="590"/>
      <c r="AL152" s="590"/>
      <c r="AM152" s="590"/>
      <c r="AN152" s="590"/>
      <c r="AO152" s="590"/>
      <c r="AP152" s="590"/>
      <c r="AQ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1"/>
      <c r="BL152" s="591"/>
      <c r="BM152" s="591"/>
      <c r="BN152" s="591"/>
      <c r="BO152" s="591"/>
      <c r="BP152" s="591"/>
      <c r="BQ152" s="591"/>
      <c r="BR152" s="591"/>
      <c r="BS152" s="591"/>
      <c r="BT152" s="591"/>
      <c r="BU152" s="591"/>
      <c r="BV152" s="591"/>
      <c r="BW152" s="591"/>
      <c r="BX152" s="591"/>
      <c r="BY152" s="591"/>
      <c r="BZ152" s="591"/>
      <c r="CA152" s="591"/>
      <c r="CB152" s="591"/>
      <c r="CC152" s="591"/>
      <c r="CD152" s="591"/>
      <c r="CE152" s="591"/>
      <c r="CF152" s="591"/>
    </row>
    <row r="153" spans="1:84">
      <c r="A153" s="590"/>
      <c r="B153" s="590"/>
      <c r="C153" s="590"/>
      <c r="D153" s="590"/>
      <c r="E153" s="590"/>
      <c r="F153" s="590"/>
      <c r="G153" s="590"/>
      <c r="H153" s="590"/>
      <c r="I153" s="590"/>
      <c r="J153" s="590"/>
      <c r="K153" s="590"/>
      <c r="L153" s="590"/>
      <c r="M153" s="590"/>
      <c r="N153" s="590"/>
      <c r="O153" s="590"/>
      <c r="P153" s="590"/>
      <c r="Q153" s="590"/>
      <c r="R153" s="590"/>
      <c r="S153" s="590"/>
      <c r="T153" s="590"/>
      <c r="U153" s="590"/>
      <c r="V153" s="590"/>
      <c r="W153" s="590"/>
      <c r="X153" s="590"/>
      <c r="Y153" s="590"/>
      <c r="Z153" s="590"/>
      <c r="AA153" s="590"/>
      <c r="AB153" s="590"/>
      <c r="AC153" s="590"/>
      <c r="AD153" s="590"/>
      <c r="AE153" s="590"/>
      <c r="AF153" s="590"/>
      <c r="AG153" s="590"/>
      <c r="AH153" s="590"/>
      <c r="AI153" s="590"/>
      <c r="AJ153" s="590"/>
      <c r="AK153" s="590"/>
      <c r="AL153" s="590"/>
      <c r="AM153" s="590"/>
      <c r="AN153" s="590"/>
      <c r="AO153" s="590"/>
      <c r="AP153" s="590"/>
      <c r="AQ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1"/>
      <c r="BL153" s="591"/>
      <c r="BM153" s="591"/>
      <c r="BN153" s="591"/>
      <c r="BO153" s="591"/>
      <c r="BP153" s="591"/>
      <c r="BQ153" s="591"/>
      <c r="BR153" s="591"/>
      <c r="BS153" s="591"/>
      <c r="BT153" s="591"/>
      <c r="BU153" s="591"/>
      <c r="BV153" s="591"/>
      <c r="BW153" s="591"/>
      <c r="BX153" s="591"/>
      <c r="BY153" s="591"/>
      <c r="BZ153" s="591"/>
      <c r="CA153" s="591"/>
      <c r="CB153" s="591"/>
      <c r="CC153" s="591"/>
      <c r="CD153" s="591"/>
      <c r="CE153" s="591"/>
      <c r="CF153" s="591"/>
    </row>
    <row r="154" spans="1:84">
      <c r="A154" s="590"/>
      <c r="B154" s="590"/>
      <c r="C154" s="590"/>
      <c r="D154" s="590"/>
      <c r="E154" s="590"/>
      <c r="F154" s="590"/>
      <c r="G154" s="590"/>
      <c r="H154" s="590"/>
      <c r="I154" s="590"/>
      <c r="J154" s="590"/>
      <c r="K154" s="590"/>
      <c r="L154" s="590"/>
      <c r="M154" s="590"/>
      <c r="N154" s="590"/>
      <c r="O154" s="590"/>
      <c r="P154" s="590"/>
      <c r="Q154" s="590"/>
      <c r="R154" s="590"/>
      <c r="S154" s="590"/>
      <c r="T154" s="590"/>
      <c r="U154" s="590"/>
      <c r="V154" s="590"/>
      <c r="W154" s="590"/>
      <c r="X154" s="590"/>
      <c r="Y154" s="590"/>
      <c r="Z154" s="590"/>
      <c r="AA154" s="590"/>
      <c r="AB154" s="590"/>
      <c r="AC154" s="590"/>
      <c r="AD154" s="590"/>
      <c r="AE154" s="590"/>
      <c r="AF154" s="590"/>
      <c r="AG154" s="590"/>
      <c r="AH154" s="590"/>
      <c r="AI154" s="590"/>
      <c r="AJ154" s="590"/>
      <c r="AK154" s="590"/>
      <c r="AL154" s="590"/>
      <c r="AM154" s="590"/>
      <c r="AN154" s="590"/>
      <c r="AO154" s="590"/>
      <c r="AP154" s="590"/>
      <c r="AQ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1"/>
      <c r="BL154" s="591"/>
      <c r="BM154" s="591"/>
      <c r="BN154" s="591"/>
      <c r="BO154" s="591"/>
      <c r="BP154" s="591"/>
      <c r="BQ154" s="591"/>
      <c r="BR154" s="591"/>
      <c r="BS154" s="591"/>
      <c r="BT154" s="591"/>
      <c r="BU154" s="591"/>
      <c r="BV154" s="591"/>
      <c r="BW154" s="591"/>
      <c r="BX154" s="591"/>
      <c r="BY154" s="591"/>
      <c r="BZ154" s="591"/>
      <c r="CA154" s="591"/>
      <c r="CB154" s="591"/>
      <c r="CC154" s="591"/>
      <c r="CD154" s="591"/>
      <c r="CE154" s="591"/>
      <c r="CF154" s="591"/>
    </row>
    <row r="155" spans="1:84">
      <c r="A155" s="590"/>
      <c r="B155" s="590"/>
      <c r="C155" s="590"/>
      <c r="D155" s="590"/>
      <c r="E155" s="590"/>
      <c r="F155" s="590"/>
      <c r="G155" s="590"/>
      <c r="H155" s="590"/>
      <c r="I155" s="590"/>
      <c r="J155" s="590"/>
      <c r="K155" s="590"/>
      <c r="L155" s="590"/>
      <c r="M155" s="590"/>
      <c r="N155" s="590"/>
      <c r="O155" s="590"/>
      <c r="P155" s="590"/>
      <c r="Q155" s="590"/>
      <c r="R155" s="590"/>
      <c r="S155" s="590"/>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1"/>
      <c r="BL155" s="591"/>
      <c r="BM155" s="591"/>
      <c r="BN155" s="591"/>
      <c r="BO155" s="591"/>
      <c r="BP155" s="591"/>
      <c r="BQ155" s="591"/>
      <c r="BR155" s="591"/>
      <c r="BS155" s="591"/>
      <c r="BT155" s="591"/>
      <c r="BU155" s="591"/>
      <c r="BV155" s="591"/>
      <c r="BW155" s="591"/>
      <c r="BX155" s="591"/>
      <c r="BY155" s="591"/>
      <c r="BZ155" s="591"/>
      <c r="CA155" s="591"/>
      <c r="CB155" s="591"/>
      <c r="CC155" s="591"/>
      <c r="CD155" s="591"/>
      <c r="CE155" s="591"/>
      <c r="CF155" s="591"/>
    </row>
    <row r="156" spans="1:84">
      <c r="A156" s="590"/>
      <c r="B156" s="590"/>
      <c r="C156" s="590"/>
      <c r="D156" s="590"/>
      <c r="E156" s="590"/>
      <c r="F156" s="590"/>
      <c r="G156" s="590"/>
      <c r="H156" s="590"/>
      <c r="I156" s="590"/>
      <c r="J156" s="590"/>
      <c r="K156" s="590"/>
      <c r="L156" s="590"/>
      <c r="M156" s="590"/>
      <c r="N156" s="590"/>
      <c r="O156" s="590"/>
      <c r="P156" s="590"/>
      <c r="Q156" s="590"/>
      <c r="R156" s="590"/>
      <c r="S156" s="590"/>
      <c r="T156" s="590"/>
      <c r="U156" s="590"/>
      <c r="V156" s="590"/>
      <c r="W156" s="590"/>
      <c r="X156" s="590"/>
      <c r="Y156" s="590"/>
      <c r="Z156" s="590"/>
      <c r="AA156" s="590"/>
      <c r="AB156" s="590"/>
      <c r="AC156" s="590"/>
      <c r="AD156" s="590"/>
      <c r="AE156" s="590"/>
      <c r="AF156" s="590"/>
      <c r="AG156" s="590"/>
      <c r="AH156" s="590"/>
      <c r="AI156" s="590"/>
      <c r="AJ156" s="590"/>
      <c r="AK156" s="590"/>
      <c r="AL156" s="590"/>
      <c r="AM156" s="590"/>
      <c r="AN156" s="590"/>
      <c r="AO156" s="590"/>
      <c r="AP156" s="590"/>
      <c r="AQ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1"/>
      <c r="BL156" s="591"/>
      <c r="BM156" s="591"/>
      <c r="BN156" s="591"/>
      <c r="BO156" s="591"/>
      <c r="BP156" s="591"/>
      <c r="BQ156" s="591"/>
      <c r="BR156" s="591"/>
      <c r="BS156" s="591"/>
      <c r="BT156" s="591"/>
      <c r="BU156" s="591"/>
      <c r="BV156" s="591"/>
      <c r="BW156" s="591"/>
      <c r="BX156" s="591"/>
      <c r="BY156" s="591"/>
      <c r="BZ156" s="591"/>
      <c r="CA156" s="591"/>
      <c r="CB156" s="591"/>
      <c r="CC156" s="591"/>
      <c r="CD156" s="591"/>
      <c r="CE156" s="591"/>
      <c r="CF156" s="591"/>
    </row>
    <row r="157" spans="1:84">
      <c r="A157" s="590"/>
      <c r="B157" s="590"/>
      <c r="C157" s="590"/>
      <c r="D157" s="590"/>
      <c r="E157" s="590"/>
      <c r="F157" s="590"/>
      <c r="G157" s="590"/>
      <c r="H157" s="590"/>
      <c r="I157" s="590"/>
      <c r="J157" s="590"/>
      <c r="K157" s="590"/>
      <c r="L157" s="590"/>
      <c r="M157" s="590"/>
      <c r="N157" s="590"/>
      <c r="O157" s="590"/>
      <c r="P157" s="590"/>
      <c r="Q157" s="590"/>
      <c r="R157" s="590"/>
      <c r="S157" s="590"/>
      <c r="T157" s="590"/>
      <c r="U157" s="590"/>
      <c r="V157" s="590"/>
      <c r="W157" s="590"/>
      <c r="X157" s="590"/>
      <c r="Y157" s="590"/>
      <c r="Z157" s="590"/>
      <c r="AA157" s="590"/>
      <c r="AB157" s="590"/>
      <c r="AC157" s="590"/>
      <c r="AD157" s="590"/>
      <c r="AE157" s="590"/>
      <c r="AF157" s="590"/>
      <c r="AG157" s="590"/>
      <c r="AH157" s="590"/>
      <c r="AI157" s="590"/>
      <c r="AJ157" s="590"/>
      <c r="AK157" s="590"/>
      <c r="AL157" s="590"/>
      <c r="AM157" s="590"/>
      <c r="AN157" s="590"/>
      <c r="AO157" s="590"/>
      <c r="AP157" s="590"/>
      <c r="AQ157" s="590"/>
      <c r="AR157" s="590"/>
      <c r="AS157" s="590"/>
      <c r="AT157" s="590"/>
      <c r="AU157" s="590"/>
      <c r="AV157" s="590"/>
      <c r="AW157" s="590"/>
      <c r="AX157" s="590"/>
      <c r="AY157" s="590"/>
      <c r="AZ157" s="590"/>
      <c r="BA157" s="590"/>
      <c r="BB157" s="590"/>
      <c r="BC157" s="590"/>
      <c r="BD157" s="590"/>
      <c r="BE157" s="590"/>
      <c r="BF157" s="590"/>
      <c r="BG157" s="590"/>
      <c r="BH157" s="590"/>
      <c r="BI157" s="590"/>
      <c r="BJ157" s="590"/>
      <c r="BK157" s="591"/>
      <c r="BL157" s="591"/>
      <c r="BM157" s="591"/>
      <c r="BN157" s="591"/>
      <c r="BO157" s="591"/>
      <c r="BP157" s="591"/>
      <c r="BQ157" s="591"/>
      <c r="BR157" s="591"/>
      <c r="BS157" s="591"/>
      <c r="BT157" s="591"/>
      <c r="BU157" s="591"/>
      <c r="BV157" s="591"/>
      <c r="BW157" s="591"/>
      <c r="BX157" s="591"/>
      <c r="BY157" s="591"/>
      <c r="BZ157" s="591"/>
      <c r="CA157" s="591"/>
      <c r="CB157" s="591"/>
      <c r="CC157" s="591"/>
      <c r="CD157" s="591"/>
      <c r="CE157" s="591"/>
      <c r="CF157" s="591"/>
    </row>
    <row r="158" spans="1:84">
      <c r="A158" s="590"/>
      <c r="B158" s="590"/>
      <c r="C158" s="590"/>
      <c r="D158" s="590"/>
      <c r="E158" s="590"/>
      <c r="F158" s="590"/>
      <c r="G158" s="590"/>
      <c r="H158" s="590"/>
      <c r="I158" s="590"/>
      <c r="J158" s="590"/>
      <c r="K158" s="590"/>
      <c r="L158" s="590"/>
      <c r="M158" s="590"/>
      <c r="N158" s="590"/>
      <c r="O158" s="590"/>
      <c r="P158" s="590"/>
      <c r="Q158" s="590"/>
      <c r="R158" s="590"/>
      <c r="S158" s="590"/>
      <c r="T158" s="590"/>
      <c r="U158" s="590"/>
      <c r="V158" s="590"/>
      <c r="W158" s="590"/>
      <c r="X158" s="590"/>
      <c r="Y158" s="590"/>
      <c r="Z158" s="590"/>
      <c r="AA158" s="590"/>
      <c r="AB158" s="590"/>
      <c r="AC158" s="590"/>
      <c r="AD158" s="590"/>
      <c r="AE158" s="590"/>
      <c r="AF158" s="590"/>
      <c r="AG158" s="590"/>
      <c r="AH158" s="590"/>
      <c r="AI158" s="590"/>
      <c r="AJ158" s="590"/>
      <c r="AK158" s="590"/>
      <c r="AL158" s="590"/>
      <c r="AM158" s="590"/>
      <c r="AN158" s="590"/>
      <c r="AO158" s="590"/>
      <c r="AP158" s="590"/>
      <c r="AQ158" s="590"/>
      <c r="AR158" s="590"/>
      <c r="AS158" s="590"/>
      <c r="AT158" s="590"/>
      <c r="AU158" s="590"/>
      <c r="AV158" s="590"/>
      <c r="AW158" s="590"/>
      <c r="AX158" s="590"/>
      <c r="AY158" s="590"/>
      <c r="AZ158" s="590"/>
      <c r="BA158" s="590"/>
      <c r="BB158" s="590"/>
      <c r="BC158" s="590"/>
      <c r="BD158" s="590"/>
      <c r="BE158" s="590"/>
      <c r="BF158" s="590"/>
      <c r="BG158" s="590"/>
      <c r="BH158" s="590"/>
      <c r="BI158" s="590"/>
      <c r="BJ158" s="590"/>
      <c r="BK158" s="591"/>
      <c r="BL158" s="591"/>
      <c r="BM158" s="591"/>
      <c r="BN158" s="591"/>
      <c r="BO158" s="591"/>
      <c r="BP158" s="591"/>
      <c r="BQ158" s="591"/>
      <c r="BR158" s="591"/>
      <c r="BS158" s="591"/>
      <c r="BT158" s="591"/>
      <c r="BU158" s="591"/>
      <c r="BV158" s="591"/>
      <c r="BW158" s="591"/>
      <c r="BX158" s="591"/>
      <c r="BY158" s="591"/>
      <c r="BZ158" s="591"/>
      <c r="CA158" s="591"/>
      <c r="CB158" s="591"/>
      <c r="CC158" s="591"/>
      <c r="CD158" s="591"/>
      <c r="CE158" s="591"/>
      <c r="CF158" s="591"/>
    </row>
    <row r="159" spans="1:84">
      <c r="A159" s="590"/>
      <c r="B159" s="590"/>
      <c r="C159" s="590"/>
      <c r="D159" s="590"/>
      <c r="E159" s="590"/>
      <c r="F159" s="590"/>
      <c r="G159" s="590"/>
      <c r="H159" s="590"/>
      <c r="I159" s="590"/>
      <c r="J159" s="590"/>
      <c r="K159" s="590"/>
      <c r="L159" s="590"/>
      <c r="M159" s="590"/>
      <c r="N159" s="590"/>
      <c r="O159" s="590"/>
      <c r="P159" s="590"/>
      <c r="Q159" s="590"/>
      <c r="R159" s="590"/>
      <c r="S159" s="590"/>
      <c r="T159" s="590"/>
      <c r="U159" s="590"/>
      <c r="V159" s="590"/>
      <c r="W159" s="590"/>
      <c r="X159" s="590"/>
      <c r="Y159" s="590"/>
      <c r="Z159" s="590"/>
      <c r="AA159" s="590"/>
      <c r="AB159" s="590"/>
      <c r="AC159" s="590"/>
      <c r="AD159" s="590"/>
      <c r="AE159" s="590"/>
      <c r="AF159" s="590"/>
      <c r="AG159" s="590"/>
      <c r="AH159" s="590"/>
      <c r="AI159" s="590"/>
      <c r="AJ159" s="590"/>
      <c r="AK159" s="590"/>
      <c r="AL159" s="590"/>
      <c r="AM159" s="590"/>
      <c r="AN159" s="590"/>
      <c r="AO159" s="590"/>
      <c r="AP159" s="590"/>
      <c r="AQ159" s="590"/>
      <c r="AR159" s="590"/>
      <c r="AS159" s="590"/>
      <c r="AT159" s="590"/>
      <c r="AU159" s="590"/>
      <c r="AV159" s="590"/>
      <c r="AW159" s="590"/>
      <c r="AX159" s="590"/>
      <c r="AY159" s="590"/>
      <c r="AZ159" s="590"/>
      <c r="BA159" s="590"/>
      <c r="BB159" s="590"/>
      <c r="BC159" s="590"/>
      <c r="BD159" s="590"/>
      <c r="BE159" s="590"/>
      <c r="BF159" s="590"/>
      <c r="BG159" s="590"/>
      <c r="BH159" s="590"/>
      <c r="BI159" s="590"/>
      <c r="BJ159" s="590"/>
      <c r="BK159" s="591"/>
      <c r="BL159" s="591"/>
      <c r="BM159" s="591"/>
      <c r="BN159" s="591"/>
      <c r="BO159" s="591"/>
      <c r="BP159" s="591"/>
      <c r="BQ159" s="591"/>
      <c r="BR159" s="591"/>
      <c r="BS159" s="591"/>
      <c r="BT159" s="591"/>
      <c r="BU159" s="591"/>
      <c r="BV159" s="591"/>
      <c r="BW159" s="591"/>
      <c r="BX159" s="591"/>
      <c r="BY159" s="591"/>
      <c r="BZ159" s="591"/>
      <c r="CA159" s="591"/>
      <c r="CB159" s="591"/>
      <c r="CC159" s="591"/>
      <c r="CD159" s="591"/>
      <c r="CE159" s="591"/>
      <c r="CF159" s="591"/>
    </row>
    <row r="160" spans="1:84">
      <c r="A160" s="590"/>
      <c r="B160" s="590"/>
      <c r="C160" s="590"/>
      <c r="D160" s="590"/>
      <c r="E160" s="590"/>
      <c r="F160" s="590"/>
      <c r="G160" s="590"/>
      <c r="H160" s="590"/>
      <c r="I160" s="590"/>
      <c r="J160" s="590"/>
      <c r="K160" s="590"/>
      <c r="L160" s="590"/>
      <c r="M160" s="590"/>
      <c r="N160" s="590"/>
      <c r="O160" s="590"/>
      <c r="P160" s="590"/>
      <c r="Q160" s="590"/>
      <c r="R160" s="590"/>
      <c r="S160" s="590"/>
      <c r="T160" s="590"/>
      <c r="U160" s="590"/>
      <c r="V160" s="590"/>
      <c r="W160" s="590"/>
      <c r="X160" s="590"/>
      <c r="Y160" s="590"/>
      <c r="Z160" s="590"/>
      <c r="AA160" s="590"/>
      <c r="AB160" s="590"/>
      <c r="AC160" s="590"/>
      <c r="AD160" s="590"/>
      <c r="AE160" s="590"/>
      <c r="AF160" s="590"/>
      <c r="AG160" s="590"/>
      <c r="AH160" s="590"/>
      <c r="AI160" s="590"/>
      <c r="AJ160" s="590"/>
      <c r="AK160" s="590"/>
      <c r="AL160" s="590"/>
      <c r="AM160" s="590"/>
      <c r="AN160" s="590"/>
      <c r="AO160" s="590"/>
      <c r="AP160" s="590"/>
      <c r="AQ160" s="590"/>
      <c r="AR160" s="590"/>
      <c r="AS160" s="590"/>
      <c r="AT160" s="590"/>
      <c r="AU160" s="590"/>
      <c r="AV160" s="590"/>
      <c r="AW160" s="590"/>
      <c r="AX160" s="590"/>
      <c r="AY160" s="590"/>
      <c r="AZ160" s="590"/>
      <c r="BA160" s="590"/>
      <c r="BB160" s="590"/>
      <c r="BC160" s="590"/>
      <c r="BD160" s="590"/>
      <c r="BE160" s="590"/>
      <c r="BF160" s="590"/>
      <c r="BG160" s="590"/>
      <c r="BH160" s="590"/>
      <c r="BI160" s="590"/>
      <c r="BJ160" s="590"/>
      <c r="BK160" s="591"/>
      <c r="BL160" s="591"/>
      <c r="BM160" s="591"/>
      <c r="BN160" s="591"/>
      <c r="BO160" s="591"/>
      <c r="BP160" s="591"/>
      <c r="BQ160" s="591"/>
      <c r="BR160" s="591"/>
      <c r="BS160" s="591"/>
      <c r="BT160" s="591"/>
      <c r="BU160" s="591"/>
      <c r="BV160" s="591"/>
      <c r="BW160" s="591"/>
      <c r="BX160" s="591"/>
      <c r="BY160" s="591"/>
      <c r="BZ160" s="591"/>
      <c r="CA160" s="591"/>
      <c r="CB160" s="591"/>
      <c r="CC160" s="591"/>
      <c r="CD160" s="591"/>
      <c r="CE160" s="591"/>
      <c r="CF160" s="591"/>
    </row>
    <row r="161" spans="1:84">
      <c r="A161" s="590"/>
      <c r="B161" s="590"/>
      <c r="C161" s="590"/>
      <c r="D161" s="590"/>
      <c r="E161" s="590"/>
      <c r="F161" s="590"/>
      <c r="G161" s="590"/>
      <c r="H161" s="590"/>
      <c r="I161" s="590"/>
      <c r="J161" s="590"/>
      <c r="K161" s="590"/>
      <c r="L161" s="590"/>
      <c r="M161" s="590"/>
      <c r="N161" s="590"/>
      <c r="O161" s="590"/>
      <c r="P161" s="590"/>
      <c r="Q161" s="590"/>
      <c r="R161" s="590"/>
      <c r="S161" s="590"/>
      <c r="T161" s="590"/>
      <c r="U161" s="590"/>
      <c r="V161" s="590"/>
      <c r="W161" s="590"/>
      <c r="X161" s="590"/>
      <c r="Y161" s="590"/>
      <c r="Z161" s="590"/>
      <c r="AA161" s="590"/>
      <c r="AB161" s="590"/>
      <c r="AC161" s="590"/>
      <c r="AD161" s="590"/>
      <c r="AE161" s="590"/>
      <c r="AF161" s="590"/>
      <c r="AG161" s="590"/>
      <c r="AH161" s="590"/>
      <c r="AI161" s="590"/>
      <c r="AJ161" s="590"/>
      <c r="AK161" s="590"/>
      <c r="AL161" s="590"/>
      <c r="AM161" s="590"/>
      <c r="AN161" s="590"/>
      <c r="AO161" s="590"/>
      <c r="AP161" s="590"/>
      <c r="AQ161" s="590"/>
      <c r="AR161" s="590"/>
      <c r="AS161" s="590"/>
      <c r="AT161" s="590"/>
      <c r="AU161" s="590"/>
      <c r="AV161" s="590"/>
      <c r="AW161" s="590"/>
      <c r="AX161" s="590"/>
      <c r="AY161" s="590"/>
      <c r="AZ161" s="590"/>
      <c r="BA161" s="590"/>
      <c r="BB161" s="590"/>
      <c r="BC161" s="590"/>
      <c r="BD161" s="590"/>
      <c r="BE161" s="590"/>
      <c r="BF161" s="590"/>
      <c r="BG161" s="590"/>
      <c r="BH161" s="590"/>
      <c r="BI161" s="590"/>
      <c r="BJ161" s="590"/>
      <c r="BK161" s="591"/>
      <c r="BL161" s="591"/>
      <c r="BM161" s="591"/>
      <c r="BN161" s="591"/>
      <c r="BO161" s="591"/>
      <c r="BP161" s="591"/>
      <c r="BQ161" s="591"/>
      <c r="BR161" s="591"/>
      <c r="BS161" s="591"/>
      <c r="BT161" s="591"/>
      <c r="BU161" s="591"/>
      <c r="BV161" s="591"/>
      <c r="BW161" s="591"/>
      <c r="BX161" s="591"/>
      <c r="BY161" s="591"/>
      <c r="BZ161" s="591"/>
      <c r="CA161" s="591"/>
      <c r="CB161" s="591"/>
      <c r="CC161" s="591"/>
      <c r="CD161" s="591"/>
      <c r="CE161" s="591"/>
      <c r="CF161" s="591"/>
    </row>
    <row r="162" spans="1:84">
      <c r="A162" s="590"/>
      <c r="B162" s="590"/>
      <c r="C162" s="590"/>
      <c r="D162" s="590"/>
      <c r="E162" s="590"/>
      <c r="F162" s="590"/>
      <c r="G162" s="590"/>
      <c r="H162" s="590"/>
      <c r="I162" s="590"/>
      <c r="J162" s="590"/>
      <c r="K162" s="590"/>
      <c r="L162" s="590"/>
      <c r="M162" s="590"/>
      <c r="N162" s="590"/>
      <c r="O162" s="590"/>
      <c r="P162" s="590"/>
      <c r="Q162" s="590"/>
      <c r="R162" s="590"/>
      <c r="S162" s="590"/>
      <c r="T162" s="590"/>
      <c r="U162" s="590"/>
      <c r="V162" s="590"/>
      <c r="W162" s="590"/>
      <c r="X162" s="590"/>
      <c r="Y162" s="590"/>
      <c r="Z162" s="590"/>
      <c r="AA162" s="590"/>
      <c r="AB162" s="590"/>
      <c r="AC162" s="590"/>
      <c r="AD162" s="590"/>
      <c r="AE162" s="590"/>
      <c r="AF162" s="590"/>
      <c r="AG162" s="590"/>
      <c r="AH162" s="590"/>
      <c r="AI162" s="590"/>
      <c r="AJ162" s="590"/>
      <c r="AK162" s="590"/>
      <c r="AL162" s="590"/>
      <c r="AM162" s="590"/>
      <c r="AN162" s="590"/>
      <c r="AO162" s="590"/>
      <c r="AP162" s="590"/>
      <c r="AQ162" s="590"/>
      <c r="AR162" s="590"/>
      <c r="AS162" s="590"/>
      <c r="AT162" s="590"/>
      <c r="AU162" s="590"/>
      <c r="AV162" s="590"/>
      <c r="AW162" s="590"/>
      <c r="AX162" s="590"/>
      <c r="AY162" s="590"/>
      <c r="AZ162" s="590"/>
      <c r="BA162" s="590"/>
      <c r="BB162" s="590"/>
      <c r="BC162" s="590"/>
      <c r="BD162" s="590"/>
      <c r="BE162" s="590"/>
      <c r="BF162" s="590"/>
      <c r="BG162" s="590"/>
      <c r="BH162" s="590"/>
      <c r="BI162" s="590"/>
      <c r="BJ162" s="590"/>
      <c r="BK162" s="591"/>
      <c r="BL162" s="591"/>
      <c r="BM162" s="591"/>
      <c r="BN162" s="591"/>
      <c r="BO162" s="591"/>
      <c r="BP162" s="591"/>
      <c r="BQ162" s="591"/>
      <c r="BR162" s="591"/>
      <c r="BS162" s="591"/>
      <c r="BT162" s="591"/>
      <c r="BU162" s="591"/>
      <c r="BV162" s="591"/>
      <c r="BW162" s="591"/>
      <c r="BX162" s="591"/>
      <c r="BY162" s="591"/>
      <c r="BZ162" s="591"/>
      <c r="CA162" s="591"/>
      <c r="CB162" s="591"/>
      <c r="CC162" s="591"/>
      <c r="CD162" s="591"/>
      <c r="CE162" s="591"/>
      <c r="CF162" s="591"/>
    </row>
    <row r="163" spans="1:84">
      <c r="A163" s="590"/>
      <c r="B163" s="590"/>
      <c r="C163" s="590"/>
      <c r="D163" s="590"/>
      <c r="E163" s="590"/>
      <c r="F163" s="590"/>
      <c r="G163" s="590"/>
      <c r="H163" s="590"/>
      <c r="I163" s="590"/>
      <c r="J163" s="590"/>
      <c r="K163" s="590"/>
      <c r="L163" s="590"/>
      <c r="M163" s="590"/>
      <c r="N163" s="590"/>
      <c r="O163" s="590"/>
      <c r="P163" s="590"/>
      <c r="Q163" s="590"/>
      <c r="R163" s="590"/>
      <c r="S163" s="590"/>
      <c r="T163" s="590"/>
      <c r="U163" s="590"/>
      <c r="V163" s="590"/>
      <c r="W163" s="590"/>
      <c r="X163" s="590"/>
      <c r="Y163" s="590"/>
      <c r="Z163" s="590"/>
      <c r="AA163" s="590"/>
      <c r="AB163" s="590"/>
      <c r="AC163" s="590"/>
      <c r="AD163" s="590"/>
      <c r="AE163" s="590"/>
      <c r="AF163" s="590"/>
      <c r="AG163" s="590"/>
      <c r="AH163" s="590"/>
      <c r="AI163" s="590"/>
      <c r="AJ163" s="590"/>
      <c r="AK163" s="590"/>
      <c r="AL163" s="590"/>
      <c r="AM163" s="590"/>
      <c r="AN163" s="590"/>
      <c r="AO163" s="590"/>
      <c r="AP163" s="590"/>
      <c r="AQ163" s="590"/>
      <c r="AR163" s="590"/>
      <c r="AS163" s="590"/>
      <c r="AT163" s="590"/>
      <c r="AU163" s="590"/>
      <c r="AV163" s="590"/>
      <c r="AW163" s="590"/>
      <c r="AX163" s="590"/>
      <c r="AY163" s="590"/>
      <c r="AZ163" s="590"/>
      <c r="BA163" s="590"/>
      <c r="BB163" s="590"/>
      <c r="BC163" s="590"/>
      <c r="BD163" s="590"/>
      <c r="BE163" s="590"/>
      <c r="BF163" s="590"/>
      <c r="BG163" s="590"/>
      <c r="BH163" s="590"/>
      <c r="BI163" s="590"/>
      <c r="BJ163" s="590"/>
      <c r="BK163" s="591"/>
      <c r="BL163" s="591"/>
      <c r="BM163" s="591"/>
      <c r="BN163" s="591"/>
      <c r="BO163" s="591"/>
      <c r="BP163" s="591"/>
      <c r="BQ163" s="591"/>
      <c r="BR163" s="591"/>
      <c r="BS163" s="591"/>
      <c r="BT163" s="591"/>
      <c r="BU163" s="591"/>
      <c r="BV163" s="591"/>
      <c r="BW163" s="591"/>
      <c r="BX163" s="591"/>
      <c r="BY163" s="591"/>
      <c r="BZ163" s="591"/>
      <c r="CA163" s="591"/>
      <c r="CB163" s="591"/>
      <c r="CC163" s="591"/>
      <c r="CD163" s="591"/>
      <c r="CE163" s="591"/>
      <c r="CF163" s="591"/>
    </row>
    <row r="164" spans="1:84">
      <c r="A164" s="590"/>
      <c r="B164" s="590"/>
      <c r="C164" s="590"/>
      <c r="D164" s="590"/>
      <c r="E164" s="590"/>
      <c r="F164" s="590"/>
      <c r="G164" s="590"/>
      <c r="H164" s="590"/>
      <c r="I164" s="590"/>
      <c r="J164" s="590"/>
      <c r="K164" s="590"/>
      <c r="L164" s="590"/>
      <c r="M164" s="590"/>
      <c r="N164" s="590"/>
      <c r="O164" s="590"/>
      <c r="P164" s="590"/>
      <c r="Q164" s="590"/>
      <c r="R164" s="590"/>
      <c r="S164" s="590"/>
      <c r="T164" s="590"/>
      <c r="U164" s="590"/>
      <c r="V164" s="590"/>
      <c r="W164" s="590"/>
      <c r="X164" s="590"/>
      <c r="Y164" s="590"/>
      <c r="Z164" s="590"/>
      <c r="AA164" s="590"/>
      <c r="AB164" s="590"/>
      <c r="AC164" s="590"/>
      <c r="AD164" s="590"/>
      <c r="AE164" s="590"/>
      <c r="AF164" s="590"/>
      <c r="AG164" s="590"/>
      <c r="AH164" s="590"/>
      <c r="AI164" s="590"/>
      <c r="AJ164" s="590"/>
      <c r="AK164" s="590"/>
      <c r="AL164" s="590"/>
      <c r="AM164" s="590"/>
      <c r="AN164" s="590"/>
      <c r="AO164" s="590"/>
      <c r="AP164" s="590"/>
      <c r="AQ164" s="590"/>
      <c r="AR164" s="590"/>
      <c r="AS164" s="590"/>
      <c r="AT164" s="590"/>
      <c r="AU164" s="590"/>
      <c r="AV164" s="590"/>
      <c r="AW164" s="590"/>
      <c r="AX164" s="590"/>
      <c r="AY164" s="590"/>
      <c r="AZ164" s="590"/>
      <c r="BA164" s="590"/>
      <c r="BB164" s="590"/>
      <c r="BC164" s="590"/>
      <c r="BD164" s="590"/>
      <c r="BE164" s="590"/>
      <c r="BF164" s="590"/>
      <c r="BG164" s="590"/>
      <c r="BH164" s="590"/>
      <c r="BI164" s="590"/>
      <c r="BJ164" s="590"/>
      <c r="BK164" s="591"/>
      <c r="BL164" s="591"/>
      <c r="BM164" s="591"/>
      <c r="BN164" s="591"/>
      <c r="BO164" s="591"/>
      <c r="BP164" s="591"/>
      <c r="BQ164" s="591"/>
      <c r="BR164" s="591"/>
      <c r="BS164" s="591"/>
      <c r="BT164" s="591"/>
      <c r="BU164" s="591"/>
      <c r="BV164" s="591"/>
      <c r="BW164" s="591"/>
      <c r="BX164" s="591"/>
      <c r="BY164" s="591"/>
      <c r="BZ164" s="591"/>
      <c r="CA164" s="591"/>
      <c r="CB164" s="591"/>
      <c r="CC164" s="591"/>
      <c r="CD164" s="591"/>
      <c r="CE164" s="591"/>
      <c r="CF164" s="591"/>
    </row>
    <row r="165" spans="1:84">
      <c r="A165" s="590"/>
      <c r="B165" s="590"/>
      <c r="C165" s="590"/>
      <c r="D165" s="590"/>
      <c r="E165" s="590"/>
      <c r="F165" s="590"/>
      <c r="G165" s="590"/>
      <c r="H165" s="590"/>
      <c r="I165" s="590"/>
      <c r="J165" s="590"/>
      <c r="K165" s="590"/>
      <c r="L165" s="590"/>
      <c r="M165" s="590"/>
      <c r="N165" s="590"/>
      <c r="O165" s="590"/>
      <c r="P165" s="590"/>
      <c r="Q165" s="590"/>
      <c r="R165" s="590"/>
      <c r="S165" s="590"/>
      <c r="T165" s="590"/>
      <c r="U165" s="590"/>
      <c r="V165" s="590"/>
      <c r="W165" s="590"/>
      <c r="X165" s="590"/>
      <c r="Y165" s="590"/>
      <c r="Z165" s="590"/>
      <c r="AA165" s="590"/>
      <c r="AB165" s="590"/>
      <c r="AC165" s="590"/>
      <c r="AD165" s="590"/>
      <c r="AE165" s="590"/>
      <c r="AF165" s="590"/>
      <c r="AG165" s="590"/>
      <c r="AH165" s="590"/>
      <c r="AI165" s="590"/>
      <c r="AJ165" s="590"/>
      <c r="AK165" s="590"/>
      <c r="AL165" s="590"/>
      <c r="AM165" s="590"/>
      <c r="AN165" s="590"/>
      <c r="AO165" s="590"/>
      <c r="AP165" s="590"/>
      <c r="AQ165" s="590"/>
      <c r="AR165" s="590"/>
      <c r="AS165" s="590"/>
      <c r="AT165" s="590"/>
      <c r="AU165" s="590"/>
      <c r="AV165" s="590"/>
      <c r="AW165" s="590"/>
      <c r="AX165" s="590"/>
      <c r="AY165" s="590"/>
      <c r="AZ165" s="590"/>
      <c r="BA165" s="590"/>
      <c r="BB165" s="590"/>
      <c r="BC165" s="590"/>
      <c r="BD165" s="590"/>
      <c r="BE165" s="590"/>
      <c r="BF165" s="590"/>
      <c r="BG165" s="590"/>
      <c r="BH165" s="590"/>
      <c r="BI165" s="590"/>
      <c r="BJ165" s="590"/>
      <c r="BK165" s="591"/>
      <c r="BL165" s="591"/>
      <c r="BM165" s="591"/>
      <c r="BN165" s="591"/>
      <c r="BO165" s="591"/>
      <c r="BP165" s="591"/>
      <c r="BQ165" s="591"/>
      <c r="BR165" s="591"/>
      <c r="BS165" s="591"/>
      <c r="BT165" s="591"/>
      <c r="BU165" s="591"/>
      <c r="BV165" s="591"/>
      <c r="BW165" s="591"/>
      <c r="BX165" s="591"/>
      <c r="BY165" s="591"/>
      <c r="BZ165" s="591"/>
      <c r="CA165" s="591"/>
      <c r="CB165" s="591"/>
      <c r="CC165" s="591"/>
      <c r="CD165" s="591"/>
      <c r="CE165" s="591"/>
      <c r="CF165" s="591"/>
    </row>
    <row r="166" spans="1:84">
      <c r="A166" s="590"/>
      <c r="B166" s="590"/>
      <c r="C166" s="590"/>
      <c r="D166" s="590"/>
      <c r="E166" s="590"/>
      <c r="F166" s="590"/>
      <c r="G166" s="590"/>
      <c r="H166" s="590"/>
      <c r="I166" s="590"/>
      <c r="J166" s="590"/>
      <c r="K166" s="590"/>
      <c r="L166" s="590"/>
      <c r="M166" s="590"/>
      <c r="N166" s="590"/>
      <c r="O166" s="590"/>
      <c r="P166" s="590"/>
      <c r="Q166" s="590"/>
      <c r="R166" s="590"/>
      <c r="S166" s="590"/>
      <c r="T166" s="590"/>
      <c r="U166" s="590"/>
      <c r="V166" s="590"/>
      <c r="W166" s="590"/>
      <c r="X166" s="590"/>
      <c r="Y166" s="590"/>
      <c r="Z166" s="590"/>
      <c r="AA166" s="590"/>
      <c r="AB166" s="590"/>
      <c r="AC166" s="590"/>
      <c r="AD166" s="590"/>
      <c r="AE166" s="590"/>
      <c r="AF166" s="590"/>
      <c r="AG166" s="590"/>
      <c r="AH166" s="590"/>
      <c r="AI166" s="590"/>
      <c r="AJ166" s="590"/>
      <c r="AK166" s="590"/>
      <c r="AL166" s="590"/>
      <c r="AM166" s="590"/>
      <c r="AN166" s="590"/>
      <c r="AO166" s="590"/>
      <c r="AP166" s="590"/>
      <c r="AQ166" s="590"/>
      <c r="AR166" s="590"/>
      <c r="AS166" s="590"/>
      <c r="AT166" s="590"/>
      <c r="AU166" s="590"/>
      <c r="AV166" s="590"/>
      <c r="AW166" s="590"/>
      <c r="AX166" s="590"/>
      <c r="AY166" s="590"/>
      <c r="AZ166" s="590"/>
      <c r="BA166" s="590"/>
      <c r="BB166" s="590"/>
      <c r="BC166" s="590"/>
      <c r="BD166" s="590"/>
      <c r="BE166" s="590"/>
      <c r="BF166" s="590"/>
      <c r="BG166" s="590"/>
      <c r="BH166" s="590"/>
      <c r="BI166" s="590"/>
      <c r="BJ166" s="590"/>
      <c r="BK166" s="591"/>
      <c r="BL166" s="591"/>
      <c r="BM166" s="591"/>
      <c r="BN166" s="591"/>
      <c r="BO166" s="591"/>
      <c r="BP166" s="591"/>
      <c r="BQ166" s="591"/>
      <c r="BR166" s="591"/>
      <c r="BS166" s="591"/>
      <c r="BT166" s="591"/>
      <c r="BU166" s="591"/>
      <c r="BV166" s="591"/>
      <c r="BW166" s="591"/>
      <c r="BX166" s="591"/>
      <c r="BY166" s="591"/>
      <c r="BZ166" s="591"/>
      <c r="CA166" s="591"/>
      <c r="CB166" s="591"/>
      <c r="CC166" s="591"/>
      <c r="CD166" s="591"/>
      <c r="CE166" s="591"/>
      <c r="CF166" s="591"/>
    </row>
    <row r="167" spans="1:84">
      <c r="A167" s="590"/>
      <c r="B167" s="590"/>
      <c r="C167" s="590"/>
      <c r="D167" s="590"/>
      <c r="E167" s="590"/>
      <c r="F167" s="590"/>
      <c r="G167" s="590"/>
      <c r="H167" s="590"/>
      <c r="I167" s="590"/>
      <c r="J167" s="590"/>
      <c r="K167" s="590"/>
      <c r="L167" s="590"/>
      <c r="M167" s="590"/>
      <c r="N167" s="590"/>
      <c r="O167" s="590"/>
      <c r="P167" s="590"/>
      <c r="Q167" s="590"/>
      <c r="R167" s="590"/>
      <c r="S167" s="590"/>
      <c r="T167" s="590"/>
      <c r="U167" s="590"/>
      <c r="V167" s="590"/>
      <c r="W167" s="590"/>
      <c r="X167" s="590"/>
      <c r="Y167" s="590"/>
      <c r="Z167" s="590"/>
      <c r="AA167" s="590"/>
      <c r="AB167" s="590"/>
      <c r="AC167" s="590"/>
      <c r="AD167" s="590"/>
      <c r="AE167" s="590"/>
      <c r="AF167" s="590"/>
      <c r="AG167" s="590"/>
      <c r="AH167" s="590"/>
      <c r="AI167" s="590"/>
      <c r="AJ167" s="590"/>
      <c r="AK167" s="590"/>
      <c r="AL167" s="590"/>
      <c r="AM167" s="590"/>
      <c r="AN167" s="590"/>
      <c r="AO167" s="590"/>
      <c r="AP167" s="590"/>
      <c r="AQ167" s="590"/>
      <c r="AR167" s="590"/>
      <c r="AS167" s="590"/>
      <c r="AT167" s="590"/>
      <c r="AU167" s="590"/>
      <c r="AV167" s="590"/>
      <c r="AW167" s="590"/>
      <c r="AX167" s="590"/>
      <c r="AY167" s="590"/>
      <c r="AZ167" s="590"/>
      <c r="BA167" s="590"/>
      <c r="BB167" s="590"/>
      <c r="BC167" s="590"/>
      <c r="BD167" s="590"/>
      <c r="BE167" s="590"/>
      <c r="BF167" s="590"/>
      <c r="BG167" s="590"/>
      <c r="BH167" s="590"/>
      <c r="BI167" s="590"/>
      <c r="BJ167" s="590"/>
      <c r="BK167" s="591"/>
      <c r="BL167" s="591"/>
      <c r="BM167" s="591"/>
      <c r="BN167" s="591"/>
      <c r="BO167" s="591"/>
      <c r="BP167" s="591"/>
      <c r="BQ167" s="591"/>
      <c r="BR167" s="591"/>
      <c r="BS167" s="591"/>
      <c r="BT167" s="591"/>
      <c r="BU167" s="591"/>
      <c r="BV167" s="591"/>
      <c r="BW167" s="591"/>
      <c r="BX167" s="591"/>
      <c r="BY167" s="591"/>
      <c r="BZ167" s="591"/>
      <c r="CA167" s="591"/>
      <c r="CB167" s="591"/>
      <c r="CC167" s="591"/>
      <c r="CD167" s="591"/>
      <c r="CE167" s="591"/>
      <c r="CF167" s="591"/>
    </row>
    <row r="168" spans="1:84">
      <c r="A168" s="590"/>
      <c r="B168" s="590"/>
      <c r="C168" s="590"/>
      <c r="D168" s="590"/>
      <c r="E168" s="590"/>
      <c r="F168" s="590"/>
      <c r="G168" s="590"/>
      <c r="H168" s="590"/>
      <c r="I168" s="590"/>
      <c r="J168" s="590"/>
      <c r="K168" s="590"/>
      <c r="L168" s="590"/>
      <c r="M168" s="590"/>
      <c r="N168" s="590"/>
      <c r="O168" s="590"/>
      <c r="P168" s="590"/>
      <c r="Q168" s="590"/>
      <c r="R168" s="590"/>
      <c r="S168" s="590"/>
      <c r="T168" s="590"/>
      <c r="U168" s="590"/>
      <c r="V168" s="590"/>
      <c r="W168" s="590"/>
      <c r="X168" s="590"/>
      <c r="Y168" s="590"/>
      <c r="Z168" s="590"/>
      <c r="AA168" s="590"/>
      <c r="AB168" s="590"/>
      <c r="AC168" s="590"/>
      <c r="AD168" s="590"/>
      <c r="AE168" s="590"/>
      <c r="AF168" s="590"/>
      <c r="AG168" s="590"/>
      <c r="AH168" s="590"/>
      <c r="AI168" s="590"/>
      <c r="AJ168" s="590"/>
      <c r="AK168" s="590"/>
      <c r="AL168" s="590"/>
      <c r="AM168" s="590"/>
      <c r="AN168" s="590"/>
      <c r="AO168" s="590"/>
      <c r="AP168" s="590"/>
      <c r="AQ168" s="590"/>
      <c r="AR168" s="590"/>
      <c r="AS168" s="590"/>
      <c r="AT168" s="590"/>
      <c r="AU168" s="590"/>
      <c r="AV168" s="590"/>
      <c r="AW168" s="590"/>
      <c r="AX168" s="590"/>
      <c r="AY168" s="590"/>
      <c r="AZ168" s="590"/>
      <c r="BA168" s="590"/>
      <c r="BB168" s="590"/>
      <c r="BC168" s="590"/>
      <c r="BD168" s="590"/>
      <c r="BE168" s="590"/>
      <c r="BF168" s="590"/>
      <c r="BG168" s="590"/>
      <c r="BH168" s="590"/>
      <c r="BI168" s="590"/>
      <c r="BJ168" s="590"/>
      <c r="BK168" s="591"/>
      <c r="BL168" s="591"/>
      <c r="BM168" s="591"/>
      <c r="BN168" s="591"/>
      <c r="BO168" s="591"/>
      <c r="BP168" s="591"/>
      <c r="BQ168" s="591"/>
      <c r="BR168" s="591"/>
      <c r="BS168" s="591"/>
      <c r="BT168" s="591"/>
      <c r="BU168" s="591"/>
      <c r="BV168" s="591"/>
      <c r="BW168" s="591"/>
      <c r="BX168" s="591"/>
      <c r="BY168" s="591"/>
      <c r="BZ168" s="591"/>
      <c r="CA168" s="591"/>
      <c r="CB168" s="591"/>
      <c r="CC168" s="591"/>
      <c r="CD168" s="591"/>
      <c r="CE168" s="591"/>
      <c r="CF168" s="591"/>
    </row>
    <row r="169" spans="1:84">
      <c r="A169" s="590"/>
      <c r="B169" s="590"/>
      <c r="C169" s="590"/>
      <c r="D169" s="590"/>
      <c r="E169" s="590"/>
      <c r="F169" s="590"/>
      <c r="G169" s="590"/>
      <c r="H169" s="590"/>
      <c r="I169" s="590"/>
      <c r="J169" s="590"/>
      <c r="K169" s="590"/>
      <c r="L169" s="590"/>
      <c r="M169" s="590"/>
      <c r="N169" s="590"/>
      <c r="O169" s="590"/>
      <c r="P169" s="590"/>
      <c r="Q169" s="590"/>
      <c r="R169" s="590"/>
      <c r="S169" s="590"/>
      <c r="T169" s="590"/>
      <c r="U169" s="590"/>
      <c r="V169" s="590"/>
      <c r="W169" s="590"/>
      <c r="X169" s="590"/>
      <c r="Y169" s="590"/>
      <c r="Z169" s="590"/>
      <c r="AA169" s="590"/>
      <c r="AB169" s="590"/>
      <c r="AC169" s="590"/>
      <c r="AD169" s="590"/>
      <c r="AE169" s="590"/>
      <c r="AF169" s="590"/>
      <c r="AG169" s="590"/>
      <c r="AH169" s="590"/>
      <c r="AI169" s="590"/>
      <c r="AJ169" s="590"/>
      <c r="AK169" s="590"/>
      <c r="AL169" s="590"/>
      <c r="AM169" s="590"/>
      <c r="AN169" s="590"/>
      <c r="AO169" s="590"/>
      <c r="AP169" s="590"/>
      <c r="AQ169" s="590"/>
      <c r="AR169" s="590"/>
      <c r="AS169" s="590"/>
      <c r="AT169" s="590"/>
      <c r="AU169" s="590"/>
      <c r="AV169" s="590"/>
      <c r="AW169" s="590"/>
      <c r="AX169" s="590"/>
      <c r="AY169" s="590"/>
      <c r="AZ169" s="590"/>
      <c r="BA169" s="590"/>
      <c r="BB169" s="590"/>
      <c r="BC169" s="590"/>
      <c r="BD169" s="590"/>
      <c r="BE169" s="590"/>
      <c r="BF169" s="590"/>
      <c r="BG169" s="590"/>
      <c r="BH169" s="590"/>
      <c r="BI169" s="590"/>
      <c r="BJ169" s="590"/>
      <c r="BK169" s="591"/>
      <c r="BL169" s="591"/>
      <c r="BM169" s="591"/>
      <c r="BN169" s="591"/>
      <c r="BO169" s="591"/>
      <c r="BP169" s="591"/>
      <c r="BQ169" s="591"/>
      <c r="BR169" s="591"/>
      <c r="BS169" s="591"/>
      <c r="BT169" s="591"/>
      <c r="BU169" s="591"/>
      <c r="BV169" s="591"/>
      <c r="BW169" s="591"/>
      <c r="BX169" s="591"/>
      <c r="BY169" s="591"/>
      <c r="BZ169" s="591"/>
      <c r="CA169" s="591"/>
      <c r="CB169" s="591"/>
      <c r="CC169" s="591"/>
      <c r="CD169" s="591"/>
      <c r="CE169" s="591"/>
      <c r="CF169" s="591"/>
    </row>
    <row r="170" spans="1:84">
      <c r="A170" s="590"/>
      <c r="B170" s="590"/>
      <c r="C170" s="590"/>
      <c r="D170" s="590"/>
      <c r="E170" s="590"/>
      <c r="F170" s="590"/>
      <c r="G170" s="590"/>
      <c r="H170" s="590"/>
      <c r="I170" s="590"/>
      <c r="J170" s="590"/>
      <c r="K170" s="590"/>
      <c r="L170" s="590"/>
      <c r="M170" s="590"/>
      <c r="N170" s="590"/>
      <c r="O170" s="590"/>
      <c r="P170" s="590"/>
      <c r="Q170" s="590"/>
      <c r="R170" s="590"/>
      <c r="S170" s="590"/>
      <c r="T170" s="590"/>
      <c r="U170" s="590"/>
      <c r="V170" s="590"/>
      <c r="W170" s="590"/>
      <c r="X170" s="590"/>
      <c r="Y170" s="590"/>
      <c r="Z170" s="590"/>
      <c r="AA170" s="590"/>
      <c r="AB170" s="590"/>
      <c r="AC170" s="590"/>
      <c r="AD170" s="590"/>
      <c r="AE170" s="590"/>
      <c r="AF170" s="590"/>
      <c r="AG170" s="590"/>
      <c r="AH170" s="590"/>
      <c r="AI170" s="590"/>
      <c r="AJ170" s="590"/>
      <c r="AK170" s="590"/>
      <c r="AL170" s="590"/>
      <c r="AM170" s="590"/>
      <c r="AN170" s="590"/>
      <c r="AO170" s="590"/>
      <c r="AP170" s="590"/>
      <c r="AQ170" s="590"/>
      <c r="AR170" s="590"/>
      <c r="AS170" s="590"/>
      <c r="AT170" s="590"/>
      <c r="AU170" s="590"/>
      <c r="AV170" s="590"/>
      <c r="AW170" s="590"/>
      <c r="AX170" s="590"/>
      <c r="AY170" s="590"/>
      <c r="AZ170" s="590"/>
      <c r="BA170" s="590"/>
      <c r="BB170" s="590"/>
      <c r="BC170" s="590"/>
      <c r="BD170" s="590"/>
      <c r="BE170" s="590"/>
      <c r="BF170" s="590"/>
      <c r="BG170" s="590"/>
      <c r="BH170" s="590"/>
      <c r="BI170" s="590"/>
      <c r="BJ170" s="590"/>
      <c r="BK170" s="591"/>
      <c r="BL170" s="591"/>
      <c r="BM170" s="591"/>
      <c r="BN170" s="591"/>
      <c r="BO170" s="591"/>
      <c r="BP170" s="591"/>
      <c r="BQ170" s="591"/>
      <c r="BR170" s="591"/>
      <c r="BS170" s="591"/>
      <c r="BT170" s="591"/>
      <c r="BU170" s="591"/>
      <c r="BV170" s="591"/>
      <c r="BW170" s="591"/>
      <c r="BX170" s="591"/>
      <c r="BY170" s="591"/>
      <c r="BZ170" s="591"/>
      <c r="CA170" s="591"/>
      <c r="CB170" s="591"/>
      <c r="CC170" s="591"/>
      <c r="CD170" s="591"/>
      <c r="CE170" s="591"/>
      <c r="CF170" s="591"/>
    </row>
    <row r="171" spans="1:84">
      <c r="A171" s="590"/>
      <c r="B171" s="590"/>
      <c r="C171" s="590"/>
      <c r="D171" s="590"/>
      <c r="E171" s="590"/>
      <c r="F171" s="590"/>
      <c r="G171" s="590"/>
      <c r="H171" s="590"/>
      <c r="I171" s="590"/>
      <c r="J171" s="590"/>
      <c r="K171" s="590"/>
      <c r="L171" s="590"/>
      <c r="M171" s="590"/>
      <c r="N171" s="590"/>
      <c r="O171" s="590"/>
      <c r="P171" s="590"/>
      <c r="Q171" s="590"/>
      <c r="R171" s="590"/>
      <c r="S171" s="590"/>
      <c r="T171" s="590"/>
      <c r="U171" s="590"/>
      <c r="V171" s="590"/>
      <c r="W171" s="590"/>
      <c r="X171" s="590"/>
      <c r="Y171" s="590"/>
      <c r="Z171" s="590"/>
      <c r="AA171" s="590"/>
      <c r="AB171" s="590"/>
      <c r="AC171" s="590"/>
      <c r="AD171" s="590"/>
      <c r="AE171" s="590"/>
      <c r="AF171" s="590"/>
      <c r="AG171" s="590"/>
      <c r="AH171" s="590"/>
      <c r="AI171" s="590"/>
      <c r="AJ171" s="590"/>
      <c r="AK171" s="590"/>
      <c r="AL171" s="590"/>
      <c r="AM171" s="590"/>
      <c r="AN171" s="590"/>
      <c r="AO171" s="590"/>
      <c r="AP171" s="590"/>
      <c r="AQ171" s="590"/>
      <c r="AR171" s="590"/>
      <c r="AS171" s="590"/>
      <c r="AT171" s="590"/>
      <c r="AU171" s="590"/>
      <c r="AV171" s="590"/>
      <c r="AW171" s="590"/>
      <c r="AX171" s="590"/>
      <c r="AY171" s="590"/>
      <c r="AZ171" s="590"/>
      <c r="BA171" s="590"/>
      <c r="BB171" s="590"/>
      <c r="BC171" s="590"/>
      <c r="BD171" s="590"/>
      <c r="BE171" s="590"/>
      <c r="BF171" s="590"/>
      <c r="BG171" s="590"/>
      <c r="BH171" s="590"/>
      <c r="BI171" s="590"/>
      <c r="BJ171" s="590"/>
      <c r="BK171" s="591"/>
      <c r="BL171" s="591"/>
      <c r="BM171" s="591"/>
      <c r="BN171" s="591"/>
      <c r="BO171" s="591"/>
      <c r="BP171" s="591"/>
      <c r="BQ171" s="591"/>
      <c r="BR171" s="591"/>
      <c r="BS171" s="591"/>
      <c r="BT171" s="591"/>
      <c r="BU171" s="591"/>
      <c r="BV171" s="591"/>
      <c r="BW171" s="591"/>
      <c r="BX171" s="591"/>
      <c r="BY171" s="591"/>
      <c r="BZ171" s="591"/>
      <c r="CA171" s="591"/>
      <c r="CB171" s="591"/>
      <c r="CC171" s="591"/>
      <c r="CD171" s="591"/>
      <c r="CE171" s="591"/>
      <c r="CF171" s="591"/>
    </row>
    <row r="172" spans="1:84">
      <c r="A172" s="590"/>
      <c r="B172" s="590"/>
      <c r="C172" s="590"/>
      <c r="D172" s="590"/>
      <c r="E172" s="590"/>
      <c r="F172" s="590"/>
      <c r="G172" s="590"/>
      <c r="H172" s="590"/>
      <c r="I172" s="590"/>
      <c r="J172" s="590"/>
      <c r="K172" s="590"/>
      <c r="L172" s="590"/>
      <c r="M172" s="590"/>
      <c r="N172" s="590"/>
      <c r="O172" s="590"/>
      <c r="P172" s="590"/>
      <c r="Q172" s="590"/>
      <c r="R172" s="590"/>
      <c r="S172" s="590"/>
      <c r="T172" s="590"/>
      <c r="U172" s="590"/>
      <c r="V172" s="590"/>
      <c r="W172" s="590"/>
      <c r="X172" s="590"/>
      <c r="Y172" s="590"/>
      <c r="Z172" s="590"/>
      <c r="AA172" s="590"/>
      <c r="AB172" s="590"/>
      <c r="AC172" s="590"/>
      <c r="AD172" s="590"/>
      <c r="AE172" s="590"/>
      <c r="AF172" s="590"/>
      <c r="AG172" s="590"/>
      <c r="AH172" s="590"/>
      <c r="AI172" s="590"/>
      <c r="AJ172" s="590"/>
      <c r="AK172" s="590"/>
      <c r="AL172" s="590"/>
      <c r="AM172" s="590"/>
      <c r="AN172" s="590"/>
      <c r="AO172" s="590"/>
      <c r="AP172" s="590"/>
      <c r="AQ172" s="590"/>
      <c r="AR172" s="590"/>
      <c r="AS172" s="590"/>
      <c r="AT172" s="590"/>
      <c r="AU172" s="590"/>
      <c r="AV172" s="590"/>
      <c r="AW172" s="590"/>
      <c r="AX172" s="590"/>
      <c r="AY172" s="590"/>
      <c r="AZ172" s="590"/>
      <c r="BA172" s="590"/>
      <c r="BB172" s="590"/>
      <c r="BC172" s="590"/>
      <c r="BD172" s="590"/>
      <c r="BE172" s="590"/>
      <c r="BF172" s="590"/>
      <c r="BG172" s="590"/>
      <c r="BH172" s="590"/>
      <c r="BI172" s="590"/>
      <c r="BJ172" s="590"/>
      <c r="BK172" s="591"/>
      <c r="BL172" s="591"/>
      <c r="BM172" s="591"/>
      <c r="BN172" s="591"/>
      <c r="BO172" s="591"/>
      <c r="BP172" s="591"/>
      <c r="BQ172" s="591"/>
      <c r="BR172" s="591"/>
      <c r="BS172" s="591"/>
      <c r="BT172" s="591"/>
      <c r="BU172" s="591"/>
      <c r="BV172" s="591"/>
      <c r="BW172" s="591"/>
      <c r="BX172" s="591"/>
      <c r="BY172" s="591"/>
      <c r="BZ172" s="591"/>
      <c r="CA172" s="591"/>
      <c r="CB172" s="591"/>
      <c r="CC172" s="591"/>
      <c r="CD172" s="591"/>
      <c r="CE172" s="591"/>
      <c r="CF172" s="591"/>
    </row>
    <row r="173" spans="1:84">
      <c r="A173" s="590"/>
      <c r="B173" s="590"/>
      <c r="C173" s="590"/>
      <c r="D173" s="590"/>
      <c r="E173" s="590"/>
      <c r="F173" s="590"/>
      <c r="G173" s="590"/>
      <c r="H173" s="590"/>
      <c r="I173" s="590"/>
      <c r="J173" s="590"/>
      <c r="K173" s="590"/>
      <c r="L173" s="590"/>
      <c r="M173" s="590"/>
      <c r="N173" s="590"/>
      <c r="O173" s="590"/>
      <c r="P173" s="590"/>
      <c r="Q173" s="590"/>
      <c r="R173" s="590"/>
      <c r="S173" s="590"/>
      <c r="T173" s="590"/>
      <c r="U173" s="590"/>
      <c r="V173" s="590"/>
      <c r="W173" s="590"/>
      <c r="X173" s="590"/>
      <c r="Y173" s="590"/>
      <c r="Z173" s="590"/>
      <c r="AA173" s="590"/>
      <c r="AB173" s="590"/>
      <c r="AC173" s="590"/>
      <c r="AD173" s="590"/>
      <c r="AE173" s="590"/>
      <c r="AF173" s="590"/>
      <c r="AG173" s="590"/>
      <c r="AH173" s="590"/>
      <c r="AI173" s="590"/>
      <c r="AJ173" s="590"/>
      <c r="AK173" s="590"/>
      <c r="AL173" s="590"/>
      <c r="AM173" s="590"/>
      <c r="AN173" s="590"/>
      <c r="AO173" s="590"/>
      <c r="AP173" s="590"/>
      <c r="AQ173" s="590"/>
      <c r="AR173" s="590"/>
      <c r="AS173" s="590"/>
      <c r="AT173" s="590"/>
      <c r="AU173" s="590"/>
      <c r="AV173" s="590"/>
      <c r="AW173" s="590"/>
      <c r="AX173" s="590"/>
      <c r="AY173" s="590"/>
      <c r="AZ173" s="590"/>
      <c r="BA173" s="590"/>
      <c r="BB173" s="590"/>
      <c r="BC173" s="590"/>
      <c r="BD173" s="590"/>
      <c r="BE173" s="590"/>
      <c r="BF173" s="590"/>
      <c r="BG173" s="590"/>
      <c r="BH173" s="590"/>
      <c r="BI173" s="590"/>
      <c r="BJ173" s="590"/>
      <c r="BK173" s="591"/>
      <c r="BL173" s="591"/>
      <c r="BM173" s="591"/>
      <c r="BN173" s="591"/>
      <c r="BO173" s="591"/>
      <c r="BP173" s="591"/>
      <c r="BQ173" s="591"/>
      <c r="BR173" s="591"/>
      <c r="BS173" s="591"/>
      <c r="BT173" s="591"/>
      <c r="BU173" s="591"/>
      <c r="BV173" s="591"/>
      <c r="BW173" s="591"/>
      <c r="BX173" s="591"/>
      <c r="BY173" s="591"/>
      <c r="BZ173" s="591"/>
      <c r="CA173" s="591"/>
      <c r="CB173" s="591"/>
      <c r="CC173" s="591"/>
      <c r="CD173" s="591"/>
      <c r="CE173" s="591"/>
      <c r="CF173" s="591"/>
    </row>
    <row r="174" spans="1:84">
      <c r="A174" s="590"/>
      <c r="B174" s="590"/>
      <c r="C174" s="590"/>
      <c r="D174" s="590"/>
      <c r="E174" s="590"/>
      <c r="F174" s="590"/>
      <c r="G174" s="590"/>
      <c r="H174" s="590"/>
      <c r="I174" s="590"/>
      <c r="J174" s="590"/>
      <c r="K174" s="590"/>
      <c r="L174" s="590"/>
      <c r="M174" s="590"/>
      <c r="N174" s="590"/>
      <c r="O174" s="590"/>
      <c r="P174" s="590"/>
      <c r="Q174" s="590"/>
      <c r="R174" s="590"/>
      <c r="S174" s="590"/>
      <c r="T174" s="590"/>
      <c r="U174" s="590"/>
      <c r="V174" s="590"/>
      <c r="W174" s="590"/>
      <c r="X174" s="590"/>
      <c r="Y174" s="590"/>
      <c r="Z174" s="590"/>
      <c r="AA174" s="590"/>
      <c r="AB174" s="590"/>
      <c r="AC174" s="590"/>
      <c r="AD174" s="590"/>
      <c r="AE174" s="590"/>
      <c r="AF174" s="590"/>
      <c r="AG174" s="590"/>
      <c r="AH174" s="590"/>
      <c r="AI174" s="590"/>
      <c r="AJ174" s="590"/>
      <c r="AK174" s="590"/>
      <c r="AL174" s="590"/>
      <c r="AM174" s="590"/>
      <c r="AN174" s="590"/>
      <c r="AO174" s="590"/>
      <c r="AP174" s="590"/>
      <c r="AQ174" s="590"/>
      <c r="AR174" s="590"/>
      <c r="AS174" s="590"/>
      <c r="AT174" s="590"/>
      <c r="AU174" s="590"/>
      <c r="AV174" s="590"/>
      <c r="AW174" s="590"/>
      <c r="AX174" s="590"/>
      <c r="AY174" s="590"/>
      <c r="AZ174" s="590"/>
      <c r="BA174" s="590"/>
      <c r="BB174" s="590"/>
      <c r="BC174" s="590"/>
      <c r="BD174" s="590"/>
      <c r="BE174" s="590"/>
      <c r="BF174" s="590"/>
      <c r="BG174" s="590"/>
      <c r="BH174" s="590"/>
      <c r="BI174" s="590"/>
      <c r="BJ174" s="590"/>
      <c r="BK174" s="591"/>
      <c r="BL174" s="591"/>
      <c r="BM174" s="591"/>
      <c r="BN174" s="591"/>
      <c r="BO174" s="591"/>
      <c r="BP174" s="591"/>
      <c r="BQ174" s="591"/>
      <c r="BR174" s="591"/>
      <c r="BS174" s="591"/>
      <c r="BT174" s="591"/>
      <c r="BU174" s="591"/>
      <c r="BV174" s="591"/>
      <c r="BW174" s="591"/>
      <c r="BX174" s="591"/>
      <c r="BY174" s="591"/>
      <c r="BZ174" s="591"/>
      <c r="CA174" s="591"/>
      <c r="CB174" s="591"/>
      <c r="CC174" s="591"/>
      <c r="CD174" s="591"/>
      <c r="CE174" s="591"/>
      <c r="CF174" s="591"/>
    </row>
    <row r="175" spans="1:84">
      <c r="A175" s="590"/>
      <c r="B175" s="590"/>
      <c r="C175" s="590"/>
      <c r="D175" s="590"/>
      <c r="E175" s="590"/>
      <c r="F175" s="590"/>
      <c r="G175" s="590"/>
      <c r="H175" s="590"/>
      <c r="I175" s="590"/>
      <c r="J175" s="590"/>
      <c r="K175" s="590"/>
      <c r="L175" s="590"/>
      <c r="M175" s="590"/>
      <c r="N175" s="590"/>
      <c r="O175" s="590"/>
      <c r="P175" s="590"/>
      <c r="Q175" s="590"/>
      <c r="R175" s="590"/>
      <c r="S175" s="590"/>
      <c r="T175" s="590"/>
      <c r="U175" s="590"/>
      <c r="V175" s="590"/>
      <c r="W175" s="590"/>
      <c r="X175" s="590"/>
      <c r="Y175" s="590"/>
      <c r="Z175" s="590"/>
      <c r="AA175" s="590"/>
      <c r="AB175" s="590"/>
      <c r="AC175" s="590"/>
      <c r="AD175" s="590"/>
      <c r="AE175" s="590"/>
      <c r="AF175" s="590"/>
      <c r="AG175" s="590"/>
      <c r="AH175" s="590"/>
      <c r="AI175" s="590"/>
      <c r="AJ175" s="590"/>
      <c r="AK175" s="590"/>
      <c r="AL175" s="590"/>
      <c r="AM175" s="590"/>
      <c r="AN175" s="590"/>
      <c r="AO175" s="590"/>
      <c r="AP175" s="590"/>
      <c r="AQ175" s="590"/>
      <c r="AR175" s="590"/>
      <c r="AS175" s="590"/>
      <c r="AT175" s="590"/>
      <c r="AU175" s="590"/>
      <c r="AV175" s="590"/>
      <c r="AW175" s="590"/>
      <c r="AX175" s="590"/>
      <c r="AY175" s="590"/>
      <c r="AZ175" s="590"/>
      <c r="BA175" s="590"/>
      <c r="BB175" s="590"/>
      <c r="BC175" s="590"/>
      <c r="BD175" s="590"/>
      <c r="BE175" s="590"/>
      <c r="BF175" s="590"/>
      <c r="BG175" s="590"/>
      <c r="BH175" s="590"/>
      <c r="BI175" s="590"/>
      <c r="BJ175" s="590"/>
      <c r="BK175" s="591"/>
      <c r="BL175" s="591"/>
      <c r="BM175" s="591"/>
      <c r="BN175" s="591"/>
      <c r="BO175" s="591"/>
      <c r="BP175" s="591"/>
      <c r="BQ175" s="591"/>
      <c r="BR175" s="591"/>
      <c r="BS175" s="591"/>
      <c r="BT175" s="591"/>
      <c r="BU175" s="591"/>
      <c r="BV175" s="591"/>
      <c r="BW175" s="591"/>
      <c r="BX175" s="591"/>
      <c r="BY175" s="591"/>
      <c r="BZ175" s="591"/>
      <c r="CA175" s="591"/>
      <c r="CB175" s="591"/>
      <c r="CC175" s="591"/>
      <c r="CD175" s="591"/>
      <c r="CE175" s="591"/>
      <c r="CF175" s="591"/>
    </row>
    <row r="176" spans="1:84">
      <c r="A176" s="590"/>
      <c r="B176" s="590"/>
      <c r="C176" s="590"/>
      <c r="D176" s="590"/>
      <c r="E176" s="590"/>
      <c r="F176" s="590"/>
      <c r="G176" s="590"/>
      <c r="H176" s="590"/>
      <c r="I176" s="590"/>
      <c r="J176" s="590"/>
      <c r="K176" s="590"/>
      <c r="L176" s="590"/>
      <c r="M176" s="590"/>
      <c r="N176" s="590"/>
      <c r="O176" s="590"/>
      <c r="P176" s="590"/>
      <c r="Q176" s="590"/>
      <c r="R176" s="590"/>
      <c r="S176" s="590"/>
      <c r="T176" s="590"/>
      <c r="U176" s="590"/>
      <c r="V176" s="590"/>
      <c r="W176" s="590"/>
      <c r="X176" s="590"/>
      <c r="Y176" s="590"/>
      <c r="Z176" s="590"/>
      <c r="AA176" s="590"/>
      <c r="AB176" s="590"/>
      <c r="AC176" s="590"/>
      <c r="AD176" s="590"/>
      <c r="AE176" s="590"/>
      <c r="AF176" s="590"/>
      <c r="AG176" s="590"/>
      <c r="AH176" s="590"/>
      <c r="AI176" s="590"/>
      <c r="AJ176" s="590"/>
      <c r="AK176" s="590"/>
      <c r="AL176" s="590"/>
      <c r="AM176" s="590"/>
      <c r="AN176" s="590"/>
      <c r="AO176" s="590"/>
      <c r="AP176" s="590"/>
      <c r="AQ176" s="590"/>
      <c r="AR176" s="590"/>
      <c r="AS176" s="590"/>
      <c r="AT176" s="590"/>
      <c r="AU176" s="590"/>
      <c r="AV176" s="590"/>
      <c r="AW176" s="590"/>
      <c r="AX176" s="590"/>
      <c r="AY176" s="590"/>
      <c r="AZ176" s="590"/>
      <c r="BA176" s="590"/>
      <c r="BB176" s="590"/>
      <c r="BC176" s="590"/>
      <c r="BD176" s="590"/>
      <c r="BE176" s="590"/>
      <c r="BF176" s="590"/>
      <c r="BG176" s="590"/>
      <c r="BH176" s="590"/>
      <c r="BI176" s="590"/>
      <c r="BJ176" s="590"/>
      <c r="BK176" s="591"/>
      <c r="BL176" s="591"/>
      <c r="BM176" s="591"/>
      <c r="BN176" s="591"/>
      <c r="BO176" s="591"/>
      <c r="BP176" s="591"/>
      <c r="BQ176" s="591"/>
      <c r="BR176" s="591"/>
      <c r="BS176" s="591"/>
      <c r="BT176" s="591"/>
      <c r="BU176" s="591"/>
      <c r="BV176" s="591"/>
      <c r="BW176" s="591"/>
      <c r="BX176" s="591"/>
      <c r="BY176" s="591"/>
      <c r="BZ176" s="591"/>
      <c r="CA176" s="591"/>
      <c r="CB176" s="591"/>
      <c r="CC176" s="591"/>
      <c r="CD176" s="591"/>
      <c r="CE176" s="591"/>
      <c r="CF176" s="591"/>
    </row>
    <row r="177" spans="1:84">
      <c r="A177" s="590"/>
      <c r="B177" s="590"/>
      <c r="C177" s="590"/>
      <c r="D177" s="590"/>
      <c r="E177" s="590"/>
      <c r="F177" s="590"/>
      <c r="G177" s="590"/>
      <c r="H177" s="590"/>
      <c r="I177" s="590"/>
      <c r="J177" s="590"/>
      <c r="K177" s="590"/>
      <c r="L177" s="590"/>
      <c r="M177" s="590"/>
      <c r="N177" s="590"/>
      <c r="O177" s="590"/>
      <c r="P177" s="590"/>
      <c r="Q177" s="590"/>
      <c r="R177" s="590"/>
      <c r="S177" s="590"/>
      <c r="T177" s="590"/>
      <c r="U177" s="590"/>
      <c r="V177" s="590"/>
      <c r="W177" s="590"/>
      <c r="X177" s="590"/>
      <c r="Y177" s="590"/>
      <c r="Z177" s="590"/>
      <c r="AA177" s="590"/>
      <c r="AB177" s="590"/>
      <c r="AC177" s="590"/>
      <c r="AD177" s="590"/>
      <c r="AE177" s="590"/>
      <c r="AF177" s="590"/>
      <c r="AG177" s="590"/>
      <c r="AH177" s="590"/>
      <c r="AI177" s="590"/>
      <c r="AJ177" s="590"/>
      <c r="AK177" s="590"/>
      <c r="AL177" s="590"/>
      <c r="AM177" s="590"/>
      <c r="AN177" s="590"/>
      <c r="AO177" s="590"/>
      <c r="AP177" s="590"/>
      <c r="AQ177" s="590"/>
      <c r="AR177" s="590"/>
      <c r="AS177" s="590"/>
      <c r="AT177" s="590"/>
      <c r="AU177" s="590"/>
      <c r="AV177" s="590"/>
      <c r="AW177" s="590"/>
      <c r="AX177" s="590"/>
      <c r="AY177" s="590"/>
      <c r="AZ177" s="590"/>
      <c r="BA177" s="590"/>
      <c r="BB177" s="590"/>
      <c r="BC177" s="590"/>
      <c r="BD177" s="590"/>
      <c r="BE177" s="590"/>
      <c r="BF177" s="590"/>
      <c r="BG177" s="590"/>
      <c r="BH177" s="590"/>
      <c r="BI177" s="590"/>
      <c r="BJ177" s="590"/>
      <c r="BK177" s="591"/>
      <c r="BL177" s="591"/>
      <c r="BM177" s="591"/>
      <c r="BN177" s="591"/>
      <c r="BO177" s="591"/>
      <c r="BP177" s="591"/>
      <c r="BQ177" s="591"/>
      <c r="BR177" s="591"/>
      <c r="BS177" s="591"/>
      <c r="BT177" s="591"/>
      <c r="BU177" s="591"/>
      <c r="BV177" s="591"/>
      <c r="BW177" s="591"/>
      <c r="BX177" s="591"/>
      <c r="BY177" s="591"/>
      <c r="BZ177" s="591"/>
      <c r="CA177" s="591"/>
      <c r="CB177" s="591"/>
      <c r="CC177" s="591"/>
      <c r="CD177" s="591"/>
      <c r="CE177" s="591"/>
      <c r="CF177" s="591"/>
    </row>
    <row r="178" spans="1:84">
      <c r="A178" s="590"/>
      <c r="B178" s="590"/>
      <c r="C178" s="590"/>
      <c r="D178" s="590"/>
      <c r="E178" s="590"/>
      <c r="F178" s="590"/>
      <c r="G178" s="590"/>
      <c r="H178" s="590"/>
      <c r="I178" s="590"/>
      <c r="J178" s="590"/>
      <c r="K178" s="590"/>
      <c r="L178" s="590"/>
      <c r="M178" s="590"/>
      <c r="N178" s="590"/>
      <c r="O178" s="590"/>
      <c r="P178" s="590"/>
      <c r="Q178" s="590"/>
      <c r="R178" s="590"/>
      <c r="S178" s="590"/>
      <c r="T178" s="590"/>
      <c r="U178" s="590"/>
      <c r="V178" s="590"/>
      <c r="W178" s="590"/>
      <c r="X178" s="590"/>
      <c r="Y178" s="590"/>
      <c r="Z178" s="590"/>
      <c r="AA178" s="590"/>
      <c r="AB178" s="590"/>
      <c r="AC178" s="590"/>
      <c r="AD178" s="590"/>
      <c r="AE178" s="590"/>
      <c r="AF178" s="590"/>
      <c r="AG178" s="590"/>
      <c r="AH178" s="590"/>
      <c r="AI178" s="590"/>
      <c r="AJ178" s="590"/>
      <c r="AK178" s="590"/>
      <c r="AL178" s="590"/>
      <c r="AM178" s="590"/>
      <c r="AN178" s="590"/>
      <c r="AO178" s="590"/>
      <c r="AP178" s="590"/>
      <c r="AQ178" s="590"/>
      <c r="AR178" s="590"/>
      <c r="AS178" s="590"/>
      <c r="AT178" s="590"/>
      <c r="AU178" s="590"/>
      <c r="AV178" s="590"/>
      <c r="AW178" s="590"/>
      <c r="AX178" s="590"/>
      <c r="AY178" s="590"/>
      <c r="AZ178" s="590"/>
      <c r="BA178" s="590"/>
      <c r="BB178" s="590"/>
      <c r="BC178" s="590"/>
      <c r="BD178" s="590"/>
      <c r="BE178" s="590"/>
      <c r="BF178" s="590"/>
      <c r="BG178" s="590"/>
      <c r="BH178" s="590"/>
      <c r="BI178" s="590"/>
      <c r="BJ178" s="590"/>
      <c r="BK178" s="591"/>
      <c r="BL178" s="591"/>
      <c r="BM178" s="591"/>
      <c r="BN178" s="591"/>
      <c r="BO178" s="591"/>
      <c r="BP178" s="591"/>
      <c r="BQ178" s="591"/>
      <c r="BR178" s="591"/>
      <c r="BS178" s="591"/>
      <c r="BT178" s="591"/>
      <c r="BU178" s="591"/>
      <c r="BV178" s="591"/>
      <c r="BW178" s="591"/>
      <c r="BX178" s="591"/>
      <c r="BY178" s="591"/>
      <c r="BZ178" s="591"/>
      <c r="CA178" s="591"/>
      <c r="CB178" s="591"/>
      <c r="CC178" s="591"/>
      <c r="CD178" s="591"/>
      <c r="CE178" s="591"/>
      <c r="CF178" s="591"/>
    </row>
    <row r="179" spans="1:84">
      <c r="A179" s="590"/>
      <c r="B179" s="590"/>
      <c r="C179" s="590"/>
      <c r="D179" s="590"/>
      <c r="E179" s="590"/>
      <c r="F179" s="590"/>
      <c r="G179" s="590"/>
      <c r="H179" s="590"/>
      <c r="I179" s="590"/>
      <c r="J179" s="590"/>
      <c r="K179" s="590"/>
      <c r="L179" s="590"/>
      <c r="M179" s="590"/>
      <c r="N179" s="590"/>
      <c r="O179" s="590"/>
      <c r="P179" s="590"/>
      <c r="Q179" s="590"/>
      <c r="R179" s="590"/>
      <c r="S179" s="590"/>
      <c r="T179" s="590"/>
      <c r="U179" s="590"/>
      <c r="V179" s="590"/>
      <c r="W179" s="590"/>
      <c r="X179" s="590"/>
      <c r="Y179" s="590"/>
      <c r="Z179" s="590"/>
      <c r="AA179" s="590"/>
      <c r="AB179" s="590"/>
      <c r="AC179" s="590"/>
      <c r="AD179" s="590"/>
      <c r="AE179" s="590"/>
      <c r="AF179" s="590"/>
      <c r="AG179" s="590"/>
      <c r="AH179" s="590"/>
      <c r="AI179" s="590"/>
      <c r="AJ179" s="590"/>
      <c r="AK179" s="590"/>
      <c r="AL179" s="590"/>
      <c r="AM179" s="590"/>
      <c r="AN179" s="590"/>
      <c r="AO179" s="590"/>
      <c r="AP179" s="590"/>
      <c r="AQ179" s="590"/>
      <c r="AR179" s="590"/>
      <c r="AS179" s="590"/>
      <c r="AT179" s="590"/>
      <c r="AU179" s="590"/>
      <c r="AV179" s="590"/>
      <c r="AW179" s="590"/>
      <c r="AX179" s="590"/>
      <c r="AY179" s="590"/>
      <c r="AZ179" s="590"/>
      <c r="BA179" s="590"/>
      <c r="BB179" s="590"/>
      <c r="BC179" s="590"/>
      <c r="BD179" s="590"/>
      <c r="BE179" s="590"/>
      <c r="BF179" s="590"/>
      <c r="BG179" s="590"/>
      <c r="BH179" s="590"/>
      <c r="BI179" s="590"/>
      <c r="BJ179" s="590"/>
      <c r="BK179" s="591"/>
      <c r="BL179" s="591"/>
      <c r="BM179" s="591"/>
      <c r="BN179" s="591"/>
      <c r="BO179" s="591"/>
      <c r="BP179" s="591"/>
      <c r="BQ179" s="591"/>
      <c r="BR179" s="591"/>
      <c r="BS179" s="591"/>
      <c r="BT179" s="591"/>
      <c r="BU179" s="591"/>
      <c r="BV179" s="591"/>
      <c r="BW179" s="591"/>
      <c r="BX179" s="591"/>
      <c r="BY179" s="591"/>
      <c r="BZ179" s="591"/>
      <c r="CA179" s="591"/>
      <c r="CB179" s="591"/>
      <c r="CC179" s="591"/>
      <c r="CD179" s="591"/>
      <c r="CE179" s="591"/>
      <c r="CF179" s="591"/>
    </row>
    <row r="180" spans="1:84">
      <c r="A180" s="590"/>
      <c r="B180" s="590"/>
      <c r="C180" s="590"/>
      <c r="D180" s="590"/>
      <c r="E180" s="590"/>
      <c r="F180" s="590"/>
      <c r="G180" s="590"/>
      <c r="H180" s="590"/>
      <c r="I180" s="590"/>
      <c r="J180" s="590"/>
      <c r="K180" s="590"/>
      <c r="L180" s="590"/>
      <c r="M180" s="590"/>
      <c r="N180" s="590"/>
      <c r="O180" s="590"/>
      <c r="P180" s="590"/>
      <c r="Q180" s="590"/>
      <c r="R180" s="590"/>
      <c r="S180" s="590"/>
      <c r="T180" s="590"/>
      <c r="U180" s="590"/>
      <c r="V180" s="590"/>
      <c r="W180" s="590"/>
      <c r="X180" s="590"/>
      <c r="Y180" s="590"/>
      <c r="Z180" s="590"/>
      <c r="AA180" s="590"/>
      <c r="AB180" s="590"/>
      <c r="AC180" s="590"/>
      <c r="AD180" s="590"/>
      <c r="AE180" s="590"/>
      <c r="AF180" s="590"/>
      <c r="AG180" s="590"/>
      <c r="AH180" s="590"/>
      <c r="AI180" s="590"/>
      <c r="AJ180" s="590"/>
      <c r="AK180" s="590"/>
      <c r="AL180" s="590"/>
      <c r="AM180" s="590"/>
      <c r="AN180" s="590"/>
      <c r="AO180" s="590"/>
      <c r="AP180" s="590"/>
      <c r="AQ180" s="590"/>
      <c r="AR180" s="590"/>
      <c r="AS180" s="590"/>
      <c r="AT180" s="590"/>
      <c r="AU180" s="590"/>
      <c r="AV180" s="590"/>
      <c r="AW180" s="590"/>
      <c r="AX180" s="590"/>
      <c r="AY180" s="590"/>
      <c r="AZ180" s="590"/>
      <c r="BA180" s="590"/>
      <c r="BB180" s="590"/>
      <c r="BC180" s="590"/>
      <c r="BD180" s="590"/>
      <c r="BE180" s="590"/>
      <c r="BF180" s="590"/>
      <c r="BG180" s="590"/>
      <c r="BH180" s="590"/>
      <c r="BI180" s="590"/>
      <c r="BJ180" s="590"/>
      <c r="BK180" s="591"/>
      <c r="BL180" s="591"/>
      <c r="BM180" s="591"/>
      <c r="BN180" s="591"/>
      <c r="BO180" s="591"/>
      <c r="BP180" s="591"/>
      <c r="BQ180" s="591"/>
      <c r="BR180" s="591"/>
      <c r="BS180" s="591"/>
      <c r="BT180" s="591"/>
      <c r="BU180" s="591"/>
      <c r="BV180" s="591"/>
      <c r="BW180" s="591"/>
      <c r="BX180" s="591"/>
      <c r="BY180" s="591"/>
      <c r="BZ180" s="591"/>
      <c r="CA180" s="591"/>
      <c r="CB180" s="591"/>
      <c r="CC180" s="591"/>
      <c r="CD180" s="591"/>
      <c r="CE180" s="591"/>
      <c r="CF180" s="591"/>
    </row>
    <row r="181" spans="1:84">
      <c r="A181" s="590"/>
      <c r="B181" s="590"/>
      <c r="C181" s="590"/>
      <c r="D181" s="590"/>
      <c r="E181" s="590"/>
      <c r="F181" s="590"/>
      <c r="G181" s="590"/>
      <c r="H181" s="590"/>
      <c r="I181" s="590"/>
      <c r="J181" s="590"/>
      <c r="K181" s="590"/>
      <c r="L181" s="590"/>
      <c r="M181" s="590"/>
      <c r="N181" s="590"/>
      <c r="O181" s="590"/>
      <c r="P181" s="590"/>
      <c r="Q181" s="590"/>
      <c r="R181" s="590"/>
      <c r="S181" s="590"/>
      <c r="T181" s="590"/>
      <c r="U181" s="590"/>
      <c r="V181" s="590"/>
      <c r="W181" s="590"/>
      <c r="X181" s="590"/>
      <c r="Y181" s="590"/>
      <c r="Z181" s="590"/>
      <c r="AA181" s="590"/>
      <c r="AB181" s="590"/>
      <c r="AC181" s="590"/>
      <c r="AD181" s="590"/>
      <c r="AE181" s="590"/>
      <c r="AF181" s="590"/>
      <c r="AG181" s="590"/>
      <c r="AH181" s="590"/>
      <c r="AI181" s="590"/>
      <c r="AJ181" s="590"/>
      <c r="AK181" s="590"/>
      <c r="AL181" s="590"/>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1"/>
      <c r="BL181" s="591"/>
      <c r="BM181" s="591"/>
      <c r="BN181" s="591"/>
      <c r="BO181" s="591"/>
      <c r="BP181" s="591"/>
      <c r="BQ181" s="591"/>
      <c r="BR181" s="591"/>
      <c r="BS181" s="591"/>
      <c r="BT181" s="591"/>
      <c r="BU181" s="591"/>
      <c r="BV181" s="591"/>
      <c r="BW181" s="591"/>
      <c r="BX181" s="591"/>
      <c r="BY181" s="591"/>
      <c r="BZ181" s="591"/>
      <c r="CA181" s="591"/>
      <c r="CB181" s="591"/>
      <c r="CC181" s="591"/>
      <c r="CD181" s="591"/>
      <c r="CE181" s="591"/>
      <c r="CF181" s="591"/>
    </row>
    <row r="182" spans="1:84">
      <c r="A182" s="590"/>
      <c r="B182" s="590"/>
      <c r="C182" s="590"/>
      <c r="D182" s="590"/>
      <c r="E182" s="590"/>
      <c r="F182" s="590"/>
      <c r="G182" s="590"/>
      <c r="H182" s="590"/>
      <c r="I182" s="590"/>
      <c r="J182" s="590"/>
      <c r="K182" s="590"/>
      <c r="L182" s="590"/>
      <c r="M182" s="590"/>
      <c r="N182" s="590"/>
      <c r="O182" s="590"/>
      <c r="P182" s="590"/>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0"/>
      <c r="AQ182" s="590"/>
      <c r="AR182" s="590"/>
      <c r="AS182" s="590"/>
      <c r="AT182" s="590"/>
      <c r="AU182" s="590"/>
      <c r="AV182" s="590"/>
      <c r="AW182" s="590"/>
      <c r="AX182" s="590"/>
      <c r="AY182" s="590"/>
      <c r="AZ182" s="590"/>
      <c r="BA182" s="590"/>
      <c r="BB182" s="590"/>
      <c r="BC182" s="590"/>
      <c r="BD182" s="590"/>
      <c r="BE182" s="590"/>
      <c r="BF182" s="590"/>
      <c r="BG182" s="590"/>
      <c r="BH182" s="590"/>
      <c r="BI182" s="590"/>
      <c r="BJ182" s="590"/>
      <c r="BK182" s="591"/>
      <c r="BL182" s="591"/>
      <c r="BM182" s="591"/>
      <c r="BN182" s="591"/>
      <c r="BO182" s="591"/>
      <c r="BP182" s="591"/>
      <c r="BQ182" s="591"/>
      <c r="BR182" s="591"/>
      <c r="BS182" s="591"/>
      <c r="BT182" s="591"/>
      <c r="BU182" s="591"/>
      <c r="BV182" s="591"/>
      <c r="BW182" s="591"/>
      <c r="BX182" s="591"/>
      <c r="BY182" s="591"/>
      <c r="BZ182" s="591"/>
      <c r="CA182" s="591"/>
      <c r="CB182" s="591"/>
      <c r="CC182" s="591"/>
      <c r="CD182" s="591"/>
      <c r="CE182" s="591"/>
      <c r="CF182" s="591"/>
    </row>
    <row r="183" spans="1:84">
      <c r="A183" s="590"/>
      <c r="B183" s="590"/>
      <c r="C183" s="590"/>
      <c r="D183" s="590"/>
      <c r="E183" s="590"/>
      <c r="F183" s="590"/>
      <c r="G183" s="590"/>
      <c r="H183" s="590"/>
      <c r="I183" s="590"/>
      <c r="J183" s="590"/>
      <c r="K183" s="590"/>
      <c r="L183" s="590"/>
      <c r="M183" s="590"/>
      <c r="N183" s="590"/>
      <c r="O183" s="590"/>
      <c r="P183" s="590"/>
      <c r="Q183" s="590"/>
      <c r="R183" s="590"/>
      <c r="S183" s="590"/>
      <c r="T183" s="590"/>
      <c r="U183" s="590"/>
      <c r="V183" s="590"/>
      <c r="W183" s="590"/>
      <c r="X183" s="590"/>
      <c r="Y183" s="590"/>
      <c r="Z183" s="590"/>
      <c r="AA183" s="590"/>
      <c r="AB183" s="590"/>
      <c r="AC183" s="590"/>
      <c r="AD183" s="590"/>
      <c r="AE183" s="590"/>
      <c r="AF183" s="590"/>
      <c r="AG183" s="590"/>
      <c r="AH183" s="590"/>
      <c r="AI183" s="590"/>
      <c r="AJ183" s="590"/>
      <c r="AK183" s="590"/>
      <c r="AL183" s="590"/>
      <c r="AM183" s="590"/>
      <c r="AN183" s="590"/>
      <c r="AO183" s="590"/>
      <c r="AP183" s="590"/>
      <c r="AQ183" s="590"/>
      <c r="AR183" s="590"/>
      <c r="AS183" s="590"/>
      <c r="AT183" s="590"/>
      <c r="AU183" s="590"/>
      <c r="AV183" s="590"/>
      <c r="AW183" s="590"/>
      <c r="AX183" s="590"/>
      <c r="AY183" s="590"/>
      <c r="AZ183" s="590"/>
      <c r="BA183" s="590"/>
      <c r="BB183" s="590"/>
      <c r="BC183" s="590"/>
      <c r="BD183" s="590"/>
      <c r="BE183" s="590"/>
      <c r="BF183" s="590"/>
      <c r="BG183" s="590"/>
      <c r="BH183" s="590"/>
      <c r="BI183" s="590"/>
      <c r="BJ183" s="590"/>
      <c r="BK183" s="591"/>
      <c r="BL183" s="591"/>
      <c r="BM183" s="591"/>
      <c r="BN183" s="591"/>
      <c r="BO183" s="591"/>
      <c r="BP183" s="591"/>
      <c r="BQ183" s="591"/>
      <c r="BR183" s="591"/>
      <c r="BS183" s="591"/>
      <c r="BT183" s="591"/>
      <c r="BU183" s="591"/>
      <c r="BV183" s="591"/>
      <c r="BW183" s="591"/>
      <c r="BX183" s="591"/>
      <c r="BY183" s="591"/>
      <c r="BZ183" s="591"/>
      <c r="CA183" s="591"/>
      <c r="CB183" s="591"/>
      <c r="CC183" s="591"/>
      <c r="CD183" s="591"/>
      <c r="CE183" s="591"/>
      <c r="CF183" s="591"/>
    </row>
    <row r="184" spans="1:84">
      <c r="A184" s="590"/>
      <c r="B184" s="590"/>
      <c r="C184" s="590"/>
      <c r="D184" s="590"/>
      <c r="E184" s="590"/>
      <c r="F184" s="590"/>
      <c r="G184" s="590"/>
      <c r="H184" s="590"/>
      <c r="I184" s="590"/>
      <c r="J184" s="590"/>
      <c r="K184" s="590"/>
      <c r="L184" s="590"/>
      <c r="M184" s="590"/>
      <c r="N184" s="590"/>
      <c r="O184" s="590"/>
      <c r="P184" s="590"/>
      <c r="Q184" s="590"/>
      <c r="R184" s="590"/>
      <c r="S184" s="590"/>
      <c r="T184" s="590"/>
      <c r="U184" s="590"/>
      <c r="V184" s="590"/>
      <c r="W184" s="590"/>
      <c r="X184" s="590"/>
      <c r="Y184" s="590"/>
      <c r="Z184" s="590"/>
      <c r="AA184" s="590"/>
      <c r="AB184" s="590"/>
      <c r="AC184" s="590"/>
      <c r="AD184" s="590"/>
      <c r="AE184" s="590"/>
      <c r="AF184" s="590"/>
      <c r="AG184" s="590"/>
      <c r="AH184" s="590"/>
      <c r="AI184" s="590"/>
      <c r="AJ184" s="590"/>
      <c r="AK184" s="590"/>
      <c r="AL184" s="590"/>
      <c r="AM184" s="590"/>
      <c r="AN184" s="590"/>
      <c r="AO184" s="590"/>
      <c r="AP184" s="590"/>
      <c r="AQ184" s="590"/>
      <c r="AR184" s="590"/>
      <c r="AS184" s="590"/>
      <c r="AT184" s="590"/>
      <c r="AU184" s="590"/>
      <c r="AV184" s="590"/>
      <c r="AW184" s="590"/>
      <c r="AX184" s="590"/>
      <c r="AY184" s="590"/>
      <c r="AZ184" s="590"/>
      <c r="BA184" s="590"/>
      <c r="BB184" s="590"/>
      <c r="BC184" s="590"/>
      <c r="BD184" s="590"/>
      <c r="BE184" s="590"/>
      <c r="BF184" s="590"/>
      <c r="BG184" s="590"/>
      <c r="BH184" s="590"/>
      <c r="BI184" s="590"/>
      <c r="BJ184" s="590"/>
      <c r="BK184" s="591"/>
      <c r="BL184" s="591"/>
      <c r="BM184" s="591"/>
      <c r="BN184" s="591"/>
      <c r="BO184" s="591"/>
      <c r="BP184" s="591"/>
      <c r="BQ184" s="591"/>
      <c r="BR184" s="591"/>
      <c r="BS184" s="591"/>
      <c r="BT184" s="591"/>
      <c r="BU184" s="591"/>
      <c r="BV184" s="591"/>
      <c r="BW184" s="591"/>
      <c r="BX184" s="591"/>
      <c r="BY184" s="591"/>
      <c r="BZ184" s="591"/>
      <c r="CA184" s="591"/>
      <c r="CB184" s="591"/>
      <c r="CC184" s="591"/>
      <c r="CD184" s="591"/>
      <c r="CE184" s="591"/>
      <c r="CF184" s="591"/>
    </row>
    <row r="185" spans="1:84">
      <c r="A185" s="590"/>
      <c r="B185" s="590"/>
      <c r="C185" s="590"/>
      <c r="D185" s="590"/>
      <c r="E185" s="590"/>
      <c r="F185" s="590"/>
      <c r="G185" s="590"/>
      <c r="H185" s="590"/>
      <c r="I185" s="590"/>
      <c r="J185" s="590"/>
      <c r="K185" s="590"/>
      <c r="L185" s="590"/>
      <c r="M185" s="590"/>
      <c r="N185" s="590"/>
      <c r="O185" s="590"/>
      <c r="P185" s="590"/>
      <c r="Q185" s="590"/>
      <c r="R185" s="590"/>
      <c r="S185" s="590"/>
      <c r="T185" s="590"/>
      <c r="U185" s="590"/>
      <c r="V185" s="590"/>
      <c r="W185" s="590"/>
      <c r="X185" s="590"/>
      <c r="Y185" s="590"/>
      <c r="Z185" s="590"/>
      <c r="AA185" s="590"/>
      <c r="AB185" s="590"/>
      <c r="AC185" s="590"/>
      <c r="AD185" s="590"/>
      <c r="AE185" s="590"/>
      <c r="AF185" s="590"/>
      <c r="AG185" s="590"/>
      <c r="AH185" s="590"/>
      <c r="AI185" s="590"/>
      <c r="AJ185" s="590"/>
      <c r="AK185" s="590"/>
      <c r="AL185" s="590"/>
      <c r="AM185" s="590"/>
      <c r="AN185" s="590"/>
      <c r="AO185" s="590"/>
      <c r="AP185" s="590"/>
      <c r="AQ185" s="590"/>
      <c r="AR185" s="590"/>
      <c r="AS185" s="590"/>
      <c r="AT185" s="590"/>
      <c r="AU185" s="590"/>
      <c r="AV185" s="590"/>
      <c r="AW185" s="590"/>
      <c r="AX185" s="590"/>
      <c r="AY185" s="590"/>
      <c r="AZ185" s="590"/>
      <c r="BA185" s="590"/>
      <c r="BB185" s="590"/>
      <c r="BC185" s="590"/>
      <c r="BD185" s="590"/>
      <c r="BE185" s="590"/>
      <c r="BF185" s="590"/>
      <c r="BG185" s="590"/>
      <c r="BH185" s="590"/>
      <c r="BI185" s="590"/>
      <c r="BJ185" s="590"/>
      <c r="BK185" s="591"/>
      <c r="BL185" s="591"/>
      <c r="BM185" s="591"/>
      <c r="BN185" s="591"/>
      <c r="BO185" s="591"/>
      <c r="BP185" s="591"/>
      <c r="BQ185" s="591"/>
      <c r="BR185" s="591"/>
      <c r="BS185" s="591"/>
      <c r="BT185" s="591"/>
      <c r="BU185" s="591"/>
      <c r="BV185" s="591"/>
      <c r="BW185" s="591"/>
      <c r="BX185" s="591"/>
      <c r="BY185" s="591"/>
      <c r="BZ185" s="591"/>
      <c r="CA185" s="591"/>
      <c r="CB185" s="591"/>
      <c r="CC185" s="591"/>
      <c r="CD185" s="591"/>
      <c r="CE185" s="591"/>
      <c r="CF185" s="591"/>
    </row>
    <row r="186" spans="1:84">
      <c r="A186" s="590"/>
      <c r="B186" s="590"/>
      <c r="C186" s="590"/>
      <c r="D186" s="590"/>
      <c r="E186" s="590"/>
      <c r="F186" s="590"/>
      <c r="G186" s="590"/>
      <c r="H186" s="590"/>
      <c r="I186" s="590"/>
      <c r="J186" s="590"/>
      <c r="K186" s="590"/>
      <c r="L186" s="590"/>
      <c r="M186" s="590"/>
      <c r="N186" s="590"/>
      <c r="O186" s="590"/>
      <c r="P186" s="590"/>
      <c r="Q186" s="590"/>
      <c r="R186" s="590"/>
      <c r="S186" s="590"/>
      <c r="T186" s="590"/>
      <c r="U186" s="590"/>
      <c r="V186" s="590"/>
      <c r="W186" s="590"/>
      <c r="X186" s="590"/>
      <c r="Y186" s="590"/>
      <c r="Z186" s="590"/>
      <c r="AA186" s="590"/>
      <c r="AB186" s="590"/>
      <c r="AC186" s="590"/>
      <c r="AD186" s="590"/>
      <c r="AE186" s="590"/>
      <c r="AF186" s="590"/>
      <c r="AG186" s="590"/>
      <c r="AH186" s="590"/>
      <c r="AI186" s="590"/>
      <c r="AJ186" s="590"/>
      <c r="AK186" s="590"/>
      <c r="AL186" s="590"/>
      <c r="AM186" s="590"/>
      <c r="AN186" s="590"/>
      <c r="AO186" s="590"/>
      <c r="AP186" s="590"/>
      <c r="AQ186" s="590"/>
      <c r="AR186" s="590"/>
      <c r="AS186" s="590"/>
      <c r="AT186" s="590"/>
      <c r="AU186" s="590"/>
      <c r="AV186" s="590"/>
      <c r="AW186" s="590"/>
      <c r="AX186" s="590"/>
      <c r="AY186" s="590"/>
      <c r="AZ186" s="590"/>
      <c r="BA186" s="590"/>
      <c r="BB186" s="590"/>
      <c r="BC186" s="590"/>
      <c r="BD186" s="590"/>
      <c r="BE186" s="590"/>
      <c r="BF186" s="590"/>
      <c r="BG186" s="590"/>
      <c r="BH186" s="590"/>
      <c r="BI186" s="590"/>
      <c r="BJ186" s="590"/>
      <c r="BK186" s="591"/>
      <c r="BL186" s="591"/>
      <c r="BM186" s="591"/>
      <c r="BN186" s="591"/>
      <c r="BO186" s="591"/>
      <c r="BP186" s="591"/>
      <c r="BQ186" s="591"/>
      <c r="BR186" s="591"/>
      <c r="BS186" s="591"/>
      <c r="BT186" s="591"/>
      <c r="BU186" s="591"/>
      <c r="BV186" s="591"/>
      <c r="BW186" s="591"/>
      <c r="BX186" s="591"/>
      <c r="BY186" s="591"/>
      <c r="BZ186" s="591"/>
      <c r="CA186" s="591"/>
      <c r="CB186" s="591"/>
      <c r="CC186" s="591"/>
      <c r="CD186" s="591"/>
      <c r="CE186" s="591"/>
      <c r="CF186" s="591"/>
    </row>
    <row r="187" spans="1:84">
      <c r="A187" s="590"/>
      <c r="B187" s="590"/>
      <c r="C187" s="590"/>
      <c r="D187" s="590"/>
      <c r="E187" s="590"/>
      <c r="F187" s="590"/>
      <c r="G187" s="590"/>
      <c r="H187" s="590"/>
      <c r="I187" s="590"/>
      <c r="J187" s="590"/>
      <c r="K187" s="590"/>
      <c r="L187" s="590"/>
      <c r="M187" s="590"/>
      <c r="N187" s="590"/>
      <c r="O187" s="590"/>
      <c r="P187" s="590"/>
      <c r="Q187" s="590"/>
      <c r="R187" s="590"/>
      <c r="S187" s="590"/>
      <c r="T187" s="590"/>
      <c r="U187" s="590"/>
      <c r="V187" s="590"/>
      <c r="W187" s="590"/>
      <c r="X187" s="590"/>
      <c r="Y187" s="590"/>
      <c r="Z187" s="590"/>
      <c r="AA187" s="590"/>
      <c r="AB187" s="590"/>
      <c r="AC187" s="590"/>
      <c r="AD187" s="590"/>
      <c r="AE187" s="590"/>
      <c r="AF187" s="590"/>
      <c r="AG187" s="590"/>
      <c r="AH187" s="590"/>
      <c r="AI187" s="590"/>
      <c r="AJ187" s="590"/>
      <c r="AK187" s="590"/>
      <c r="AL187" s="590"/>
      <c r="AM187" s="590"/>
      <c r="AN187" s="590"/>
      <c r="AO187" s="590"/>
      <c r="AP187" s="590"/>
      <c r="AQ187" s="590"/>
      <c r="AR187" s="590"/>
      <c r="AS187" s="590"/>
      <c r="AT187" s="590"/>
      <c r="AU187" s="590"/>
      <c r="AV187" s="590"/>
      <c r="AW187" s="590"/>
      <c r="AX187" s="590"/>
      <c r="AY187" s="590"/>
      <c r="AZ187" s="590"/>
      <c r="BA187" s="590"/>
      <c r="BB187" s="590"/>
      <c r="BC187" s="590"/>
      <c r="BD187" s="590"/>
      <c r="BE187" s="590"/>
      <c r="BF187" s="590"/>
      <c r="BG187" s="590"/>
      <c r="BH187" s="590"/>
      <c r="BI187" s="590"/>
      <c r="BJ187" s="590"/>
      <c r="BK187" s="591"/>
      <c r="BL187" s="591"/>
      <c r="BM187" s="591"/>
      <c r="BN187" s="591"/>
      <c r="BO187" s="591"/>
      <c r="BP187" s="591"/>
      <c r="BQ187" s="591"/>
      <c r="BR187" s="591"/>
      <c r="BS187" s="591"/>
      <c r="BT187" s="591"/>
      <c r="BU187" s="591"/>
      <c r="BV187" s="591"/>
      <c r="BW187" s="591"/>
      <c r="BX187" s="591"/>
      <c r="BY187" s="591"/>
      <c r="BZ187" s="591"/>
      <c r="CA187" s="591"/>
      <c r="CB187" s="591"/>
      <c r="CC187" s="591"/>
      <c r="CD187" s="591"/>
      <c r="CE187" s="591"/>
      <c r="CF187" s="591"/>
    </row>
    <row r="188" spans="1:84">
      <c r="A188" s="590"/>
      <c r="B188" s="590"/>
      <c r="C188" s="590"/>
      <c r="D188" s="590"/>
      <c r="E188" s="590"/>
      <c r="F188" s="590"/>
      <c r="G188" s="590"/>
      <c r="H188" s="590"/>
      <c r="I188" s="590"/>
      <c r="J188" s="590"/>
      <c r="K188" s="590"/>
      <c r="L188" s="590"/>
      <c r="M188" s="590"/>
      <c r="N188" s="590"/>
      <c r="O188" s="590"/>
      <c r="P188" s="590"/>
      <c r="Q188" s="590"/>
      <c r="R188" s="590"/>
      <c r="S188" s="590"/>
      <c r="T188" s="590"/>
      <c r="U188" s="590"/>
      <c r="V188" s="590"/>
      <c r="W188" s="590"/>
      <c r="X188" s="590"/>
      <c r="Y188" s="590"/>
      <c r="Z188" s="590"/>
      <c r="AA188" s="590"/>
      <c r="AB188" s="590"/>
      <c r="AC188" s="590"/>
      <c r="AD188" s="590"/>
      <c r="AE188" s="590"/>
      <c r="AF188" s="590"/>
      <c r="AG188" s="590"/>
      <c r="AH188" s="590"/>
      <c r="AI188" s="590"/>
      <c r="AJ188" s="590"/>
      <c r="AK188" s="590"/>
      <c r="AL188" s="590"/>
      <c r="AM188" s="590"/>
      <c r="AN188" s="590"/>
      <c r="AO188" s="590"/>
      <c r="AP188" s="590"/>
      <c r="AQ188" s="590"/>
      <c r="AR188" s="590"/>
      <c r="AS188" s="590"/>
      <c r="AT188" s="590"/>
      <c r="AU188" s="590"/>
      <c r="AV188" s="590"/>
      <c r="AW188" s="590"/>
      <c r="AX188" s="590"/>
      <c r="AY188" s="590"/>
      <c r="AZ188" s="590"/>
      <c r="BA188" s="590"/>
      <c r="BB188" s="590"/>
      <c r="BC188" s="590"/>
      <c r="BD188" s="590"/>
      <c r="BE188" s="590"/>
      <c r="BF188" s="590"/>
      <c r="BG188" s="590"/>
      <c r="BH188" s="590"/>
      <c r="BI188" s="590"/>
      <c r="BJ188" s="590"/>
      <c r="BK188" s="591"/>
      <c r="BL188" s="591"/>
      <c r="BM188" s="591"/>
      <c r="BN188" s="591"/>
      <c r="BO188" s="591"/>
      <c r="BP188" s="591"/>
      <c r="BQ188" s="591"/>
      <c r="BR188" s="591"/>
      <c r="BS188" s="591"/>
      <c r="BT188" s="591"/>
      <c r="BU188" s="591"/>
      <c r="BV188" s="591"/>
      <c r="BW188" s="591"/>
      <c r="BX188" s="591"/>
      <c r="BY188" s="591"/>
      <c r="BZ188" s="591"/>
      <c r="CA188" s="591"/>
      <c r="CB188" s="591"/>
      <c r="CC188" s="591"/>
      <c r="CD188" s="591"/>
      <c r="CE188" s="591"/>
      <c r="CF188" s="591"/>
    </row>
    <row r="189" spans="1:84">
      <c r="A189" s="590"/>
      <c r="B189" s="590"/>
      <c r="C189" s="590"/>
      <c r="D189" s="590"/>
      <c r="E189" s="590"/>
      <c r="F189" s="590"/>
      <c r="G189" s="590"/>
      <c r="H189" s="590"/>
      <c r="I189" s="590"/>
      <c r="J189" s="590"/>
      <c r="K189" s="590"/>
      <c r="L189" s="590"/>
      <c r="M189" s="590"/>
      <c r="N189" s="590"/>
      <c r="O189" s="590"/>
      <c r="P189" s="590"/>
      <c r="Q189" s="590"/>
      <c r="R189" s="590"/>
      <c r="S189" s="590"/>
      <c r="T189" s="590"/>
      <c r="U189" s="590"/>
      <c r="V189" s="590"/>
      <c r="W189" s="590"/>
      <c r="X189" s="590"/>
      <c r="Y189" s="590"/>
      <c r="Z189" s="590"/>
      <c r="AA189" s="590"/>
      <c r="AB189" s="590"/>
      <c r="AC189" s="590"/>
      <c r="AD189" s="590"/>
      <c r="AE189" s="590"/>
      <c r="AF189" s="590"/>
      <c r="AG189" s="590"/>
      <c r="AH189" s="590"/>
      <c r="AI189" s="590"/>
      <c r="AJ189" s="590"/>
      <c r="AK189" s="590"/>
      <c r="AL189" s="590"/>
      <c r="AM189" s="590"/>
      <c r="AN189" s="590"/>
      <c r="AO189" s="590"/>
      <c r="AP189" s="590"/>
      <c r="AQ189" s="590"/>
      <c r="AR189" s="590"/>
      <c r="AS189" s="590"/>
      <c r="AT189" s="590"/>
      <c r="AU189" s="590"/>
      <c r="AV189" s="590"/>
      <c r="AW189" s="590"/>
      <c r="AX189" s="590"/>
      <c r="AY189" s="590"/>
      <c r="AZ189" s="590"/>
      <c r="BA189" s="590"/>
      <c r="BB189" s="590"/>
      <c r="BC189" s="590"/>
      <c r="BD189" s="590"/>
      <c r="BE189" s="590"/>
      <c r="BF189" s="590"/>
      <c r="BG189" s="590"/>
      <c r="BH189" s="590"/>
      <c r="BI189" s="590"/>
      <c r="BJ189" s="590"/>
      <c r="BK189" s="591"/>
      <c r="BL189" s="591"/>
      <c r="BM189" s="591"/>
      <c r="BN189" s="591"/>
      <c r="BO189" s="591"/>
      <c r="BP189" s="591"/>
      <c r="BQ189" s="591"/>
      <c r="BR189" s="591"/>
      <c r="BS189" s="591"/>
      <c r="BT189" s="591"/>
      <c r="BU189" s="591"/>
      <c r="BV189" s="591"/>
      <c r="BW189" s="591"/>
      <c r="BX189" s="591"/>
      <c r="BY189" s="591"/>
      <c r="BZ189" s="591"/>
      <c r="CA189" s="591"/>
      <c r="CB189" s="591"/>
      <c r="CC189" s="591"/>
      <c r="CD189" s="591"/>
      <c r="CE189" s="591"/>
      <c r="CF189" s="591"/>
    </row>
    <row r="190" spans="1:84">
      <c r="A190" s="590"/>
      <c r="B190" s="590"/>
      <c r="C190" s="590"/>
      <c r="D190" s="590"/>
      <c r="E190" s="590"/>
      <c r="F190" s="590"/>
      <c r="G190" s="590"/>
      <c r="H190" s="590"/>
      <c r="I190" s="590"/>
      <c r="J190" s="590"/>
      <c r="K190" s="590"/>
      <c r="L190" s="590"/>
      <c r="M190" s="590"/>
      <c r="N190" s="590"/>
      <c r="O190" s="590"/>
      <c r="P190" s="590"/>
      <c r="Q190" s="590"/>
      <c r="R190" s="590"/>
      <c r="S190" s="590"/>
      <c r="T190" s="590"/>
      <c r="U190" s="590"/>
      <c r="V190" s="590"/>
      <c r="W190" s="590"/>
      <c r="X190" s="590"/>
      <c r="Y190" s="590"/>
      <c r="Z190" s="590"/>
      <c r="AA190" s="590"/>
      <c r="AB190" s="590"/>
      <c r="AC190" s="590"/>
      <c r="AD190" s="590"/>
      <c r="AE190" s="590"/>
      <c r="AF190" s="590"/>
      <c r="AG190" s="590"/>
      <c r="AH190" s="590"/>
      <c r="AI190" s="590"/>
      <c r="AJ190" s="590"/>
      <c r="AK190" s="590"/>
      <c r="AL190" s="590"/>
      <c r="AM190" s="590"/>
      <c r="AN190" s="590"/>
      <c r="AO190" s="590"/>
      <c r="AP190" s="590"/>
      <c r="AQ190" s="590"/>
      <c r="AR190" s="590"/>
      <c r="AS190" s="590"/>
      <c r="AT190" s="590"/>
      <c r="AU190" s="590"/>
      <c r="AV190" s="590"/>
      <c r="AW190" s="590"/>
      <c r="AX190" s="590"/>
      <c r="AY190" s="590"/>
      <c r="AZ190" s="590"/>
      <c r="BA190" s="590"/>
      <c r="BB190" s="590"/>
      <c r="BC190" s="590"/>
      <c r="BD190" s="590"/>
      <c r="BE190" s="590"/>
      <c r="BF190" s="590"/>
      <c r="BG190" s="590"/>
      <c r="BH190" s="590"/>
      <c r="BI190" s="590"/>
      <c r="BJ190" s="590"/>
      <c r="BK190" s="591"/>
      <c r="BL190" s="591"/>
      <c r="BM190" s="591"/>
      <c r="BN190" s="591"/>
      <c r="BO190" s="591"/>
      <c r="BP190" s="591"/>
      <c r="BQ190" s="591"/>
      <c r="BR190" s="591"/>
      <c r="BS190" s="591"/>
      <c r="BT190" s="591"/>
      <c r="BU190" s="591"/>
      <c r="BV190" s="591"/>
      <c r="BW190" s="591"/>
      <c r="BX190" s="591"/>
      <c r="BY190" s="591"/>
      <c r="BZ190" s="591"/>
      <c r="CA190" s="591"/>
      <c r="CB190" s="591"/>
      <c r="CC190" s="591"/>
      <c r="CD190" s="591"/>
      <c r="CE190" s="591"/>
      <c r="CF190" s="591"/>
    </row>
    <row r="191" spans="1:84">
      <c r="A191" s="590"/>
      <c r="B191" s="590"/>
      <c r="C191" s="590"/>
      <c r="D191" s="590"/>
      <c r="E191" s="590"/>
      <c r="F191" s="590"/>
      <c r="G191" s="590"/>
      <c r="H191" s="590"/>
      <c r="I191" s="590"/>
      <c r="J191" s="590"/>
      <c r="K191" s="590"/>
      <c r="L191" s="590"/>
      <c r="M191" s="590"/>
      <c r="N191" s="590"/>
      <c r="O191" s="590"/>
      <c r="P191" s="590"/>
      <c r="Q191" s="590"/>
      <c r="R191" s="590"/>
      <c r="S191" s="590"/>
      <c r="T191" s="590"/>
      <c r="U191" s="590"/>
      <c r="V191" s="590"/>
      <c r="W191" s="590"/>
      <c r="X191" s="590"/>
      <c r="Y191" s="590"/>
      <c r="Z191" s="590"/>
      <c r="AA191" s="590"/>
      <c r="AB191" s="590"/>
      <c r="AC191" s="590"/>
      <c r="AD191" s="590"/>
      <c r="AE191" s="590"/>
      <c r="AF191" s="590"/>
      <c r="AG191" s="590"/>
      <c r="AH191" s="590"/>
      <c r="AI191" s="590"/>
      <c r="AJ191" s="590"/>
      <c r="AK191" s="590"/>
      <c r="AL191" s="590"/>
      <c r="AM191" s="590"/>
      <c r="AN191" s="590"/>
      <c r="AO191" s="590"/>
      <c r="AP191" s="590"/>
      <c r="AQ191" s="590"/>
      <c r="AR191" s="590"/>
      <c r="AS191" s="590"/>
      <c r="AT191" s="590"/>
      <c r="AU191" s="590"/>
      <c r="AV191" s="590"/>
      <c r="AW191" s="590"/>
      <c r="AX191" s="590"/>
      <c r="AY191" s="590"/>
      <c r="AZ191" s="590"/>
      <c r="BA191" s="590"/>
      <c r="BB191" s="590"/>
      <c r="BC191" s="590"/>
      <c r="BD191" s="590"/>
      <c r="BE191" s="590"/>
      <c r="BF191" s="590"/>
      <c r="BG191" s="590"/>
      <c r="BH191" s="590"/>
      <c r="BI191" s="590"/>
      <c r="BJ191" s="590"/>
      <c r="BK191" s="591"/>
      <c r="BL191" s="591"/>
      <c r="BM191" s="591"/>
      <c r="BN191" s="591"/>
      <c r="BO191" s="591"/>
      <c r="BP191" s="591"/>
      <c r="BQ191" s="591"/>
      <c r="BR191" s="591"/>
      <c r="BS191" s="591"/>
      <c r="BT191" s="591"/>
      <c r="BU191" s="591"/>
      <c r="BV191" s="591"/>
      <c r="BW191" s="591"/>
      <c r="BX191" s="591"/>
      <c r="BY191" s="591"/>
      <c r="BZ191" s="591"/>
      <c r="CA191" s="591"/>
      <c r="CB191" s="591"/>
      <c r="CC191" s="591"/>
      <c r="CD191" s="591"/>
      <c r="CE191" s="591"/>
      <c r="CF191" s="591"/>
    </row>
    <row r="192" spans="1:84">
      <c r="A192" s="590"/>
      <c r="B192" s="590"/>
      <c r="C192" s="590"/>
      <c r="D192" s="590"/>
      <c r="E192" s="590"/>
      <c r="F192" s="590"/>
      <c r="G192" s="590"/>
      <c r="H192" s="590"/>
      <c r="I192" s="590"/>
      <c r="J192" s="590"/>
      <c r="K192" s="590"/>
      <c r="L192" s="590"/>
      <c r="M192" s="590"/>
      <c r="N192" s="590"/>
      <c r="O192" s="590"/>
      <c r="P192" s="590"/>
      <c r="Q192" s="590"/>
      <c r="R192" s="590"/>
      <c r="S192" s="590"/>
      <c r="T192" s="590"/>
      <c r="U192" s="590"/>
      <c r="V192" s="590"/>
      <c r="W192" s="590"/>
      <c r="X192" s="590"/>
      <c r="Y192" s="590"/>
      <c r="Z192" s="590"/>
      <c r="AA192" s="590"/>
      <c r="AB192" s="590"/>
      <c r="AC192" s="590"/>
      <c r="AD192" s="590"/>
      <c r="AE192" s="590"/>
      <c r="AF192" s="590"/>
      <c r="AG192" s="590"/>
      <c r="AH192" s="590"/>
      <c r="AI192" s="590"/>
      <c r="AJ192" s="590"/>
      <c r="AK192" s="590"/>
      <c r="AL192" s="590"/>
      <c r="AM192" s="590"/>
      <c r="AN192" s="590"/>
      <c r="AO192" s="590"/>
      <c r="AP192" s="590"/>
      <c r="AQ192" s="590"/>
      <c r="AR192" s="590"/>
      <c r="AS192" s="590"/>
      <c r="AT192" s="590"/>
      <c r="AU192" s="590"/>
      <c r="AV192" s="590"/>
      <c r="AW192" s="590"/>
      <c r="AX192" s="590"/>
      <c r="AY192" s="590"/>
      <c r="AZ192" s="590"/>
      <c r="BA192" s="590"/>
      <c r="BB192" s="590"/>
      <c r="BC192" s="590"/>
      <c r="BD192" s="590"/>
      <c r="BE192" s="590"/>
      <c r="BF192" s="590"/>
      <c r="BG192" s="590"/>
      <c r="BH192" s="590"/>
      <c r="BI192" s="590"/>
      <c r="BJ192" s="590"/>
      <c r="BK192" s="591"/>
      <c r="BL192" s="591"/>
      <c r="BM192" s="591"/>
      <c r="BN192" s="591"/>
      <c r="BO192" s="591"/>
      <c r="BP192" s="591"/>
      <c r="BQ192" s="591"/>
      <c r="BR192" s="591"/>
      <c r="BS192" s="591"/>
      <c r="BT192" s="591"/>
      <c r="BU192" s="591"/>
      <c r="BV192" s="591"/>
      <c r="BW192" s="591"/>
      <c r="BX192" s="591"/>
      <c r="BY192" s="591"/>
      <c r="BZ192" s="591"/>
      <c r="CA192" s="591"/>
      <c r="CB192" s="591"/>
      <c r="CC192" s="591"/>
      <c r="CD192" s="591"/>
      <c r="CE192" s="591"/>
      <c r="CF192" s="591"/>
    </row>
    <row r="193" spans="1:84">
      <c r="A193" s="590"/>
      <c r="B193" s="590"/>
      <c r="C193" s="590"/>
      <c r="D193" s="590"/>
      <c r="E193" s="590"/>
      <c r="F193" s="590"/>
      <c r="G193" s="590"/>
      <c r="H193" s="590"/>
      <c r="I193" s="590"/>
      <c r="J193" s="590"/>
      <c r="K193" s="590"/>
      <c r="L193" s="590"/>
      <c r="M193" s="590"/>
      <c r="N193" s="590"/>
      <c r="O193" s="590"/>
      <c r="P193" s="590"/>
      <c r="Q193" s="590"/>
      <c r="R193" s="590"/>
      <c r="S193" s="590"/>
      <c r="T193" s="590"/>
      <c r="U193" s="590"/>
      <c r="V193" s="590"/>
      <c r="W193" s="590"/>
      <c r="X193" s="590"/>
      <c r="Y193" s="590"/>
      <c r="Z193" s="590"/>
      <c r="AA193" s="590"/>
      <c r="AB193" s="590"/>
      <c r="AC193" s="590"/>
      <c r="AD193" s="590"/>
      <c r="AE193" s="590"/>
      <c r="AF193" s="590"/>
      <c r="AG193" s="590"/>
      <c r="AH193" s="590"/>
      <c r="AI193" s="590"/>
      <c r="AJ193" s="590"/>
      <c r="AK193" s="590"/>
      <c r="AL193" s="590"/>
      <c r="AM193" s="590"/>
      <c r="AN193" s="590"/>
      <c r="AO193" s="590"/>
      <c r="AP193" s="590"/>
      <c r="AQ193" s="590"/>
      <c r="AR193" s="590"/>
      <c r="AS193" s="590"/>
      <c r="AT193" s="590"/>
      <c r="AU193" s="590"/>
      <c r="AV193" s="590"/>
      <c r="AW193" s="590"/>
      <c r="AX193" s="590"/>
      <c r="AY193" s="590"/>
      <c r="AZ193" s="590"/>
      <c r="BA193" s="590"/>
      <c r="BB193" s="590"/>
      <c r="BC193" s="590"/>
      <c r="BD193" s="590"/>
      <c r="BE193" s="590"/>
      <c r="BF193" s="590"/>
      <c r="BG193" s="590"/>
      <c r="BH193" s="590"/>
      <c r="BI193" s="590"/>
      <c r="BJ193" s="590"/>
      <c r="BK193" s="591"/>
      <c r="BL193" s="591"/>
      <c r="BM193" s="591"/>
      <c r="BN193" s="591"/>
      <c r="BO193" s="591"/>
      <c r="BP193" s="591"/>
      <c r="BQ193" s="591"/>
      <c r="BR193" s="591"/>
      <c r="BS193" s="591"/>
      <c r="BT193" s="591"/>
      <c r="BU193" s="591"/>
      <c r="BV193" s="591"/>
      <c r="BW193" s="591"/>
      <c r="BX193" s="591"/>
      <c r="BY193" s="591"/>
      <c r="BZ193" s="591"/>
      <c r="CA193" s="591"/>
      <c r="CB193" s="591"/>
      <c r="CC193" s="591"/>
      <c r="CD193" s="591"/>
      <c r="CE193" s="591"/>
      <c r="CF193" s="591"/>
    </row>
    <row r="194" spans="1:84">
      <c r="A194" s="590"/>
      <c r="B194" s="590"/>
      <c r="C194" s="590"/>
      <c r="D194" s="590"/>
      <c r="E194" s="590"/>
      <c r="F194" s="590"/>
      <c r="G194" s="590"/>
      <c r="H194" s="590"/>
      <c r="I194" s="590"/>
      <c r="J194" s="590"/>
      <c r="K194" s="590"/>
      <c r="L194" s="590"/>
      <c r="M194" s="590"/>
      <c r="N194" s="590"/>
      <c r="O194" s="590"/>
      <c r="P194" s="590"/>
      <c r="Q194" s="590"/>
      <c r="R194" s="590"/>
      <c r="S194" s="590"/>
      <c r="T194" s="590"/>
      <c r="U194" s="590"/>
      <c r="V194" s="590"/>
      <c r="W194" s="590"/>
      <c r="X194" s="590"/>
      <c r="Y194" s="590"/>
      <c r="Z194" s="590"/>
      <c r="AA194" s="590"/>
      <c r="AB194" s="590"/>
      <c r="AC194" s="590"/>
      <c r="AD194" s="590"/>
      <c r="AE194" s="590"/>
      <c r="AF194" s="590"/>
      <c r="AG194" s="590"/>
      <c r="AH194" s="590"/>
      <c r="AI194" s="590"/>
      <c r="AJ194" s="590"/>
      <c r="AK194" s="590"/>
      <c r="AL194" s="590"/>
      <c r="AM194" s="590"/>
      <c r="AN194" s="590"/>
      <c r="AO194" s="590"/>
      <c r="AP194" s="590"/>
      <c r="AQ194" s="590"/>
      <c r="AR194" s="590"/>
      <c r="AS194" s="590"/>
      <c r="AT194" s="590"/>
      <c r="AU194" s="590"/>
      <c r="AV194" s="590"/>
      <c r="AW194" s="590"/>
      <c r="AX194" s="590"/>
      <c r="AY194" s="590"/>
      <c r="AZ194" s="590"/>
      <c r="BA194" s="590"/>
      <c r="BB194" s="590"/>
      <c r="BC194" s="590"/>
      <c r="BD194" s="590"/>
      <c r="BE194" s="590"/>
      <c r="BF194" s="590"/>
      <c r="BG194" s="590"/>
      <c r="BH194" s="590"/>
      <c r="BI194" s="590"/>
      <c r="BJ194" s="590"/>
      <c r="BK194" s="591"/>
      <c r="BL194" s="591"/>
      <c r="BM194" s="591"/>
      <c r="BN194" s="591"/>
      <c r="BO194" s="591"/>
      <c r="BP194" s="591"/>
      <c r="BQ194" s="591"/>
      <c r="BR194" s="591"/>
      <c r="BS194" s="591"/>
      <c r="BT194" s="591"/>
      <c r="BU194" s="591"/>
      <c r="BV194" s="591"/>
      <c r="BW194" s="591"/>
      <c r="BX194" s="591"/>
      <c r="BY194" s="591"/>
      <c r="BZ194" s="591"/>
      <c r="CA194" s="591"/>
      <c r="CB194" s="591"/>
      <c r="CC194" s="591"/>
      <c r="CD194" s="591"/>
      <c r="CE194" s="591"/>
      <c r="CF194" s="591"/>
    </row>
    <row r="195" spans="1:84">
      <c r="A195" s="590"/>
      <c r="B195" s="590"/>
      <c r="C195" s="590"/>
      <c r="D195" s="590"/>
      <c r="E195" s="590"/>
      <c r="F195" s="590"/>
      <c r="G195" s="590"/>
      <c r="H195" s="590"/>
      <c r="I195" s="590"/>
      <c r="J195" s="590"/>
      <c r="K195" s="590"/>
      <c r="L195" s="590"/>
      <c r="M195" s="590"/>
      <c r="N195" s="590"/>
      <c r="O195" s="590"/>
      <c r="P195" s="590"/>
      <c r="Q195" s="590"/>
      <c r="R195" s="590"/>
      <c r="S195" s="590"/>
      <c r="T195" s="590"/>
      <c r="U195" s="590"/>
      <c r="V195" s="590"/>
      <c r="W195" s="590"/>
      <c r="X195" s="590"/>
      <c r="Y195" s="590"/>
      <c r="Z195" s="590"/>
      <c r="AA195" s="590"/>
      <c r="AB195" s="590"/>
      <c r="AC195" s="590"/>
      <c r="AD195" s="590"/>
      <c r="AE195" s="590"/>
      <c r="AF195" s="590"/>
      <c r="AG195" s="590"/>
      <c r="AH195" s="590"/>
      <c r="AI195" s="590"/>
      <c r="AJ195" s="590"/>
      <c r="AK195" s="590"/>
      <c r="AL195" s="590"/>
      <c r="AM195" s="590"/>
      <c r="AN195" s="590"/>
      <c r="AO195" s="590"/>
      <c r="AP195" s="590"/>
      <c r="AQ195" s="590"/>
      <c r="AR195" s="590"/>
      <c r="AS195" s="590"/>
      <c r="AT195" s="590"/>
      <c r="AU195" s="590"/>
      <c r="AV195" s="590"/>
      <c r="AW195" s="590"/>
      <c r="AX195" s="590"/>
      <c r="AY195" s="590"/>
      <c r="AZ195" s="590"/>
      <c r="BA195" s="590"/>
      <c r="BB195" s="590"/>
      <c r="BC195" s="590"/>
      <c r="BD195" s="590"/>
      <c r="BE195" s="590"/>
      <c r="BF195" s="590"/>
      <c r="BG195" s="590"/>
      <c r="BH195" s="590"/>
      <c r="BI195" s="590"/>
      <c r="BJ195" s="590"/>
      <c r="BK195" s="591"/>
      <c r="BL195" s="591"/>
      <c r="BM195" s="591"/>
      <c r="BN195" s="591"/>
      <c r="BO195" s="591"/>
      <c r="BP195" s="591"/>
      <c r="BQ195" s="591"/>
      <c r="BR195" s="591"/>
      <c r="BS195" s="591"/>
      <c r="BT195" s="591"/>
      <c r="BU195" s="591"/>
      <c r="BV195" s="591"/>
      <c r="BW195" s="591"/>
      <c r="BX195" s="591"/>
      <c r="BY195" s="591"/>
      <c r="BZ195" s="591"/>
      <c r="CA195" s="591"/>
      <c r="CB195" s="591"/>
      <c r="CC195" s="591"/>
      <c r="CD195" s="591"/>
      <c r="CE195" s="591"/>
      <c r="CF195" s="591"/>
    </row>
    <row r="196" spans="1:84">
      <c r="A196" s="590"/>
      <c r="B196" s="590"/>
      <c r="C196" s="590"/>
      <c r="D196" s="590"/>
      <c r="E196" s="590"/>
      <c r="F196" s="590"/>
      <c r="G196" s="590"/>
      <c r="H196" s="590"/>
      <c r="I196" s="590"/>
      <c r="J196" s="590"/>
      <c r="K196" s="590"/>
      <c r="L196" s="590"/>
      <c r="M196" s="590"/>
      <c r="N196" s="590"/>
      <c r="O196" s="590"/>
      <c r="P196" s="590"/>
      <c r="Q196" s="590"/>
      <c r="R196" s="590"/>
      <c r="S196" s="590"/>
      <c r="T196" s="590"/>
      <c r="U196" s="590"/>
      <c r="V196" s="590"/>
      <c r="W196" s="590"/>
      <c r="X196" s="590"/>
      <c r="Y196" s="590"/>
      <c r="Z196" s="590"/>
      <c r="AA196" s="590"/>
      <c r="AB196" s="590"/>
      <c r="AC196" s="590"/>
      <c r="AD196" s="590"/>
      <c r="AE196" s="590"/>
      <c r="AF196" s="590"/>
      <c r="AG196" s="590"/>
      <c r="AH196" s="590"/>
      <c r="AI196" s="590"/>
      <c r="AJ196" s="590"/>
      <c r="AK196" s="590"/>
      <c r="AL196" s="590"/>
      <c r="AM196" s="590"/>
      <c r="AN196" s="590"/>
      <c r="AO196" s="590"/>
      <c r="AP196" s="590"/>
      <c r="AQ196" s="590"/>
      <c r="AR196" s="590"/>
      <c r="AS196" s="590"/>
      <c r="AT196" s="590"/>
      <c r="AU196" s="590"/>
      <c r="AV196" s="590"/>
      <c r="AW196" s="590"/>
      <c r="AX196" s="590"/>
      <c r="AY196" s="590"/>
      <c r="AZ196" s="590"/>
      <c r="BA196" s="590"/>
      <c r="BB196" s="590"/>
      <c r="BC196" s="590"/>
      <c r="BD196" s="590"/>
      <c r="BE196" s="590"/>
      <c r="BF196" s="590"/>
      <c r="BG196" s="590"/>
      <c r="BH196" s="590"/>
      <c r="BI196" s="590"/>
      <c r="BJ196" s="590"/>
      <c r="BK196" s="591"/>
      <c r="BL196" s="591"/>
      <c r="BM196" s="591"/>
      <c r="BN196" s="591"/>
      <c r="BO196" s="591"/>
      <c r="BP196" s="591"/>
      <c r="BQ196" s="591"/>
      <c r="BR196" s="591"/>
      <c r="BS196" s="591"/>
      <c r="BT196" s="591"/>
      <c r="BU196" s="591"/>
      <c r="BV196" s="591"/>
      <c r="BW196" s="591"/>
      <c r="BX196" s="591"/>
      <c r="BY196" s="591"/>
      <c r="BZ196" s="591"/>
      <c r="CA196" s="591"/>
      <c r="CB196" s="591"/>
      <c r="CC196" s="591"/>
      <c r="CD196" s="591"/>
      <c r="CE196" s="591"/>
      <c r="CF196" s="591"/>
    </row>
    <row r="197" spans="1:84">
      <c r="A197" s="590"/>
      <c r="B197" s="590"/>
      <c r="C197" s="590"/>
      <c r="D197" s="590"/>
      <c r="E197" s="590"/>
      <c r="F197" s="590"/>
      <c r="G197" s="590"/>
      <c r="H197" s="590"/>
      <c r="I197" s="590"/>
      <c r="J197" s="590"/>
      <c r="K197" s="590"/>
      <c r="L197" s="590"/>
      <c r="M197" s="590"/>
      <c r="N197" s="590"/>
      <c r="O197" s="590"/>
      <c r="P197" s="590"/>
      <c r="Q197" s="590"/>
      <c r="R197" s="590"/>
      <c r="S197" s="590"/>
      <c r="T197" s="590"/>
      <c r="U197" s="590"/>
      <c r="V197" s="590"/>
      <c r="W197" s="590"/>
      <c r="X197" s="590"/>
      <c r="Y197" s="590"/>
      <c r="Z197" s="590"/>
      <c r="AA197" s="590"/>
      <c r="AB197" s="590"/>
      <c r="AC197" s="590"/>
      <c r="AD197" s="590"/>
      <c r="AE197" s="590"/>
      <c r="AF197" s="590"/>
      <c r="AG197" s="590"/>
      <c r="AH197" s="590"/>
      <c r="AI197" s="590"/>
      <c r="AJ197" s="590"/>
      <c r="AK197" s="590"/>
      <c r="AL197" s="590"/>
      <c r="AM197" s="590"/>
      <c r="AN197" s="590"/>
      <c r="AO197" s="590"/>
      <c r="AP197" s="590"/>
      <c r="AQ197" s="590"/>
      <c r="AR197" s="590"/>
      <c r="AS197" s="590"/>
      <c r="AT197" s="590"/>
      <c r="AU197" s="590"/>
      <c r="AV197" s="590"/>
      <c r="AW197" s="590"/>
      <c r="AX197" s="590"/>
      <c r="AY197" s="590"/>
      <c r="AZ197" s="590"/>
      <c r="BA197" s="590"/>
      <c r="BB197" s="590"/>
      <c r="BC197" s="590"/>
      <c r="BD197" s="590"/>
      <c r="BE197" s="590"/>
      <c r="BF197" s="590"/>
      <c r="BG197" s="590"/>
      <c r="BH197" s="590"/>
      <c r="BI197" s="590"/>
      <c r="BJ197" s="590"/>
      <c r="BK197" s="591"/>
      <c r="BL197" s="591"/>
      <c r="BM197" s="591"/>
      <c r="BN197" s="591"/>
      <c r="BO197" s="591"/>
      <c r="BP197" s="591"/>
      <c r="BQ197" s="591"/>
      <c r="BR197" s="591"/>
      <c r="BS197" s="591"/>
      <c r="BT197" s="591"/>
      <c r="BU197" s="591"/>
      <c r="BV197" s="591"/>
      <c r="BW197" s="591"/>
      <c r="BX197" s="591"/>
      <c r="BY197" s="591"/>
      <c r="BZ197" s="591"/>
      <c r="CA197" s="591"/>
      <c r="CB197" s="591"/>
      <c r="CC197" s="591"/>
      <c r="CD197" s="591"/>
      <c r="CE197" s="591"/>
      <c r="CF197" s="591"/>
    </row>
    <row r="198" spans="1:84">
      <c r="A198" s="590"/>
      <c r="B198" s="590"/>
      <c r="C198" s="590"/>
      <c r="D198" s="590"/>
      <c r="E198" s="590"/>
      <c r="F198" s="590"/>
      <c r="G198" s="590"/>
      <c r="H198" s="590"/>
      <c r="I198" s="590"/>
      <c r="J198" s="590"/>
      <c r="K198" s="590"/>
      <c r="L198" s="590"/>
      <c r="M198" s="590"/>
      <c r="N198" s="590"/>
      <c r="O198" s="590"/>
      <c r="P198" s="590"/>
      <c r="Q198" s="590"/>
      <c r="R198" s="590"/>
      <c r="S198" s="590"/>
      <c r="T198" s="590"/>
      <c r="U198" s="590"/>
      <c r="V198" s="590"/>
      <c r="W198" s="590"/>
      <c r="X198" s="590"/>
      <c r="Y198" s="590"/>
      <c r="Z198" s="590"/>
      <c r="AA198" s="590"/>
      <c r="AB198" s="590"/>
      <c r="AC198" s="590"/>
      <c r="AD198" s="590"/>
      <c r="AE198" s="590"/>
      <c r="AF198" s="590"/>
      <c r="AG198" s="590"/>
      <c r="AH198" s="590"/>
      <c r="AI198" s="590"/>
      <c r="AJ198" s="590"/>
      <c r="AK198" s="590"/>
      <c r="AL198" s="590"/>
      <c r="AM198" s="590"/>
      <c r="AN198" s="590"/>
      <c r="AO198" s="590"/>
      <c r="AP198" s="590"/>
      <c r="AQ198" s="590"/>
      <c r="AR198" s="590"/>
      <c r="AS198" s="590"/>
      <c r="AT198" s="590"/>
      <c r="AU198" s="590"/>
      <c r="AV198" s="590"/>
      <c r="AW198" s="590"/>
      <c r="AX198" s="590"/>
      <c r="AY198" s="590"/>
      <c r="AZ198" s="590"/>
      <c r="BA198" s="590"/>
      <c r="BB198" s="590"/>
      <c r="BC198" s="590"/>
      <c r="BD198" s="590"/>
      <c r="BE198" s="590"/>
      <c r="BF198" s="590"/>
      <c r="BG198" s="590"/>
      <c r="BH198" s="590"/>
      <c r="BI198" s="590"/>
      <c r="BJ198" s="590"/>
      <c r="BK198" s="591"/>
      <c r="BL198" s="591"/>
      <c r="BM198" s="591"/>
      <c r="BN198" s="591"/>
      <c r="BO198" s="591"/>
      <c r="BP198" s="591"/>
      <c r="BQ198" s="591"/>
      <c r="BR198" s="591"/>
      <c r="BS198" s="591"/>
      <c r="BT198" s="591"/>
      <c r="BU198" s="591"/>
      <c r="BV198" s="591"/>
      <c r="BW198" s="591"/>
      <c r="BX198" s="591"/>
      <c r="BY198" s="591"/>
      <c r="BZ198" s="591"/>
      <c r="CA198" s="591"/>
      <c r="CB198" s="591"/>
      <c r="CC198" s="591"/>
      <c r="CD198" s="591"/>
      <c r="CE198" s="591"/>
      <c r="CF198" s="591"/>
    </row>
    <row r="199" spans="1:84">
      <c r="A199" s="590"/>
      <c r="B199" s="590"/>
      <c r="C199" s="590"/>
      <c r="D199" s="590"/>
      <c r="E199" s="590"/>
      <c r="F199" s="590"/>
      <c r="G199" s="590"/>
      <c r="H199" s="590"/>
      <c r="I199" s="590"/>
      <c r="J199" s="590"/>
      <c r="K199" s="590"/>
      <c r="L199" s="590"/>
      <c r="M199" s="590"/>
      <c r="N199" s="590"/>
      <c r="O199" s="590"/>
      <c r="P199" s="590"/>
      <c r="Q199" s="590"/>
      <c r="R199" s="590"/>
      <c r="S199" s="590"/>
      <c r="T199" s="590"/>
      <c r="U199" s="590"/>
      <c r="V199" s="590"/>
      <c r="W199" s="590"/>
      <c r="X199" s="590"/>
      <c r="Y199" s="590"/>
      <c r="Z199" s="590"/>
      <c r="AA199" s="590"/>
      <c r="AB199" s="590"/>
      <c r="AC199" s="590"/>
      <c r="AD199" s="590"/>
      <c r="AE199" s="590"/>
      <c r="AF199" s="590"/>
      <c r="AG199" s="590"/>
      <c r="AH199" s="590"/>
      <c r="AI199" s="590"/>
      <c r="AJ199" s="590"/>
      <c r="AK199" s="590"/>
      <c r="AL199" s="590"/>
      <c r="AM199" s="590"/>
      <c r="AN199" s="590"/>
      <c r="AO199" s="590"/>
      <c r="AP199" s="590"/>
      <c r="AQ199" s="590"/>
      <c r="AR199" s="590"/>
      <c r="AS199" s="590"/>
      <c r="AT199" s="590"/>
      <c r="AU199" s="590"/>
      <c r="AV199" s="590"/>
      <c r="AW199" s="590"/>
      <c r="AX199" s="590"/>
      <c r="AY199" s="590"/>
      <c r="AZ199" s="590"/>
      <c r="BA199" s="590"/>
      <c r="BB199" s="590"/>
      <c r="BC199" s="590"/>
      <c r="BD199" s="590"/>
      <c r="BE199" s="590"/>
      <c r="BF199" s="590"/>
      <c r="BG199" s="590"/>
      <c r="BH199" s="590"/>
      <c r="BI199" s="590"/>
      <c r="BJ199" s="590"/>
      <c r="BK199" s="591"/>
      <c r="BL199" s="591"/>
      <c r="BM199" s="591"/>
      <c r="BN199" s="591"/>
      <c r="BO199" s="591"/>
      <c r="BP199" s="591"/>
      <c r="BQ199" s="591"/>
      <c r="BR199" s="591"/>
      <c r="BS199" s="591"/>
      <c r="BT199" s="591"/>
      <c r="BU199" s="591"/>
      <c r="BV199" s="591"/>
      <c r="BW199" s="591"/>
      <c r="BX199" s="591"/>
      <c r="BY199" s="591"/>
      <c r="BZ199" s="591"/>
      <c r="CA199" s="591"/>
      <c r="CB199" s="591"/>
      <c r="CC199" s="591"/>
      <c r="CD199" s="591"/>
      <c r="CE199" s="591"/>
      <c r="CF199" s="591"/>
    </row>
    <row r="200" spans="1:84">
      <c r="A200" s="590"/>
      <c r="B200" s="590"/>
      <c r="C200" s="590"/>
      <c r="D200" s="590"/>
      <c r="E200" s="590"/>
      <c r="F200" s="590"/>
      <c r="G200" s="590"/>
      <c r="H200" s="590"/>
      <c r="I200" s="590"/>
      <c r="J200" s="590"/>
      <c r="K200" s="590"/>
      <c r="L200" s="590"/>
      <c r="M200" s="590"/>
      <c r="N200" s="590"/>
      <c r="O200" s="590"/>
      <c r="P200" s="590"/>
      <c r="Q200" s="590"/>
      <c r="R200" s="590"/>
      <c r="S200" s="590"/>
      <c r="T200" s="590"/>
      <c r="U200" s="590"/>
      <c r="V200" s="590"/>
      <c r="W200" s="590"/>
      <c r="X200" s="590"/>
      <c r="Y200" s="590"/>
      <c r="Z200" s="590"/>
      <c r="AA200" s="590"/>
      <c r="AB200" s="590"/>
      <c r="AC200" s="590"/>
      <c r="AD200" s="590"/>
      <c r="AE200" s="590"/>
      <c r="AF200" s="590"/>
      <c r="AG200" s="590"/>
      <c r="AH200" s="590"/>
      <c r="AI200" s="590"/>
      <c r="AJ200" s="590"/>
      <c r="AK200" s="590"/>
      <c r="AL200" s="590"/>
      <c r="AM200" s="590"/>
      <c r="AN200" s="590"/>
      <c r="AO200" s="590"/>
      <c r="AP200" s="590"/>
      <c r="AQ200" s="590"/>
      <c r="AR200" s="590"/>
      <c r="AS200" s="590"/>
      <c r="AT200" s="590"/>
      <c r="AU200" s="590"/>
      <c r="AV200" s="590"/>
      <c r="AW200" s="590"/>
      <c r="AX200" s="590"/>
      <c r="AY200" s="590"/>
      <c r="AZ200" s="590"/>
      <c r="BA200" s="590"/>
      <c r="BB200" s="590"/>
      <c r="BC200" s="590"/>
      <c r="BD200" s="590"/>
      <c r="BE200" s="590"/>
      <c r="BF200" s="590"/>
      <c r="BG200" s="590"/>
      <c r="BH200" s="590"/>
      <c r="BI200" s="590"/>
      <c r="BJ200" s="590"/>
      <c r="BK200" s="591"/>
      <c r="BL200" s="591"/>
      <c r="BM200" s="591"/>
      <c r="BN200" s="591"/>
      <c r="BO200" s="591"/>
      <c r="BP200" s="591"/>
      <c r="BQ200" s="591"/>
      <c r="BR200" s="591"/>
      <c r="BS200" s="591"/>
      <c r="BT200" s="591"/>
      <c r="BU200" s="591"/>
      <c r="BV200" s="591"/>
      <c r="BW200" s="591"/>
      <c r="BX200" s="591"/>
      <c r="BY200" s="591"/>
      <c r="BZ200" s="591"/>
      <c r="CA200" s="591"/>
      <c r="CB200" s="591"/>
      <c r="CC200" s="591"/>
      <c r="CD200" s="591"/>
      <c r="CE200" s="591"/>
      <c r="CF200" s="591"/>
    </row>
    <row r="201" spans="1:84">
      <c r="A201" s="590"/>
      <c r="B201" s="590"/>
      <c r="C201" s="590"/>
      <c r="D201" s="590"/>
      <c r="E201" s="590"/>
      <c r="F201" s="590"/>
      <c r="G201" s="590"/>
      <c r="H201" s="590"/>
      <c r="I201" s="590"/>
      <c r="J201" s="590"/>
      <c r="K201" s="590"/>
      <c r="L201" s="590"/>
      <c r="M201" s="590"/>
      <c r="N201" s="590"/>
      <c r="O201" s="590"/>
      <c r="P201" s="590"/>
      <c r="Q201" s="590"/>
      <c r="R201" s="590"/>
      <c r="S201" s="590"/>
      <c r="T201" s="590"/>
      <c r="U201" s="590"/>
      <c r="V201" s="590"/>
      <c r="W201" s="590"/>
      <c r="X201" s="590"/>
      <c r="Y201" s="590"/>
      <c r="Z201" s="590"/>
      <c r="AA201" s="590"/>
      <c r="AB201" s="590"/>
      <c r="AC201" s="590"/>
      <c r="AD201" s="590"/>
      <c r="AE201" s="590"/>
      <c r="AF201" s="590"/>
      <c r="AG201" s="590"/>
      <c r="AH201" s="590"/>
      <c r="AI201" s="590"/>
      <c r="AJ201" s="590"/>
      <c r="AK201" s="590"/>
      <c r="AL201" s="590"/>
      <c r="AM201" s="590"/>
      <c r="AN201" s="590"/>
      <c r="AO201" s="590"/>
      <c r="AP201" s="590"/>
      <c r="AQ201" s="590"/>
      <c r="AR201" s="590"/>
      <c r="AS201" s="590"/>
      <c r="AT201" s="590"/>
      <c r="AU201" s="590"/>
      <c r="AV201" s="590"/>
      <c r="AW201" s="590"/>
      <c r="AX201" s="590"/>
      <c r="AY201" s="590"/>
      <c r="AZ201" s="590"/>
      <c r="BA201" s="590"/>
      <c r="BB201" s="590"/>
      <c r="BC201" s="590"/>
      <c r="BD201" s="590"/>
      <c r="BE201" s="590"/>
      <c r="BF201" s="590"/>
      <c r="BG201" s="590"/>
      <c r="BH201" s="590"/>
      <c r="BI201" s="590"/>
      <c r="BJ201" s="590"/>
      <c r="BK201" s="591"/>
      <c r="BL201" s="591"/>
      <c r="BM201" s="591"/>
      <c r="BN201" s="591"/>
      <c r="BO201" s="591"/>
      <c r="BP201" s="591"/>
      <c r="BQ201" s="591"/>
      <c r="BR201" s="591"/>
      <c r="BS201" s="591"/>
      <c r="BT201" s="591"/>
      <c r="BU201" s="591"/>
      <c r="BV201" s="591"/>
      <c r="BW201" s="591"/>
      <c r="BX201" s="591"/>
      <c r="BY201" s="591"/>
      <c r="BZ201" s="591"/>
      <c r="CA201" s="591"/>
      <c r="CB201" s="591"/>
      <c r="CC201" s="591"/>
      <c r="CD201" s="591"/>
      <c r="CE201" s="591"/>
      <c r="CF201" s="591"/>
    </row>
    <row r="202" spans="1:84">
      <c r="A202" s="590"/>
      <c r="B202" s="590"/>
      <c r="C202" s="590"/>
      <c r="D202" s="590"/>
      <c r="E202" s="590"/>
      <c r="F202" s="590"/>
      <c r="G202" s="590"/>
      <c r="H202" s="590"/>
      <c r="I202" s="590"/>
      <c r="J202" s="590"/>
      <c r="K202" s="590"/>
      <c r="L202" s="590"/>
      <c r="M202" s="590"/>
      <c r="N202" s="590"/>
      <c r="O202" s="590"/>
      <c r="P202" s="590"/>
      <c r="Q202" s="590"/>
      <c r="R202" s="590"/>
      <c r="S202" s="590"/>
      <c r="T202" s="590"/>
      <c r="U202" s="590"/>
      <c r="V202" s="590"/>
      <c r="W202" s="590"/>
      <c r="X202" s="590"/>
      <c r="Y202" s="590"/>
      <c r="Z202" s="590"/>
      <c r="AA202" s="590"/>
      <c r="AB202" s="590"/>
      <c r="AC202" s="590"/>
      <c r="AD202" s="590"/>
      <c r="AE202" s="590"/>
      <c r="AF202" s="590"/>
      <c r="AG202" s="590"/>
      <c r="AH202" s="590"/>
      <c r="AI202" s="590"/>
      <c r="AJ202" s="590"/>
      <c r="AK202" s="590"/>
      <c r="AL202" s="590"/>
      <c r="AM202" s="590"/>
      <c r="AN202" s="590"/>
      <c r="AO202" s="590"/>
      <c r="AP202" s="590"/>
      <c r="AQ202" s="590"/>
      <c r="AR202" s="590"/>
      <c r="AS202" s="590"/>
      <c r="AT202" s="590"/>
      <c r="AU202" s="590"/>
      <c r="AV202" s="590"/>
      <c r="AW202" s="590"/>
      <c r="AX202" s="590"/>
      <c r="AY202" s="590"/>
      <c r="AZ202" s="590"/>
      <c r="BA202" s="590"/>
      <c r="BB202" s="590"/>
      <c r="BC202" s="590"/>
      <c r="BD202" s="590"/>
      <c r="BE202" s="590"/>
      <c r="BF202" s="590"/>
      <c r="BG202" s="590"/>
      <c r="BH202" s="590"/>
      <c r="BI202" s="590"/>
      <c r="BJ202" s="590"/>
      <c r="BK202" s="591"/>
      <c r="BL202" s="591"/>
      <c r="BM202" s="591"/>
      <c r="BN202" s="591"/>
      <c r="BO202" s="591"/>
      <c r="BP202" s="591"/>
      <c r="BQ202" s="591"/>
      <c r="BR202" s="591"/>
      <c r="BS202" s="591"/>
      <c r="BT202" s="591"/>
      <c r="BU202" s="591"/>
      <c r="BV202" s="591"/>
      <c r="BW202" s="591"/>
      <c r="BX202" s="591"/>
      <c r="BY202" s="591"/>
      <c r="BZ202" s="591"/>
      <c r="CA202" s="591"/>
      <c r="CB202" s="591"/>
      <c r="CC202" s="591"/>
      <c r="CD202" s="591"/>
      <c r="CE202" s="591"/>
      <c r="CF202" s="591"/>
    </row>
    <row r="203" spans="1:84">
      <c r="A203" s="590"/>
      <c r="B203" s="590"/>
      <c r="C203" s="590"/>
      <c r="D203" s="590"/>
      <c r="E203" s="590"/>
      <c r="F203" s="590"/>
      <c r="G203" s="590"/>
      <c r="H203" s="590"/>
      <c r="I203" s="590"/>
      <c r="J203" s="590"/>
      <c r="K203" s="590"/>
      <c r="L203" s="590"/>
      <c r="M203" s="590"/>
      <c r="N203" s="590"/>
      <c r="O203" s="590"/>
      <c r="P203" s="590"/>
      <c r="Q203" s="590"/>
      <c r="R203" s="590"/>
      <c r="S203" s="590"/>
      <c r="T203" s="590"/>
      <c r="U203" s="590"/>
      <c r="V203" s="590"/>
      <c r="W203" s="590"/>
      <c r="X203" s="590"/>
      <c r="Y203" s="590"/>
      <c r="Z203" s="590"/>
      <c r="AA203" s="590"/>
      <c r="AB203" s="590"/>
      <c r="AC203" s="590"/>
      <c r="AD203" s="590"/>
      <c r="AE203" s="590"/>
      <c r="AF203" s="590"/>
      <c r="AG203" s="590"/>
      <c r="AH203" s="590"/>
      <c r="AI203" s="590"/>
      <c r="AJ203" s="590"/>
      <c r="AK203" s="590"/>
      <c r="AL203" s="590"/>
      <c r="AM203" s="590"/>
      <c r="AN203" s="590"/>
      <c r="AO203" s="590"/>
      <c r="AP203" s="590"/>
      <c r="AQ203" s="590"/>
      <c r="AR203" s="590"/>
      <c r="AS203" s="590"/>
      <c r="AT203" s="590"/>
      <c r="AU203" s="590"/>
      <c r="AV203" s="590"/>
      <c r="AW203" s="590"/>
      <c r="AX203" s="590"/>
      <c r="AY203" s="590"/>
      <c r="AZ203" s="590"/>
      <c r="BA203" s="590"/>
      <c r="BB203" s="590"/>
      <c r="BC203" s="590"/>
      <c r="BD203" s="590"/>
      <c r="BE203" s="590"/>
      <c r="BF203" s="590"/>
      <c r="BG203" s="590"/>
      <c r="BH203" s="590"/>
      <c r="BI203" s="590"/>
      <c r="BJ203" s="590"/>
      <c r="BK203" s="591"/>
      <c r="BL203" s="591"/>
      <c r="BM203" s="591"/>
      <c r="BN203" s="591"/>
      <c r="BO203" s="591"/>
      <c r="BP203" s="591"/>
      <c r="BQ203" s="591"/>
      <c r="BR203" s="591"/>
      <c r="BS203" s="591"/>
      <c r="BT203" s="591"/>
      <c r="BU203" s="591"/>
      <c r="BV203" s="591"/>
      <c r="BW203" s="591"/>
      <c r="BX203" s="591"/>
      <c r="BY203" s="591"/>
      <c r="BZ203" s="591"/>
      <c r="CA203" s="591"/>
      <c r="CB203" s="591"/>
      <c r="CC203" s="591"/>
      <c r="CD203" s="591"/>
      <c r="CE203" s="591"/>
      <c r="CF203" s="591"/>
    </row>
    <row r="204" spans="1:84">
      <c r="A204" s="590"/>
      <c r="B204" s="590"/>
      <c r="C204" s="590"/>
      <c r="D204" s="590"/>
      <c r="E204" s="590"/>
      <c r="F204" s="590"/>
      <c r="G204" s="590"/>
      <c r="H204" s="590"/>
      <c r="I204" s="590"/>
      <c r="J204" s="590"/>
      <c r="K204" s="590"/>
      <c r="L204" s="590"/>
      <c r="M204" s="590"/>
      <c r="N204" s="590"/>
      <c r="O204" s="590"/>
      <c r="P204" s="590"/>
      <c r="Q204" s="590"/>
      <c r="R204" s="590"/>
      <c r="S204" s="590"/>
      <c r="T204" s="590"/>
      <c r="U204" s="590"/>
      <c r="V204" s="590"/>
      <c r="W204" s="590"/>
      <c r="X204" s="590"/>
      <c r="Y204" s="590"/>
      <c r="Z204" s="590"/>
      <c r="AA204" s="590"/>
      <c r="AB204" s="590"/>
      <c r="AC204" s="590"/>
      <c r="AD204" s="590"/>
      <c r="AE204" s="590"/>
      <c r="AF204" s="590"/>
      <c r="AG204" s="590"/>
      <c r="AH204" s="590"/>
      <c r="AI204" s="590"/>
      <c r="AJ204" s="590"/>
      <c r="AK204" s="590"/>
      <c r="AL204" s="590"/>
      <c r="AM204" s="590"/>
      <c r="AN204" s="590"/>
      <c r="AO204" s="590"/>
      <c r="AP204" s="590"/>
      <c r="AQ204" s="590"/>
      <c r="AR204" s="590"/>
      <c r="AS204" s="590"/>
      <c r="AT204" s="590"/>
      <c r="AU204" s="590"/>
      <c r="AV204" s="590"/>
      <c r="AW204" s="590"/>
      <c r="AX204" s="590"/>
      <c r="AY204" s="590"/>
      <c r="AZ204" s="590"/>
      <c r="BA204" s="590"/>
      <c r="BB204" s="590"/>
      <c r="BC204" s="590"/>
      <c r="BD204" s="590"/>
      <c r="BE204" s="590"/>
      <c r="BF204" s="590"/>
      <c r="BG204" s="590"/>
      <c r="BH204" s="590"/>
      <c r="BI204" s="590"/>
      <c r="BJ204" s="590"/>
      <c r="BK204" s="591"/>
      <c r="BL204" s="591"/>
      <c r="BM204" s="591"/>
      <c r="BN204" s="591"/>
      <c r="BO204" s="591"/>
      <c r="BP204" s="591"/>
      <c r="BQ204" s="591"/>
      <c r="BR204" s="591"/>
      <c r="BS204" s="591"/>
      <c r="BT204" s="591"/>
      <c r="BU204" s="591"/>
      <c r="BV204" s="591"/>
      <c r="BW204" s="591"/>
      <c r="BX204" s="591"/>
      <c r="BY204" s="591"/>
      <c r="BZ204" s="591"/>
      <c r="CA204" s="591"/>
      <c r="CB204" s="591"/>
      <c r="CC204" s="591"/>
      <c r="CD204" s="591"/>
      <c r="CE204" s="591"/>
      <c r="CF204" s="591"/>
    </row>
    <row r="205" spans="1:84">
      <c r="A205" s="590"/>
      <c r="B205" s="590"/>
      <c r="C205" s="590"/>
      <c r="D205" s="590"/>
      <c r="E205" s="590"/>
      <c r="F205" s="590"/>
      <c r="G205" s="590"/>
      <c r="H205" s="590"/>
      <c r="I205" s="590"/>
      <c r="J205" s="590"/>
      <c r="K205" s="590"/>
      <c r="L205" s="590"/>
      <c r="M205" s="590"/>
      <c r="N205" s="590"/>
      <c r="O205" s="590"/>
      <c r="P205" s="590"/>
      <c r="Q205" s="590"/>
      <c r="R205" s="590"/>
      <c r="S205" s="590"/>
      <c r="T205" s="590"/>
      <c r="U205" s="590"/>
      <c r="V205" s="590"/>
      <c r="W205" s="590"/>
      <c r="X205" s="590"/>
      <c r="Y205" s="590"/>
      <c r="Z205" s="590"/>
      <c r="AA205" s="590"/>
      <c r="AB205" s="590"/>
      <c r="AC205" s="590"/>
      <c r="AD205" s="590"/>
      <c r="AE205" s="590"/>
      <c r="AF205" s="590"/>
      <c r="AG205" s="590"/>
      <c r="AH205" s="590"/>
      <c r="AI205" s="590"/>
      <c r="AJ205" s="590"/>
      <c r="AK205" s="590"/>
      <c r="AL205" s="590"/>
      <c r="AM205" s="590"/>
      <c r="AN205" s="590"/>
      <c r="AO205" s="590"/>
      <c r="AP205" s="590"/>
      <c r="AQ205" s="590"/>
      <c r="AR205" s="590"/>
      <c r="AS205" s="590"/>
      <c r="AT205" s="590"/>
      <c r="AU205" s="590"/>
      <c r="AV205" s="590"/>
      <c r="AW205" s="590"/>
      <c r="AX205" s="590"/>
      <c r="AY205" s="590"/>
      <c r="AZ205" s="590"/>
      <c r="BA205" s="590"/>
      <c r="BB205" s="590"/>
      <c r="BC205" s="590"/>
      <c r="BD205" s="590"/>
      <c r="BE205" s="590"/>
      <c r="BF205" s="590"/>
      <c r="BG205" s="590"/>
      <c r="BH205" s="590"/>
      <c r="BI205" s="590"/>
      <c r="BJ205" s="590"/>
      <c r="BK205" s="591"/>
      <c r="BL205" s="591"/>
      <c r="BM205" s="591"/>
      <c r="BN205" s="591"/>
      <c r="BO205" s="591"/>
      <c r="BP205" s="591"/>
      <c r="BQ205" s="591"/>
      <c r="BR205" s="591"/>
      <c r="BS205" s="591"/>
      <c r="BT205" s="591"/>
      <c r="BU205" s="591"/>
      <c r="BV205" s="591"/>
      <c r="BW205" s="591"/>
      <c r="BX205" s="591"/>
      <c r="BY205" s="591"/>
      <c r="BZ205" s="591"/>
      <c r="CA205" s="591"/>
      <c r="CB205" s="591"/>
      <c r="CC205" s="591"/>
      <c r="CD205" s="591"/>
      <c r="CE205" s="591"/>
      <c r="CF205" s="591"/>
    </row>
    <row r="206" spans="1:84">
      <c r="A206" s="590"/>
      <c r="B206" s="590"/>
      <c r="C206" s="590"/>
      <c r="D206" s="590"/>
      <c r="E206" s="590"/>
      <c r="F206" s="590"/>
      <c r="G206" s="590"/>
      <c r="H206" s="590"/>
      <c r="I206" s="590"/>
      <c r="J206" s="590"/>
      <c r="K206" s="590"/>
      <c r="L206" s="590"/>
      <c r="M206" s="590"/>
      <c r="N206" s="590"/>
      <c r="O206" s="590"/>
      <c r="P206" s="590"/>
      <c r="Q206" s="590"/>
      <c r="R206" s="590"/>
      <c r="S206" s="590"/>
      <c r="T206" s="590"/>
      <c r="U206" s="590"/>
      <c r="V206" s="590"/>
      <c r="W206" s="590"/>
      <c r="X206" s="590"/>
      <c r="Y206" s="590"/>
      <c r="Z206" s="590"/>
      <c r="AA206" s="590"/>
      <c r="AB206" s="590"/>
      <c r="AC206" s="590"/>
      <c r="AD206" s="590"/>
      <c r="AE206" s="590"/>
      <c r="AF206" s="590"/>
      <c r="AG206" s="590"/>
      <c r="AH206" s="590"/>
      <c r="AI206" s="590"/>
      <c r="AJ206" s="590"/>
      <c r="AK206" s="590"/>
      <c r="AL206" s="590"/>
      <c r="AM206" s="590"/>
      <c r="AN206" s="590"/>
      <c r="AO206" s="590"/>
      <c r="AP206" s="590"/>
      <c r="AQ206" s="590"/>
      <c r="AR206" s="590"/>
      <c r="AS206" s="590"/>
      <c r="AT206" s="590"/>
      <c r="AU206" s="590"/>
      <c r="AV206" s="590"/>
      <c r="AW206" s="590"/>
      <c r="AX206" s="590"/>
      <c r="AY206" s="590"/>
      <c r="AZ206" s="590"/>
      <c r="BA206" s="590"/>
      <c r="BB206" s="590"/>
      <c r="BC206" s="590"/>
      <c r="BD206" s="590"/>
      <c r="BE206" s="590"/>
      <c r="BF206" s="590"/>
      <c r="BG206" s="590"/>
      <c r="BH206" s="590"/>
      <c r="BI206" s="590"/>
      <c r="BJ206" s="590"/>
      <c r="BK206" s="591"/>
      <c r="BL206" s="591"/>
      <c r="BM206" s="591"/>
      <c r="BN206" s="591"/>
      <c r="BO206" s="591"/>
      <c r="BP206" s="591"/>
      <c r="BQ206" s="591"/>
      <c r="BR206" s="591"/>
      <c r="BS206" s="591"/>
      <c r="BT206" s="591"/>
      <c r="BU206" s="591"/>
      <c r="BV206" s="591"/>
      <c r="BW206" s="591"/>
      <c r="BX206" s="591"/>
      <c r="BY206" s="591"/>
      <c r="BZ206" s="591"/>
      <c r="CA206" s="591"/>
      <c r="CB206" s="591"/>
      <c r="CC206" s="591"/>
      <c r="CD206" s="591"/>
      <c r="CE206" s="591"/>
      <c r="CF206" s="591"/>
    </row>
    <row r="207" spans="1:84">
      <c r="A207" s="590"/>
      <c r="B207" s="590"/>
      <c r="C207" s="590"/>
      <c r="D207" s="590"/>
      <c r="E207" s="590"/>
      <c r="F207" s="590"/>
      <c r="G207" s="590"/>
      <c r="H207" s="590"/>
      <c r="I207" s="590"/>
      <c r="J207" s="590"/>
      <c r="K207" s="590"/>
      <c r="L207" s="590"/>
      <c r="M207" s="590"/>
      <c r="N207" s="590"/>
      <c r="O207" s="590"/>
      <c r="P207" s="590"/>
      <c r="Q207" s="590"/>
      <c r="R207" s="590"/>
      <c r="S207" s="590"/>
      <c r="T207" s="590"/>
      <c r="U207" s="590"/>
      <c r="V207" s="590"/>
      <c r="W207" s="590"/>
      <c r="X207" s="590"/>
      <c r="Y207" s="590"/>
      <c r="Z207" s="590"/>
      <c r="AA207" s="590"/>
      <c r="AB207" s="590"/>
      <c r="AC207" s="590"/>
      <c r="AD207" s="590"/>
      <c r="AE207" s="590"/>
      <c r="AF207" s="590"/>
      <c r="AG207" s="590"/>
      <c r="AH207" s="590"/>
      <c r="AI207" s="590"/>
      <c r="AJ207" s="590"/>
      <c r="AK207" s="590"/>
      <c r="AL207" s="590"/>
      <c r="AM207" s="590"/>
      <c r="AN207" s="590"/>
      <c r="AO207" s="590"/>
      <c r="AP207" s="590"/>
      <c r="AQ207" s="590"/>
      <c r="AR207" s="590"/>
      <c r="AS207" s="590"/>
      <c r="AT207" s="590"/>
      <c r="AU207" s="590"/>
      <c r="AV207" s="590"/>
      <c r="AW207" s="590"/>
      <c r="AX207" s="590"/>
      <c r="AY207" s="590"/>
      <c r="AZ207" s="590"/>
      <c r="BA207" s="590"/>
      <c r="BB207" s="590"/>
      <c r="BC207" s="590"/>
      <c r="BD207" s="590"/>
      <c r="BE207" s="590"/>
      <c r="BF207" s="590"/>
      <c r="BG207" s="590"/>
      <c r="BH207" s="590"/>
      <c r="BI207" s="590"/>
      <c r="BJ207" s="590"/>
      <c r="BK207" s="591"/>
      <c r="BL207" s="591"/>
      <c r="BM207" s="591"/>
      <c r="BN207" s="591"/>
      <c r="BO207" s="591"/>
      <c r="BP207" s="591"/>
      <c r="BQ207" s="591"/>
      <c r="BR207" s="591"/>
      <c r="BS207" s="591"/>
      <c r="BT207" s="591"/>
      <c r="BU207" s="591"/>
      <c r="BV207" s="591"/>
      <c r="BW207" s="591"/>
      <c r="BX207" s="591"/>
      <c r="BY207" s="591"/>
      <c r="BZ207" s="591"/>
      <c r="CA207" s="591"/>
      <c r="CB207" s="591"/>
      <c r="CC207" s="591"/>
      <c r="CD207" s="591"/>
      <c r="CE207" s="591"/>
      <c r="CF207" s="591"/>
    </row>
    <row r="208" spans="1:84">
      <c r="A208" s="590"/>
      <c r="B208" s="590"/>
      <c r="C208" s="590"/>
      <c r="D208" s="590"/>
      <c r="E208" s="590"/>
      <c r="F208" s="590"/>
      <c r="G208" s="590"/>
      <c r="H208" s="590"/>
      <c r="I208" s="590"/>
      <c r="J208" s="590"/>
      <c r="K208" s="590"/>
      <c r="L208" s="590"/>
      <c r="M208" s="590"/>
      <c r="N208" s="590"/>
      <c r="O208" s="590"/>
      <c r="P208" s="590"/>
      <c r="Q208" s="590"/>
      <c r="R208" s="590"/>
      <c r="S208" s="590"/>
      <c r="T208" s="590"/>
      <c r="U208" s="590"/>
      <c r="V208" s="590"/>
      <c r="W208" s="590"/>
      <c r="X208" s="590"/>
      <c r="Y208" s="590"/>
      <c r="Z208" s="590"/>
      <c r="AA208" s="590"/>
      <c r="AB208" s="590"/>
      <c r="AC208" s="590"/>
      <c r="AD208" s="590"/>
      <c r="AE208" s="590"/>
      <c r="AF208" s="590"/>
      <c r="AG208" s="590"/>
      <c r="AH208" s="590"/>
      <c r="AI208" s="590"/>
      <c r="AJ208" s="590"/>
      <c r="AK208" s="590"/>
      <c r="AL208" s="590"/>
      <c r="AM208" s="590"/>
      <c r="AN208" s="590"/>
      <c r="AO208" s="590"/>
      <c r="AP208" s="590"/>
      <c r="AQ208" s="590"/>
      <c r="AR208" s="590"/>
      <c r="AS208" s="590"/>
      <c r="AT208" s="590"/>
      <c r="AU208" s="590"/>
      <c r="AV208" s="590"/>
      <c r="AW208" s="590"/>
      <c r="AX208" s="590"/>
      <c r="AY208" s="590"/>
      <c r="AZ208" s="590"/>
      <c r="BA208" s="590"/>
      <c r="BB208" s="590"/>
      <c r="BC208" s="590"/>
      <c r="BD208" s="590"/>
      <c r="BE208" s="590"/>
      <c r="BF208" s="590"/>
      <c r="BG208" s="590"/>
      <c r="BH208" s="590"/>
      <c r="BI208" s="590"/>
      <c r="BJ208" s="590"/>
      <c r="BK208" s="591"/>
      <c r="BL208" s="591"/>
      <c r="BM208" s="591"/>
      <c r="BN208" s="591"/>
      <c r="BO208" s="591"/>
      <c r="BP208" s="591"/>
      <c r="BQ208" s="591"/>
      <c r="BR208" s="591"/>
      <c r="BS208" s="591"/>
      <c r="BT208" s="591"/>
      <c r="BU208" s="591"/>
      <c r="BV208" s="591"/>
      <c r="BW208" s="591"/>
      <c r="BX208" s="591"/>
      <c r="BY208" s="591"/>
      <c r="BZ208" s="591"/>
      <c r="CA208" s="591"/>
      <c r="CB208" s="591"/>
      <c r="CC208" s="591"/>
      <c r="CD208" s="591"/>
      <c r="CE208" s="591"/>
      <c r="CF208" s="591"/>
    </row>
    <row r="209" spans="1:84">
      <c r="A209" s="590"/>
      <c r="B209" s="590"/>
      <c r="C209" s="590"/>
      <c r="D209" s="590"/>
      <c r="E209" s="590"/>
      <c r="F209" s="590"/>
      <c r="G209" s="590"/>
      <c r="H209" s="590"/>
      <c r="I209" s="590"/>
      <c r="J209" s="590"/>
      <c r="K209" s="590"/>
      <c r="L209" s="590"/>
      <c r="M209" s="590"/>
      <c r="N209" s="590"/>
      <c r="O209" s="590"/>
      <c r="P209" s="590"/>
      <c r="Q209" s="590"/>
      <c r="R209" s="590"/>
      <c r="S209" s="590"/>
      <c r="T209" s="590"/>
      <c r="U209" s="590"/>
      <c r="V209" s="590"/>
      <c r="W209" s="590"/>
      <c r="X209" s="590"/>
      <c r="Y209" s="590"/>
      <c r="Z209" s="590"/>
      <c r="AA209" s="590"/>
      <c r="AB209" s="590"/>
      <c r="AC209" s="590"/>
      <c r="AD209" s="590"/>
      <c r="AE209" s="590"/>
      <c r="AF209" s="590"/>
      <c r="AG209" s="590"/>
      <c r="AH209" s="590"/>
      <c r="AI209" s="590"/>
      <c r="AJ209" s="590"/>
      <c r="AK209" s="590"/>
      <c r="AL209" s="590"/>
      <c r="AM209" s="590"/>
      <c r="AN209" s="590"/>
      <c r="AO209" s="590"/>
      <c r="AP209" s="590"/>
      <c r="AQ209" s="590"/>
      <c r="AR209" s="590"/>
      <c r="AS209" s="590"/>
      <c r="AT209" s="590"/>
      <c r="AU209" s="590"/>
      <c r="AV209" s="590"/>
      <c r="AW209" s="590"/>
      <c r="AX209" s="590"/>
      <c r="AY209" s="590"/>
      <c r="AZ209" s="590"/>
      <c r="BA209" s="590"/>
      <c r="BB209" s="590"/>
      <c r="BC209" s="590"/>
      <c r="BD209" s="590"/>
      <c r="BE209" s="590"/>
      <c r="BF209" s="590"/>
      <c r="BG209" s="590"/>
      <c r="BH209" s="590"/>
      <c r="BI209" s="590"/>
      <c r="BJ209" s="590"/>
      <c r="BK209" s="591"/>
      <c r="BL209" s="591"/>
      <c r="BM209" s="591"/>
      <c r="BN209" s="591"/>
      <c r="BO209" s="591"/>
      <c r="BP209" s="591"/>
      <c r="BQ209" s="591"/>
      <c r="BR209" s="591"/>
      <c r="BS209" s="591"/>
      <c r="BT209" s="591"/>
      <c r="BU209" s="591"/>
      <c r="BV209" s="591"/>
      <c r="BW209" s="591"/>
      <c r="BX209" s="591"/>
      <c r="BY209" s="591"/>
      <c r="BZ209" s="591"/>
      <c r="CA209" s="591"/>
      <c r="CB209" s="591"/>
      <c r="CC209" s="591"/>
      <c r="CD209" s="591"/>
      <c r="CE209" s="591"/>
      <c r="CF209" s="591"/>
    </row>
    <row r="210" spans="1:84">
      <c r="A210" s="590"/>
      <c r="B210" s="590"/>
      <c r="C210" s="590"/>
      <c r="D210" s="590"/>
      <c r="E210" s="590"/>
      <c r="F210" s="590"/>
      <c r="G210" s="590"/>
      <c r="H210" s="590"/>
      <c r="I210" s="590"/>
      <c r="J210" s="590"/>
      <c r="K210" s="590"/>
      <c r="L210" s="590"/>
      <c r="M210" s="590"/>
      <c r="N210" s="590"/>
      <c r="O210" s="590"/>
      <c r="P210" s="590"/>
      <c r="Q210" s="590"/>
      <c r="R210" s="590"/>
      <c r="S210" s="590"/>
      <c r="T210" s="590"/>
      <c r="U210" s="590"/>
      <c r="V210" s="590"/>
      <c r="W210" s="590"/>
      <c r="X210" s="590"/>
      <c r="Y210" s="590"/>
      <c r="Z210" s="590"/>
      <c r="AA210" s="590"/>
      <c r="AB210" s="590"/>
      <c r="AC210" s="590"/>
      <c r="AD210" s="590"/>
      <c r="AE210" s="590"/>
      <c r="AF210" s="590"/>
      <c r="AG210" s="590"/>
      <c r="AH210" s="590"/>
      <c r="AI210" s="590"/>
      <c r="AJ210" s="590"/>
      <c r="AK210" s="590"/>
      <c r="AL210" s="590"/>
      <c r="AM210" s="590"/>
      <c r="AN210" s="590"/>
      <c r="AO210" s="590"/>
      <c r="AP210" s="590"/>
      <c r="AQ210" s="590"/>
      <c r="AR210" s="590"/>
      <c r="AS210" s="590"/>
      <c r="AT210" s="590"/>
      <c r="AU210" s="590"/>
      <c r="AV210" s="590"/>
      <c r="AW210" s="590"/>
      <c r="AX210" s="590"/>
      <c r="AY210" s="590"/>
      <c r="AZ210" s="590"/>
      <c r="BA210" s="590"/>
      <c r="BB210" s="590"/>
      <c r="BC210" s="590"/>
      <c r="BD210" s="590"/>
      <c r="BE210" s="590"/>
      <c r="BF210" s="590"/>
      <c r="BG210" s="590"/>
      <c r="BH210" s="590"/>
      <c r="BI210" s="590"/>
      <c r="BJ210" s="590"/>
      <c r="BK210" s="591"/>
      <c r="BL210" s="591"/>
      <c r="BM210" s="591"/>
      <c r="BN210" s="591"/>
      <c r="BO210" s="591"/>
      <c r="BP210" s="591"/>
      <c r="BQ210" s="591"/>
      <c r="BR210" s="591"/>
      <c r="BS210" s="591"/>
      <c r="BT210" s="591"/>
      <c r="BU210" s="591"/>
      <c r="BV210" s="591"/>
      <c r="BW210" s="591"/>
      <c r="BX210" s="591"/>
      <c r="BY210" s="591"/>
      <c r="BZ210" s="591"/>
      <c r="CA210" s="591"/>
      <c r="CB210" s="591"/>
      <c r="CC210" s="591"/>
      <c r="CD210" s="591"/>
      <c r="CE210" s="591"/>
      <c r="CF210" s="591"/>
    </row>
    <row r="211" spans="1:84">
      <c r="A211" s="590"/>
      <c r="B211" s="590"/>
      <c r="C211" s="590"/>
      <c r="D211" s="590"/>
      <c r="E211" s="590"/>
      <c r="F211" s="590"/>
      <c r="G211" s="590"/>
      <c r="H211" s="590"/>
      <c r="I211" s="590"/>
      <c r="J211" s="590"/>
      <c r="K211" s="590"/>
      <c r="L211" s="590"/>
      <c r="M211" s="590"/>
      <c r="N211" s="590"/>
      <c r="O211" s="590"/>
      <c r="P211" s="590"/>
      <c r="Q211" s="590"/>
      <c r="R211" s="590"/>
      <c r="S211" s="590"/>
      <c r="T211" s="590"/>
      <c r="U211" s="590"/>
      <c r="V211" s="590"/>
      <c r="W211" s="590"/>
      <c r="X211" s="590"/>
      <c r="Y211" s="590"/>
      <c r="Z211" s="590"/>
      <c r="AA211" s="590"/>
      <c r="AB211" s="590"/>
      <c r="AC211" s="590"/>
      <c r="AD211" s="590"/>
      <c r="AE211" s="590"/>
      <c r="AF211" s="590"/>
      <c r="AG211" s="590"/>
      <c r="AH211" s="590"/>
      <c r="AI211" s="590"/>
      <c r="AJ211" s="590"/>
      <c r="AK211" s="590"/>
      <c r="AL211" s="590"/>
      <c r="AM211" s="590"/>
      <c r="AN211" s="590"/>
      <c r="AO211" s="590"/>
      <c r="AP211" s="590"/>
      <c r="AQ211" s="590"/>
      <c r="AR211" s="590"/>
      <c r="AS211" s="590"/>
      <c r="AT211" s="590"/>
      <c r="AU211" s="590"/>
      <c r="AV211" s="590"/>
      <c r="AW211" s="590"/>
      <c r="AX211" s="590"/>
      <c r="AY211" s="590"/>
      <c r="AZ211" s="590"/>
      <c r="BA211" s="590"/>
      <c r="BB211" s="590"/>
      <c r="BC211" s="590"/>
      <c r="BD211" s="590"/>
      <c r="BE211" s="590"/>
      <c r="BF211" s="590"/>
      <c r="BG211" s="590"/>
      <c r="BH211" s="590"/>
      <c r="BI211" s="590"/>
      <c r="BJ211" s="590"/>
      <c r="BK211" s="591"/>
      <c r="BL211" s="591"/>
      <c r="BM211" s="591"/>
      <c r="BN211" s="591"/>
      <c r="BO211" s="591"/>
      <c r="BP211" s="591"/>
      <c r="BQ211" s="591"/>
      <c r="BR211" s="591"/>
      <c r="BS211" s="591"/>
      <c r="BT211" s="591"/>
      <c r="BU211" s="591"/>
      <c r="BV211" s="591"/>
      <c r="BW211" s="591"/>
      <c r="BX211" s="591"/>
      <c r="BY211" s="591"/>
      <c r="BZ211" s="591"/>
      <c r="CA211" s="591"/>
      <c r="CB211" s="591"/>
      <c r="CC211" s="591"/>
      <c r="CD211" s="591"/>
      <c r="CE211" s="591"/>
      <c r="CF211" s="591"/>
    </row>
    <row r="212" spans="1:84">
      <c r="A212" s="590"/>
      <c r="B212" s="590"/>
      <c r="C212" s="590"/>
      <c r="D212" s="590"/>
      <c r="E212" s="590"/>
      <c r="F212" s="590"/>
      <c r="G212" s="590"/>
      <c r="H212" s="590"/>
      <c r="I212" s="590"/>
      <c r="J212" s="590"/>
      <c r="K212" s="590"/>
      <c r="L212" s="590"/>
      <c r="M212" s="590"/>
      <c r="N212" s="590"/>
      <c r="O212" s="590"/>
      <c r="P212" s="590"/>
      <c r="Q212" s="590"/>
      <c r="R212" s="590"/>
      <c r="S212" s="590"/>
      <c r="T212" s="590"/>
      <c r="U212" s="590"/>
      <c r="V212" s="590"/>
      <c r="W212" s="590"/>
      <c r="X212" s="590"/>
      <c r="Y212" s="590"/>
      <c r="Z212" s="590"/>
      <c r="AA212" s="590"/>
      <c r="AB212" s="590"/>
      <c r="AC212" s="590"/>
      <c r="AD212" s="590"/>
      <c r="AE212" s="590"/>
      <c r="AF212" s="590"/>
      <c r="AG212" s="590"/>
      <c r="AH212" s="590"/>
      <c r="AI212" s="590"/>
      <c r="AJ212" s="590"/>
      <c r="AK212" s="590"/>
      <c r="AL212" s="590"/>
      <c r="AM212" s="590"/>
      <c r="AN212" s="590"/>
      <c r="AO212" s="590"/>
      <c r="AP212" s="590"/>
      <c r="AQ212" s="590"/>
      <c r="AR212" s="590"/>
      <c r="AS212" s="590"/>
      <c r="AT212" s="590"/>
      <c r="AU212" s="590"/>
      <c r="AV212" s="590"/>
      <c r="AW212" s="590"/>
      <c r="AX212" s="590"/>
      <c r="AY212" s="590"/>
      <c r="AZ212" s="590"/>
      <c r="BA212" s="590"/>
      <c r="BB212" s="590"/>
      <c r="BC212" s="590"/>
      <c r="BD212" s="590"/>
      <c r="BE212" s="590"/>
      <c r="BF212" s="590"/>
      <c r="BG212" s="590"/>
      <c r="BH212" s="590"/>
      <c r="BI212" s="590"/>
      <c r="BJ212" s="590"/>
      <c r="BK212" s="591"/>
      <c r="BL212" s="591"/>
      <c r="BM212" s="591"/>
      <c r="BN212" s="591"/>
      <c r="BO212" s="591"/>
      <c r="BP212" s="591"/>
      <c r="BQ212" s="591"/>
      <c r="BR212" s="591"/>
      <c r="BS212" s="591"/>
      <c r="BT212" s="591"/>
      <c r="BU212" s="591"/>
      <c r="BV212" s="591"/>
      <c r="BW212" s="591"/>
      <c r="BX212" s="591"/>
      <c r="BY212" s="591"/>
      <c r="BZ212" s="591"/>
      <c r="CA212" s="591"/>
      <c r="CB212" s="591"/>
      <c r="CC212" s="591"/>
      <c r="CD212" s="591"/>
      <c r="CE212" s="591"/>
      <c r="CF212" s="591"/>
    </row>
    <row r="213" spans="1:84">
      <c r="A213" s="590"/>
      <c r="B213" s="590"/>
      <c r="C213" s="590"/>
      <c r="D213" s="590"/>
      <c r="E213" s="590"/>
      <c r="F213" s="590"/>
      <c r="G213" s="590"/>
      <c r="H213" s="590"/>
      <c r="I213" s="590"/>
      <c r="J213" s="590"/>
      <c r="K213" s="590"/>
      <c r="L213" s="590"/>
      <c r="M213" s="590"/>
      <c r="N213" s="590"/>
      <c r="O213" s="590"/>
      <c r="P213" s="590"/>
      <c r="Q213" s="590"/>
      <c r="R213" s="590"/>
      <c r="S213" s="590"/>
      <c r="T213" s="590"/>
      <c r="U213" s="590"/>
      <c r="V213" s="590"/>
      <c r="W213" s="590"/>
      <c r="X213" s="590"/>
      <c r="Y213" s="590"/>
      <c r="Z213" s="590"/>
      <c r="AA213" s="590"/>
      <c r="AB213" s="590"/>
      <c r="AC213" s="590"/>
      <c r="AD213" s="590"/>
      <c r="AE213" s="590"/>
      <c r="AF213" s="590"/>
      <c r="AG213" s="590"/>
      <c r="AH213" s="590"/>
      <c r="AI213" s="590"/>
      <c r="AJ213" s="590"/>
      <c r="AK213" s="590"/>
      <c r="AL213" s="590"/>
      <c r="AM213" s="590"/>
      <c r="AN213" s="590"/>
      <c r="AO213" s="590"/>
      <c r="AP213" s="590"/>
      <c r="AQ213" s="590"/>
      <c r="AR213" s="590"/>
      <c r="AS213" s="590"/>
      <c r="AT213" s="590"/>
      <c r="AU213" s="590"/>
      <c r="AV213" s="590"/>
      <c r="AW213" s="590"/>
      <c r="AX213" s="590"/>
      <c r="AY213" s="590"/>
      <c r="AZ213" s="590"/>
      <c r="BA213" s="590"/>
      <c r="BB213" s="590"/>
      <c r="BC213" s="590"/>
      <c r="BD213" s="590"/>
      <c r="BE213" s="590"/>
      <c r="BF213" s="590"/>
      <c r="BG213" s="590"/>
      <c r="BH213" s="590"/>
      <c r="BI213" s="590"/>
      <c r="BJ213" s="590"/>
      <c r="BK213" s="591"/>
      <c r="BL213" s="591"/>
      <c r="BM213" s="591"/>
      <c r="BN213" s="591"/>
      <c r="BO213" s="591"/>
      <c r="BP213" s="591"/>
      <c r="BQ213" s="591"/>
      <c r="BR213" s="591"/>
      <c r="BS213" s="591"/>
      <c r="BT213" s="591"/>
      <c r="BU213" s="591"/>
      <c r="BV213" s="591"/>
      <c r="BW213" s="591"/>
      <c r="BX213" s="591"/>
      <c r="BY213" s="591"/>
      <c r="BZ213" s="591"/>
      <c r="CA213" s="591"/>
      <c r="CB213" s="591"/>
      <c r="CC213" s="591"/>
      <c r="CD213" s="591"/>
      <c r="CE213" s="591"/>
      <c r="CF213" s="591"/>
    </row>
    <row r="214" spans="1:84">
      <c r="A214" s="590"/>
      <c r="B214" s="590"/>
      <c r="C214" s="590"/>
      <c r="D214" s="590"/>
      <c r="E214" s="590"/>
      <c r="F214" s="590"/>
      <c r="G214" s="590"/>
      <c r="H214" s="590"/>
      <c r="I214" s="590"/>
      <c r="J214" s="590"/>
      <c r="K214" s="590"/>
      <c r="L214" s="590"/>
      <c r="M214" s="590"/>
      <c r="N214" s="590"/>
      <c r="O214" s="590"/>
      <c r="P214" s="590"/>
      <c r="Q214" s="590"/>
      <c r="R214" s="590"/>
      <c r="S214" s="590"/>
      <c r="T214" s="590"/>
      <c r="U214" s="590"/>
      <c r="V214" s="590"/>
      <c r="W214" s="590"/>
      <c r="X214" s="590"/>
      <c r="Y214" s="590"/>
      <c r="Z214" s="590"/>
      <c r="AA214" s="590"/>
      <c r="AB214" s="590"/>
      <c r="AC214" s="590"/>
      <c r="AD214" s="590"/>
      <c r="AE214" s="590"/>
      <c r="AF214" s="590"/>
      <c r="AG214" s="590"/>
      <c r="AH214" s="590"/>
      <c r="AI214" s="590"/>
      <c r="AJ214" s="590"/>
      <c r="AK214" s="590"/>
      <c r="AL214" s="590"/>
      <c r="AM214" s="590"/>
      <c r="AN214" s="590"/>
      <c r="AO214" s="590"/>
      <c r="AP214" s="590"/>
      <c r="AQ214" s="590"/>
      <c r="AR214" s="590"/>
      <c r="AS214" s="590"/>
      <c r="AT214" s="590"/>
      <c r="AU214" s="590"/>
      <c r="AV214" s="590"/>
      <c r="AW214" s="590"/>
      <c r="AX214" s="590"/>
      <c r="AY214" s="590"/>
      <c r="AZ214" s="590"/>
      <c r="BA214" s="590"/>
      <c r="BB214" s="590"/>
      <c r="BC214" s="590"/>
      <c r="BD214" s="590"/>
      <c r="BE214" s="590"/>
      <c r="BF214" s="590"/>
      <c r="BG214" s="590"/>
      <c r="BH214" s="590"/>
      <c r="BI214" s="590"/>
      <c r="BJ214" s="590"/>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row>
    <row r="215" spans="1:84">
      <c r="A215" s="590"/>
      <c r="B215" s="590"/>
      <c r="C215" s="590"/>
      <c r="D215" s="590"/>
      <c r="E215" s="590"/>
      <c r="F215" s="590"/>
      <c r="G215" s="590"/>
      <c r="H215" s="590"/>
      <c r="I215" s="590"/>
      <c r="J215" s="590"/>
      <c r="K215" s="590"/>
      <c r="L215" s="590"/>
      <c r="M215" s="590"/>
      <c r="N215" s="590"/>
      <c r="O215" s="590"/>
      <c r="P215" s="590"/>
      <c r="Q215" s="590"/>
      <c r="R215" s="590"/>
      <c r="S215" s="590"/>
      <c r="T215" s="590"/>
      <c r="U215" s="590"/>
      <c r="V215" s="590"/>
      <c r="W215" s="590"/>
      <c r="X215" s="590"/>
      <c r="Y215" s="590"/>
      <c r="Z215" s="590"/>
      <c r="AA215" s="590"/>
      <c r="AB215" s="590"/>
      <c r="AC215" s="590"/>
      <c r="AD215" s="590"/>
      <c r="AE215" s="590"/>
      <c r="AF215" s="590"/>
      <c r="AG215" s="590"/>
      <c r="AH215" s="590"/>
      <c r="AI215" s="590"/>
      <c r="AJ215" s="590"/>
      <c r="AK215" s="590"/>
      <c r="AL215" s="590"/>
      <c r="AM215" s="590"/>
      <c r="AN215" s="590"/>
      <c r="AO215" s="590"/>
      <c r="AP215" s="590"/>
      <c r="AQ215" s="590"/>
      <c r="AR215" s="590"/>
      <c r="AS215" s="590"/>
      <c r="AT215" s="590"/>
      <c r="AU215" s="590"/>
      <c r="AV215" s="590"/>
      <c r="AW215" s="590"/>
      <c r="AX215" s="590"/>
      <c r="AY215" s="590"/>
      <c r="AZ215" s="590"/>
      <c r="BA215" s="590"/>
      <c r="BB215" s="590"/>
      <c r="BC215" s="590"/>
      <c r="BD215" s="590"/>
      <c r="BE215" s="590"/>
      <c r="BF215" s="590"/>
      <c r="BG215" s="590"/>
      <c r="BH215" s="590"/>
      <c r="BI215" s="590"/>
      <c r="BJ215" s="590"/>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row>
    <row r="216" spans="1:84">
      <c r="A216" s="590"/>
      <c r="B216" s="590"/>
      <c r="C216" s="590"/>
      <c r="D216" s="590"/>
      <c r="E216" s="590"/>
      <c r="F216" s="590"/>
      <c r="G216" s="590"/>
      <c r="H216" s="590"/>
      <c r="I216" s="590"/>
      <c r="J216" s="590"/>
      <c r="K216" s="590"/>
      <c r="L216" s="590"/>
      <c r="M216" s="590"/>
      <c r="N216" s="590"/>
      <c r="O216" s="590"/>
      <c r="P216" s="590"/>
      <c r="Q216" s="590"/>
      <c r="R216" s="590"/>
      <c r="S216" s="590"/>
      <c r="T216" s="590"/>
      <c r="U216" s="590"/>
      <c r="V216" s="590"/>
      <c r="W216" s="590"/>
      <c r="X216" s="590"/>
      <c r="Y216" s="590"/>
      <c r="Z216" s="590"/>
      <c r="AA216" s="590"/>
      <c r="AB216" s="590"/>
      <c r="AC216" s="590"/>
      <c r="AD216" s="590"/>
      <c r="AE216" s="590"/>
      <c r="AF216" s="590"/>
      <c r="AG216" s="590"/>
      <c r="AH216" s="590"/>
      <c r="AI216" s="590"/>
      <c r="AJ216" s="590"/>
      <c r="AK216" s="590"/>
      <c r="AL216" s="590"/>
      <c r="AM216" s="590"/>
      <c r="AN216" s="590"/>
      <c r="AO216" s="590"/>
      <c r="AP216" s="590"/>
      <c r="AQ216" s="590"/>
      <c r="AR216" s="590"/>
      <c r="AS216" s="590"/>
      <c r="AT216" s="590"/>
      <c r="AU216" s="590"/>
      <c r="AV216" s="590"/>
      <c r="AW216" s="590"/>
      <c r="AX216" s="590"/>
      <c r="AY216" s="590"/>
      <c r="AZ216" s="590"/>
      <c r="BA216" s="590"/>
      <c r="BB216" s="590"/>
      <c r="BC216" s="590"/>
      <c r="BD216" s="590"/>
      <c r="BE216" s="590"/>
      <c r="BF216" s="590"/>
      <c r="BG216" s="590"/>
      <c r="BH216" s="590"/>
      <c r="BI216" s="590"/>
      <c r="BJ216" s="590"/>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row>
    <row r="217" spans="1:84">
      <c r="A217" s="590"/>
      <c r="B217" s="590"/>
      <c r="C217" s="590"/>
      <c r="D217" s="590"/>
      <c r="E217" s="590"/>
      <c r="F217" s="590"/>
      <c r="G217" s="590"/>
      <c r="H217" s="590"/>
      <c r="I217" s="590"/>
      <c r="J217" s="590"/>
      <c r="K217" s="590"/>
      <c r="L217" s="590"/>
      <c r="M217" s="590"/>
      <c r="N217" s="590"/>
      <c r="O217" s="590"/>
      <c r="P217" s="590"/>
      <c r="Q217" s="590"/>
      <c r="R217" s="590"/>
      <c r="S217" s="590"/>
      <c r="T217" s="590"/>
      <c r="U217" s="590"/>
      <c r="V217" s="590"/>
      <c r="W217" s="590"/>
      <c r="X217" s="590"/>
      <c r="Y217" s="590"/>
      <c r="Z217" s="590"/>
      <c r="AA217" s="590"/>
      <c r="AB217" s="590"/>
      <c r="AC217" s="590"/>
      <c r="AD217" s="590"/>
      <c r="AE217" s="590"/>
      <c r="AF217" s="590"/>
      <c r="AG217" s="590"/>
      <c r="AH217" s="590"/>
      <c r="AI217" s="590"/>
      <c r="AJ217" s="590"/>
      <c r="AK217" s="590"/>
      <c r="AL217" s="590"/>
      <c r="AM217" s="590"/>
      <c r="AN217" s="590"/>
      <c r="AO217" s="590"/>
      <c r="AP217" s="590"/>
      <c r="AQ217" s="590"/>
      <c r="AR217" s="590"/>
      <c r="AS217" s="590"/>
      <c r="AT217" s="590"/>
      <c r="AU217" s="590"/>
      <c r="AV217" s="590"/>
      <c r="AW217" s="590"/>
      <c r="AX217" s="590"/>
      <c r="AY217" s="590"/>
      <c r="AZ217" s="590"/>
      <c r="BA217" s="590"/>
      <c r="BB217" s="590"/>
      <c r="BC217" s="590"/>
      <c r="BD217" s="590"/>
      <c r="BE217" s="590"/>
      <c r="BF217" s="590"/>
      <c r="BG217" s="590"/>
      <c r="BH217" s="590"/>
      <c r="BI217" s="590"/>
      <c r="BJ217" s="590"/>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row>
    <row r="218" spans="1:84">
      <c r="A218" s="590"/>
      <c r="B218" s="590"/>
      <c r="C218" s="590"/>
      <c r="D218" s="590"/>
      <c r="E218" s="590"/>
      <c r="F218" s="590"/>
      <c r="G218" s="590"/>
      <c r="H218" s="590"/>
      <c r="I218" s="590"/>
      <c r="J218" s="590"/>
      <c r="K218" s="590"/>
      <c r="L218" s="590"/>
      <c r="M218" s="590"/>
      <c r="N218" s="590"/>
      <c r="O218" s="590"/>
      <c r="P218" s="590"/>
      <c r="Q218" s="590"/>
      <c r="R218" s="590"/>
      <c r="S218" s="590"/>
      <c r="T218" s="590"/>
      <c r="U218" s="590"/>
      <c r="V218" s="590"/>
      <c r="W218" s="590"/>
      <c r="X218" s="590"/>
      <c r="Y218" s="590"/>
      <c r="Z218" s="590"/>
      <c r="AA218" s="590"/>
      <c r="AB218" s="590"/>
      <c r="AC218" s="590"/>
      <c r="AD218" s="590"/>
      <c r="AE218" s="590"/>
      <c r="AF218" s="590"/>
      <c r="AG218" s="590"/>
      <c r="AH218" s="590"/>
      <c r="AI218" s="590"/>
      <c r="AJ218" s="590"/>
      <c r="AK218" s="590"/>
      <c r="AL218" s="590"/>
      <c r="AM218" s="590"/>
      <c r="AN218" s="590"/>
      <c r="AO218" s="590"/>
      <c r="AP218" s="590"/>
      <c r="AQ218" s="590"/>
      <c r="AR218" s="590"/>
      <c r="AS218" s="590"/>
      <c r="AT218" s="590"/>
      <c r="AU218" s="590"/>
      <c r="AV218" s="590"/>
      <c r="AW218" s="590"/>
      <c r="AX218" s="590"/>
      <c r="AY218" s="590"/>
      <c r="AZ218" s="590"/>
      <c r="BA218" s="590"/>
      <c r="BB218" s="590"/>
      <c r="BC218" s="590"/>
      <c r="BD218" s="590"/>
      <c r="BE218" s="590"/>
      <c r="BF218" s="590"/>
      <c r="BG218" s="590"/>
      <c r="BH218" s="590"/>
      <c r="BI218" s="590"/>
      <c r="BJ218" s="590"/>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row>
    <row r="219" spans="1:84">
      <c r="A219" s="590"/>
      <c r="B219" s="590"/>
      <c r="C219" s="590"/>
      <c r="D219" s="590"/>
      <c r="E219" s="590"/>
      <c r="F219" s="590"/>
      <c r="G219" s="590"/>
      <c r="H219" s="590"/>
      <c r="I219" s="590"/>
      <c r="J219" s="590"/>
      <c r="K219" s="590"/>
      <c r="L219" s="590"/>
      <c r="M219" s="590"/>
      <c r="N219" s="590"/>
      <c r="O219" s="590"/>
      <c r="P219" s="590"/>
      <c r="Q219" s="590"/>
      <c r="R219" s="590"/>
      <c r="S219" s="590"/>
      <c r="T219" s="590"/>
      <c r="U219" s="590"/>
      <c r="V219" s="590"/>
      <c r="W219" s="590"/>
      <c r="X219" s="590"/>
      <c r="Y219" s="590"/>
      <c r="Z219" s="590"/>
      <c r="AA219" s="590"/>
      <c r="AB219" s="590"/>
      <c r="AC219" s="590"/>
      <c r="AD219" s="590"/>
      <c r="AE219" s="590"/>
      <c r="AF219" s="590"/>
      <c r="AG219" s="590"/>
      <c r="AH219" s="590"/>
      <c r="AI219" s="590"/>
      <c r="AJ219" s="590"/>
      <c r="AK219" s="590"/>
      <c r="AL219" s="590"/>
      <c r="AM219" s="590"/>
      <c r="AN219" s="590"/>
      <c r="AO219" s="590"/>
      <c r="AP219" s="590"/>
      <c r="AQ219" s="590"/>
      <c r="AR219" s="590"/>
      <c r="AS219" s="590"/>
      <c r="AT219" s="590"/>
      <c r="AU219" s="590"/>
      <c r="AV219" s="590"/>
      <c r="AW219" s="590"/>
      <c r="AX219" s="590"/>
      <c r="AY219" s="590"/>
      <c r="AZ219" s="590"/>
      <c r="BA219" s="590"/>
      <c r="BB219" s="590"/>
      <c r="BC219" s="590"/>
      <c r="BD219" s="590"/>
      <c r="BE219" s="590"/>
      <c r="BF219" s="590"/>
      <c r="BG219" s="590"/>
      <c r="BH219" s="590"/>
      <c r="BI219" s="590"/>
      <c r="BJ219" s="590"/>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row>
    <row r="220" spans="1:84">
      <c r="A220" s="590"/>
      <c r="B220" s="590"/>
      <c r="C220" s="590"/>
      <c r="D220" s="590"/>
      <c r="E220" s="590"/>
      <c r="F220" s="590"/>
      <c r="G220" s="590"/>
      <c r="H220" s="590"/>
      <c r="I220" s="590"/>
      <c r="J220" s="590"/>
      <c r="K220" s="590"/>
      <c r="L220" s="590"/>
      <c r="M220" s="590"/>
      <c r="N220" s="590"/>
      <c r="O220" s="590"/>
      <c r="P220" s="590"/>
      <c r="Q220" s="590"/>
      <c r="R220" s="590"/>
      <c r="S220" s="590"/>
      <c r="T220" s="590"/>
      <c r="U220" s="590"/>
      <c r="V220" s="590"/>
      <c r="W220" s="590"/>
      <c r="X220" s="590"/>
      <c r="Y220" s="590"/>
      <c r="Z220" s="590"/>
      <c r="AA220" s="590"/>
      <c r="AB220" s="590"/>
      <c r="AC220" s="590"/>
      <c r="AD220" s="590"/>
      <c r="AE220" s="590"/>
      <c r="AF220" s="590"/>
      <c r="AG220" s="590"/>
      <c r="AH220" s="590"/>
      <c r="AI220" s="590"/>
      <c r="AJ220" s="590"/>
      <c r="AK220" s="590"/>
      <c r="AL220" s="590"/>
      <c r="AM220" s="590"/>
      <c r="AN220" s="590"/>
      <c r="AO220" s="590"/>
      <c r="AP220" s="590"/>
      <c r="AQ220" s="590"/>
      <c r="AR220" s="590"/>
      <c r="AS220" s="590"/>
      <c r="AT220" s="590"/>
      <c r="AU220" s="590"/>
      <c r="AV220" s="590"/>
      <c r="AW220" s="590"/>
      <c r="AX220" s="590"/>
      <c r="AY220" s="590"/>
      <c r="AZ220" s="590"/>
      <c r="BA220" s="590"/>
      <c r="BB220" s="590"/>
      <c r="BC220" s="590"/>
      <c r="BD220" s="590"/>
      <c r="BE220" s="590"/>
      <c r="BF220" s="590"/>
      <c r="BG220" s="590"/>
      <c r="BH220" s="590"/>
      <c r="BI220" s="590"/>
      <c r="BJ220" s="590"/>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row>
    <row r="221" spans="1:84">
      <c r="A221" s="590"/>
      <c r="B221" s="590"/>
      <c r="C221" s="590"/>
      <c r="D221" s="590"/>
      <c r="E221" s="590"/>
      <c r="F221" s="590"/>
      <c r="G221" s="590"/>
      <c r="H221" s="590"/>
      <c r="I221" s="590"/>
      <c r="J221" s="590"/>
      <c r="K221" s="590"/>
      <c r="L221" s="590"/>
      <c r="M221" s="590"/>
      <c r="N221" s="590"/>
      <c r="O221" s="590"/>
      <c r="P221" s="590"/>
      <c r="Q221" s="590"/>
      <c r="R221" s="590"/>
      <c r="S221" s="590"/>
      <c r="T221" s="590"/>
      <c r="U221" s="590"/>
      <c r="V221" s="590"/>
      <c r="W221" s="590"/>
      <c r="X221" s="590"/>
      <c r="Y221" s="590"/>
      <c r="Z221" s="590"/>
      <c r="AA221" s="590"/>
      <c r="AB221" s="590"/>
      <c r="AC221" s="590"/>
      <c r="AD221" s="590"/>
      <c r="AE221" s="590"/>
      <c r="AF221" s="590"/>
      <c r="AG221" s="590"/>
      <c r="AH221" s="590"/>
      <c r="AI221" s="590"/>
      <c r="AJ221" s="590"/>
      <c r="AK221" s="590"/>
      <c r="AL221" s="590"/>
      <c r="AM221" s="590"/>
      <c r="AN221" s="590"/>
      <c r="AO221" s="590"/>
      <c r="AP221" s="590"/>
      <c r="AQ221" s="590"/>
      <c r="AR221" s="590"/>
      <c r="AS221" s="590"/>
      <c r="AT221" s="590"/>
      <c r="AU221" s="590"/>
      <c r="AV221" s="590"/>
      <c r="AW221" s="590"/>
      <c r="AX221" s="590"/>
      <c r="AY221" s="590"/>
      <c r="AZ221" s="590"/>
      <c r="BA221" s="590"/>
      <c r="BB221" s="590"/>
      <c r="BC221" s="590"/>
      <c r="BD221" s="590"/>
      <c r="BE221" s="590"/>
      <c r="BF221" s="590"/>
      <c r="BG221" s="590"/>
      <c r="BH221" s="590"/>
      <c r="BI221" s="590"/>
      <c r="BJ221" s="590"/>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row>
    <row r="222" spans="1:84">
      <c r="A222" s="590"/>
      <c r="B222" s="590"/>
      <c r="C222" s="590"/>
      <c r="D222" s="590"/>
      <c r="E222" s="590"/>
      <c r="F222" s="590"/>
      <c r="G222" s="590"/>
      <c r="H222" s="590"/>
      <c r="I222" s="590"/>
      <c r="J222" s="590"/>
      <c r="K222" s="590"/>
      <c r="L222" s="590"/>
      <c r="M222" s="590"/>
      <c r="N222" s="590"/>
      <c r="O222" s="590"/>
      <c r="P222" s="590"/>
      <c r="Q222" s="590"/>
      <c r="R222" s="590"/>
      <c r="S222" s="590"/>
      <c r="T222" s="590"/>
      <c r="U222" s="590"/>
      <c r="V222" s="590"/>
      <c r="W222" s="590"/>
      <c r="X222" s="590"/>
      <c r="Y222" s="590"/>
      <c r="Z222" s="590"/>
      <c r="AA222" s="590"/>
      <c r="AB222" s="590"/>
      <c r="AC222" s="590"/>
      <c r="AD222" s="590"/>
      <c r="AE222" s="590"/>
      <c r="AF222" s="590"/>
      <c r="AG222" s="590"/>
      <c r="AH222" s="590"/>
      <c r="AI222" s="590"/>
      <c r="AJ222" s="590"/>
      <c r="AK222" s="590"/>
      <c r="AL222" s="590"/>
      <c r="AM222" s="590"/>
      <c r="AN222" s="590"/>
      <c r="AO222" s="590"/>
      <c r="AP222" s="590"/>
      <c r="AQ222" s="590"/>
      <c r="AR222" s="590"/>
      <c r="AS222" s="590"/>
      <c r="AT222" s="590"/>
      <c r="AU222" s="590"/>
      <c r="AV222" s="590"/>
      <c r="AW222" s="590"/>
      <c r="AX222" s="590"/>
      <c r="AY222" s="590"/>
      <c r="AZ222" s="590"/>
      <c r="BA222" s="590"/>
      <c r="BB222" s="590"/>
      <c r="BC222" s="590"/>
      <c r="BD222" s="590"/>
      <c r="BE222" s="590"/>
      <c r="BF222" s="590"/>
      <c r="BG222" s="590"/>
      <c r="BH222" s="590"/>
      <c r="BI222" s="590"/>
      <c r="BJ222" s="590"/>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row>
    <row r="223" spans="1:84">
      <c r="A223" s="590"/>
      <c r="B223" s="590"/>
      <c r="C223" s="590"/>
      <c r="D223" s="590"/>
      <c r="E223" s="590"/>
      <c r="F223" s="590"/>
      <c r="G223" s="590"/>
      <c r="H223" s="590"/>
      <c r="I223" s="590"/>
      <c r="J223" s="590"/>
      <c r="K223" s="590"/>
      <c r="L223" s="590"/>
      <c r="M223" s="590"/>
      <c r="N223" s="590"/>
      <c r="O223" s="590"/>
      <c r="P223" s="590"/>
      <c r="Q223" s="590"/>
      <c r="R223" s="590"/>
      <c r="S223" s="590"/>
      <c r="T223" s="590"/>
      <c r="U223" s="590"/>
      <c r="V223" s="590"/>
      <c r="W223" s="590"/>
      <c r="X223" s="590"/>
      <c r="Y223" s="590"/>
      <c r="Z223" s="590"/>
      <c r="AA223" s="590"/>
      <c r="AB223" s="590"/>
      <c r="AC223" s="590"/>
      <c r="AD223" s="590"/>
      <c r="AE223" s="590"/>
      <c r="AF223" s="590"/>
      <c r="AG223" s="590"/>
      <c r="AH223" s="590"/>
      <c r="AI223" s="590"/>
      <c r="AJ223" s="590"/>
      <c r="AK223" s="590"/>
      <c r="AL223" s="590"/>
      <c r="AM223" s="590"/>
      <c r="AN223" s="590"/>
      <c r="AO223" s="590"/>
      <c r="AP223" s="590"/>
      <c r="AQ223" s="590"/>
      <c r="AR223" s="590"/>
      <c r="AS223" s="590"/>
      <c r="AT223" s="590"/>
      <c r="AU223" s="590"/>
      <c r="AV223" s="590"/>
      <c r="AW223" s="590"/>
      <c r="AX223" s="590"/>
      <c r="AY223" s="590"/>
      <c r="AZ223" s="590"/>
      <c r="BA223" s="590"/>
      <c r="BB223" s="590"/>
      <c r="BC223" s="590"/>
      <c r="BD223" s="590"/>
      <c r="BE223" s="590"/>
      <c r="BF223" s="590"/>
      <c r="BG223" s="590"/>
      <c r="BH223" s="590"/>
      <c r="BI223" s="590"/>
      <c r="BJ223" s="590"/>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row>
    <row r="224" spans="1:84">
      <c r="A224" s="590"/>
      <c r="B224" s="590"/>
      <c r="C224" s="590"/>
      <c r="D224" s="590"/>
      <c r="E224" s="590"/>
      <c r="F224" s="590"/>
      <c r="G224" s="590"/>
      <c r="H224" s="590"/>
      <c r="I224" s="590"/>
      <c r="J224" s="590"/>
      <c r="K224" s="590"/>
      <c r="L224" s="590"/>
      <c r="M224" s="590"/>
      <c r="N224" s="590"/>
      <c r="O224" s="590"/>
      <c r="P224" s="590"/>
      <c r="Q224" s="590"/>
      <c r="R224" s="590"/>
      <c r="S224" s="590"/>
      <c r="T224" s="590"/>
      <c r="U224" s="590"/>
      <c r="V224" s="590"/>
      <c r="W224" s="590"/>
      <c r="X224" s="590"/>
      <c r="Y224" s="590"/>
      <c r="Z224" s="590"/>
      <c r="AA224" s="590"/>
      <c r="AB224" s="590"/>
      <c r="AC224" s="590"/>
      <c r="AD224" s="590"/>
      <c r="AE224" s="590"/>
      <c r="AF224" s="590"/>
      <c r="AG224" s="590"/>
      <c r="AH224" s="590"/>
      <c r="AI224" s="590"/>
      <c r="AJ224" s="590"/>
      <c r="AK224" s="590"/>
      <c r="AL224" s="590"/>
      <c r="AM224" s="590"/>
      <c r="AN224" s="590"/>
      <c r="AO224" s="590"/>
      <c r="AP224" s="590"/>
      <c r="AQ224" s="590"/>
      <c r="AR224" s="590"/>
      <c r="AS224" s="590"/>
      <c r="AT224" s="590"/>
      <c r="AU224" s="590"/>
      <c r="AV224" s="590"/>
      <c r="AW224" s="590"/>
      <c r="AX224" s="590"/>
      <c r="AY224" s="590"/>
      <c r="AZ224" s="590"/>
      <c r="BA224" s="590"/>
      <c r="BB224" s="590"/>
      <c r="BC224" s="590"/>
      <c r="BD224" s="590"/>
      <c r="BE224" s="590"/>
      <c r="BF224" s="590"/>
      <c r="BG224" s="590"/>
      <c r="BH224" s="590"/>
      <c r="BI224" s="590"/>
      <c r="BJ224" s="590"/>
      <c r="BK224" s="591"/>
      <c r="BL224" s="591"/>
      <c r="BM224" s="591"/>
      <c r="BN224" s="591"/>
      <c r="BO224" s="591"/>
      <c r="BP224" s="591"/>
      <c r="BQ224" s="591"/>
      <c r="BR224" s="591"/>
      <c r="BS224" s="591"/>
      <c r="BT224" s="591"/>
      <c r="BU224" s="591"/>
      <c r="BV224" s="591"/>
      <c r="BW224" s="591"/>
      <c r="BX224" s="591"/>
      <c r="BY224" s="591"/>
      <c r="BZ224" s="591"/>
      <c r="CA224" s="591"/>
      <c r="CB224" s="591"/>
      <c r="CC224" s="591"/>
      <c r="CD224" s="591"/>
      <c r="CE224" s="591"/>
      <c r="CF224" s="591"/>
    </row>
    <row r="225" spans="1:84">
      <c r="A225" s="590"/>
      <c r="B225" s="590"/>
      <c r="C225" s="590"/>
      <c r="D225" s="590"/>
      <c r="E225" s="590"/>
      <c r="F225" s="590"/>
      <c r="G225" s="590"/>
      <c r="H225" s="590"/>
      <c r="I225" s="590"/>
      <c r="J225" s="590"/>
      <c r="K225" s="590"/>
      <c r="L225" s="590"/>
      <c r="M225" s="590"/>
      <c r="N225" s="590"/>
      <c r="O225" s="590"/>
      <c r="P225" s="590"/>
      <c r="Q225" s="590"/>
      <c r="R225" s="590"/>
      <c r="S225" s="590"/>
      <c r="T225" s="590"/>
      <c r="U225" s="590"/>
      <c r="V225" s="590"/>
      <c r="W225" s="590"/>
      <c r="X225" s="590"/>
      <c r="Y225" s="590"/>
      <c r="Z225" s="590"/>
      <c r="AA225" s="590"/>
      <c r="AB225" s="590"/>
      <c r="AC225" s="590"/>
      <c r="AD225" s="590"/>
      <c r="AE225" s="590"/>
      <c r="AF225" s="590"/>
      <c r="AG225" s="590"/>
      <c r="AH225" s="590"/>
      <c r="AI225" s="590"/>
      <c r="AJ225" s="590"/>
      <c r="AK225" s="590"/>
      <c r="AL225" s="590"/>
      <c r="AM225" s="590"/>
      <c r="AN225" s="590"/>
      <c r="AO225" s="590"/>
      <c r="AP225" s="590"/>
      <c r="AQ225" s="590"/>
      <c r="AR225" s="590"/>
      <c r="AS225" s="590"/>
      <c r="AT225" s="590"/>
      <c r="AU225" s="590"/>
      <c r="AV225" s="590"/>
      <c r="AW225" s="590"/>
      <c r="AX225" s="590"/>
      <c r="AY225" s="590"/>
      <c r="AZ225" s="590"/>
      <c r="BA225" s="590"/>
      <c r="BB225" s="590"/>
      <c r="BC225" s="590"/>
      <c r="BD225" s="590"/>
      <c r="BE225" s="590"/>
      <c r="BF225" s="590"/>
      <c r="BG225" s="590"/>
      <c r="BH225" s="590"/>
      <c r="BI225" s="590"/>
      <c r="BJ225" s="590"/>
      <c r="BK225" s="591"/>
      <c r="BL225" s="591"/>
      <c r="BM225" s="591"/>
      <c r="BN225" s="591"/>
      <c r="BO225" s="591"/>
      <c r="BP225" s="591"/>
      <c r="BQ225" s="591"/>
      <c r="BR225" s="591"/>
      <c r="BS225" s="591"/>
      <c r="BT225" s="591"/>
      <c r="BU225" s="591"/>
      <c r="BV225" s="591"/>
      <c r="BW225" s="591"/>
      <c r="BX225" s="591"/>
      <c r="BY225" s="591"/>
      <c r="BZ225" s="591"/>
      <c r="CA225" s="591"/>
      <c r="CB225" s="591"/>
      <c r="CC225" s="591"/>
      <c r="CD225" s="591"/>
      <c r="CE225" s="591"/>
      <c r="CF225" s="591"/>
    </row>
    <row r="226" spans="1:84">
      <c r="A226" s="590"/>
      <c r="B226" s="590"/>
      <c r="C226" s="590"/>
      <c r="D226" s="590"/>
      <c r="E226" s="590"/>
      <c r="F226" s="590"/>
      <c r="G226" s="590"/>
      <c r="H226" s="590"/>
      <c r="I226" s="590"/>
      <c r="J226" s="590"/>
      <c r="K226" s="590"/>
      <c r="L226" s="590"/>
      <c r="M226" s="590"/>
      <c r="N226" s="590"/>
      <c r="O226" s="590"/>
      <c r="P226" s="590"/>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0"/>
      <c r="AQ226" s="590"/>
      <c r="AR226" s="590"/>
      <c r="AS226" s="590"/>
      <c r="AT226" s="590"/>
      <c r="AU226" s="590"/>
      <c r="AV226" s="590"/>
      <c r="AW226" s="590"/>
      <c r="AX226" s="590"/>
      <c r="AY226" s="590"/>
      <c r="AZ226" s="590"/>
      <c r="BA226" s="590"/>
      <c r="BB226" s="590"/>
      <c r="BC226" s="590"/>
      <c r="BD226" s="590"/>
      <c r="BE226" s="590"/>
      <c r="BF226" s="590"/>
      <c r="BG226" s="590"/>
      <c r="BH226" s="590"/>
      <c r="BI226" s="590"/>
      <c r="BJ226" s="590"/>
      <c r="BK226" s="591"/>
      <c r="BL226" s="591"/>
      <c r="BM226" s="591"/>
      <c r="BN226" s="591"/>
      <c r="BO226" s="591"/>
      <c r="BP226" s="591"/>
      <c r="BQ226" s="591"/>
      <c r="BR226" s="591"/>
      <c r="BS226" s="591"/>
      <c r="BT226" s="591"/>
      <c r="BU226" s="591"/>
      <c r="BV226" s="591"/>
      <c r="BW226" s="591"/>
      <c r="BX226" s="591"/>
      <c r="BY226" s="591"/>
      <c r="BZ226" s="591"/>
      <c r="CA226" s="591"/>
      <c r="CB226" s="591"/>
      <c r="CC226" s="591"/>
      <c r="CD226" s="591"/>
      <c r="CE226" s="591"/>
      <c r="CF226" s="591"/>
    </row>
    <row r="227" spans="1:84">
      <c r="A227" s="590"/>
      <c r="B227" s="590"/>
      <c r="C227" s="590"/>
      <c r="D227" s="590"/>
      <c r="E227" s="590"/>
      <c r="F227" s="590"/>
      <c r="G227" s="590"/>
      <c r="H227" s="590"/>
      <c r="I227" s="590"/>
      <c r="J227" s="590"/>
      <c r="K227" s="590"/>
      <c r="L227" s="590"/>
      <c r="M227" s="590"/>
      <c r="N227" s="590"/>
      <c r="O227" s="590"/>
      <c r="P227" s="590"/>
      <c r="Q227" s="590"/>
      <c r="R227" s="590"/>
      <c r="S227" s="590"/>
      <c r="T227" s="590"/>
      <c r="U227" s="590"/>
      <c r="V227" s="590"/>
      <c r="W227" s="590"/>
      <c r="X227" s="590"/>
      <c r="Y227" s="590"/>
      <c r="Z227" s="590"/>
      <c r="AA227" s="590"/>
      <c r="AB227" s="590"/>
      <c r="AC227" s="590"/>
      <c r="AD227" s="590"/>
      <c r="AE227" s="590"/>
      <c r="AF227" s="590"/>
      <c r="AG227" s="590"/>
      <c r="AH227" s="590"/>
      <c r="AI227" s="590"/>
      <c r="AJ227" s="590"/>
      <c r="AK227" s="590"/>
      <c r="AL227" s="590"/>
      <c r="AM227" s="590"/>
      <c r="AN227" s="590"/>
      <c r="AO227" s="590"/>
      <c r="AP227" s="590"/>
      <c r="AQ227" s="590"/>
      <c r="AR227" s="590"/>
      <c r="AS227" s="590"/>
      <c r="AT227" s="590"/>
      <c r="AU227" s="590"/>
      <c r="AV227" s="590"/>
      <c r="AW227" s="590"/>
      <c r="AX227" s="590"/>
      <c r="AY227" s="590"/>
      <c r="AZ227" s="590"/>
      <c r="BA227" s="590"/>
      <c r="BB227" s="590"/>
      <c r="BC227" s="590"/>
      <c r="BD227" s="590"/>
      <c r="BE227" s="590"/>
      <c r="BF227" s="590"/>
      <c r="BG227" s="590"/>
      <c r="BH227" s="590"/>
      <c r="BI227" s="590"/>
      <c r="BJ227" s="590"/>
      <c r="BK227" s="591"/>
      <c r="BL227" s="591"/>
      <c r="BM227" s="591"/>
      <c r="BN227" s="591"/>
      <c r="BO227" s="591"/>
      <c r="BP227" s="591"/>
      <c r="BQ227" s="591"/>
      <c r="BR227" s="591"/>
      <c r="BS227" s="591"/>
      <c r="BT227" s="591"/>
      <c r="BU227" s="591"/>
      <c r="BV227" s="591"/>
      <c r="BW227" s="591"/>
      <c r="BX227" s="591"/>
      <c r="BY227" s="591"/>
      <c r="BZ227" s="591"/>
      <c r="CA227" s="591"/>
      <c r="CB227" s="591"/>
      <c r="CC227" s="591"/>
      <c r="CD227" s="591"/>
      <c r="CE227" s="591"/>
      <c r="CF227" s="591"/>
    </row>
    <row r="228" spans="1:84">
      <c r="A228" s="590"/>
      <c r="B228" s="590"/>
      <c r="C228" s="590"/>
      <c r="D228" s="590"/>
      <c r="E228" s="590"/>
      <c r="F228" s="590"/>
      <c r="G228" s="590"/>
      <c r="H228" s="590"/>
      <c r="I228" s="590"/>
      <c r="J228" s="590"/>
      <c r="K228" s="590"/>
      <c r="L228" s="590"/>
      <c r="M228" s="590"/>
      <c r="N228" s="590"/>
      <c r="O228" s="590"/>
      <c r="P228" s="590"/>
      <c r="Q228" s="590"/>
      <c r="R228" s="590"/>
      <c r="S228" s="590"/>
      <c r="T228" s="590"/>
      <c r="U228" s="590"/>
      <c r="V228" s="590"/>
      <c r="W228" s="590"/>
      <c r="X228" s="590"/>
      <c r="Y228" s="590"/>
      <c r="Z228" s="590"/>
      <c r="AA228" s="590"/>
      <c r="AB228" s="590"/>
      <c r="AC228" s="590"/>
      <c r="AD228" s="590"/>
      <c r="AE228" s="590"/>
      <c r="AF228" s="590"/>
      <c r="AG228" s="590"/>
      <c r="AH228" s="590"/>
      <c r="AI228" s="590"/>
      <c r="AJ228" s="590"/>
      <c r="AK228" s="590"/>
      <c r="AL228" s="590"/>
      <c r="AM228" s="590"/>
      <c r="AN228" s="590"/>
      <c r="AO228" s="590"/>
      <c r="AP228" s="590"/>
      <c r="AQ228" s="590"/>
      <c r="AR228" s="590"/>
      <c r="AS228" s="590"/>
      <c r="AT228" s="590"/>
      <c r="AU228" s="590"/>
      <c r="AV228" s="590"/>
      <c r="AW228" s="590"/>
      <c r="AX228" s="590"/>
      <c r="AY228" s="590"/>
      <c r="AZ228" s="590"/>
      <c r="BA228" s="590"/>
      <c r="BB228" s="590"/>
      <c r="BC228" s="590"/>
      <c r="BD228" s="590"/>
      <c r="BE228" s="590"/>
      <c r="BF228" s="590"/>
      <c r="BG228" s="590"/>
      <c r="BH228" s="590"/>
      <c r="BI228" s="590"/>
      <c r="BJ228" s="590"/>
      <c r="BK228" s="591"/>
      <c r="BL228" s="591"/>
      <c r="BM228" s="591"/>
      <c r="BN228" s="591"/>
      <c r="BO228" s="591"/>
      <c r="BP228" s="591"/>
      <c r="BQ228" s="591"/>
      <c r="BR228" s="591"/>
      <c r="BS228" s="591"/>
      <c r="BT228" s="591"/>
      <c r="BU228" s="591"/>
      <c r="BV228" s="591"/>
      <c r="BW228" s="591"/>
      <c r="BX228" s="591"/>
      <c r="BY228" s="591"/>
      <c r="BZ228" s="591"/>
      <c r="CA228" s="591"/>
      <c r="CB228" s="591"/>
      <c r="CC228" s="591"/>
      <c r="CD228" s="591"/>
      <c r="CE228" s="591"/>
      <c r="CF228" s="591"/>
    </row>
    <row r="229" spans="1:84">
      <c r="A229" s="590"/>
      <c r="B229" s="590"/>
      <c r="C229" s="590"/>
      <c r="D229" s="590"/>
      <c r="E229" s="590"/>
      <c r="F229" s="590"/>
      <c r="G229" s="590"/>
      <c r="H229" s="590"/>
      <c r="I229" s="590"/>
      <c r="J229" s="590"/>
      <c r="K229" s="590"/>
      <c r="L229" s="590"/>
      <c r="M229" s="590"/>
      <c r="N229" s="590"/>
      <c r="O229" s="590"/>
      <c r="P229" s="590"/>
      <c r="Q229" s="590"/>
      <c r="R229" s="590"/>
      <c r="S229" s="590"/>
      <c r="T229" s="590"/>
      <c r="U229" s="590"/>
      <c r="V229" s="590"/>
      <c r="W229" s="590"/>
      <c r="X229" s="590"/>
      <c r="Y229" s="590"/>
      <c r="Z229" s="590"/>
      <c r="AA229" s="590"/>
      <c r="AB229" s="590"/>
      <c r="AC229" s="590"/>
      <c r="AD229" s="590"/>
      <c r="AE229" s="590"/>
      <c r="AF229" s="590"/>
      <c r="AG229" s="590"/>
      <c r="AH229" s="590"/>
      <c r="AI229" s="590"/>
      <c r="AJ229" s="590"/>
      <c r="AK229" s="590"/>
      <c r="AL229" s="590"/>
      <c r="AM229" s="590"/>
      <c r="AN229" s="590"/>
      <c r="AO229" s="590"/>
      <c r="AP229" s="590"/>
      <c r="AQ229" s="590"/>
      <c r="AR229" s="590"/>
      <c r="AS229" s="590"/>
      <c r="AT229" s="590"/>
      <c r="AU229" s="590"/>
      <c r="AV229" s="590"/>
      <c r="AW229" s="590"/>
      <c r="AX229" s="590"/>
      <c r="AY229" s="590"/>
      <c r="AZ229" s="590"/>
      <c r="BA229" s="590"/>
      <c r="BB229" s="590"/>
      <c r="BC229" s="590"/>
      <c r="BD229" s="590"/>
      <c r="BE229" s="590"/>
      <c r="BF229" s="590"/>
      <c r="BG229" s="590"/>
      <c r="BH229" s="590"/>
      <c r="BI229" s="590"/>
      <c r="BJ229" s="590"/>
      <c r="BK229" s="591"/>
      <c r="BL229" s="591"/>
      <c r="BM229" s="591"/>
      <c r="BN229" s="591"/>
      <c r="BO229" s="591"/>
      <c r="BP229" s="591"/>
      <c r="BQ229" s="591"/>
      <c r="BR229" s="591"/>
      <c r="BS229" s="591"/>
      <c r="BT229" s="591"/>
      <c r="BU229" s="591"/>
      <c r="BV229" s="591"/>
      <c r="BW229" s="591"/>
      <c r="BX229" s="591"/>
      <c r="BY229" s="591"/>
      <c r="BZ229" s="591"/>
      <c r="CA229" s="591"/>
      <c r="CB229" s="591"/>
      <c r="CC229" s="591"/>
      <c r="CD229" s="591"/>
      <c r="CE229" s="591"/>
      <c r="CF229" s="591"/>
    </row>
    <row r="230" spans="1:84">
      <c r="A230" s="590"/>
      <c r="B230" s="590"/>
      <c r="C230" s="590"/>
      <c r="D230" s="590"/>
      <c r="E230" s="590"/>
      <c r="F230" s="590"/>
      <c r="G230" s="590"/>
      <c r="H230" s="590"/>
      <c r="I230" s="590"/>
      <c r="J230" s="590"/>
      <c r="K230" s="590"/>
      <c r="L230" s="590"/>
      <c r="M230" s="590"/>
      <c r="N230" s="590"/>
      <c r="O230" s="590"/>
      <c r="P230" s="590"/>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0"/>
      <c r="AQ230" s="590"/>
      <c r="AR230" s="590"/>
      <c r="AS230" s="590"/>
      <c r="AT230" s="590"/>
      <c r="AU230" s="590"/>
      <c r="AV230" s="590"/>
      <c r="AW230" s="590"/>
      <c r="AX230" s="590"/>
      <c r="AY230" s="590"/>
      <c r="AZ230" s="590"/>
      <c r="BA230" s="590"/>
      <c r="BB230" s="590"/>
      <c r="BC230" s="590"/>
      <c r="BD230" s="590"/>
      <c r="BE230" s="590"/>
      <c r="BF230" s="590"/>
      <c r="BG230" s="590"/>
      <c r="BH230" s="590"/>
      <c r="BI230" s="590"/>
      <c r="BJ230" s="590"/>
      <c r="BK230" s="591"/>
      <c r="BL230" s="591"/>
      <c r="BM230" s="591"/>
      <c r="BN230" s="591"/>
      <c r="BO230" s="591"/>
      <c r="BP230" s="591"/>
      <c r="BQ230" s="591"/>
      <c r="BR230" s="591"/>
      <c r="BS230" s="591"/>
      <c r="BT230" s="591"/>
      <c r="BU230" s="591"/>
      <c r="BV230" s="591"/>
      <c r="BW230" s="591"/>
      <c r="BX230" s="591"/>
      <c r="BY230" s="591"/>
      <c r="BZ230" s="591"/>
      <c r="CA230" s="591"/>
      <c r="CB230" s="591"/>
      <c r="CC230" s="591"/>
      <c r="CD230" s="591"/>
      <c r="CE230" s="591"/>
      <c r="CF230" s="591"/>
    </row>
    <row r="231" spans="1:84">
      <c r="A231" s="590"/>
      <c r="B231" s="590"/>
      <c r="C231" s="590"/>
      <c r="D231" s="590"/>
      <c r="E231" s="590"/>
      <c r="F231" s="590"/>
      <c r="G231" s="590"/>
      <c r="H231" s="590"/>
      <c r="I231" s="590"/>
      <c r="J231" s="590"/>
      <c r="K231" s="590"/>
      <c r="L231" s="590"/>
      <c r="M231" s="590"/>
      <c r="N231" s="590"/>
      <c r="O231" s="590"/>
      <c r="P231" s="590"/>
      <c r="Q231" s="590"/>
      <c r="R231" s="590"/>
      <c r="S231" s="590"/>
      <c r="T231" s="590"/>
      <c r="U231" s="590"/>
      <c r="V231" s="590"/>
      <c r="W231" s="590"/>
      <c r="X231" s="590"/>
      <c r="Y231" s="590"/>
      <c r="Z231" s="590"/>
      <c r="AA231" s="590"/>
      <c r="AB231" s="590"/>
      <c r="AC231" s="590"/>
      <c r="AD231" s="590"/>
      <c r="AE231" s="590"/>
      <c r="AF231" s="590"/>
      <c r="AG231" s="590"/>
      <c r="AH231" s="590"/>
      <c r="AI231" s="590"/>
      <c r="AJ231" s="590"/>
      <c r="AK231" s="590"/>
      <c r="AL231" s="590"/>
      <c r="AM231" s="590"/>
      <c r="AN231" s="590"/>
      <c r="AO231" s="590"/>
      <c r="AP231" s="590"/>
      <c r="AQ231" s="590"/>
      <c r="AR231" s="590"/>
      <c r="AS231" s="590"/>
      <c r="AT231" s="590"/>
      <c r="AU231" s="590"/>
      <c r="AV231" s="590"/>
      <c r="AW231" s="590"/>
      <c r="AX231" s="590"/>
      <c r="AY231" s="590"/>
      <c r="AZ231" s="590"/>
      <c r="BA231" s="590"/>
      <c r="BB231" s="590"/>
      <c r="BC231" s="590"/>
      <c r="BD231" s="590"/>
      <c r="BE231" s="590"/>
      <c r="BF231" s="590"/>
      <c r="BG231" s="590"/>
      <c r="BH231" s="590"/>
      <c r="BI231" s="590"/>
      <c r="BJ231" s="590"/>
      <c r="BK231" s="591"/>
      <c r="BL231" s="591"/>
      <c r="BM231" s="591"/>
      <c r="BN231" s="591"/>
      <c r="BO231" s="591"/>
      <c r="BP231" s="591"/>
      <c r="BQ231" s="591"/>
      <c r="BR231" s="591"/>
      <c r="BS231" s="591"/>
      <c r="BT231" s="591"/>
      <c r="BU231" s="591"/>
      <c r="BV231" s="591"/>
      <c r="BW231" s="591"/>
      <c r="BX231" s="591"/>
      <c r="BY231" s="591"/>
      <c r="BZ231" s="591"/>
      <c r="CA231" s="591"/>
      <c r="CB231" s="591"/>
      <c r="CC231" s="591"/>
      <c r="CD231" s="591"/>
      <c r="CE231" s="591"/>
      <c r="CF231" s="591"/>
    </row>
    <row r="232" spans="1:84">
      <c r="A232" s="590"/>
      <c r="B232" s="590"/>
      <c r="C232" s="590"/>
      <c r="D232" s="590"/>
      <c r="E232" s="590"/>
      <c r="F232" s="590"/>
      <c r="G232" s="590"/>
      <c r="H232" s="590"/>
      <c r="I232" s="590"/>
      <c r="J232" s="590"/>
      <c r="K232" s="590"/>
      <c r="L232" s="590"/>
      <c r="M232" s="590"/>
      <c r="N232" s="590"/>
      <c r="O232" s="590"/>
      <c r="P232" s="590"/>
      <c r="Q232" s="590"/>
      <c r="R232" s="590"/>
      <c r="S232" s="590"/>
      <c r="T232" s="590"/>
      <c r="U232" s="590"/>
      <c r="V232" s="590"/>
      <c r="W232" s="590"/>
      <c r="X232" s="590"/>
      <c r="Y232" s="590"/>
      <c r="Z232" s="590"/>
      <c r="AA232" s="590"/>
      <c r="AB232" s="590"/>
      <c r="AC232" s="590"/>
      <c r="AD232" s="590"/>
      <c r="AE232" s="590"/>
      <c r="AF232" s="590"/>
      <c r="AG232" s="590"/>
      <c r="AH232" s="590"/>
      <c r="AI232" s="590"/>
      <c r="AJ232" s="590"/>
      <c r="AK232" s="590"/>
      <c r="AL232" s="590"/>
      <c r="AM232" s="590"/>
      <c r="AN232" s="590"/>
      <c r="AO232" s="590"/>
      <c r="AP232" s="590"/>
      <c r="AQ232" s="590"/>
      <c r="AR232" s="590"/>
      <c r="AS232" s="590"/>
      <c r="AT232" s="590"/>
      <c r="AU232" s="590"/>
      <c r="AV232" s="590"/>
      <c r="AW232" s="590"/>
      <c r="AX232" s="590"/>
      <c r="AY232" s="590"/>
      <c r="AZ232" s="590"/>
      <c r="BA232" s="590"/>
      <c r="BB232" s="590"/>
      <c r="BC232" s="590"/>
      <c r="BD232" s="590"/>
      <c r="BE232" s="590"/>
      <c r="BF232" s="590"/>
      <c r="BG232" s="590"/>
      <c r="BH232" s="590"/>
      <c r="BI232" s="590"/>
      <c r="BJ232" s="590"/>
      <c r="BK232" s="591"/>
      <c r="BL232" s="591"/>
      <c r="BM232" s="591"/>
      <c r="BN232" s="591"/>
      <c r="BO232" s="591"/>
      <c r="BP232" s="591"/>
      <c r="BQ232" s="591"/>
      <c r="BR232" s="591"/>
      <c r="BS232" s="591"/>
      <c r="BT232" s="591"/>
      <c r="BU232" s="591"/>
      <c r="BV232" s="591"/>
      <c r="BW232" s="591"/>
      <c r="BX232" s="591"/>
      <c r="BY232" s="591"/>
      <c r="BZ232" s="591"/>
      <c r="CA232" s="591"/>
      <c r="CB232" s="591"/>
      <c r="CC232" s="591"/>
      <c r="CD232" s="591"/>
      <c r="CE232" s="591"/>
      <c r="CF232" s="591"/>
    </row>
    <row r="233" spans="1:84">
      <c r="A233" s="590"/>
      <c r="B233" s="590"/>
      <c r="C233" s="590"/>
      <c r="D233" s="590"/>
      <c r="E233" s="590"/>
      <c r="F233" s="590"/>
      <c r="G233" s="590"/>
      <c r="H233" s="590"/>
      <c r="I233" s="590"/>
      <c r="J233" s="590"/>
      <c r="K233" s="590"/>
      <c r="L233" s="590"/>
      <c r="M233" s="590"/>
      <c r="N233" s="590"/>
      <c r="O233" s="590"/>
      <c r="P233" s="590"/>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0"/>
      <c r="AQ233" s="590"/>
      <c r="AR233" s="590"/>
      <c r="AS233" s="590"/>
      <c r="AT233" s="590"/>
      <c r="AU233" s="590"/>
      <c r="AV233" s="590"/>
      <c r="AW233" s="590"/>
      <c r="AX233" s="590"/>
      <c r="AY233" s="590"/>
      <c r="AZ233" s="590"/>
      <c r="BA233" s="590"/>
      <c r="BB233" s="590"/>
      <c r="BC233" s="590"/>
      <c r="BD233" s="590"/>
      <c r="BE233" s="590"/>
      <c r="BF233" s="590"/>
      <c r="BG233" s="590"/>
      <c r="BH233" s="590"/>
      <c r="BI233" s="590"/>
      <c r="BJ233" s="590"/>
      <c r="BK233" s="591"/>
      <c r="BL233" s="591"/>
      <c r="BM233" s="591"/>
      <c r="BN233" s="591"/>
      <c r="BO233" s="591"/>
      <c r="BP233" s="591"/>
      <c r="BQ233" s="591"/>
      <c r="BR233" s="591"/>
      <c r="BS233" s="591"/>
      <c r="BT233" s="591"/>
      <c r="BU233" s="591"/>
      <c r="BV233" s="591"/>
      <c r="BW233" s="591"/>
      <c r="BX233" s="591"/>
      <c r="BY233" s="591"/>
      <c r="BZ233" s="591"/>
      <c r="CA233" s="591"/>
      <c r="CB233" s="591"/>
      <c r="CC233" s="591"/>
      <c r="CD233" s="591"/>
      <c r="CE233" s="591"/>
      <c r="CF233" s="591"/>
    </row>
    <row r="234" spans="1:84">
      <c r="A234" s="590"/>
      <c r="B234" s="590"/>
      <c r="C234" s="590"/>
      <c r="D234" s="590"/>
      <c r="E234" s="590"/>
      <c r="F234" s="590"/>
      <c r="G234" s="590"/>
      <c r="H234" s="590"/>
      <c r="I234" s="590"/>
      <c r="J234" s="590"/>
      <c r="K234" s="590"/>
      <c r="L234" s="590"/>
      <c r="M234" s="590"/>
      <c r="N234" s="590"/>
      <c r="O234" s="590"/>
      <c r="P234" s="590"/>
      <c r="Q234" s="590"/>
      <c r="R234" s="590"/>
      <c r="S234" s="590"/>
      <c r="T234" s="590"/>
      <c r="U234" s="590"/>
      <c r="V234" s="590"/>
      <c r="W234" s="590"/>
      <c r="X234" s="590"/>
      <c r="Y234" s="590"/>
      <c r="Z234" s="590"/>
      <c r="AA234" s="590"/>
      <c r="AB234" s="590"/>
      <c r="AC234" s="590"/>
      <c r="AD234" s="590"/>
      <c r="AE234" s="590"/>
      <c r="AF234" s="590"/>
      <c r="AG234" s="590"/>
      <c r="AH234" s="590"/>
      <c r="AI234" s="590"/>
      <c r="AJ234" s="590"/>
      <c r="AK234" s="590"/>
      <c r="AL234" s="590"/>
      <c r="AM234" s="590"/>
      <c r="AN234" s="590"/>
      <c r="AO234" s="590"/>
      <c r="AP234" s="590"/>
      <c r="AQ234" s="590"/>
      <c r="AR234" s="590"/>
      <c r="AS234" s="590"/>
      <c r="AT234" s="590"/>
      <c r="AU234" s="590"/>
      <c r="AV234" s="590"/>
      <c r="AW234" s="590"/>
      <c r="AX234" s="590"/>
      <c r="AY234" s="590"/>
      <c r="AZ234" s="590"/>
      <c r="BA234" s="590"/>
      <c r="BB234" s="590"/>
      <c r="BC234" s="590"/>
      <c r="BD234" s="590"/>
      <c r="BE234" s="590"/>
      <c r="BF234" s="590"/>
      <c r="BG234" s="590"/>
      <c r="BH234" s="590"/>
      <c r="BI234" s="590"/>
      <c r="BJ234" s="590"/>
      <c r="BK234" s="591"/>
      <c r="BL234" s="591"/>
      <c r="BM234" s="591"/>
      <c r="BN234" s="591"/>
      <c r="BO234" s="591"/>
      <c r="BP234" s="591"/>
      <c r="BQ234" s="591"/>
      <c r="BR234" s="591"/>
      <c r="BS234" s="591"/>
      <c r="BT234" s="591"/>
      <c r="BU234" s="591"/>
      <c r="BV234" s="591"/>
      <c r="BW234" s="591"/>
      <c r="BX234" s="591"/>
      <c r="BY234" s="591"/>
      <c r="BZ234" s="591"/>
      <c r="CA234" s="591"/>
      <c r="CB234" s="591"/>
      <c r="CC234" s="591"/>
      <c r="CD234" s="591"/>
      <c r="CE234" s="591"/>
      <c r="CF234" s="591"/>
    </row>
    <row r="235" spans="1:84">
      <c r="A235" s="590"/>
      <c r="B235" s="590"/>
      <c r="C235" s="590"/>
      <c r="D235" s="590"/>
      <c r="E235" s="590"/>
      <c r="F235" s="590"/>
      <c r="G235" s="590"/>
      <c r="H235" s="590"/>
      <c r="I235" s="590"/>
      <c r="J235" s="590"/>
      <c r="K235" s="590"/>
      <c r="L235" s="590"/>
      <c r="M235" s="590"/>
      <c r="N235" s="590"/>
      <c r="O235" s="590"/>
      <c r="P235" s="590"/>
      <c r="Q235" s="590"/>
      <c r="R235" s="590"/>
      <c r="S235" s="590"/>
      <c r="T235" s="590"/>
      <c r="U235" s="590"/>
      <c r="V235" s="590"/>
      <c r="W235" s="590"/>
      <c r="X235" s="590"/>
      <c r="Y235" s="590"/>
      <c r="Z235" s="590"/>
      <c r="AA235" s="590"/>
      <c r="AB235" s="590"/>
      <c r="AC235" s="590"/>
      <c r="AD235" s="590"/>
      <c r="AE235" s="590"/>
      <c r="AF235" s="590"/>
      <c r="AG235" s="590"/>
      <c r="AH235" s="590"/>
      <c r="AI235" s="590"/>
      <c r="AJ235" s="590"/>
      <c r="AK235" s="590"/>
      <c r="AL235" s="590"/>
      <c r="AM235" s="590"/>
      <c r="AN235" s="590"/>
      <c r="AO235" s="590"/>
      <c r="AP235" s="590"/>
      <c r="AQ235" s="590"/>
      <c r="AR235" s="590"/>
      <c r="AS235" s="590"/>
      <c r="AT235" s="590"/>
      <c r="AU235" s="590"/>
      <c r="AV235" s="590"/>
      <c r="AW235" s="590"/>
      <c r="AX235" s="590"/>
      <c r="AY235" s="590"/>
      <c r="AZ235" s="590"/>
      <c r="BA235" s="590"/>
      <c r="BB235" s="590"/>
      <c r="BC235" s="590"/>
      <c r="BD235" s="590"/>
      <c r="BE235" s="590"/>
      <c r="BF235" s="590"/>
      <c r="BG235" s="590"/>
      <c r="BH235" s="590"/>
      <c r="BI235" s="590"/>
      <c r="BJ235" s="590"/>
      <c r="BK235" s="591"/>
      <c r="BL235" s="591"/>
      <c r="BM235" s="591"/>
      <c r="BN235" s="591"/>
      <c r="BO235" s="591"/>
      <c r="BP235" s="591"/>
      <c r="BQ235" s="591"/>
      <c r="BR235" s="591"/>
      <c r="BS235" s="591"/>
      <c r="BT235" s="591"/>
      <c r="BU235" s="591"/>
      <c r="BV235" s="591"/>
      <c r="BW235" s="591"/>
      <c r="BX235" s="591"/>
      <c r="BY235" s="591"/>
      <c r="BZ235" s="591"/>
      <c r="CA235" s="591"/>
      <c r="CB235" s="591"/>
      <c r="CC235" s="591"/>
      <c r="CD235" s="591"/>
      <c r="CE235" s="591"/>
      <c r="CF235" s="591"/>
    </row>
    <row r="236" spans="1:84">
      <c r="A236" s="590"/>
      <c r="B236" s="590"/>
      <c r="C236" s="590"/>
      <c r="D236" s="590"/>
      <c r="E236" s="590"/>
      <c r="F236" s="590"/>
      <c r="G236" s="590"/>
      <c r="H236" s="590"/>
      <c r="I236" s="590"/>
      <c r="J236" s="590"/>
      <c r="K236" s="590"/>
      <c r="L236" s="590"/>
      <c r="M236" s="590"/>
      <c r="N236" s="590"/>
      <c r="O236" s="590"/>
      <c r="P236" s="590"/>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0"/>
      <c r="AQ236" s="590"/>
      <c r="AR236" s="590"/>
      <c r="AS236" s="590"/>
      <c r="AT236" s="590"/>
      <c r="AU236" s="590"/>
      <c r="AV236" s="590"/>
      <c r="AW236" s="590"/>
      <c r="AX236" s="590"/>
      <c r="AY236" s="590"/>
      <c r="AZ236" s="590"/>
      <c r="BA236" s="590"/>
      <c r="BB236" s="590"/>
      <c r="BC236" s="590"/>
      <c r="BD236" s="590"/>
      <c r="BE236" s="590"/>
      <c r="BF236" s="590"/>
      <c r="BG236" s="590"/>
      <c r="BH236" s="590"/>
      <c r="BI236" s="590"/>
      <c r="BJ236" s="590"/>
      <c r="BK236" s="591"/>
      <c r="BL236" s="591"/>
      <c r="BM236" s="591"/>
      <c r="BN236" s="591"/>
      <c r="BO236" s="591"/>
      <c r="BP236" s="591"/>
      <c r="BQ236" s="591"/>
      <c r="BR236" s="591"/>
      <c r="BS236" s="591"/>
      <c r="BT236" s="591"/>
      <c r="BU236" s="591"/>
      <c r="BV236" s="591"/>
      <c r="BW236" s="591"/>
      <c r="BX236" s="591"/>
      <c r="BY236" s="591"/>
      <c r="BZ236" s="591"/>
      <c r="CA236" s="591"/>
      <c r="CB236" s="591"/>
      <c r="CC236" s="591"/>
      <c r="CD236" s="591"/>
      <c r="CE236" s="591"/>
      <c r="CF236" s="591"/>
    </row>
    <row r="237" spans="1:84">
      <c r="A237" s="590"/>
      <c r="B237" s="590"/>
      <c r="C237" s="590"/>
      <c r="D237" s="590"/>
      <c r="E237" s="590"/>
      <c r="F237" s="590"/>
      <c r="G237" s="590"/>
      <c r="H237" s="590"/>
      <c r="I237" s="590"/>
      <c r="J237" s="590"/>
      <c r="K237" s="590"/>
      <c r="L237" s="590"/>
      <c r="M237" s="590"/>
      <c r="N237" s="590"/>
      <c r="O237" s="590"/>
      <c r="P237" s="590"/>
      <c r="Q237" s="590"/>
      <c r="R237" s="590"/>
      <c r="S237" s="590"/>
      <c r="T237" s="590"/>
      <c r="U237" s="590"/>
      <c r="V237" s="590"/>
      <c r="W237" s="590"/>
      <c r="X237" s="590"/>
      <c r="Y237" s="590"/>
      <c r="Z237" s="590"/>
      <c r="AA237" s="590"/>
      <c r="AB237" s="590"/>
      <c r="AC237" s="590"/>
      <c r="AD237" s="590"/>
      <c r="AE237" s="590"/>
      <c r="AF237" s="590"/>
      <c r="AG237" s="590"/>
      <c r="AH237" s="590"/>
      <c r="AI237" s="590"/>
      <c r="AJ237" s="590"/>
      <c r="AK237" s="590"/>
      <c r="AL237" s="590"/>
      <c r="AM237" s="590"/>
      <c r="AN237" s="590"/>
      <c r="AO237" s="590"/>
      <c r="AP237" s="590"/>
      <c r="AQ237" s="590"/>
      <c r="AR237" s="590"/>
      <c r="AS237" s="590"/>
      <c r="AT237" s="590"/>
      <c r="AU237" s="590"/>
      <c r="AV237" s="590"/>
      <c r="AW237" s="590"/>
      <c r="AX237" s="590"/>
      <c r="AY237" s="590"/>
      <c r="AZ237" s="590"/>
      <c r="BA237" s="590"/>
      <c r="BB237" s="590"/>
      <c r="BC237" s="590"/>
      <c r="BD237" s="590"/>
      <c r="BE237" s="590"/>
      <c r="BF237" s="590"/>
      <c r="BG237" s="590"/>
      <c r="BH237" s="590"/>
      <c r="BI237" s="590"/>
      <c r="BJ237" s="590"/>
      <c r="BK237" s="591"/>
      <c r="BL237" s="591"/>
      <c r="BM237" s="591"/>
      <c r="BN237" s="591"/>
      <c r="BO237" s="591"/>
      <c r="BP237" s="591"/>
      <c r="BQ237" s="591"/>
      <c r="BR237" s="591"/>
      <c r="BS237" s="591"/>
      <c r="BT237" s="591"/>
      <c r="BU237" s="591"/>
      <c r="BV237" s="591"/>
      <c r="BW237" s="591"/>
      <c r="BX237" s="591"/>
      <c r="BY237" s="591"/>
      <c r="BZ237" s="591"/>
      <c r="CA237" s="591"/>
      <c r="CB237" s="591"/>
      <c r="CC237" s="591"/>
      <c r="CD237" s="591"/>
      <c r="CE237" s="591"/>
      <c r="CF237" s="591"/>
    </row>
    <row r="238" spans="1:84">
      <c r="A238" s="590"/>
      <c r="B238" s="590"/>
      <c r="C238" s="590"/>
      <c r="D238" s="590"/>
      <c r="E238" s="590"/>
      <c r="F238" s="590"/>
      <c r="G238" s="590"/>
      <c r="H238" s="590"/>
      <c r="I238" s="590"/>
      <c r="J238" s="590"/>
      <c r="K238" s="590"/>
      <c r="L238" s="590"/>
      <c r="M238" s="590"/>
      <c r="N238" s="590"/>
      <c r="O238" s="590"/>
      <c r="P238" s="590"/>
      <c r="Q238" s="590"/>
      <c r="R238" s="590"/>
      <c r="S238" s="590"/>
      <c r="T238" s="590"/>
      <c r="U238" s="590"/>
      <c r="V238" s="590"/>
      <c r="W238" s="590"/>
      <c r="X238" s="590"/>
      <c r="Y238" s="590"/>
      <c r="Z238" s="590"/>
      <c r="AA238" s="590"/>
      <c r="AB238" s="590"/>
      <c r="AC238" s="590"/>
      <c r="AD238" s="590"/>
      <c r="AE238" s="590"/>
      <c r="AF238" s="590"/>
      <c r="AG238" s="590"/>
      <c r="AH238" s="590"/>
      <c r="AI238" s="590"/>
      <c r="AJ238" s="590"/>
      <c r="AK238" s="590"/>
      <c r="AL238" s="590"/>
      <c r="AM238" s="590"/>
      <c r="AN238" s="590"/>
      <c r="AO238" s="590"/>
      <c r="AP238" s="590"/>
      <c r="AQ238" s="590"/>
      <c r="AR238" s="590"/>
      <c r="AS238" s="590"/>
      <c r="AT238" s="590"/>
      <c r="AU238" s="590"/>
      <c r="AV238" s="590"/>
      <c r="AW238" s="590"/>
      <c r="AX238" s="590"/>
      <c r="AY238" s="590"/>
      <c r="AZ238" s="590"/>
      <c r="BA238" s="590"/>
      <c r="BB238" s="590"/>
      <c r="BC238" s="590"/>
      <c r="BD238" s="590"/>
      <c r="BE238" s="590"/>
      <c r="BF238" s="590"/>
      <c r="BG238" s="590"/>
      <c r="BH238" s="590"/>
      <c r="BI238" s="590"/>
      <c r="BJ238" s="590"/>
      <c r="BK238" s="591"/>
      <c r="BL238" s="591"/>
      <c r="BM238" s="591"/>
      <c r="BN238" s="591"/>
      <c r="BO238" s="591"/>
      <c r="BP238" s="591"/>
      <c r="BQ238" s="591"/>
      <c r="BR238" s="591"/>
      <c r="BS238" s="591"/>
      <c r="BT238" s="591"/>
      <c r="BU238" s="591"/>
      <c r="BV238" s="591"/>
      <c r="BW238" s="591"/>
      <c r="BX238" s="591"/>
      <c r="BY238" s="591"/>
      <c r="BZ238" s="591"/>
      <c r="CA238" s="591"/>
      <c r="CB238" s="591"/>
      <c r="CC238" s="591"/>
      <c r="CD238" s="591"/>
      <c r="CE238" s="591"/>
      <c r="CF238" s="591"/>
    </row>
    <row r="239" spans="1:84">
      <c r="A239" s="590"/>
      <c r="B239" s="590"/>
      <c r="C239" s="590"/>
      <c r="D239" s="590"/>
      <c r="E239" s="590"/>
      <c r="F239" s="590"/>
      <c r="G239" s="590"/>
      <c r="H239" s="590"/>
      <c r="I239" s="590"/>
      <c r="J239" s="590"/>
      <c r="K239" s="590"/>
      <c r="L239" s="590"/>
      <c r="M239" s="590"/>
      <c r="N239" s="590"/>
      <c r="O239" s="590"/>
      <c r="P239" s="590"/>
      <c r="Q239" s="590"/>
      <c r="R239" s="590"/>
      <c r="S239" s="590"/>
      <c r="T239" s="590"/>
      <c r="U239" s="590"/>
      <c r="V239" s="590"/>
      <c r="W239" s="590"/>
      <c r="X239" s="590"/>
      <c r="Y239" s="590"/>
      <c r="Z239" s="590"/>
      <c r="AA239" s="590"/>
      <c r="AB239" s="590"/>
      <c r="AC239" s="590"/>
      <c r="AD239" s="590"/>
      <c r="AE239" s="590"/>
      <c r="AF239" s="590"/>
      <c r="AG239" s="590"/>
      <c r="AH239" s="590"/>
      <c r="AI239" s="590"/>
      <c r="AJ239" s="590"/>
      <c r="AK239" s="590"/>
      <c r="AL239" s="590"/>
      <c r="AM239" s="590"/>
      <c r="AN239" s="590"/>
      <c r="AO239" s="590"/>
      <c r="AP239" s="590"/>
      <c r="AQ239" s="590"/>
      <c r="AR239" s="590"/>
      <c r="AS239" s="590"/>
      <c r="AT239" s="590"/>
      <c r="AU239" s="590"/>
      <c r="AV239" s="590"/>
      <c r="AW239" s="590"/>
      <c r="AX239" s="590"/>
      <c r="AY239" s="590"/>
      <c r="AZ239" s="590"/>
      <c r="BA239" s="590"/>
      <c r="BB239" s="590"/>
      <c r="BC239" s="590"/>
      <c r="BD239" s="590"/>
      <c r="BE239" s="590"/>
      <c r="BF239" s="590"/>
      <c r="BG239" s="590"/>
      <c r="BH239" s="590"/>
      <c r="BI239" s="590"/>
      <c r="BJ239" s="590"/>
      <c r="BK239" s="591"/>
      <c r="BL239" s="591"/>
      <c r="BM239" s="591"/>
      <c r="BN239" s="591"/>
      <c r="BO239" s="591"/>
      <c r="BP239" s="591"/>
      <c r="BQ239" s="591"/>
      <c r="BR239" s="591"/>
      <c r="BS239" s="591"/>
      <c r="BT239" s="591"/>
      <c r="BU239" s="591"/>
      <c r="BV239" s="591"/>
      <c r="BW239" s="591"/>
      <c r="BX239" s="591"/>
      <c r="BY239" s="591"/>
      <c r="BZ239" s="591"/>
      <c r="CA239" s="591"/>
      <c r="CB239" s="591"/>
      <c r="CC239" s="591"/>
      <c r="CD239" s="591"/>
      <c r="CE239" s="591"/>
      <c r="CF239" s="591"/>
    </row>
    <row r="240" spans="1:84">
      <c r="A240" s="590"/>
      <c r="B240" s="590"/>
      <c r="C240" s="590"/>
      <c r="D240" s="590"/>
      <c r="E240" s="590"/>
      <c r="F240" s="590"/>
      <c r="G240" s="590"/>
      <c r="H240" s="590"/>
      <c r="I240" s="590"/>
      <c r="J240" s="590"/>
      <c r="K240" s="590"/>
      <c r="L240" s="590"/>
      <c r="M240" s="590"/>
      <c r="N240" s="590"/>
      <c r="O240" s="590"/>
      <c r="P240" s="590"/>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0"/>
      <c r="AQ240" s="590"/>
      <c r="AR240" s="590"/>
      <c r="AS240" s="590"/>
      <c r="AT240" s="590"/>
      <c r="AU240" s="590"/>
      <c r="AV240" s="590"/>
      <c r="AW240" s="590"/>
      <c r="AX240" s="590"/>
      <c r="AY240" s="590"/>
      <c r="AZ240" s="590"/>
      <c r="BA240" s="590"/>
      <c r="BB240" s="590"/>
      <c r="BC240" s="590"/>
      <c r="BD240" s="590"/>
      <c r="BE240" s="590"/>
      <c r="BF240" s="590"/>
      <c r="BG240" s="590"/>
      <c r="BH240" s="590"/>
      <c r="BI240" s="590"/>
      <c r="BJ240" s="590"/>
      <c r="BK240" s="591"/>
      <c r="BL240" s="591"/>
      <c r="BM240" s="591"/>
      <c r="BN240" s="591"/>
      <c r="BO240" s="591"/>
      <c r="BP240" s="591"/>
      <c r="BQ240" s="591"/>
      <c r="BR240" s="591"/>
      <c r="BS240" s="591"/>
      <c r="BT240" s="591"/>
      <c r="BU240" s="591"/>
      <c r="BV240" s="591"/>
      <c r="BW240" s="591"/>
      <c r="BX240" s="591"/>
      <c r="BY240" s="591"/>
      <c r="BZ240" s="591"/>
      <c r="CA240" s="591"/>
      <c r="CB240" s="591"/>
      <c r="CC240" s="591"/>
      <c r="CD240" s="591"/>
      <c r="CE240" s="591"/>
      <c r="CF240" s="591"/>
    </row>
    <row r="241" spans="1:84">
      <c r="A241" s="590"/>
      <c r="B241" s="590"/>
      <c r="C241" s="590"/>
      <c r="D241" s="590"/>
      <c r="E241" s="590"/>
      <c r="F241" s="590"/>
      <c r="G241" s="590"/>
      <c r="H241" s="590"/>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590"/>
      <c r="AY241" s="590"/>
      <c r="AZ241" s="590"/>
      <c r="BA241" s="590"/>
      <c r="BB241" s="590"/>
      <c r="BC241" s="590"/>
      <c r="BD241" s="590"/>
      <c r="BE241" s="590"/>
      <c r="BF241" s="590"/>
      <c r="BG241" s="590"/>
      <c r="BH241" s="590"/>
      <c r="BI241" s="590"/>
      <c r="BJ241" s="590"/>
      <c r="BK241" s="591"/>
      <c r="BL241" s="591"/>
      <c r="BM241" s="591"/>
      <c r="BN241" s="591"/>
      <c r="BO241" s="591"/>
      <c r="BP241" s="591"/>
      <c r="BQ241" s="591"/>
      <c r="BR241" s="591"/>
      <c r="BS241" s="591"/>
      <c r="BT241" s="591"/>
      <c r="BU241" s="591"/>
      <c r="BV241" s="591"/>
      <c r="BW241" s="591"/>
      <c r="BX241" s="591"/>
      <c r="BY241" s="591"/>
      <c r="BZ241" s="591"/>
      <c r="CA241" s="591"/>
      <c r="CB241" s="591"/>
      <c r="CC241" s="591"/>
      <c r="CD241" s="591"/>
      <c r="CE241" s="591"/>
      <c r="CF241" s="591"/>
    </row>
    <row r="242" spans="1:84">
      <c r="A242" s="590"/>
      <c r="B242" s="590"/>
      <c r="C242" s="590"/>
      <c r="D242" s="590"/>
      <c r="E242" s="590"/>
      <c r="F242" s="590"/>
      <c r="G242" s="590"/>
      <c r="H242" s="590"/>
      <c r="I242" s="590"/>
      <c r="J242" s="590"/>
      <c r="K242" s="590"/>
      <c r="L242" s="590"/>
      <c r="M242" s="590"/>
      <c r="N242" s="590"/>
      <c r="O242" s="590"/>
      <c r="P242" s="590"/>
      <c r="Q242" s="590"/>
      <c r="R242" s="590"/>
      <c r="S242" s="590"/>
      <c r="T242" s="590"/>
      <c r="U242" s="590"/>
      <c r="V242" s="590"/>
      <c r="W242" s="590"/>
      <c r="X242" s="590"/>
      <c r="Y242" s="590"/>
      <c r="Z242" s="590"/>
      <c r="AA242" s="590"/>
      <c r="AB242" s="590"/>
      <c r="AC242" s="590"/>
      <c r="AD242" s="590"/>
      <c r="AE242" s="590"/>
      <c r="AF242" s="590"/>
      <c r="AG242" s="590"/>
      <c r="AH242" s="590"/>
      <c r="AI242" s="590"/>
      <c r="AJ242" s="590"/>
      <c r="AK242" s="590"/>
      <c r="AL242" s="590"/>
      <c r="AM242" s="590"/>
      <c r="AN242" s="590"/>
      <c r="AO242" s="590"/>
      <c r="AP242" s="590"/>
      <c r="AQ242" s="590"/>
      <c r="AR242" s="590"/>
      <c r="AS242" s="590"/>
      <c r="AT242" s="590"/>
      <c r="AU242" s="590"/>
      <c r="AV242" s="590"/>
      <c r="AW242" s="590"/>
      <c r="AX242" s="590"/>
      <c r="AY242" s="590"/>
      <c r="AZ242" s="590"/>
      <c r="BA242" s="590"/>
      <c r="BB242" s="590"/>
      <c r="BC242" s="590"/>
      <c r="BD242" s="590"/>
      <c r="BE242" s="590"/>
      <c r="BF242" s="590"/>
      <c r="BG242" s="590"/>
      <c r="BH242" s="590"/>
      <c r="BI242" s="590"/>
      <c r="BJ242" s="590"/>
      <c r="BK242" s="591"/>
      <c r="BL242" s="591"/>
      <c r="BM242" s="591"/>
      <c r="BN242" s="591"/>
      <c r="BO242" s="591"/>
      <c r="BP242" s="591"/>
      <c r="BQ242" s="591"/>
      <c r="BR242" s="591"/>
      <c r="BS242" s="591"/>
      <c r="BT242" s="591"/>
      <c r="BU242" s="591"/>
      <c r="BV242" s="591"/>
      <c r="BW242" s="591"/>
      <c r="BX242" s="591"/>
      <c r="BY242" s="591"/>
      <c r="BZ242" s="591"/>
      <c r="CA242" s="591"/>
      <c r="CB242" s="591"/>
      <c r="CC242" s="591"/>
      <c r="CD242" s="591"/>
      <c r="CE242" s="591"/>
      <c r="CF242" s="591"/>
    </row>
    <row r="243" spans="1:84">
      <c r="A243" s="590"/>
      <c r="B243" s="590"/>
      <c r="C243" s="590"/>
      <c r="D243" s="590"/>
      <c r="E243" s="590"/>
      <c r="F243" s="590"/>
      <c r="G243" s="590"/>
      <c r="H243" s="590"/>
      <c r="I243" s="590"/>
      <c r="J243" s="590"/>
      <c r="K243" s="590"/>
      <c r="L243" s="590"/>
      <c r="M243" s="590"/>
      <c r="N243" s="590"/>
      <c r="O243" s="590"/>
      <c r="P243" s="590"/>
      <c r="Q243" s="590"/>
      <c r="R243" s="590"/>
      <c r="S243" s="590"/>
      <c r="T243" s="590"/>
      <c r="U243" s="590"/>
      <c r="V243" s="590"/>
      <c r="W243" s="590"/>
      <c r="X243" s="590"/>
      <c r="Y243" s="590"/>
      <c r="Z243" s="590"/>
      <c r="AA243" s="590"/>
      <c r="AB243" s="590"/>
      <c r="AC243" s="590"/>
      <c r="AD243" s="590"/>
      <c r="AE243" s="590"/>
      <c r="AF243" s="590"/>
      <c r="AG243" s="590"/>
      <c r="AH243" s="590"/>
      <c r="AI243" s="590"/>
      <c r="AJ243" s="590"/>
      <c r="AK243" s="590"/>
      <c r="AL243" s="590"/>
      <c r="AM243" s="590"/>
      <c r="AN243" s="590"/>
      <c r="AO243" s="590"/>
      <c r="AP243" s="590"/>
      <c r="AQ243" s="590"/>
      <c r="AR243" s="590"/>
      <c r="AS243" s="590"/>
      <c r="AT243" s="590"/>
      <c r="AU243" s="590"/>
      <c r="AV243" s="590"/>
      <c r="AW243" s="590"/>
      <c r="AX243" s="590"/>
      <c r="AY243" s="590"/>
      <c r="AZ243" s="590"/>
      <c r="BA243" s="590"/>
      <c r="BB243" s="590"/>
      <c r="BC243" s="590"/>
      <c r="BD243" s="590"/>
      <c r="BE243" s="590"/>
      <c r="BF243" s="590"/>
      <c r="BG243" s="590"/>
      <c r="BH243" s="590"/>
      <c r="BI243" s="590"/>
      <c r="BJ243" s="590"/>
      <c r="BK243" s="591"/>
      <c r="BL243" s="591"/>
      <c r="BM243" s="591"/>
      <c r="BN243" s="591"/>
      <c r="BO243" s="591"/>
      <c r="BP243" s="591"/>
      <c r="BQ243" s="591"/>
      <c r="BR243" s="591"/>
      <c r="BS243" s="591"/>
      <c r="BT243" s="591"/>
      <c r="BU243" s="591"/>
      <c r="BV243" s="591"/>
      <c r="BW243" s="591"/>
      <c r="BX243" s="591"/>
      <c r="BY243" s="591"/>
      <c r="BZ243" s="591"/>
      <c r="CA243" s="591"/>
      <c r="CB243" s="591"/>
      <c r="CC243" s="591"/>
      <c r="CD243" s="591"/>
      <c r="CE243" s="591"/>
      <c r="CF243" s="591"/>
    </row>
    <row r="244" spans="1:84">
      <c r="A244" s="590"/>
      <c r="B244" s="590"/>
      <c r="C244" s="590"/>
      <c r="D244" s="590"/>
      <c r="E244" s="590"/>
      <c r="F244" s="590"/>
      <c r="G244" s="590"/>
      <c r="H244" s="590"/>
      <c r="I244" s="590"/>
      <c r="J244" s="590"/>
      <c r="K244" s="590"/>
      <c r="L244" s="590"/>
      <c r="M244" s="590"/>
      <c r="N244" s="590"/>
      <c r="O244" s="590"/>
      <c r="P244" s="590"/>
      <c r="Q244" s="590"/>
      <c r="R244" s="590"/>
      <c r="S244" s="590"/>
      <c r="T244" s="590"/>
      <c r="U244" s="590"/>
      <c r="V244" s="590"/>
      <c r="W244" s="590"/>
      <c r="X244" s="590"/>
      <c r="Y244" s="590"/>
      <c r="Z244" s="590"/>
      <c r="AA244" s="590"/>
      <c r="AB244" s="590"/>
      <c r="AC244" s="590"/>
      <c r="AD244" s="590"/>
      <c r="AE244" s="590"/>
      <c r="AF244" s="590"/>
      <c r="AG244" s="590"/>
      <c r="AH244" s="590"/>
      <c r="AI244" s="590"/>
      <c r="AJ244" s="590"/>
      <c r="AK244" s="590"/>
      <c r="AL244" s="590"/>
      <c r="AM244" s="590"/>
      <c r="AN244" s="590"/>
      <c r="AO244" s="590"/>
      <c r="AP244" s="590"/>
      <c r="AQ244" s="590"/>
      <c r="AR244" s="590"/>
      <c r="AS244" s="590"/>
      <c r="AT244" s="590"/>
      <c r="AU244" s="590"/>
      <c r="AV244" s="590"/>
      <c r="AW244" s="590"/>
      <c r="AX244" s="590"/>
      <c r="AY244" s="590"/>
      <c r="AZ244" s="590"/>
      <c r="BA244" s="590"/>
      <c r="BB244" s="590"/>
      <c r="BC244" s="590"/>
      <c r="BD244" s="590"/>
      <c r="BE244" s="590"/>
      <c r="BF244" s="590"/>
      <c r="BG244" s="590"/>
      <c r="BH244" s="590"/>
      <c r="BI244" s="590"/>
      <c r="BJ244" s="590"/>
      <c r="BK244" s="591"/>
      <c r="BL244" s="591"/>
      <c r="BM244" s="591"/>
      <c r="BN244" s="591"/>
      <c r="BO244" s="591"/>
      <c r="BP244" s="591"/>
      <c r="BQ244" s="591"/>
      <c r="BR244" s="591"/>
      <c r="BS244" s="591"/>
      <c r="BT244" s="591"/>
      <c r="BU244" s="591"/>
      <c r="BV244" s="591"/>
      <c r="BW244" s="591"/>
      <c r="BX244" s="591"/>
      <c r="BY244" s="591"/>
      <c r="BZ244" s="591"/>
      <c r="CA244" s="591"/>
      <c r="CB244" s="591"/>
      <c r="CC244" s="591"/>
      <c r="CD244" s="591"/>
      <c r="CE244" s="591"/>
      <c r="CF244" s="591"/>
    </row>
    <row r="245" spans="1:84">
      <c r="A245" s="590"/>
      <c r="B245" s="590"/>
      <c r="C245" s="590"/>
      <c r="D245" s="590"/>
      <c r="E245" s="590"/>
      <c r="F245" s="590"/>
      <c r="G245" s="590"/>
      <c r="H245" s="590"/>
      <c r="I245" s="590"/>
      <c r="J245" s="590"/>
      <c r="K245" s="590"/>
      <c r="L245" s="590"/>
      <c r="M245" s="590"/>
      <c r="N245" s="590"/>
      <c r="O245" s="590"/>
      <c r="P245" s="590"/>
      <c r="Q245" s="590"/>
      <c r="R245" s="590"/>
      <c r="S245" s="590"/>
      <c r="T245" s="590"/>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0"/>
      <c r="AQ245" s="590"/>
      <c r="AR245" s="590"/>
      <c r="AS245" s="590"/>
      <c r="AT245" s="590"/>
      <c r="AU245" s="590"/>
      <c r="AV245" s="590"/>
      <c r="AW245" s="590"/>
      <c r="AX245" s="590"/>
      <c r="AY245" s="590"/>
      <c r="AZ245" s="590"/>
      <c r="BA245" s="590"/>
      <c r="BB245" s="590"/>
      <c r="BC245" s="590"/>
      <c r="BD245" s="590"/>
      <c r="BE245" s="590"/>
      <c r="BF245" s="590"/>
      <c r="BG245" s="590"/>
      <c r="BH245" s="590"/>
      <c r="BI245" s="590"/>
      <c r="BJ245" s="590"/>
      <c r="BK245" s="591"/>
      <c r="BL245" s="591"/>
      <c r="BM245" s="591"/>
      <c r="BN245" s="591"/>
      <c r="BO245" s="591"/>
      <c r="BP245" s="591"/>
      <c r="BQ245" s="591"/>
      <c r="BR245" s="591"/>
      <c r="BS245" s="591"/>
      <c r="BT245" s="591"/>
      <c r="BU245" s="591"/>
      <c r="BV245" s="591"/>
      <c r="BW245" s="591"/>
      <c r="BX245" s="591"/>
      <c r="BY245" s="591"/>
      <c r="BZ245" s="591"/>
      <c r="CA245" s="591"/>
      <c r="CB245" s="591"/>
      <c r="CC245" s="591"/>
      <c r="CD245" s="591"/>
      <c r="CE245" s="591"/>
      <c r="CF245" s="591"/>
    </row>
    <row r="246" spans="1:84">
      <c r="A246" s="590"/>
      <c r="B246" s="590"/>
      <c r="C246" s="590"/>
      <c r="D246" s="590"/>
      <c r="E246" s="590"/>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c r="AE246" s="590"/>
      <c r="AF246" s="590"/>
      <c r="AG246" s="590"/>
      <c r="AH246" s="590"/>
      <c r="AI246" s="590"/>
      <c r="AJ246" s="590"/>
      <c r="AK246" s="590"/>
      <c r="AL246" s="590"/>
      <c r="AM246" s="590"/>
      <c r="AN246" s="590"/>
      <c r="AO246" s="590"/>
      <c r="AP246" s="590"/>
      <c r="AQ246" s="590"/>
      <c r="AR246" s="590"/>
      <c r="AS246" s="590"/>
      <c r="AT246" s="590"/>
      <c r="AU246" s="590"/>
      <c r="AV246" s="590"/>
      <c r="AW246" s="590"/>
      <c r="AX246" s="590"/>
      <c r="AY246" s="590"/>
      <c r="AZ246" s="590"/>
      <c r="BA246" s="590"/>
      <c r="BB246" s="590"/>
      <c r="BC246" s="590"/>
      <c r="BD246" s="590"/>
      <c r="BE246" s="590"/>
      <c r="BF246" s="590"/>
      <c r="BG246" s="590"/>
      <c r="BH246" s="590"/>
      <c r="BI246" s="590"/>
      <c r="BJ246" s="590"/>
      <c r="BK246" s="591"/>
      <c r="BL246" s="591"/>
      <c r="BM246" s="591"/>
      <c r="BN246" s="591"/>
      <c r="BO246" s="591"/>
      <c r="BP246" s="591"/>
      <c r="BQ246" s="591"/>
      <c r="BR246" s="591"/>
      <c r="BS246" s="591"/>
      <c r="BT246" s="591"/>
      <c r="BU246" s="591"/>
      <c r="BV246" s="591"/>
      <c r="BW246" s="591"/>
      <c r="BX246" s="591"/>
      <c r="BY246" s="591"/>
      <c r="BZ246" s="591"/>
      <c r="CA246" s="591"/>
      <c r="CB246" s="591"/>
      <c r="CC246" s="591"/>
      <c r="CD246" s="591"/>
      <c r="CE246" s="591"/>
      <c r="CF246" s="591"/>
    </row>
    <row r="247" spans="1:84">
      <c r="A247" s="590"/>
      <c r="B247" s="590"/>
      <c r="C247" s="590"/>
      <c r="D247" s="590"/>
      <c r="E247" s="590"/>
      <c r="F247" s="590"/>
      <c r="G247" s="590"/>
      <c r="H247" s="590"/>
      <c r="I247" s="590"/>
      <c r="J247" s="590"/>
      <c r="K247" s="590"/>
      <c r="L247" s="590"/>
      <c r="M247" s="590"/>
      <c r="N247" s="590"/>
      <c r="O247" s="590"/>
      <c r="P247" s="590"/>
      <c r="Q247" s="590"/>
      <c r="R247" s="590"/>
      <c r="S247" s="590"/>
      <c r="T247" s="590"/>
      <c r="U247" s="590"/>
      <c r="V247" s="590"/>
      <c r="W247" s="590"/>
      <c r="X247" s="590"/>
      <c r="Y247" s="590"/>
      <c r="Z247" s="590"/>
      <c r="AA247" s="590"/>
      <c r="AB247" s="590"/>
      <c r="AC247" s="590"/>
      <c r="AD247" s="590"/>
      <c r="AE247" s="590"/>
      <c r="AF247" s="590"/>
      <c r="AG247" s="590"/>
      <c r="AH247" s="590"/>
      <c r="AI247" s="590"/>
      <c r="AJ247" s="590"/>
      <c r="AK247" s="590"/>
      <c r="AL247" s="590"/>
      <c r="AM247" s="590"/>
      <c r="AN247" s="590"/>
      <c r="AO247" s="590"/>
      <c r="AP247" s="590"/>
      <c r="AQ247" s="590"/>
      <c r="AR247" s="590"/>
      <c r="AS247" s="590"/>
      <c r="AT247" s="590"/>
      <c r="AU247" s="590"/>
      <c r="AV247" s="590"/>
      <c r="AW247" s="590"/>
      <c r="AX247" s="590"/>
      <c r="AY247" s="590"/>
      <c r="AZ247" s="590"/>
      <c r="BA247" s="590"/>
      <c r="BB247" s="590"/>
      <c r="BC247" s="590"/>
      <c r="BD247" s="590"/>
      <c r="BE247" s="590"/>
      <c r="BF247" s="590"/>
      <c r="BG247" s="590"/>
      <c r="BH247" s="590"/>
      <c r="BI247" s="590"/>
      <c r="BJ247" s="590"/>
      <c r="BK247" s="591"/>
      <c r="BL247" s="591"/>
      <c r="BM247" s="591"/>
      <c r="BN247" s="591"/>
      <c r="BO247" s="591"/>
      <c r="BP247" s="591"/>
      <c r="BQ247" s="591"/>
      <c r="BR247" s="591"/>
      <c r="BS247" s="591"/>
      <c r="BT247" s="591"/>
      <c r="BU247" s="591"/>
      <c r="BV247" s="591"/>
      <c r="BW247" s="591"/>
      <c r="BX247" s="591"/>
      <c r="BY247" s="591"/>
      <c r="BZ247" s="591"/>
      <c r="CA247" s="591"/>
      <c r="CB247" s="591"/>
      <c r="CC247" s="591"/>
      <c r="CD247" s="591"/>
      <c r="CE247" s="591"/>
      <c r="CF247" s="591"/>
    </row>
    <row r="248" spans="1:84">
      <c r="A248" s="590"/>
      <c r="B248" s="590"/>
      <c r="C248" s="590"/>
      <c r="D248" s="590"/>
      <c r="E248" s="590"/>
      <c r="F248" s="590"/>
      <c r="G248" s="590"/>
      <c r="H248" s="590"/>
      <c r="I248" s="590"/>
      <c r="J248" s="590"/>
      <c r="K248" s="590"/>
      <c r="L248" s="590"/>
      <c r="M248" s="590"/>
      <c r="N248" s="590"/>
      <c r="O248" s="590"/>
      <c r="P248" s="590"/>
      <c r="Q248" s="590"/>
      <c r="R248" s="590"/>
      <c r="S248" s="590"/>
      <c r="T248" s="590"/>
      <c r="U248" s="590"/>
      <c r="V248" s="590"/>
      <c r="W248" s="590"/>
      <c r="X248" s="590"/>
      <c r="Y248" s="590"/>
      <c r="Z248" s="590"/>
      <c r="AA248" s="590"/>
      <c r="AB248" s="590"/>
      <c r="AC248" s="590"/>
      <c r="AD248" s="590"/>
      <c r="AE248" s="590"/>
      <c r="AF248" s="590"/>
      <c r="AG248" s="590"/>
      <c r="AH248" s="590"/>
      <c r="AI248" s="590"/>
      <c r="AJ248" s="590"/>
      <c r="AK248" s="590"/>
      <c r="AL248" s="590"/>
      <c r="AM248" s="590"/>
      <c r="AN248" s="590"/>
      <c r="AO248" s="590"/>
      <c r="AP248" s="590"/>
      <c r="AQ248" s="590"/>
      <c r="AR248" s="590"/>
      <c r="AS248" s="590"/>
      <c r="AT248" s="590"/>
      <c r="AU248" s="590"/>
      <c r="AV248" s="590"/>
      <c r="AW248" s="590"/>
      <c r="AX248" s="590"/>
      <c r="AY248" s="590"/>
      <c r="AZ248" s="590"/>
      <c r="BA248" s="590"/>
      <c r="BB248" s="590"/>
      <c r="BC248" s="590"/>
      <c r="BD248" s="590"/>
      <c r="BE248" s="590"/>
      <c r="BF248" s="590"/>
      <c r="BG248" s="590"/>
      <c r="BH248" s="590"/>
      <c r="BI248" s="590"/>
      <c r="BJ248" s="590"/>
      <c r="BK248" s="591"/>
      <c r="BL248" s="591"/>
      <c r="BM248" s="591"/>
      <c r="BN248" s="591"/>
      <c r="BO248" s="591"/>
      <c r="BP248" s="591"/>
      <c r="BQ248" s="591"/>
      <c r="BR248" s="591"/>
      <c r="BS248" s="591"/>
      <c r="BT248" s="591"/>
      <c r="BU248" s="591"/>
      <c r="BV248" s="591"/>
      <c r="BW248" s="591"/>
      <c r="BX248" s="591"/>
      <c r="BY248" s="591"/>
      <c r="BZ248" s="591"/>
      <c r="CA248" s="591"/>
      <c r="CB248" s="591"/>
      <c r="CC248" s="591"/>
      <c r="CD248" s="591"/>
      <c r="CE248" s="591"/>
      <c r="CF248" s="591"/>
    </row>
    <row r="249" spans="1:84">
      <c r="A249" s="590"/>
      <c r="B249" s="590"/>
      <c r="C249" s="590"/>
      <c r="D249" s="590"/>
      <c r="E249" s="590"/>
      <c r="F249" s="590"/>
      <c r="G249" s="590"/>
      <c r="H249" s="590"/>
      <c r="I249" s="590"/>
      <c r="J249" s="590"/>
      <c r="K249" s="590"/>
      <c r="L249" s="590"/>
      <c r="M249" s="590"/>
      <c r="N249" s="590"/>
      <c r="O249" s="590"/>
      <c r="P249" s="590"/>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0"/>
      <c r="AQ249" s="590"/>
      <c r="AR249" s="590"/>
      <c r="AS249" s="590"/>
      <c r="AT249" s="590"/>
      <c r="AU249" s="590"/>
      <c r="AV249" s="590"/>
      <c r="AW249" s="590"/>
      <c r="AX249" s="590"/>
      <c r="AY249" s="590"/>
      <c r="AZ249" s="590"/>
      <c r="BA249" s="590"/>
      <c r="BB249" s="590"/>
      <c r="BC249" s="590"/>
      <c r="BD249" s="590"/>
      <c r="BE249" s="590"/>
      <c r="BF249" s="590"/>
      <c r="BG249" s="590"/>
      <c r="BH249" s="590"/>
      <c r="BI249" s="590"/>
      <c r="BJ249" s="590"/>
      <c r="BK249" s="591"/>
      <c r="BL249" s="591"/>
      <c r="BM249" s="591"/>
      <c r="BN249" s="591"/>
      <c r="BO249" s="591"/>
      <c r="BP249" s="591"/>
      <c r="BQ249" s="591"/>
      <c r="BR249" s="591"/>
      <c r="BS249" s="591"/>
      <c r="BT249" s="591"/>
      <c r="BU249" s="591"/>
      <c r="BV249" s="591"/>
      <c r="BW249" s="591"/>
      <c r="BX249" s="591"/>
      <c r="BY249" s="591"/>
      <c r="BZ249" s="591"/>
      <c r="CA249" s="591"/>
      <c r="CB249" s="591"/>
      <c r="CC249" s="591"/>
      <c r="CD249" s="591"/>
      <c r="CE249" s="591"/>
      <c r="CF249" s="591"/>
    </row>
    <row r="250" spans="1:84">
      <c r="A250" s="590"/>
      <c r="B250" s="590"/>
      <c r="C250" s="590"/>
      <c r="D250" s="590"/>
      <c r="E250" s="590"/>
      <c r="F250" s="590"/>
      <c r="G250" s="590"/>
      <c r="H250" s="590"/>
      <c r="I250" s="590"/>
      <c r="J250" s="590"/>
      <c r="K250" s="590"/>
      <c r="L250" s="590"/>
      <c r="M250" s="590"/>
      <c r="N250" s="590"/>
      <c r="O250" s="590"/>
      <c r="P250" s="590"/>
      <c r="Q250" s="590"/>
      <c r="R250" s="590"/>
      <c r="S250" s="590"/>
      <c r="T250" s="590"/>
      <c r="U250" s="590"/>
      <c r="V250" s="590"/>
      <c r="W250" s="590"/>
      <c r="X250" s="590"/>
      <c r="Y250" s="590"/>
      <c r="Z250" s="590"/>
      <c r="AA250" s="590"/>
      <c r="AB250" s="590"/>
      <c r="AC250" s="590"/>
      <c r="AD250" s="590"/>
      <c r="AE250" s="590"/>
      <c r="AF250" s="590"/>
      <c r="AG250" s="590"/>
      <c r="AH250" s="590"/>
      <c r="AI250" s="590"/>
      <c r="AJ250" s="590"/>
      <c r="AK250" s="590"/>
      <c r="AL250" s="590"/>
      <c r="AM250" s="590"/>
      <c r="AN250" s="590"/>
      <c r="AO250" s="590"/>
      <c r="AP250" s="590"/>
      <c r="AQ250" s="590"/>
      <c r="AR250" s="590"/>
      <c r="AS250" s="590"/>
      <c r="AT250" s="590"/>
      <c r="AU250" s="590"/>
      <c r="AV250" s="590"/>
      <c r="AW250" s="590"/>
      <c r="AX250" s="590"/>
      <c r="AY250" s="590"/>
      <c r="AZ250" s="590"/>
      <c r="BA250" s="590"/>
      <c r="BB250" s="590"/>
      <c r="BC250" s="590"/>
      <c r="BD250" s="590"/>
      <c r="BE250" s="590"/>
      <c r="BF250" s="590"/>
      <c r="BG250" s="590"/>
      <c r="BH250" s="590"/>
      <c r="BI250" s="590"/>
      <c r="BJ250" s="590"/>
      <c r="BK250" s="591"/>
      <c r="BL250" s="591"/>
      <c r="BM250" s="591"/>
      <c r="BN250" s="591"/>
      <c r="BO250" s="591"/>
      <c r="BP250" s="591"/>
      <c r="BQ250" s="591"/>
      <c r="BR250" s="591"/>
      <c r="BS250" s="591"/>
      <c r="BT250" s="591"/>
      <c r="BU250" s="591"/>
      <c r="BV250" s="591"/>
      <c r="BW250" s="591"/>
      <c r="BX250" s="591"/>
      <c r="BY250" s="591"/>
      <c r="BZ250" s="591"/>
      <c r="CA250" s="591"/>
      <c r="CB250" s="591"/>
      <c r="CC250" s="591"/>
      <c r="CD250" s="591"/>
      <c r="CE250" s="591"/>
      <c r="CF250" s="591"/>
    </row>
    <row r="251" spans="1:84">
      <c r="A251" s="590"/>
      <c r="B251" s="590"/>
      <c r="C251" s="590"/>
      <c r="D251" s="590"/>
      <c r="E251" s="590"/>
      <c r="F251" s="590"/>
      <c r="G251" s="590"/>
      <c r="H251" s="590"/>
      <c r="I251" s="590"/>
      <c r="J251" s="590"/>
      <c r="K251" s="590"/>
      <c r="L251" s="590"/>
      <c r="M251" s="590"/>
      <c r="N251" s="590"/>
      <c r="O251" s="590"/>
      <c r="P251" s="590"/>
      <c r="Q251" s="590"/>
      <c r="R251" s="590"/>
      <c r="S251" s="590"/>
      <c r="T251" s="590"/>
      <c r="U251" s="590"/>
      <c r="V251" s="590"/>
      <c r="W251" s="590"/>
      <c r="X251" s="590"/>
      <c r="Y251" s="590"/>
      <c r="Z251" s="590"/>
      <c r="AA251" s="590"/>
      <c r="AB251" s="590"/>
      <c r="AC251" s="590"/>
      <c r="AD251" s="590"/>
      <c r="AE251" s="590"/>
      <c r="AF251" s="590"/>
      <c r="AG251" s="590"/>
      <c r="AH251" s="590"/>
      <c r="AI251" s="590"/>
      <c r="AJ251" s="590"/>
      <c r="AK251" s="590"/>
      <c r="AL251" s="590"/>
      <c r="AM251" s="590"/>
      <c r="AN251" s="590"/>
      <c r="AO251" s="590"/>
      <c r="AP251" s="590"/>
      <c r="AQ251" s="590"/>
      <c r="AR251" s="590"/>
      <c r="AS251" s="590"/>
      <c r="AT251" s="590"/>
      <c r="AU251" s="590"/>
      <c r="AV251" s="590"/>
      <c r="AW251" s="590"/>
      <c r="AX251" s="590"/>
      <c r="AY251" s="590"/>
      <c r="AZ251" s="590"/>
      <c r="BA251" s="590"/>
      <c r="BB251" s="590"/>
      <c r="BC251" s="590"/>
      <c r="BD251" s="590"/>
      <c r="BE251" s="590"/>
      <c r="BF251" s="590"/>
      <c r="BG251" s="590"/>
      <c r="BH251" s="590"/>
      <c r="BI251" s="590"/>
      <c r="BJ251" s="590"/>
      <c r="BK251" s="591"/>
      <c r="BL251" s="591"/>
      <c r="BM251" s="591"/>
      <c r="BN251" s="591"/>
      <c r="BO251" s="591"/>
      <c r="BP251" s="591"/>
      <c r="BQ251" s="591"/>
      <c r="BR251" s="591"/>
      <c r="BS251" s="591"/>
      <c r="BT251" s="591"/>
      <c r="BU251" s="591"/>
      <c r="BV251" s="591"/>
      <c r="BW251" s="591"/>
      <c r="BX251" s="591"/>
      <c r="BY251" s="591"/>
      <c r="BZ251" s="591"/>
      <c r="CA251" s="591"/>
      <c r="CB251" s="591"/>
      <c r="CC251" s="591"/>
      <c r="CD251" s="591"/>
      <c r="CE251" s="591"/>
      <c r="CF251" s="591"/>
    </row>
    <row r="252" spans="1:84">
      <c r="A252" s="590"/>
      <c r="B252" s="590"/>
      <c r="C252" s="590"/>
      <c r="D252" s="590"/>
      <c r="E252" s="590"/>
      <c r="F252" s="590"/>
      <c r="G252" s="590"/>
      <c r="H252" s="590"/>
      <c r="I252" s="590"/>
      <c r="J252" s="590"/>
      <c r="K252" s="590"/>
      <c r="L252" s="590"/>
      <c r="M252" s="590"/>
      <c r="N252" s="590"/>
      <c r="O252" s="590"/>
      <c r="P252" s="590"/>
      <c r="Q252" s="590"/>
      <c r="R252" s="590"/>
      <c r="S252" s="590"/>
      <c r="T252" s="590"/>
      <c r="U252" s="590"/>
      <c r="V252" s="590"/>
      <c r="W252" s="590"/>
      <c r="X252" s="590"/>
      <c r="Y252" s="590"/>
      <c r="Z252" s="590"/>
      <c r="AA252" s="590"/>
      <c r="AB252" s="590"/>
      <c r="AC252" s="590"/>
      <c r="AD252" s="590"/>
      <c r="AE252" s="590"/>
      <c r="AF252" s="590"/>
      <c r="AG252" s="590"/>
      <c r="AH252" s="590"/>
      <c r="AI252" s="590"/>
      <c r="AJ252" s="590"/>
      <c r="AK252" s="590"/>
      <c r="AL252" s="590"/>
      <c r="AM252" s="590"/>
      <c r="AN252" s="590"/>
      <c r="AO252" s="590"/>
      <c r="AP252" s="590"/>
      <c r="AQ252" s="590"/>
      <c r="AR252" s="590"/>
      <c r="AS252" s="590"/>
      <c r="AT252" s="590"/>
      <c r="AU252" s="590"/>
      <c r="AV252" s="590"/>
      <c r="AW252" s="590"/>
      <c r="AX252" s="590"/>
      <c r="AY252" s="590"/>
      <c r="AZ252" s="590"/>
      <c r="BA252" s="590"/>
      <c r="BB252" s="590"/>
      <c r="BC252" s="590"/>
      <c r="BD252" s="590"/>
      <c r="BE252" s="590"/>
      <c r="BF252" s="590"/>
      <c r="BG252" s="590"/>
      <c r="BH252" s="590"/>
      <c r="BI252" s="590"/>
      <c r="BJ252" s="590"/>
      <c r="BK252" s="591"/>
      <c r="BL252" s="591"/>
      <c r="BM252" s="591"/>
      <c r="BN252" s="591"/>
      <c r="BO252" s="591"/>
      <c r="BP252" s="591"/>
      <c r="BQ252" s="591"/>
      <c r="BR252" s="591"/>
      <c r="BS252" s="591"/>
      <c r="BT252" s="591"/>
      <c r="BU252" s="591"/>
      <c r="BV252" s="591"/>
      <c r="BW252" s="591"/>
      <c r="BX252" s="591"/>
      <c r="BY252" s="591"/>
      <c r="BZ252" s="591"/>
      <c r="CA252" s="591"/>
      <c r="CB252" s="591"/>
      <c r="CC252" s="591"/>
      <c r="CD252" s="591"/>
      <c r="CE252" s="591"/>
      <c r="CF252" s="591"/>
    </row>
    <row r="253" spans="1:84">
      <c r="A253" s="590"/>
      <c r="B253" s="590"/>
      <c r="C253" s="590"/>
      <c r="D253" s="590"/>
      <c r="E253" s="590"/>
      <c r="F253" s="590"/>
      <c r="G253" s="590"/>
      <c r="H253" s="590"/>
      <c r="I253" s="590"/>
      <c r="J253" s="590"/>
      <c r="K253" s="590"/>
      <c r="L253" s="590"/>
      <c r="M253" s="590"/>
      <c r="N253" s="590"/>
      <c r="O253" s="590"/>
      <c r="P253" s="590"/>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0"/>
      <c r="AQ253" s="590"/>
      <c r="AR253" s="590"/>
      <c r="AS253" s="590"/>
      <c r="AT253" s="590"/>
      <c r="AU253" s="590"/>
      <c r="AV253" s="590"/>
      <c r="AW253" s="590"/>
      <c r="AX253" s="590"/>
      <c r="AY253" s="590"/>
      <c r="AZ253" s="590"/>
      <c r="BA253" s="590"/>
      <c r="BB253" s="590"/>
      <c r="BC253" s="590"/>
      <c r="BD253" s="590"/>
      <c r="BE253" s="590"/>
      <c r="BF253" s="590"/>
      <c r="BG253" s="590"/>
      <c r="BH253" s="590"/>
      <c r="BI253" s="590"/>
      <c r="BJ253" s="590"/>
      <c r="BK253" s="591"/>
      <c r="BL253" s="591"/>
      <c r="BM253" s="591"/>
      <c r="BN253" s="591"/>
      <c r="BO253" s="591"/>
      <c r="BP253" s="591"/>
      <c r="BQ253" s="591"/>
      <c r="BR253" s="591"/>
      <c r="BS253" s="591"/>
      <c r="BT253" s="591"/>
      <c r="BU253" s="591"/>
      <c r="BV253" s="591"/>
      <c r="BW253" s="591"/>
      <c r="BX253" s="591"/>
      <c r="BY253" s="591"/>
      <c r="BZ253" s="591"/>
      <c r="CA253" s="591"/>
      <c r="CB253" s="591"/>
      <c r="CC253" s="591"/>
      <c r="CD253" s="591"/>
      <c r="CE253" s="591"/>
      <c r="CF253" s="591"/>
    </row>
    <row r="254" spans="1:84">
      <c r="A254" s="590"/>
      <c r="B254" s="590"/>
      <c r="C254" s="590"/>
      <c r="D254" s="590"/>
      <c r="E254" s="590"/>
      <c r="F254" s="590"/>
      <c r="G254" s="590"/>
      <c r="H254" s="590"/>
      <c r="I254" s="590"/>
      <c r="J254" s="590"/>
      <c r="K254" s="590"/>
      <c r="L254" s="590"/>
      <c r="M254" s="590"/>
      <c r="N254" s="590"/>
      <c r="O254" s="590"/>
      <c r="P254" s="590"/>
      <c r="Q254" s="590"/>
      <c r="R254" s="590"/>
      <c r="S254" s="590"/>
      <c r="T254" s="590"/>
      <c r="U254" s="590"/>
      <c r="V254" s="590"/>
      <c r="W254" s="590"/>
      <c r="X254" s="590"/>
      <c r="Y254" s="590"/>
      <c r="Z254" s="590"/>
      <c r="AA254" s="590"/>
      <c r="AB254" s="590"/>
      <c r="AC254" s="590"/>
      <c r="AD254" s="590"/>
      <c r="AE254" s="590"/>
      <c r="AF254" s="590"/>
      <c r="AG254" s="590"/>
      <c r="AH254" s="590"/>
      <c r="AI254" s="590"/>
      <c r="AJ254" s="590"/>
      <c r="AK254" s="590"/>
      <c r="AL254" s="590"/>
      <c r="AM254" s="590"/>
      <c r="AN254" s="590"/>
      <c r="AO254" s="590"/>
      <c r="AP254" s="590"/>
      <c r="AQ254" s="590"/>
      <c r="AR254" s="590"/>
      <c r="AS254" s="590"/>
      <c r="AT254" s="590"/>
      <c r="AU254" s="590"/>
      <c r="AV254" s="590"/>
      <c r="AW254" s="590"/>
      <c r="AX254" s="590"/>
      <c r="AY254" s="590"/>
      <c r="AZ254" s="590"/>
      <c r="BA254" s="590"/>
      <c r="BB254" s="590"/>
      <c r="BC254" s="590"/>
      <c r="BD254" s="590"/>
      <c r="BE254" s="590"/>
      <c r="BF254" s="590"/>
      <c r="BG254" s="590"/>
      <c r="BH254" s="590"/>
      <c r="BI254" s="590"/>
      <c r="BJ254" s="590"/>
      <c r="BK254" s="591"/>
      <c r="BL254" s="591"/>
      <c r="BM254" s="591"/>
      <c r="BN254" s="591"/>
      <c r="BO254" s="591"/>
      <c r="BP254" s="591"/>
      <c r="BQ254" s="591"/>
      <c r="BR254" s="591"/>
      <c r="BS254" s="591"/>
      <c r="BT254" s="591"/>
      <c r="BU254" s="591"/>
      <c r="BV254" s="591"/>
      <c r="BW254" s="591"/>
      <c r="BX254" s="591"/>
      <c r="BY254" s="591"/>
      <c r="BZ254" s="591"/>
      <c r="CA254" s="591"/>
      <c r="CB254" s="591"/>
      <c r="CC254" s="591"/>
      <c r="CD254" s="591"/>
      <c r="CE254" s="591"/>
      <c r="CF254" s="591"/>
    </row>
    <row r="255" spans="1:84">
      <c r="A255" s="590"/>
      <c r="B255" s="590"/>
      <c r="C255" s="590"/>
      <c r="D255" s="590"/>
      <c r="E255" s="590"/>
      <c r="F255" s="590"/>
      <c r="G255" s="590"/>
      <c r="H255" s="590"/>
      <c r="I255" s="590"/>
      <c r="J255" s="590"/>
      <c r="K255" s="590"/>
      <c r="L255" s="590"/>
      <c r="M255" s="590"/>
      <c r="N255" s="590"/>
      <c r="O255" s="590"/>
      <c r="P255" s="590"/>
      <c r="Q255" s="590"/>
      <c r="R255" s="590"/>
      <c r="S255" s="590"/>
      <c r="T255" s="590"/>
      <c r="U255" s="590"/>
      <c r="V255" s="590"/>
      <c r="W255" s="590"/>
      <c r="X255" s="590"/>
      <c r="Y255" s="590"/>
      <c r="Z255" s="590"/>
      <c r="AA255" s="590"/>
      <c r="AB255" s="590"/>
      <c r="AC255" s="590"/>
      <c r="AD255" s="590"/>
      <c r="AE255" s="590"/>
      <c r="AF255" s="590"/>
      <c r="AG255" s="590"/>
      <c r="AH255" s="590"/>
      <c r="AI255" s="590"/>
      <c r="AJ255" s="590"/>
      <c r="AK255" s="590"/>
      <c r="AL255" s="590"/>
      <c r="AM255" s="590"/>
      <c r="AN255" s="590"/>
      <c r="AO255" s="590"/>
      <c r="AP255" s="590"/>
      <c r="AQ255" s="590"/>
      <c r="AR255" s="590"/>
      <c r="AS255" s="590"/>
      <c r="AT255" s="590"/>
      <c r="AU255" s="590"/>
      <c r="AV255" s="590"/>
      <c r="AW255" s="590"/>
      <c r="AX255" s="590"/>
      <c r="AY255" s="590"/>
      <c r="AZ255" s="590"/>
      <c r="BA255" s="590"/>
      <c r="BB255" s="590"/>
      <c r="BC255" s="590"/>
      <c r="BD255" s="590"/>
      <c r="BE255" s="590"/>
      <c r="BF255" s="590"/>
      <c r="BG255" s="590"/>
      <c r="BH255" s="590"/>
      <c r="BI255" s="590"/>
      <c r="BJ255" s="590"/>
      <c r="BK255" s="591"/>
      <c r="BL255" s="591"/>
      <c r="BM255" s="591"/>
      <c r="BN255" s="591"/>
      <c r="BO255" s="591"/>
      <c r="BP255" s="591"/>
      <c r="BQ255" s="591"/>
      <c r="BR255" s="591"/>
      <c r="BS255" s="591"/>
      <c r="BT255" s="591"/>
      <c r="BU255" s="591"/>
      <c r="BV255" s="591"/>
      <c r="BW255" s="591"/>
      <c r="BX255" s="591"/>
      <c r="BY255" s="591"/>
      <c r="BZ255" s="591"/>
      <c r="CA255" s="591"/>
      <c r="CB255" s="591"/>
      <c r="CC255" s="591"/>
      <c r="CD255" s="591"/>
      <c r="CE255" s="591"/>
      <c r="CF255" s="591"/>
    </row>
    <row r="256" spans="1:84">
      <c r="A256" s="590"/>
      <c r="B256" s="590"/>
      <c r="C256" s="590"/>
      <c r="D256" s="590"/>
      <c r="E256" s="590"/>
      <c r="F256" s="590"/>
      <c r="G256" s="590"/>
      <c r="H256" s="590"/>
      <c r="I256" s="590"/>
      <c r="J256" s="590"/>
      <c r="K256" s="590"/>
      <c r="L256" s="590"/>
      <c r="M256" s="590"/>
      <c r="N256" s="590"/>
      <c r="O256" s="590"/>
      <c r="P256" s="590"/>
      <c r="Q256" s="590"/>
      <c r="R256" s="590"/>
      <c r="S256" s="590"/>
      <c r="T256" s="590"/>
      <c r="U256" s="590"/>
      <c r="V256" s="590"/>
      <c r="W256" s="590"/>
      <c r="X256" s="590"/>
      <c r="Y256" s="590"/>
      <c r="Z256" s="590"/>
      <c r="AA256" s="590"/>
      <c r="AB256" s="590"/>
      <c r="AC256" s="590"/>
      <c r="AD256" s="590"/>
      <c r="AE256" s="590"/>
      <c r="AF256" s="590"/>
      <c r="AG256" s="590"/>
      <c r="AH256" s="590"/>
      <c r="AI256" s="590"/>
      <c r="AJ256" s="590"/>
      <c r="AK256" s="590"/>
      <c r="AL256" s="590"/>
      <c r="AM256" s="590"/>
      <c r="AN256" s="590"/>
      <c r="AO256" s="590"/>
      <c r="AP256" s="590"/>
      <c r="AQ256" s="590"/>
      <c r="AR256" s="590"/>
      <c r="AS256" s="590"/>
      <c r="AT256" s="590"/>
      <c r="AU256" s="590"/>
      <c r="AV256" s="590"/>
      <c r="AW256" s="590"/>
      <c r="AX256" s="590"/>
      <c r="AY256" s="590"/>
      <c r="AZ256" s="590"/>
      <c r="BA256" s="590"/>
      <c r="BB256" s="590"/>
      <c r="BC256" s="590"/>
      <c r="BD256" s="590"/>
      <c r="BE256" s="590"/>
      <c r="BF256" s="590"/>
      <c r="BG256" s="590"/>
      <c r="BH256" s="590"/>
      <c r="BI256" s="590"/>
      <c r="BJ256" s="590"/>
      <c r="BK256" s="591"/>
      <c r="BL256" s="591"/>
      <c r="BM256" s="591"/>
      <c r="BN256" s="591"/>
      <c r="BO256" s="591"/>
      <c r="BP256" s="591"/>
      <c r="BQ256" s="591"/>
      <c r="BR256" s="591"/>
      <c r="BS256" s="591"/>
      <c r="BT256" s="591"/>
      <c r="BU256" s="591"/>
      <c r="BV256" s="591"/>
      <c r="BW256" s="591"/>
      <c r="BX256" s="591"/>
      <c r="BY256" s="591"/>
      <c r="BZ256" s="591"/>
      <c r="CA256" s="591"/>
      <c r="CB256" s="591"/>
      <c r="CC256" s="591"/>
      <c r="CD256" s="591"/>
      <c r="CE256" s="591"/>
      <c r="CF256" s="591"/>
    </row>
    <row r="257" spans="1:84">
      <c r="A257" s="590"/>
      <c r="B257" s="590"/>
      <c r="C257" s="590"/>
      <c r="D257" s="590"/>
      <c r="E257" s="590"/>
      <c r="F257" s="590"/>
      <c r="G257" s="590"/>
      <c r="H257" s="590"/>
      <c r="I257" s="590"/>
      <c r="J257" s="590"/>
      <c r="K257" s="590"/>
      <c r="L257" s="590"/>
      <c r="M257" s="590"/>
      <c r="N257" s="590"/>
      <c r="O257" s="590"/>
      <c r="P257" s="590"/>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0"/>
      <c r="AQ257" s="590"/>
      <c r="AR257" s="590"/>
      <c r="AS257" s="590"/>
      <c r="AT257" s="590"/>
      <c r="AU257" s="590"/>
      <c r="AV257" s="590"/>
      <c r="AW257" s="590"/>
      <c r="AX257" s="590"/>
      <c r="AY257" s="590"/>
      <c r="AZ257" s="590"/>
      <c r="BA257" s="590"/>
      <c r="BB257" s="590"/>
      <c r="BC257" s="590"/>
      <c r="BD257" s="590"/>
      <c r="BE257" s="590"/>
      <c r="BF257" s="590"/>
      <c r="BG257" s="590"/>
      <c r="BH257" s="590"/>
      <c r="BI257" s="590"/>
      <c r="BJ257" s="590"/>
      <c r="BK257" s="591"/>
      <c r="BL257" s="591"/>
      <c r="BM257" s="591"/>
      <c r="BN257" s="591"/>
      <c r="BO257" s="591"/>
      <c r="BP257" s="591"/>
      <c r="BQ257" s="591"/>
      <c r="BR257" s="591"/>
      <c r="BS257" s="591"/>
      <c r="BT257" s="591"/>
      <c r="BU257" s="591"/>
      <c r="BV257" s="591"/>
      <c r="BW257" s="591"/>
      <c r="BX257" s="591"/>
      <c r="BY257" s="591"/>
      <c r="BZ257" s="591"/>
      <c r="CA257" s="591"/>
      <c r="CB257" s="591"/>
      <c r="CC257" s="591"/>
      <c r="CD257" s="591"/>
      <c r="CE257" s="591"/>
      <c r="CF257" s="591"/>
    </row>
    <row r="258" spans="1:84">
      <c r="A258" s="590"/>
      <c r="B258" s="590"/>
      <c r="C258" s="590"/>
      <c r="D258" s="590"/>
      <c r="E258" s="590"/>
      <c r="F258" s="590"/>
      <c r="G258" s="590"/>
      <c r="H258" s="590"/>
      <c r="I258" s="590"/>
      <c r="J258" s="590"/>
      <c r="K258" s="590"/>
      <c r="L258" s="590"/>
      <c r="M258" s="590"/>
      <c r="N258" s="590"/>
      <c r="O258" s="590"/>
      <c r="P258" s="590"/>
      <c r="Q258" s="590"/>
      <c r="R258" s="590"/>
      <c r="S258" s="590"/>
      <c r="T258" s="590"/>
      <c r="U258" s="590"/>
      <c r="V258" s="590"/>
      <c r="W258" s="590"/>
      <c r="X258" s="590"/>
      <c r="Y258" s="590"/>
      <c r="Z258" s="590"/>
      <c r="AA258" s="590"/>
      <c r="AB258" s="590"/>
      <c r="AC258" s="590"/>
      <c r="AD258" s="590"/>
      <c r="AE258" s="590"/>
      <c r="AF258" s="590"/>
      <c r="AG258" s="590"/>
      <c r="AH258" s="590"/>
      <c r="AI258" s="590"/>
      <c r="AJ258" s="590"/>
      <c r="AK258" s="590"/>
      <c r="AL258" s="590"/>
      <c r="AM258" s="590"/>
      <c r="AN258" s="590"/>
      <c r="AO258" s="590"/>
      <c r="AP258" s="590"/>
      <c r="AQ258" s="590"/>
      <c r="AR258" s="590"/>
      <c r="AS258" s="590"/>
      <c r="AT258" s="590"/>
      <c r="AU258" s="590"/>
      <c r="AV258" s="590"/>
      <c r="AW258" s="590"/>
      <c r="AX258" s="590"/>
      <c r="AY258" s="590"/>
      <c r="AZ258" s="590"/>
      <c r="BA258" s="590"/>
      <c r="BB258" s="590"/>
      <c r="BC258" s="590"/>
      <c r="BD258" s="590"/>
      <c r="BE258" s="590"/>
      <c r="BF258" s="590"/>
      <c r="BG258" s="590"/>
      <c r="BH258" s="590"/>
      <c r="BI258" s="590"/>
      <c r="BJ258" s="590"/>
      <c r="BK258" s="591"/>
      <c r="BL258" s="591"/>
      <c r="BM258" s="591"/>
      <c r="BN258" s="591"/>
      <c r="BO258" s="591"/>
      <c r="BP258" s="591"/>
      <c r="BQ258" s="591"/>
      <c r="BR258" s="591"/>
      <c r="BS258" s="591"/>
      <c r="BT258" s="591"/>
      <c r="BU258" s="591"/>
      <c r="BV258" s="591"/>
      <c r="BW258" s="591"/>
      <c r="BX258" s="591"/>
      <c r="BY258" s="591"/>
      <c r="BZ258" s="591"/>
      <c r="CA258" s="591"/>
      <c r="CB258" s="591"/>
      <c r="CC258" s="591"/>
      <c r="CD258" s="591"/>
      <c r="CE258" s="591"/>
      <c r="CF258" s="591"/>
    </row>
    <row r="259" spans="1:84">
      <c r="A259" s="590"/>
      <c r="B259" s="590"/>
      <c r="C259" s="590"/>
      <c r="D259" s="590"/>
      <c r="E259" s="590"/>
      <c r="F259" s="590"/>
      <c r="G259" s="590"/>
      <c r="H259" s="590"/>
      <c r="I259" s="590"/>
      <c r="J259" s="590"/>
      <c r="K259" s="590"/>
      <c r="L259" s="590"/>
      <c r="M259" s="590"/>
      <c r="N259" s="590"/>
      <c r="O259" s="590"/>
      <c r="P259" s="590"/>
      <c r="Q259" s="590"/>
      <c r="R259" s="590"/>
      <c r="S259" s="590"/>
      <c r="T259" s="590"/>
      <c r="U259" s="590"/>
      <c r="V259" s="590"/>
      <c r="W259" s="590"/>
      <c r="X259" s="590"/>
      <c r="Y259" s="590"/>
      <c r="Z259" s="590"/>
      <c r="AA259" s="590"/>
      <c r="AB259" s="590"/>
      <c r="AC259" s="590"/>
      <c r="AD259" s="590"/>
      <c r="AE259" s="590"/>
      <c r="AF259" s="590"/>
      <c r="AG259" s="590"/>
      <c r="AH259" s="590"/>
      <c r="AI259" s="590"/>
      <c r="AJ259" s="590"/>
      <c r="AK259" s="590"/>
      <c r="AL259" s="590"/>
      <c r="AM259" s="590"/>
      <c r="AN259" s="590"/>
      <c r="AO259" s="590"/>
      <c r="AP259" s="590"/>
      <c r="AQ259" s="590"/>
      <c r="AR259" s="590"/>
      <c r="AS259" s="590"/>
      <c r="AT259" s="590"/>
      <c r="AU259" s="590"/>
      <c r="AV259" s="590"/>
      <c r="AW259" s="590"/>
      <c r="AX259" s="590"/>
      <c r="AY259" s="590"/>
      <c r="AZ259" s="590"/>
      <c r="BA259" s="590"/>
      <c r="BB259" s="590"/>
      <c r="BC259" s="590"/>
      <c r="BD259" s="590"/>
      <c r="BE259" s="590"/>
      <c r="BF259" s="590"/>
      <c r="BG259" s="590"/>
      <c r="BH259" s="590"/>
      <c r="BI259" s="590"/>
      <c r="BJ259" s="590"/>
      <c r="BK259" s="591"/>
      <c r="BL259" s="591"/>
      <c r="BM259" s="591"/>
      <c r="BN259" s="591"/>
      <c r="BO259" s="591"/>
      <c r="BP259" s="591"/>
      <c r="BQ259" s="591"/>
      <c r="BR259" s="591"/>
      <c r="BS259" s="591"/>
      <c r="BT259" s="591"/>
      <c r="BU259" s="591"/>
      <c r="BV259" s="591"/>
      <c r="BW259" s="591"/>
      <c r="BX259" s="591"/>
      <c r="BY259" s="591"/>
      <c r="BZ259" s="591"/>
      <c r="CA259" s="591"/>
      <c r="CB259" s="591"/>
      <c r="CC259" s="591"/>
      <c r="CD259" s="591"/>
      <c r="CE259" s="591"/>
      <c r="CF259" s="591"/>
    </row>
    <row r="260" spans="1:84">
      <c r="A260" s="591"/>
      <c r="B260" s="591"/>
      <c r="C260" s="591"/>
      <c r="D260" s="591"/>
      <c r="E260" s="591"/>
      <c r="F260" s="591"/>
      <c r="G260" s="591"/>
      <c r="H260" s="591"/>
      <c r="I260" s="591"/>
      <c r="J260" s="591"/>
      <c r="K260" s="591"/>
      <c r="L260" s="591"/>
      <c r="M260" s="591"/>
      <c r="N260" s="591"/>
      <c r="O260" s="591"/>
      <c r="P260" s="591"/>
      <c r="Q260" s="591"/>
      <c r="R260" s="591"/>
      <c r="S260" s="591"/>
      <c r="T260" s="591"/>
      <c r="U260" s="591"/>
      <c r="V260" s="591"/>
      <c r="W260" s="591"/>
      <c r="X260" s="591"/>
      <c r="Y260" s="591"/>
      <c r="Z260" s="591"/>
      <c r="AA260" s="591"/>
      <c r="AB260" s="591"/>
      <c r="AC260" s="591"/>
      <c r="AD260" s="591"/>
      <c r="AE260" s="591"/>
      <c r="AF260" s="591"/>
      <c r="AG260" s="591"/>
      <c r="AH260" s="591"/>
      <c r="AI260" s="591"/>
      <c r="AJ260" s="591"/>
      <c r="AK260" s="591"/>
      <c r="AL260" s="591"/>
      <c r="AM260" s="591"/>
      <c r="AN260" s="591"/>
      <c r="AO260" s="591"/>
      <c r="AP260" s="591"/>
      <c r="AQ260" s="591"/>
      <c r="AR260" s="591"/>
      <c r="AS260" s="591"/>
      <c r="AT260" s="591"/>
      <c r="AU260" s="591"/>
      <c r="AV260" s="591"/>
      <c r="AW260" s="591"/>
      <c r="AX260" s="591"/>
      <c r="AY260" s="591"/>
      <c r="AZ260" s="591"/>
      <c r="BA260" s="591"/>
      <c r="BB260" s="591"/>
      <c r="BC260" s="591"/>
      <c r="BD260" s="591"/>
      <c r="BE260" s="591"/>
      <c r="BF260" s="591"/>
      <c r="BG260" s="591"/>
      <c r="BH260" s="591"/>
      <c r="BI260" s="591"/>
      <c r="BJ260" s="591"/>
      <c r="BK260" s="591"/>
      <c r="BL260" s="591"/>
      <c r="BM260" s="591"/>
      <c r="BN260" s="591"/>
      <c r="BO260" s="591"/>
      <c r="BP260" s="591"/>
      <c r="BQ260" s="591"/>
      <c r="BR260" s="591"/>
      <c r="BS260" s="591"/>
      <c r="BT260" s="591"/>
      <c r="BU260" s="591"/>
      <c r="BV260" s="591"/>
      <c r="BW260" s="591"/>
      <c r="BX260" s="591"/>
      <c r="BY260" s="591"/>
      <c r="BZ260" s="591"/>
      <c r="CA260" s="591"/>
      <c r="CB260" s="591"/>
      <c r="CC260" s="591"/>
      <c r="CD260" s="591"/>
      <c r="CE260" s="591"/>
      <c r="CF260" s="591"/>
    </row>
    <row r="261" spans="1:84">
      <c r="A261" s="591"/>
      <c r="B261" s="591"/>
      <c r="C261" s="591"/>
      <c r="D261" s="591"/>
      <c r="E261" s="591"/>
      <c r="F261" s="591"/>
      <c r="G261" s="591"/>
      <c r="H261" s="591"/>
      <c r="I261" s="591"/>
      <c r="J261" s="591"/>
      <c r="K261" s="591"/>
      <c r="L261" s="591"/>
      <c r="M261" s="591"/>
      <c r="N261" s="591"/>
      <c r="O261" s="591"/>
      <c r="P261" s="591"/>
      <c r="Q261" s="591"/>
      <c r="R261" s="591"/>
      <c r="S261" s="591"/>
      <c r="T261" s="591"/>
      <c r="U261" s="591"/>
      <c r="V261" s="591"/>
      <c r="W261" s="591"/>
      <c r="X261" s="591"/>
      <c r="Y261" s="591"/>
      <c r="Z261" s="591"/>
      <c r="AA261" s="591"/>
      <c r="AB261" s="591"/>
      <c r="AC261" s="591"/>
      <c r="AD261" s="591"/>
      <c r="AE261" s="591"/>
      <c r="AF261" s="591"/>
      <c r="AG261" s="591"/>
      <c r="AH261" s="591"/>
      <c r="AI261" s="591"/>
      <c r="AJ261" s="591"/>
      <c r="AK261" s="591"/>
      <c r="AL261" s="591"/>
      <c r="AM261" s="591"/>
      <c r="AN261" s="591"/>
      <c r="AO261" s="591"/>
      <c r="AP261" s="591"/>
      <c r="AQ261" s="591"/>
      <c r="AR261" s="591"/>
      <c r="AS261" s="591"/>
      <c r="AT261" s="591"/>
      <c r="AU261" s="591"/>
      <c r="AV261" s="591"/>
      <c r="AW261" s="591"/>
      <c r="AX261" s="591"/>
      <c r="AY261" s="591"/>
      <c r="AZ261" s="591"/>
      <c r="BA261" s="591"/>
      <c r="BB261" s="591"/>
      <c r="BC261" s="591"/>
      <c r="BD261" s="591"/>
      <c r="BE261" s="591"/>
      <c r="BF261" s="591"/>
      <c r="BG261" s="591"/>
      <c r="BH261" s="591"/>
      <c r="BI261" s="591"/>
      <c r="BJ261" s="591"/>
      <c r="BK261" s="591"/>
      <c r="BL261" s="591"/>
      <c r="BM261" s="591"/>
      <c r="BN261" s="591"/>
      <c r="BO261" s="591"/>
      <c r="BP261" s="591"/>
      <c r="BQ261" s="591"/>
      <c r="BR261" s="591"/>
      <c r="BS261" s="591"/>
      <c r="BT261" s="591"/>
      <c r="BU261" s="591"/>
      <c r="BV261" s="591"/>
      <c r="BW261" s="591"/>
      <c r="BX261" s="591"/>
      <c r="BY261" s="591"/>
      <c r="BZ261" s="591"/>
      <c r="CA261" s="591"/>
      <c r="CB261" s="591"/>
      <c r="CC261" s="591"/>
      <c r="CD261" s="591"/>
      <c r="CE261" s="591"/>
      <c r="CF261" s="591"/>
    </row>
    <row r="262" spans="1:84">
      <c r="A262" s="591"/>
      <c r="B262" s="591"/>
      <c r="C262" s="591"/>
      <c r="D262" s="591"/>
      <c r="E262" s="591"/>
      <c r="F262" s="591"/>
      <c r="G262" s="591"/>
      <c r="H262" s="591"/>
      <c r="I262" s="591"/>
      <c r="J262" s="591"/>
      <c r="K262" s="591"/>
      <c r="L262" s="591"/>
      <c r="M262" s="591"/>
      <c r="N262" s="591"/>
      <c r="O262" s="591"/>
      <c r="P262" s="591"/>
      <c r="Q262" s="591"/>
      <c r="R262" s="591"/>
      <c r="S262" s="591"/>
      <c r="T262" s="591"/>
      <c r="U262" s="591"/>
      <c r="V262" s="591"/>
      <c r="W262" s="591"/>
      <c r="X262" s="591"/>
      <c r="Y262" s="591"/>
      <c r="Z262" s="591"/>
      <c r="AA262" s="591"/>
      <c r="AB262" s="591"/>
      <c r="AC262" s="591"/>
      <c r="AD262" s="591"/>
      <c r="AE262" s="591"/>
      <c r="AF262" s="591"/>
      <c r="AG262" s="591"/>
      <c r="AH262" s="591"/>
      <c r="AI262" s="591"/>
      <c r="AJ262" s="591"/>
      <c r="AK262" s="591"/>
      <c r="AL262" s="591"/>
      <c r="AM262" s="591"/>
      <c r="AN262" s="591"/>
      <c r="AO262" s="591"/>
      <c r="AP262" s="591"/>
      <c r="AQ262" s="591"/>
      <c r="AR262" s="591"/>
      <c r="AS262" s="591"/>
      <c r="AT262" s="591"/>
      <c r="AU262" s="591"/>
      <c r="AV262" s="591"/>
      <c r="AW262" s="591"/>
      <c r="AX262" s="591"/>
      <c r="AY262" s="591"/>
      <c r="AZ262" s="591"/>
      <c r="BA262" s="591"/>
      <c r="BB262" s="591"/>
      <c r="BC262" s="591"/>
      <c r="BD262" s="591"/>
      <c r="BE262" s="591"/>
      <c r="BF262" s="591"/>
      <c r="BG262" s="591"/>
      <c r="BH262" s="591"/>
      <c r="BI262" s="591"/>
      <c r="BJ262" s="591"/>
      <c r="BK262" s="591"/>
      <c r="BL262" s="591"/>
      <c r="BM262" s="591"/>
      <c r="BN262" s="591"/>
      <c r="BO262" s="591"/>
      <c r="BP262" s="591"/>
      <c r="BQ262" s="591"/>
      <c r="BR262" s="591"/>
      <c r="BS262" s="591"/>
      <c r="BT262" s="591"/>
      <c r="BU262" s="591"/>
      <c r="BV262" s="591"/>
      <c r="BW262" s="591"/>
      <c r="BX262" s="591"/>
      <c r="BY262" s="591"/>
      <c r="BZ262" s="591"/>
      <c r="CA262" s="591"/>
      <c r="CB262" s="591"/>
      <c r="CC262" s="591"/>
      <c r="CD262" s="591"/>
      <c r="CE262" s="591"/>
      <c r="CF262" s="591"/>
    </row>
    <row r="263" spans="1:84">
      <c r="A263" s="591"/>
      <c r="B263" s="591"/>
      <c r="C263" s="591"/>
      <c r="D263" s="591"/>
      <c r="E263" s="591"/>
      <c r="F263" s="591"/>
      <c r="G263" s="591"/>
      <c r="H263" s="591"/>
      <c r="I263" s="591"/>
      <c r="J263" s="591"/>
      <c r="K263" s="591"/>
      <c r="L263" s="591"/>
      <c r="M263" s="591"/>
      <c r="N263" s="591"/>
      <c r="O263" s="591"/>
      <c r="P263" s="591"/>
      <c r="Q263" s="591"/>
      <c r="R263" s="591"/>
      <c r="S263" s="591"/>
      <c r="T263" s="591"/>
      <c r="U263" s="591"/>
      <c r="V263" s="591"/>
      <c r="W263" s="591"/>
      <c r="X263" s="591"/>
      <c r="Y263" s="591"/>
      <c r="Z263" s="591"/>
      <c r="AA263" s="591"/>
      <c r="AB263" s="591"/>
      <c r="AC263" s="591"/>
      <c r="AD263" s="591"/>
      <c r="AE263" s="591"/>
      <c r="AF263" s="591"/>
      <c r="AG263" s="591"/>
      <c r="AH263" s="591"/>
      <c r="AI263" s="591"/>
      <c r="AJ263" s="591"/>
      <c r="AK263" s="591"/>
      <c r="AL263" s="591"/>
      <c r="AM263" s="591"/>
      <c r="AN263" s="591"/>
      <c r="AO263" s="591"/>
      <c r="AP263" s="591"/>
      <c r="AQ263" s="591"/>
      <c r="AR263" s="591"/>
      <c r="AS263" s="591"/>
      <c r="AT263" s="591"/>
      <c r="AU263" s="591"/>
      <c r="AV263" s="591"/>
      <c r="AW263" s="591"/>
      <c r="AX263" s="591"/>
      <c r="AY263" s="591"/>
      <c r="AZ263" s="591"/>
      <c r="BA263" s="591"/>
      <c r="BB263" s="591"/>
      <c r="BC263" s="591"/>
      <c r="BD263" s="591"/>
      <c r="BE263" s="591"/>
      <c r="BF263" s="591"/>
      <c r="BG263" s="591"/>
      <c r="BH263" s="591"/>
      <c r="BI263" s="591"/>
      <c r="BJ263" s="591"/>
      <c r="BK263" s="591"/>
      <c r="BL263" s="591"/>
      <c r="BM263" s="591"/>
      <c r="BN263" s="591"/>
      <c r="BO263" s="591"/>
      <c r="BP263" s="591"/>
      <c r="BQ263" s="591"/>
      <c r="BR263" s="591"/>
      <c r="BS263" s="591"/>
      <c r="BT263" s="591"/>
      <c r="BU263" s="591"/>
      <c r="BV263" s="591"/>
      <c r="BW263" s="591"/>
      <c r="BX263" s="591"/>
      <c r="BY263" s="591"/>
      <c r="BZ263" s="591"/>
      <c r="CA263" s="591"/>
      <c r="CB263" s="591"/>
      <c r="CC263" s="591"/>
      <c r="CD263" s="591"/>
      <c r="CE263" s="591"/>
      <c r="CF263" s="591"/>
    </row>
    <row r="264" spans="1:84">
      <c r="A264" s="591"/>
      <c r="B264" s="591"/>
      <c r="C264" s="591"/>
      <c r="D264" s="591"/>
      <c r="E264" s="591"/>
      <c r="F264" s="591"/>
      <c r="G264" s="591"/>
      <c r="H264" s="591"/>
      <c r="I264" s="591"/>
      <c r="J264" s="591"/>
      <c r="K264" s="591"/>
      <c r="L264" s="591"/>
      <c r="M264" s="591"/>
      <c r="N264" s="591"/>
      <c r="O264" s="591"/>
      <c r="P264" s="591"/>
      <c r="Q264" s="591"/>
      <c r="R264" s="591"/>
      <c r="S264" s="591"/>
      <c r="T264" s="591"/>
      <c r="U264" s="591"/>
      <c r="V264" s="591"/>
      <c r="W264" s="591"/>
      <c r="X264" s="591"/>
      <c r="Y264" s="591"/>
      <c r="Z264" s="591"/>
      <c r="AA264" s="591"/>
      <c r="AB264" s="591"/>
      <c r="AC264" s="591"/>
      <c r="AD264" s="591"/>
      <c r="AE264" s="591"/>
      <c r="AF264" s="591"/>
      <c r="AG264" s="591"/>
      <c r="AH264" s="591"/>
      <c r="AI264" s="591"/>
      <c r="AJ264" s="591"/>
      <c r="AK264" s="591"/>
      <c r="AL264" s="591"/>
      <c r="AM264" s="591"/>
      <c r="AN264" s="591"/>
      <c r="AO264" s="591"/>
      <c r="AP264" s="591"/>
      <c r="AQ264" s="591"/>
      <c r="AR264" s="591"/>
      <c r="AS264" s="591"/>
      <c r="AT264" s="591"/>
      <c r="AU264" s="591"/>
      <c r="AV264" s="591"/>
      <c r="AW264" s="591"/>
      <c r="AX264" s="591"/>
      <c r="AY264" s="591"/>
      <c r="AZ264" s="591"/>
      <c r="BA264" s="591"/>
      <c r="BB264" s="591"/>
      <c r="BC264" s="591"/>
      <c r="BD264" s="591"/>
      <c r="BE264" s="591"/>
      <c r="BF264" s="591"/>
      <c r="BG264" s="591"/>
      <c r="BH264" s="591"/>
      <c r="BI264" s="591"/>
      <c r="BJ264" s="591"/>
      <c r="BK264" s="591"/>
      <c r="BL264" s="591"/>
      <c r="BM264" s="591"/>
      <c r="BN264" s="591"/>
      <c r="BO264" s="591"/>
      <c r="BP264" s="591"/>
      <c r="BQ264" s="591"/>
      <c r="BR264" s="591"/>
      <c r="BS264" s="591"/>
      <c r="BT264" s="591"/>
      <c r="BU264" s="591"/>
      <c r="BV264" s="591"/>
      <c r="BW264" s="591"/>
      <c r="BX264" s="591"/>
      <c r="BY264" s="591"/>
      <c r="BZ264" s="591"/>
      <c r="CA264" s="591"/>
      <c r="CB264" s="591"/>
      <c r="CC264" s="591"/>
      <c r="CD264" s="591"/>
      <c r="CE264" s="591"/>
      <c r="CF264" s="591"/>
    </row>
    <row r="265" spans="1:84">
      <c r="A265" s="591"/>
      <c r="B265" s="591"/>
      <c r="C265" s="591"/>
      <c r="D265" s="591"/>
      <c r="E265" s="591"/>
      <c r="F265" s="591"/>
      <c r="G265" s="591"/>
      <c r="H265" s="591"/>
      <c r="I265" s="591"/>
      <c r="J265" s="591"/>
      <c r="K265" s="591"/>
      <c r="L265" s="591"/>
      <c r="M265" s="591"/>
      <c r="N265" s="591"/>
      <c r="O265" s="591"/>
      <c r="P265" s="591"/>
      <c r="Q265" s="591"/>
      <c r="R265" s="591"/>
      <c r="S265" s="591"/>
      <c r="T265" s="591"/>
      <c r="U265" s="591"/>
      <c r="V265" s="591"/>
      <c r="W265" s="591"/>
      <c r="X265" s="591"/>
      <c r="Y265" s="591"/>
      <c r="Z265" s="591"/>
      <c r="AA265" s="591"/>
      <c r="AB265" s="591"/>
      <c r="AC265" s="591"/>
      <c r="AD265" s="591"/>
      <c r="AE265" s="591"/>
      <c r="AF265" s="591"/>
      <c r="AG265" s="591"/>
      <c r="AH265" s="591"/>
      <c r="AI265" s="591"/>
      <c r="AJ265" s="591"/>
      <c r="AK265" s="591"/>
      <c r="AL265" s="591"/>
      <c r="AM265" s="591"/>
      <c r="AN265" s="591"/>
      <c r="AO265" s="591"/>
      <c r="AP265" s="591"/>
      <c r="AQ265" s="591"/>
      <c r="AR265" s="591"/>
      <c r="AS265" s="591"/>
      <c r="AT265" s="591"/>
      <c r="AU265" s="591"/>
      <c r="AV265" s="591"/>
      <c r="AW265" s="591"/>
      <c r="AX265" s="591"/>
      <c r="AY265" s="591"/>
      <c r="AZ265" s="591"/>
      <c r="BA265" s="591"/>
      <c r="BB265" s="591"/>
      <c r="BC265" s="591"/>
      <c r="BD265" s="591"/>
      <c r="BE265" s="591"/>
      <c r="BF265" s="591"/>
      <c r="BG265" s="591"/>
      <c r="BH265" s="591"/>
      <c r="BI265" s="591"/>
      <c r="BJ265" s="591"/>
      <c r="BK265" s="591"/>
      <c r="BL265" s="591"/>
      <c r="BM265" s="591"/>
      <c r="BN265" s="591"/>
      <c r="BO265" s="591"/>
      <c r="BP265" s="591"/>
      <c r="BQ265" s="591"/>
      <c r="BR265" s="591"/>
      <c r="BS265" s="591"/>
      <c r="BT265" s="591"/>
      <c r="BU265" s="591"/>
      <c r="BV265" s="591"/>
      <c r="BW265" s="591"/>
      <c r="BX265" s="591"/>
      <c r="BY265" s="591"/>
      <c r="BZ265" s="591"/>
      <c r="CA265" s="591"/>
      <c r="CB265" s="591"/>
      <c r="CC265" s="591"/>
      <c r="CD265" s="591"/>
      <c r="CE265" s="591"/>
      <c r="CF265" s="591"/>
    </row>
    <row r="266" spans="1:84">
      <c r="A266" s="591"/>
      <c r="B266" s="591"/>
      <c r="C266" s="591"/>
      <c r="D266" s="591"/>
      <c r="E266" s="591"/>
      <c r="F266" s="591"/>
      <c r="G266" s="591"/>
      <c r="H266" s="591"/>
      <c r="I266" s="591"/>
      <c r="J266" s="591"/>
      <c r="K266" s="591"/>
      <c r="L266" s="591"/>
      <c r="M266" s="591"/>
      <c r="N266" s="591"/>
      <c r="O266" s="591"/>
      <c r="P266" s="591"/>
      <c r="Q266" s="591"/>
      <c r="R266" s="591"/>
      <c r="S266" s="591"/>
      <c r="T266" s="591"/>
      <c r="U266" s="591"/>
      <c r="V266" s="591"/>
      <c r="W266" s="591"/>
      <c r="X266" s="591"/>
      <c r="Y266" s="591"/>
      <c r="Z266" s="591"/>
      <c r="AA266" s="591"/>
      <c r="AB266" s="591"/>
      <c r="AC266" s="591"/>
      <c r="AD266" s="591"/>
      <c r="AE266" s="591"/>
      <c r="AF266" s="591"/>
      <c r="AG266" s="591"/>
      <c r="AH266" s="591"/>
      <c r="AI266" s="591"/>
      <c r="AJ266" s="591"/>
      <c r="AK266" s="591"/>
      <c r="AL266" s="591"/>
      <c r="AM266" s="591"/>
      <c r="AN266" s="591"/>
      <c r="AO266" s="591"/>
      <c r="AP266" s="591"/>
      <c r="AQ266" s="591"/>
      <c r="AR266" s="591"/>
      <c r="AS266" s="591"/>
      <c r="AT266" s="591"/>
      <c r="AU266" s="591"/>
      <c r="AV266" s="591"/>
      <c r="AW266" s="591"/>
      <c r="AX266" s="591"/>
      <c r="AY266" s="591"/>
      <c r="AZ266" s="591"/>
      <c r="BA266" s="591"/>
      <c r="BB266" s="591"/>
      <c r="BC266" s="591"/>
      <c r="BD266" s="591"/>
      <c r="BE266" s="591"/>
      <c r="BF266" s="591"/>
      <c r="BG266" s="591"/>
      <c r="BH266" s="591"/>
      <c r="BI266" s="591"/>
      <c r="BJ266" s="591"/>
      <c r="BK266" s="591"/>
      <c r="BL266" s="591"/>
      <c r="BM266" s="591"/>
      <c r="BN266" s="591"/>
      <c r="BO266" s="591"/>
      <c r="BP266" s="591"/>
      <c r="BQ266" s="591"/>
      <c r="BR266" s="591"/>
      <c r="BS266" s="591"/>
      <c r="BT266" s="591"/>
      <c r="BU266" s="591"/>
      <c r="BV266" s="591"/>
      <c r="BW266" s="591"/>
      <c r="BX266" s="591"/>
      <c r="BY266" s="591"/>
      <c r="BZ266" s="591"/>
      <c r="CA266" s="591"/>
      <c r="CB266" s="591"/>
      <c r="CC266" s="591"/>
      <c r="CD266" s="591"/>
      <c r="CE266" s="591"/>
      <c r="CF266" s="591"/>
    </row>
    <row r="267" spans="1:84">
      <c r="A267" s="591"/>
      <c r="B267" s="591"/>
      <c r="C267" s="591"/>
      <c r="D267" s="591"/>
      <c r="E267" s="591"/>
      <c r="F267" s="591"/>
      <c r="G267" s="591"/>
      <c r="H267" s="591"/>
      <c r="I267" s="591"/>
      <c r="J267" s="591"/>
      <c r="K267" s="591"/>
      <c r="L267" s="591"/>
      <c r="M267" s="591"/>
      <c r="N267" s="591"/>
      <c r="O267" s="591"/>
      <c r="P267" s="591"/>
      <c r="Q267" s="591"/>
      <c r="R267" s="591"/>
      <c r="S267" s="591"/>
      <c r="T267" s="591"/>
      <c r="U267" s="591"/>
      <c r="V267" s="591"/>
      <c r="W267" s="591"/>
      <c r="X267" s="591"/>
      <c r="Y267" s="591"/>
      <c r="Z267" s="591"/>
      <c r="AA267" s="591"/>
      <c r="AB267" s="591"/>
      <c r="AC267" s="591"/>
      <c r="AD267" s="591"/>
      <c r="AE267" s="591"/>
      <c r="AF267" s="591"/>
      <c r="AG267" s="591"/>
      <c r="AH267" s="591"/>
      <c r="AI267" s="591"/>
      <c r="AJ267" s="591"/>
      <c r="AK267" s="591"/>
      <c r="AL267" s="591"/>
      <c r="AM267" s="591"/>
      <c r="AN267" s="591"/>
      <c r="AO267" s="591"/>
      <c r="AP267" s="591"/>
      <c r="AQ267" s="591"/>
      <c r="AR267" s="591"/>
      <c r="AS267" s="591"/>
      <c r="AT267" s="591"/>
      <c r="AU267" s="591"/>
      <c r="AV267" s="591"/>
      <c r="AW267" s="591"/>
      <c r="AX267" s="591"/>
      <c r="AY267" s="591"/>
      <c r="AZ267" s="591"/>
      <c r="BA267" s="591"/>
      <c r="BB267" s="591"/>
      <c r="BC267" s="591"/>
      <c r="BD267" s="591"/>
      <c r="BE267" s="591"/>
      <c r="BF267" s="591"/>
      <c r="BG267" s="591"/>
      <c r="BH267" s="591"/>
      <c r="BI267" s="591"/>
      <c r="BJ267" s="591"/>
      <c r="BK267" s="591"/>
      <c r="BL267" s="591"/>
      <c r="BM267" s="591"/>
      <c r="BN267" s="591"/>
      <c r="BO267" s="591"/>
      <c r="BP267" s="591"/>
      <c r="BQ267" s="591"/>
      <c r="BR267" s="591"/>
      <c r="BS267" s="591"/>
      <c r="BT267" s="591"/>
      <c r="BU267" s="591"/>
      <c r="BV267" s="591"/>
      <c r="BW267" s="591"/>
      <c r="BX267" s="591"/>
      <c r="BY267" s="591"/>
      <c r="BZ267" s="591"/>
      <c r="CA267" s="591"/>
      <c r="CB267" s="591"/>
      <c r="CC267" s="591"/>
      <c r="CD267" s="591"/>
      <c r="CE267" s="591"/>
      <c r="CF267" s="591"/>
    </row>
    <row r="268" spans="1:84">
      <c r="A268" s="591"/>
      <c r="B268" s="591"/>
      <c r="C268" s="591"/>
      <c r="D268" s="591"/>
      <c r="E268" s="591"/>
      <c r="F268" s="591"/>
      <c r="G268" s="591"/>
      <c r="H268" s="591"/>
      <c r="I268" s="591"/>
      <c r="J268" s="591"/>
      <c r="K268" s="591"/>
      <c r="L268" s="591"/>
      <c r="M268" s="591"/>
      <c r="N268" s="591"/>
      <c r="O268" s="591"/>
      <c r="P268" s="591"/>
      <c r="Q268" s="591"/>
      <c r="R268" s="591"/>
      <c r="S268" s="591"/>
      <c r="T268" s="591"/>
      <c r="U268" s="591"/>
      <c r="V268" s="591"/>
      <c r="W268" s="591"/>
      <c r="X268" s="591"/>
      <c r="Y268" s="591"/>
      <c r="Z268" s="591"/>
      <c r="AA268" s="591"/>
      <c r="AB268" s="591"/>
      <c r="AC268" s="591"/>
      <c r="AD268" s="591"/>
      <c r="AE268" s="591"/>
      <c r="AF268" s="591"/>
      <c r="AG268" s="591"/>
      <c r="AH268" s="591"/>
      <c r="AI268" s="591"/>
      <c r="AJ268" s="591"/>
      <c r="AK268" s="591"/>
      <c r="AL268" s="591"/>
      <c r="AM268" s="591"/>
      <c r="AN268" s="591"/>
      <c r="AO268" s="591"/>
      <c r="AP268" s="591"/>
      <c r="AQ268" s="591"/>
      <c r="AR268" s="591"/>
      <c r="AS268" s="591"/>
      <c r="AT268" s="591"/>
      <c r="AU268" s="591"/>
      <c r="AV268" s="591"/>
      <c r="AW268" s="591"/>
      <c r="AX268" s="591"/>
      <c r="AY268" s="591"/>
      <c r="AZ268" s="591"/>
      <c r="BA268" s="591"/>
      <c r="BB268" s="591"/>
      <c r="BC268" s="591"/>
      <c r="BD268" s="591"/>
      <c r="BE268" s="591"/>
      <c r="BF268" s="591"/>
      <c r="BG268" s="591"/>
      <c r="BH268" s="591"/>
      <c r="BI268" s="591"/>
      <c r="BJ268" s="591"/>
      <c r="BK268" s="591"/>
      <c r="BL268" s="591"/>
      <c r="BM268" s="591"/>
      <c r="BN268" s="591"/>
      <c r="BO268" s="591"/>
      <c r="BP268" s="591"/>
      <c r="BQ268" s="591"/>
      <c r="BR268" s="591"/>
      <c r="BS268" s="591"/>
      <c r="BT268" s="591"/>
      <c r="BU268" s="591"/>
      <c r="BV268" s="591"/>
      <c r="BW268" s="591"/>
      <c r="BX268" s="591"/>
      <c r="BY268" s="591"/>
      <c r="BZ268" s="591"/>
      <c r="CA268" s="591"/>
      <c r="CB268" s="591"/>
      <c r="CC268" s="591"/>
      <c r="CD268" s="591"/>
      <c r="CE268" s="591"/>
      <c r="CF268" s="591"/>
    </row>
    <row r="269" spans="1:84">
      <c r="A269" s="591"/>
      <c r="B269" s="591"/>
      <c r="C269" s="591"/>
      <c r="D269" s="591"/>
      <c r="E269" s="591"/>
      <c r="F269" s="591"/>
      <c r="G269" s="591"/>
      <c r="H269" s="591"/>
      <c r="I269" s="591"/>
      <c r="J269" s="591"/>
      <c r="K269" s="591"/>
      <c r="L269" s="591"/>
      <c r="M269" s="591"/>
      <c r="N269" s="591"/>
      <c r="O269" s="591"/>
      <c r="P269" s="591"/>
      <c r="Q269" s="591"/>
      <c r="R269" s="591"/>
      <c r="S269" s="591"/>
      <c r="T269" s="591"/>
      <c r="U269" s="591"/>
      <c r="V269" s="591"/>
      <c r="W269" s="591"/>
      <c r="X269" s="591"/>
      <c r="Y269" s="591"/>
      <c r="Z269" s="591"/>
      <c r="AA269" s="591"/>
      <c r="AB269" s="591"/>
      <c r="AC269" s="591"/>
      <c r="AD269" s="591"/>
      <c r="AE269" s="591"/>
      <c r="AF269" s="591"/>
      <c r="AG269" s="591"/>
      <c r="AH269" s="591"/>
      <c r="AI269" s="591"/>
      <c r="AJ269" s="591"/>
      <c r="AK269" s="591"/>
      <c r="AL269" s="591"/>
      <c r="AM269" s="591"/>
      <c r="AN269" s="591"/>
      <c r="AO269" s="591"/>
      <c r="AP269" s="591"/>
      <c r="AQ269" s="591"/>
      <c r="AR269" s="591"/>
      <c r="AS269" s="591"/>
      <c r="AT269" s="591"/>
      <c r="AU269" s="591"/>
      <c r="AV269" s="591"/>
      <c r="AW269" s="591"/>
      <c r="AX269" s="591"/>
      <c r="AY269" s="591"/>
      <c r="AZ269" s="591"/>
      <c r="BA269" s="591"/>
      <c r="BB269" s="591"/>
      <c r="BC269" s="591"/>
      <c r="BD269" s="591"/>
      <c r="BE269" s="591"/>
      <c r="BF269" s="591"/>
      <c r="BG269" s="591"/>
      <c r="BH269" s="591"/>
      <c r="BI269" s="591"/>
      <c r="BJ269" s="591"/>
      <c r="BK269" s="591"/>
      <c r="BL269" s="591"/>
      <c r="BM269" s="591"/>
      <c r="BN269" s="591"/>
      <c r="BO269" s="591"/>
      <c r="BP269" s="591"/>
      <c r="BQ269" s="591"/>
      <c r="BR269" s="591"/>
      <c r="BS269" s="591"/>
      <c r="BT269" s="591"/>
      <c r="BU269" s="591"/>
      <c r="BV269" s="591"/>
      <c r="BW269" s="591"/>
      <c r="BX269" s="591"/>
      <c r="BY269" s="591"/>
      <c r="BZ269" s="591"/>
      <c r="CA269" s="591"/>
      <c r="CB269" s="591"/>
      <c r="CC269" s="591"/>
      <c r="CD269" s="591"/>
      <c r="CE269" s="591"/>
      <c r="CF269" s="591"/>
    </row>
    <row r="270" spans="1:84">
      <c r="A270" s="591"/>
      <c r="B270" s="591"/>
      <c r="C270" s="591"/>
      <c r="D270" s="591"/>
      <c r="E270" s="591"/>
      <c r="F270" s="591"/>
      <c r="G270" s="591"/>
      <c r="H270" s="591"/>
      <c r="I270" s="591"/>
      <c r="J270" s="591"/>
      <c r="K270" s="591"/>
      <c r="L270" s="591"/>
      <c r="M270" s="591"/>
      <c r="N270" s="591"/>
      <c r="O270" s="591"/>
      <c r="P270" s="591"/>
      <c r="Q270" s="591"/>
      <c r="R270" s="591"/>
      <c r="S270" s="591"/>
      <c r="T270" s="591"/>
      <c r="U270" s="591"/>
      <c r="V270" s="591"/>
      <c r="W270" s="591"/>
      <c r="X270" s="591"/>
      <c r="Y270" s="591"/>
      <c r="Z270" s="591"/>
      <c r="AA270" s="591"/>
      <c r="AB270" s="591"/>
      <c r="AC270" s="591"/>
      <c r="AD270" s="591"/>
      <c r="AE270" s="591"/>
      <c r="AF270" s="591"/>
      <c r="AG270" s="591"/>
      <c r="AH270" s="591"/>
      <c r="AI270" s="591"/>
      <c r="AJ270" s="591"/>
      <c r="AK270" s="591"/>
      <c r="AL270" s="591"/>
      <c r="AM270" s="591"/>
      <c r="AN270" s="591"/>
      <c r="AO270" s="591"/>
      <c r="AP270" s="591"/>
      <c r="AQ270" s="591"/>
      <c r="AR270" s="591"/>
      <c r="AS270" s="591"/>
      <c r="AT270" s="591"/>
      <c r="AU270" s="591"/>
      <c r="AV270" s="591"/>
      <c r="AW270" s="591"/>
      <c r="AX270" s="591"/>
      <c r="AY270" s="591"/>
      <c r="AZ270" s="591"/>
      <c r="BA270" s="591"/>
      <c r="BB270" s="591"/>
      <c r="BC270" s="591"/>
      <c r="BD270" s="591"/>
      <c r="BE270" s="591"/>
      <c r="BF270" s="591"/>
      <c r="BG270" s="591"/>
      <c r="BH270" s="591"/>
      <c r="BI270" s="591"/>
      <c r="BJ270" s="591"/>
      <c r="BK270" s="591"/>
      <c r="BL270" s="591"/>
      <c r="BM270" s="591"/>
      <c r="BN270" s="591"/>
      <c r="BO270" s="591"/>
      <c r="BP270" s="591"/>
      <c r="BQ270" s="591"/>
      <c r="BR270" s="591"/>
      <c r="BS270" s="591"/>
      <c r="BT270" s="591"/>
      <c r="BU270" s="591"/>
      <c r="BV270" s="591"/>
      <c r="BW270" s="591"/>
      <c r="BX270" s="591"/>
      <c r="BY270" s="591"/>
      <c r="BZ270" s="591"/>
      <c r="CA270" s="591"/>
      <c r="CB270" s="591"/>
      <c r="CC270" s="591"/>
      <c r="CD270" s="591"/>
      <c r="CE270" s="591"/>
      <c r="CF270" s="591"/>
    </row>
    <row r="271" spans="1:84">
      <c r="A271" s="591"/>
      <c r="B271" s="591"/>
      <c r="C271" s="591"/>
      <c r="D271" s="591"/>
      <c r="E271" s="591"/>
      <c r="F271" s="591"/>
      <c r="G271" s="591"/>
      <c r="H271" s="591"/>
      <c r="I271" s="591"/>
      <c r="J271" s="591"/>
      <c r="K271" s="591"/>
      <c r="L271" s="591"/>
      <c r="M271" s="591"/>
      <c r="N271" s="591"/>
      <c r="O271" s="591"/>
      <c r="P271" s="591"/>
      <c r="Q271" s="591"/>
      <c r="R271" s="591"/>
      <c r="S271" s="591"/>
      <c r="T271" s="591"/>
      <c r="U271" s="591"/>
      <c r="V271" s="591"/>
      <c r="W271" s="591"/>
      <c r="X271" s="591"/>
      <c r="Y271" s="591"/>
      <c r="Z271" s="591"/>
      <c r="AA271" s="591"/>
      <c r="AB271" s="591"/>
      <c r="AC271" s="591"/>
      <c r="AD271" s="591"/>
      <c r="AE271" s="591"/>
      <c r="AF271" s="591"/>
      <c r="AG271" s="591"/>
      <c r="AH271" s="591"/>
      <c r="AI271" s="591"/>
      <c r="AJ271" s="591"/>
      <c r="AK271" s="591"/>
      <c r="AL271" s="591"/>
      <c r="AM271" s="591"/>
      <c r="AN271" s="591"/>
      <c r="AO271" s="591"/>
      <c r="AP271" s="591"/>
      <c r="AQ271" s="591"/>
      <c r="AR271" s="591"/>
      <c r="AS271" s="591"/>
      <c r="AT271" s="591"/>
      <c r="AU271" s="591"/>
      <c r="AV271" s="591"/>
      <c r="AW271" s="591"/>
      <c r="AX271" s="591"/>
      <c r="AY271" s="591"/>
      <c r="AZ271" s="591"/>
      <c r="BA271" s="591"/>
      <c r="BB271" s="591"/>
      <c r="BC271" s="591"/>
      <c r="BD271" s="591"/>
      <c r="BE271" s="591"/>
      <c r="BF271" s="591"/>
      <c r="BG271" s="591"/>
      <c r="BH271" s="591"/>
      <c r="BI271" s="591"/>
      <c r="BJ271" s="591"/>
      <c r="BK271" s="591"/>
      <c r="BL271" s="591"/>
      <c r="BM271" s="591"/>
      <c r="BN271" s="591"/>
      <c r="BO271" s="591"/>
      <c r="BP271" s="591"/>
      <c r="BQ271" s="591"/>
      <c r="BR271" s="591"/>
      <c r="BS271" s="591"/>
      <c r="BT271" s="591"/>
      <c r="BU271" s="591"/>
      <c r="BV271" s="591"/>
      <c r="BW271" s="591"/>
      <c r="BX271" s="591"/>
      <c r="BY271" s="591"/>
      <c r="BZ271" s="591"/>
      <c r="CA271" s="591"/>
      <c r="CB271" s="591"/>
      <c r="CC271" s="591"/>
      <c r="CD271" s="591"/>
      <c r="CE271" s="591"/>
      <c r="CF271" s="591"/>
    </row>
    <row r="272" spans="1:84">
      <c r="A272" s="591"/>
      <c r="B272" s="591"/>
      <c r="C272" s="591"/>
      <c r="D272" s="591"/>
      <c r="E272" s="591"/>
      <c r="F272" s="591"/>
      <c r="G272" s="591"/>
      <c r="H272" s="591"/>
      <c r="I272" s="591"/>
      <c r="J272" s="591"/>
      <c r="K272" s="591"/>
      <c r="L272" s="591"/>
      <c r="M272" s="591"/>
      <c r="N272" s="591"/>
      <c r="O272" s="591"/>
      <c r="P272" s="591"/>
      <c r="Q272" s="591"/>
      <c r="R272" s="591"/>
      <c r="S272" s="591"/>
      <c r="T272" s="591"/>
      <c r="U272" s="591"/>
      <c r="V272" s="591"/>
      <c r="W272" s="591"/>
      <c r="X272" s="591"/>
      <c r="Y272" s="591"/>
      <c r="Z272" s="591"/>
      <c r="AA272" s="591"/>
      <c r="AB272" s="591"/>
      <c r="AC272" s="591"/>
      <c r="AD272" s="591"/>
      <c r="AE272" s="591"/>
      <c r="AF272" s="591"/>
      <c r="AG272" s="591"/>
      <c r="AH272" s="591"/>
      <c r="AI272" s="591"/>
      <c r="AJ272" s="591"/>
      <c r="AK272" s="591"/>
      <c r="AL272" s="591"/>
      <c r="AM272" s="591"/>
      <c r="AN272" s="591"/>
      <c r="AO272" s="591"/>
      <c r="AP272" s="591"/>
      <c r="AQ272" s="591"/>
      <c r="AR272" s="591"/>
      <c r="AS272" s="591"/>
      <c r="AT272" s="591"/>
      <c r="AU272" s="591"/>
      <c r="AV272" s="591"/>
      <c r="AW272" s="591"/>
      <c r="AX272" s="591"/>
      <c r="AY272" s="591"/>
      <c r="AZ272" s="591"/>
      <c r="BA272" s="591"/>
      <c r="BB272" s="591"/>
      <c r="BC272" s="591"/>
      <c r="BD272" s="591"/>
      <c r="BE272" s="591"/>
      <c r="BF272" s="591"/>
      <c r="BG272" s="591"/>
      <c r="BH272" s="591"/>
      <c r="BI272" s="591"/>
      <c r="BJ272" s="591"/>
      <c r="BK272" s="591"/>
      <c r="BL272" s="591"/>
      <c r="BM272" s="591"/>
      <c r="BN272" s="591"/>
      <c r="BO272" s="591"/>
      <c r="BP272" s="591"/>
      <c r="BQ272" s="591"/>
      <c r="BR272" s="591"/>
      <c r="BS272" s="591"/>
      <c r="BT272" s="591"/>
      <c r="BU272" s="591"/>
      <c r="BV272" s="591"/>
      <c r="BW272" s="591"/>
      <c r="BX272" s="591"/>
      <c r="BY272" s="591"/>
      <c r="BZ272" s="591"/>
      <c r="CA272" s="591"/>
      <c r="CB272" s="591"/>
      <c r="CC272" s="591"/>
      <c r="CD272" s="591"/>
      <c r="CE272" s="591"/>
      <c r="CF272" s="591"/>
    </row>
    <row r="273" spans="1:84">
      <c r="A273" s="591"/>
      <c r="B273" s="591"/>
      <c r="C273" s="591"/>
      <c r="D273" s="591"/>
      <c r="E273" s="591"/>
      <c r="F273" s="591"/>
      <c r="G273" s="591"/>
      <c r="H273" s="591"/>
      <c r="I273" s="591"/>
      <c r="J273" s="591"/>
      <c r="K273" s="591"/>
      <c r="L273" s="591"/>
      <c r="M273" s="591"/>
      <c r="N273" s="591"/>
      <c r="O273" s="591"/>
      <c r="P273" s="591"/>
      <c r="Q273" s="591"/>
      <c r="R273" s="591"/>
      <c r="S273" s="591"/>
      <c r="T273" s="591"/>
      <c r="U273" s="591"/>
      <c r="V273" s="591"/>
      <c r="W273" s="591"/>
      <c r="X273" s="591"/>
      <c r="Y273" s="591"/>
      <c r="Z273" s="591"/>
      <c r="AA273" s="591"/>
      <c r="AB273" s="591"/>
      <c r="AC273" s="591"/>
      <c r="AD273" s="591"/>
      <c r="AE273" s="591"/>
      <c r="AF273" s="591"/>
      <c r="AG273" s="591"/>
      <c r="AH273" s="591"/>
      <c r="AI273" s="591"/>
      <c r="AJ273" s="591"/>
      <c r="AK273" s="591"/>
      <c r="AL273" s="591"/>
      <c r="AM273" s="591"/>
      <c r="AN273" s="591"/>
      <c r="AO273" s="591"/>
      <c r="AP273" s="591"/>
      <c r="AQ273" s="591"/>
      <c r="AR273" s="591"/>
      <c r="AS273" s="591"/>
      <c r="AT273" s="591"/>
      <c r="AU273" s="591"/>
      <c r="AV273" s="591"/>
      <c r="AW273" s="591"/>
      <c r="AX273" s="591"/>
      <c r="AY273" s="591"/>
      <c r="AZ273" s="591"/>
      <c r="BA273" s="591"/>
      <c r="BB273" s="591"/>
      <c r="BC273" s="591"/>
      <c r="BD273" s="591"/>
      <c r="BE273" s="591"/>
      <c r="BF273" s="591"/>
      <c r="BG273" s="591"/>
      <c r="BH273" s="591"/>
      <c r="BI273" s="591"/>
      <c r="BJ273" s="591"/>
      <c r="BK273" s="591"/>
      <c r="BL273" s="591"/>
      <c r="BM273" s="591"/>
      <c r="BN273" s="591"/>
      <c r="BO273" s="591"/>
      <c r="BP273" s="591"/>
      <c r="BQ273" s="591"/>
      <c r="BR273" s="591"/>
      <c r="BS273" s="591"/>
      <c r="BT273" s="591"/>
      <c r="BU273" s="591"/>
      <c r="BV273" s="591"/>
      <c r="BW273" s="591"/>
      <c r="BX273" s="591"/>
      <c r="BY273" s="591"/>
      <c r="BZ273" s="591"/>
      <c r="CA273" s="591"/>
      <c r="CB273" s="591"/>
      <c r="CC273" s="591"/>
      <c r="CD273" s="591"/>
      <c r="CE273" s="591"/>
      <c r="CF273" s="591"/>
    </row>
    <row r="274" spans="1:84">
      <c r="A274" s="591"/>
      <c r="B274" s="591"/>
      <c r="C274" s="591"/>
      <c r="D274" s="591"/>
      <c r="E274" s="591"/>
      <c r="F274" s="591"/>
      <c r="G274" s="591"/>
      <c r="H274" s="591"/>
      <c r="I274" s="591"/>
      <c r="J274" s="591"/>
      <c r="K274" s="591"/>
      <c r="L274" s="591"/>
      <c r="M274" s="591"/>
      <c r="N274" s="591"/>
      <c r="O274" s="591"/>
      <c r="P274" s="591"/>
      <c r="Q274" s="591"/>
      <c r="R274" s="591"/>
      <c r="S274" s="591"/>
      <c r="T274" s="591"/>
      <c r="U274" s="591"/>
      <c r="V274" s="591"/>
      <c r="W274" s="591"/>
      <c r="X274" s="591"/>
      <c r="Y274" s="591"/>
      <c r="Z274" s="591"/>
      <c r="AA274" s="591"/>
      <c r="AB274" s="591"/>
      <c r="AC274" s="591"/>
      <c r="AD274" s="591"/>
      <c r="AE274" s="591"/>
      <c r="AF274" s="591"/>
      <c r="AG274" s="591"/>
      <c r="AH274" s="591"/>
      <c r="AI274" s="591"/>
      <c r="AJ274" s="591"/>
      <c r="AK274" s="591"/>
      <c r="AL274" s="591"/>
      <c r="AM274" s="591"/>
      <c r="AN274" s="591"/>
      <c r="AO274" s="591"/>
      <c r="AP274" s="591"/>
      <c r="AQ274" s="591"/>
      <c r="AR274" s="591"/>
      <c r="AS274" s="591"/>
      <c r="AT274" s="591"/>
      <c r="AU274" s="591"/>
      <c r="AV274" s="591"/>
      <c r="AW274" s="591"/>
      <c r="AX274" s="591"/>
      <c r="AY274" s="591"/>
      <c r="AZ274" s="591"/>
      <c r="BA274" s="591"/>
      <c r="BB274" s="591"/>
      <c r="BC274" s="591"/>
      <c r="BD274" s="591"/>
      <c r="BE274" s="591"/>
      <c r="BF274" s="591"/>
      <c r="BG274" s="591"/>
      <c r="BH274" s="591"/>
      <c r="BI274" s="591"/>
      <c r="BJ274" s="591"/>
      <c r="BK274" s="591"/>
      <c r="BL274" s="591"/>
      <c r="BM274" s="591"/>
      <c r="BN274" s="591"/>
      <c r="BO274" s="591"/>
      <c r="BP274" s="591"/>
      <c r="BQ274" s="591"/>
      <c r="BR274" s="591"/>
      <c r="BS274" s="591"/>
      <c r="BT274" s="591"/>
      <c r="BU274" s="591"/>
      <c r="BV274" s="591"/>
      <c r="BW274" s="591"/>
      <c r="BX274" s="591"/>
      <c r="BY274" s="591"/>
      <c r="BZ274" s="591"/>
      <c r="CA274" s="591"/>
      <c r="CB274" s="591"/>
      <c r="CC274" s="591"/>
      <c r="CD274" s="591"/>
      <c r="CE274" s="591"/>
      <c r="CF274" s="591"/>
    </row>
    <row r="275" spans="1:84">
      <c r="A275" s="591"/>
      <c r="B275" s="591"/>
      <c r="C275" s="591"/>
      <c r="D275" s="591"/>
      <c r="E275" s="591"/>
      <c r="F275" s="591"/>
      <c r="G275" s="591"/>
      <c r="H275" s="591"/>
      <c r="I275" s="591"/>
      <c r="J275" s="591"/>
      <c r="K275" s="591"/>
      <c r="L275" s="591"/>
      <c r="M275" s="591"/>
      <c r="N275" s="591"/>
      <c r="O275" s="591"/>
      <c r="P275" s="591"/>
      <c r="Q275" s="591"/>
      <c r="R275" s="591"/>
      <c r="S275" s="591"/>
      <c r="T275" s="591"/>
      <c r="U275" s="591"/>
      <c r="V275" s="591"/>
      <c r="W275" s="591"/>
      <c r="X275" s="591"/>
      <c r="Y275" s="591"/>
      <c r="Z275" s="591"/>
      <c r="AA275" s="591"/>
      <c r="AB275" s="591"/>
      <c r="AC275" s="591"/>
      <c r="AD275" s="591"/>
      <c r="AE275" s="591"/>
      <c r="AF275" s="591"/>
      <c r="AG275" s="591"/>
      <c r="AH275" s="591"/>
      <c r="AI275" s="591"/>
      <c r="AJ275" s="591"/>
      <c r="AK275" s="591"/>
      <c r="AL275" s="591"/>
      <c r="AM275" s="591"/>
      <c r="AN275" s="591"/>
      <c r="AO275" s="591"/>
      <c r="AP275" s="591"/>
      <c r="AQ275" s="591"/>
      <c r="AR275" s="591"/>
      <c r="AS275" s="591"/>
      <c r="AT275" s="591"/>
      <c r="AU275" s="591"/>
      <c r="AV275" s="591"/>
      <c r="AW275" s="591"/>
      <c r="AX275" s="591"/>
      <c r="AY275" s="591"/>
      <c r="AZ275" s="591"/>
      <c r="BA275" s="591"/>
      <c r="BB275" s="591"/>
      <c r="BC275" s="591"/>
      <c r="BD275" s="591"/>
      <c r="BE275" s="591"/>
      <c r="BF275" s="591"/>
      <c r="BG275" s="591"/>
      <c r="BH275" s="591"/>
      <c r="BI275" s="591"/>
      <c r="BJ275" s="591"/>
      <c r="BK275" s="591"/>
      <c r="BL275" s="591"/>
      <c r="BM275" s="591"/>
      <c r="BN275" s="591"/>
      <c r="BO275" s="591"/>
      <c r="BP275" s="591"/>
      <c r="BQ275" s="591"/>
      <c r="BR275" s="591"/>
      <c r="BS275" s="591"/>
      <c r="BT275" s="591"/>
      <c r="BU275" s="591"/>
      <c r="BV275" s="591"/>
      <c r="BW275" s="591"/>
      <c r="BX275" s="591"/>
      <c r="BY275" s="591"/>
      <c r="BZ275" s="591"/>
      <c r="CA275" s="591"/>
      <c r="CB275" s="591"/>
      <c r="CC275" s="591"/>
      <c r="CD275" s="591"/>
      <c r="CE275" s="591"/>
      <c r="CF275" s="591"/>
    </row>
    <row r="276" spans="1:84">
      <c r="A276" s="591"/>
      <c r="B276" s="591"/>
      <c r="C276" s="591"/>
      <c r="D276" s="591"/>
      <c r="E276" s="591"/>
      <c r="F276" s="591"/>
      <c r="G276" s="591"/>
      <c r="H276" s="591"/>
      <c r="I276" s="591"/>
      <c r="J276" s="591"/>
      <c r="K276" s="591"/>
      <c r="L276" s="591"/>
      <c r="M276" s="591"/>
      <c r="N276" s="591"/>
      <c r="O276" s="591"/>
      <c r="P276" s="591"/>
      <c r="Q276" s="591"/>
      <c r="R276" s="591"/>
      <c r="S276" s="591"/>
      <c r="T276" s="591"/>
      <c r="U276" s="591"/>
      <c r="V276" s="591"/>
      <c r="W276" s="591"/>
      <c r="X276" s="591"/>
      <c r="Y276" s="591"/>
      <c r="Z276" s="591"/>
      <c r="AA276" s="591"/>
      <c r="AB276" s="591"/>
      <c r="AC276" s="591"/>
      <c r="AD276" s="591"/>
      <c r="AE276" s="591"/>
      <c r="AF276" s="591"/>
      <c r="AG276" s="591"/>
      <c r="AH276" s="591"/>
      <c r="AI276" s="591"/>
      <c r="AJ276" s="591"/>
      <c r="AK276" s="591"/>
      <c r="AL276" s="591"/>
      <c r="AM276" s="591"/>
      <c r="AN276" s="591"/>
      <c r="AO276" s="591"/>
      <c r="AP276" s="591"/>
      <c r="AQ276" s="591"/>
      <c r="AR276" s="591"/>
      <c r="AS276" s="591"/>
      <c r="AT276" s="591"/>
      <c r="AU276" s="591"/>
      <c r="AV276" s="591"/>
      <c r="AW276" s="591"/>
      <c r="AX276" s="591"/>
      <c r="AY276" s="591"/>
      <c r="AZ276" s="591"/>
      <c r="BA276" s="591"/>
      <c r="BB276" s="591"/>
      <c r="BC276" s="591"/>
      <c r="BD276" s="591"/>
      <c r="BE276" s="591"/>
      <c r="BF276" s="591"/>
      <c r="BG276" s="591"/>
      <c r="BH276" s="591"/>
      <c r="BI276" s="591"/>
      <c r="BJ276" s="591"/>
      <c r="BK276" s="591"/>
      <c r="BL276" s="591"/>
      <c r="BM276" s="591"/>
      <c r="BN276" s="591"/>
      <c r="BO276" s="591"/>
      <c r="BP276" s="591"/>
      <c r="BQ276" s="591"/>
      <c r="BR276" s="591"/>
      <c r="BS276" s="591"/>
      <c r="BT276" s="591"/>
      <c r="BU276" s="591"/>
      <c r="BV276" s="591"/>
      <c r="BW276" s="591"/>
      <c r="BX276" s="591"/>
      <c r="BY276" s="591"/>
      <c r="BZ276" s="591"/>
      <c r="CA276" s="591"/>
      <c r="CB276" s="591"/>
      <c r="CC276" s="591"/>
      <c r="CD276" s="591"/>
      <c r="CE276" s="591"/>
      <c r="CF276" s="591"/>
    </row>
    <row r="277" spans="1:84">
      <c r="A277" s="591"/>
      <c r="B277" s="591"/>
      <c r="C277" s="591"/>
      <c r="D277" s="591"/>
      <c r="E277" s="591"/>
      <c r="F277" s="591"/>
      <c r="G277" s="591"/>
      <c r="H277" s="591"/>
      <c r="I277" s="591"/>
      <c r="J277" s="591"/>
      <c r="K277" s="591"/>
      <c r="L277" s="591"/>
      <c r="M277" s="591"/>
      <c r="N277" s="591"/>
      <c r="O277" s="591"/>
      <c r="P277" s="591"/>
      <c r="Q277" s="591"/>
      <c r="R277" s="591"/>
      <c r="S277" s="591"/>
      <c r="T277" s="591"/>
      <c r="U277" s="591"/>
      <c r="V277" s="591"/>
      <c r="W277" s="591"/>
      <c r="X277" s="591"/>
      <c r="Y277" s="591"/>
      <c r="Z277" s="591"/>
      <c r="AA277" s="591"/>
      <c r="AB277" s="591"/>
      <c r="AC277" s="591"/>
      <c r="AD277" s="591"/>
      <c r="AE277" s="591"/>
      <c r="AF277" s="591"/>
      <c r="AG277" s="591"/>
      <c r="AH277" s="591"/>
      <c r="AI277" s="591"/>
      <c r="AJ277" s="591"/>
      <c r="AK277" s="591"/>
      <c r="AL277" s="591"/>
      <c r="AM277" s="591"/>
      <c r="AN277" s="591"/>
      <c r="AO277" s="591"/>
      <c r="AP277" s="591"/>
      <c r="AQ277" s="591"/>
      <c r="AR277" s="591"/>
      <c r="AS277" s="591"/>
      <c r="AT277" s="591"/>
      <c r="AU277" s="591"/>
      <c r="AV277" s="591"/>
      <c r="AW277" s="591"/>
      <c r="AX277" s="591"/>
      <c r="AY277" s="591"/>
      <c r="AZ277" s="591"/>
      <c r="BA277" s="591"/>
      <c r="BB277" s="591"/>
      <c r="BC277" s="591"/>
      <c r="BD277" s="591"/>
      <c r="BE277" s="591"/>
      <c r="BF277" s="591"/>
      <c r="BG277" s="591"/>
      <c r="BH277" s="591"/>
      <c r="BI277" s="591"/>
      <c r="BJ277" s="591"/>
      <c r="BK277" s="591"/>
      <c r="BL277" s="591"/>
      <c r="BM277" s="591"/>
      <c r="BN277" s="591"/>
      <c r="BO277" s="591"/>
      <c r="BP277" s="591"/>
      <c r="BQ277" s="591"/>
      <c r="BR277" s="591"/>
      <c r="BS277" s="591"/>
      <c r="BT277" s="591"/>
      <c r="BU277" s="591"/>
      <c r="BV277" s="591"/>
      <c r="BW277" s="591"/>
      <c r="BX277" s="591"/>
      <c r="BY277" s="591"/>
      <c r="BZ277" s="591"/>
      <c r="CA277" s="591"/>
      <c r="CB277" s="591"/>
      <c r="CC277" s="591"/>
      <c r="CD277" s="591"/>
      <c r="CE277" s="591"/>
      <c r="CF277" s="591"/>
    </row>
    <row r="278" spans="1:84">
      <c r="A278" s="591"/>
      <c r="B278" s="591"/>
      <c r="C278" s="591"/>
      <c r="D278" s="591"/>
      <c r="E278" s="591"/>
      <c r="F278" s="591"/>
      <c r="G278" s="591"/>
      <c r="H278" s="591"/>
      <c r="I278" s="591"/>
      <c r="J278" s="591"/>
      <c r="K278" s="591"/>
      <c r="L278" s="591"/>
      <c r="M278" s="591"/>
      <c r="N278" s="591"/>
      <c r="O278" s="591"/>
      <c r="P278" s="591"/>
      <c r="Q278" s="591"/>
      <c r="R278" s="591"/>
      <c r="S278" s="591"/>
      <c r="T278" s="591"/>
      <c r="U278" s="591"/>
      <c r="V278" s="591"/>
      <c r="W278" s="591"/>
      <c r="X278" s="591"/>
      <c r="Y278" s="591"/>
      <c r="Z278" s="591"/>
      <c r="AA278" s="591"/>
      <c r="AB278" s="591"/>
      <c r="AC278" s="591"/>
      <c r="AD278" s="591"/>
      <c r="AE278" s="591"/>
      <c r="AF278" s="591"/>
      <c r="AG278" s="591"/>
      <c r="AH278" s="591"/>
      <c r="AI278" s="591"/>
      <c r="AJ278" s="591"/>
      <c r="AK278" s="591"/>
      <c r="AL278" s="591"/>
      <c r="AM278" s="591"/>
      <c r="AN278" s="591"/>
      <c r="AO278" s="591"/>
      <c r="AP278" s="591"/>
      <c r="AQ278" s="591"/>
      <c r="AR278" s="591"/>
      <c r="AS278" s="591"/>
      <c r="AT278" s="591"/>
      <c r="AU278" s="591"/>
      <c r="AV278" s="591"/>
      <c r="AW278" s="591"/>
      <c r="AX278" s="591"/>
      <c r="AY278" s="591"/>
      <c r="AZ278" s="591"/>
      <c r="BA278" s="591"/>
      <c r="BB278" s="591"/>
      <c r="BC278" s="591"/>
      <c r="BD278" s="591"/>
      <c r="BE278" s="591"/>
      <c r="BF278" s="591"/>
      <c r="BG278" s="591"/>
      <c r="BH278" s="591"/>
      <c r="BI278" s="591"/>
      <c r="BJ278" s="591"/>
      <c r="BK278" s="591"/>
      <c r="BL278" s="591"/>
      <c r="BM278" s="591"/>
      <c r="BN278" s="591"/>
      <c r="BO278" s="591"/>
      <c r="BP278" s="591"/>
      <c r="BQ278" s="591"/>
      <c r="BR278" s="591"/>
      <c r="BS278" s="591"/>
      <c r="BT278" s="591"/>
      <c r="BU278" s="591"/>
      <c r="BV278" s="591"/>
      <c r="BW278" s="591"/>
      <c r="BX278" s="591"/>
      <c r="BY278" s="591"/>
      <c r="BZ278" s="591"/>
      <c r="CA278" s="591"/>
      <c r="CB278" s="591"/>
      <c r="CC278" s="591"/>
      <c r="CD278" s="591"/>
      <c r="CE278" s="591"/>
      <c r="CF278" s="591"/>
    </row>
    <row r="279" spans="1:84">
      <c r="A279" s="591"/>
      <c r="B279" s="591"/>
      <c r="C279" s="591"/>
      <c r="D279" s="591"/>
      <c r="E279" s="591"/>
      <c r="F279" s="591"/>
      <c r="G279" s="591"/>
      <c r="H279" s="591"/>
      <c r="I279" s="591"/>
      <c r="J279" s="591"/>
      <c r="K279" s="591"/>
      <c r="L279" s="591"/>
      <c r="M279" s="591"/>
      <c r="N279" s="591"/>
      <c r="O279" s="591"/>
      <c r="P279" s="591"/>
      <c r="Q279" s="591"/>
      <c r="R279" s="591"/>
      <c r="S279" s="591"/>
      <c r="T279" s="591"/>
      <c r="U279" s="591"/>
      <c r="V279" s="591"/>
      <c r="W279" s="591"/>
      <c r="X279" s="591"/>
      <c r="Y279" s="591"/>
      <c r="Z279" s="591"/>
      <c r="AA279" s="591"/>
      <c r="AB279" s="591"/>
      <c r="AC279" s="591"/>
      <c r="AD279" s="591"/>
      <c r="AE279" s="591"/>
      <c r="AF279" s="591"/>
      <c r="AG279" s="591"/>
      <c r="AH279" s="591"/>
      <c r="AI279" s="591"/>
      <c r="AJ279" s="591"/>
      <c r="AK279" s="591"/>
      <c r="AL279" s="591"/>
      <c r="AM279" s="591"/>
      <c r="AN279" s="591"/>
      <c r="AO279" s="591"/>
      <c r="AP279" s="591"/>
      <c r="AQ279" s="591"/>
      <c r="AR279" s="591"/>
      <c r="AS279" s="591"/>
      <c r="AT279" s="591"/>
      <c r="AU279" s="591"/>
      <c r="AV279" s="591"/>
      <c r="AW279" s="591"/>
      <c r="AX279" s="591"/>
      <c r="AY279" s="591"/>
      <c r="AZ279" s="591"/>
      <c r="BA279" s="591"/>
      <c r="BB279" s="591"/>
      <c r="BC279" s="591"/>
      <c r="BD279" s="591"/>
      <c r="BE279" s="591"/>
      <c r="BF279" s="591"/>
      <c r="BG279" s="591"/>
      <c r="BH279" s="591"/>
      <c r="BI279" s="591"/>
      <c r="BJ279" s="591"/>
      <c r="BK279" s="591"/>
      <c r="BL279" s="591"/>
      <c r="BM279" s="591"/>
      <c r="BN279" s="591"/>
      <c r="BO279" s="591"/>
      <c r="BP279" s="591"/>
      <c r="BQ279" s="591"/>
      <c r="BR279" s="591"/>
      <c r="BS279" s="591"/>
      <c r="BT279" s="591"/>
      <c r="BU279" s="591"/>
      <c r="BV279" s="591"/>
      <c r="BW279" s="591"/>
      <c r="BX279" s="591"/>
      <c r="BY279" s="591"/>
      <c r="BZ279" s="591"/>
      <c r="CA279" s="591"/>
      <c r="CB279" s="591"/>
      <c r="CC279" s="591"/>
      <c r="CD279" s="591"/>
      <c r="CE279" s="591"/>
      <c r="CF279" s="591"/>
    </row>
    <row r="280" spans="1:84">
      <c r="A280" s="591"/>
      <c r="B280" s="591"/>
      <c r="C280" s="591"/>
      <c r="D280" s="591"/>
      <c r="E280" s="591"/>
      <c r="F280" s="591"/>
      <c r="G280" s="591"/>
      <c r="H280" s="591"/>
      <c r="I280" s="591"/>
      <c r="J280" s="591"/>
      <c r="K280" s="591"/>
      <c r="L280" s="591"/>
      <c r="M280" s="591"/>
      <c r="N280" s="591"/>
      <c r="O280" s="591"/>
      <c r="P280" s="591"/>
      <c r="Q280" s="591"/>
      <c r="R280" s="591"/>
      <c r="S280" s="591"/>
      <c r="T280" s="591"/>
      <c r="U280" s="591"/>
      <c r="V280" s="591"/>
      <c r="W280" s="591"/>
      <c r="X280" s="591"/>
      <c r="Y280" s="591"/>
      <c r="Z280" s="591"/>
      <c r="AA280" s="591"/>
      <c r="AB280" s="591"/>
      <c r="AC280" s="591"/>
      <c r="AD280" s="591"/>
      <c r="AE280" s="591"/>
      <c r="AF280" s="591"/>
      <c r="AG280" s="591"/>
      <c r="AH280" s="591"/>
      <c r="AI280" s="591"/>
      <c r="AJ280" s="591"/>
      <c r="AK280" s="591"/>
      <c r="AL280" s="591"/>
      <c r="AM280" s="591"/>
      <c r="AN280" s="591"/>
      <c r="AO280" s="591"/>
      <c r="AP280" s="591"/>
      <c r="AQ280" s="591"/>
      <c r="AR280" s="591"/>
      <c r="AS280" s="591"/>
      <c r="AT280" s="591"/>
      <c r="AU280" s="591"/>
      <c r="AV280" s="591"/>
      <c r="AW280" s="591"/>
      <c r="AX280" s="591"/>
      <c r="AY280" s="591"/>
      <c r="AZ280" s="591"/>
      <c r="BA280" s="591"/>
      <c r="BB280" s="591"/>
      <c r="BC280" s="591"/>
      <c r="BD280" s="591"/>
      <c r="BE280" s="591"/>
      <c r="BF280" s="591"/>
      <c r="BG280" s="591"/>
      <c r="BH280" s="591"/>
      <c r="BI280" s="591"/>
      <c r="BJ280" s="591"/>
      <c r="BK280" s="591"/>
      <c r="BL280" s="591"/>
      <c r="BM280" s="591"/>
      <c r="BN280" s="591"/>
      <c r="BO280" s="591"/>
      <c r="BP280" s="591"/>
      <c r="BQ280" s="591"/>
      <c r="BR280" s="591"/>
      <c r="BS280" s="591"/>
      <c r="BT280" s="591"/>
      <c r="BU280" s="591"/>
      <c r="BV280" s="591"/>
      <c r="BW280" s="591"/>
      <c r="BX280" s="591"/>
      <c r="BY280" s="591"/>
      <c r="BZ280" s="591"/>
      <c r="CA280" s="591"/>
      <c r="CB280" s="591"/>
      <c r="CC280" s="591"/>
      <c r="CD280" s="591"/>
      <c r="CE280" s="591"/>
      <c r="CF280" s="591"/>
    </row>
    <row r="281" spans="1:84">
      <c r="A281" s="591"/>
      <c r="B281" s="591"/>
      <c r="C281" s="591"/>
      <c r="D281" s="591"/>
      <c r="E281" s="591"/>
      <c r="F281" s="591"/>
      <c r="G281" s="591"/>
      <c r="H281" s="591"/>
      <c r="I281" s="591"/>
      <c r="J281" s="591"/>
      <c r="K281" s="591"/>
      <c r="L281" s="591"/>
      <c r="M281" s="591"/>
      <c r="N281" s="591"/>
      <c r="O281" s="591"/>
      <c r="P281" s="591"/>
      <c r="Q281" s="591"/>
      <c r="R281" s="591"/>
      <c r="S281" s="591"/>
      <c r="T281" s="591"/>
      <c r="U281" s="591"/>
      <c r="V281" s="591"/>
      <c r="W281" s="591"/>
      <c r="X281" s="591"/>
      <c r="Y281" s="591"/>
      <c r="Z281" s="591"/>
      <c r="AA281" s="591"/>
      <c r="AB281" s="591"/>
      <c r="AC281" s="591"/>
      <c r="AD281" s="591"/>
      <c r="AE281" s="591"/>
      <c r="AF281" s="591"/>
      <c r="AG281" s="591"/>
      <c r="AH281" s="591"/>
      <c r="AI281" s="591"/>
      <c r="AJ281" s="591"/>
      <c r="AK281" s="591"/>
      <c r="AL281" s="591"/>
      <c r="AM281" s="591"/>
      <c r="AN281" s="591"/>
      <c r="AO281" s="591"/>
      <c r="AP281" s="591"/>
      <c r="AQ281" s="591"/>
      <c r="AR281" s="591"/>
      <c r="AS281" s="591"/>
      <c r="AT281" s="591"/>
      <c r="AU281" s="591"/>
      <c r="AV281" s="591"/>
      <c r="AW281" s="591"/>
      <c r="AX281" s="591"/>
      <c r="AY281" s="591"/>
      <c r="AZ281" s="591"/>
      <c r="BA281" s="591"/>
      <c r="BB281" s="591"/>
      <c r="BC281" s="591"/>
      <c r="BD281" s="591"/>
      <c r="BE281" s="591"/>
      <c r="BF281" s="591"/>
      <c r="BG281" s="591"/>
      <c r="BH281" s="591"/>
      <c r="BI281" s="591"/>
      <c r="BJ281" s="591"/>
      <c r="BK281" s="591"/>
      <c r="BL281" s="591"/>
      <c r="BM281" s="591"/>
      <c r="BN281" s="591"/>
      <c r="BO281" s="591"/>
      <c r="BP281" s="591"/>
      <c r="BQ281" s="591"/>
      <c r="BR281" s="591"/>
      <c r="BS281" s="591"/>
      <c r="BT281" s="591"/>
      <c r="BU281" s="591"/>
      <c r="BV281" s="591"/>
      <c r="BW281" s="591"/>
      <c r="BX281" s="591"/>
      <c r="BY281" s="591"/>
      <c r="BZ281" s="591"/>
      <c r="CA281" s="591"/>
      <c r="CB281" s="591"/>
      <c r="CC281" s="591"/>
      <c r="CD281" s="591"/>
      <c r="CE281" s="591"/>
      <c r="CF281" s="591"/>
    </row>
    <row r="282" spans="1:84">
      <c r="A282" s="591"/>
      <c r="B282" s="591"/>
      <c r="C282" s="591"/>
      <c r="D282" s="591"/>
      <c r="E282" s="591"/>
      <c r="F282" s="591"/>
      <c r="G282" s="591"/>
      <c r="H282" s="591"/>
      <c r="I282" s="591"/>
      <c r="J282" s="591"/>
      <c r="K282" s="591"/>
      <c r="L282" s="591"/>
      <c r="M282" s="591"/>
      <c r="N282" s="591"/>
      <c r="O282" s="591"/>
      <c r="P282" s="591"/>
      <c r="Q282" s="591"/>
      <c r="R282" s="591"/>
      <c r="S282" s="591"/>
      <c r="T282" s="591"/>
      <c r="U282" s="591"/>
      <c r="V282" s="591"/>
      <c r="W282" s="591"/>
      <c r="X282" s="591"/>
      <c r="Y282" s="591"/>
      <c r="Z282" s="591"/>
      <c r="AA282" s="591"/>
      <c r="AB282" s="591"/>
      <c r="AC282" s="591"/>
      <c r="AD282" s="591"/>
      <c r="AE282" s="591"/>
      <c r="AF282" s="591"/>
      <c r="AG282" s="591"/>
      <c r="AH282" s="591"/>
      <c r="AI282" s="591"/>
      <c r="AJ282" s="591"/>
      <c r="AK282" s="591"/>
      <c r="AL282" s="591"/>
      <c r="AM282" s="591"/>
      <c r="AN282" s="591"/>
      <c r="AO282" s="591"/>
      <c r="AP282" s="591"/>
      <c r="AQ282" s="591"/>
      <c r="AR282" s="591"/>
      <c r="AS282" s="591"/>
      <c r="AT282" s="591"/>
      <c r="AU282" s="591"/>
      <c r="AV282" s="591"/>
      <c r="AW282" s="591"/>
      <c r="AX282" s="591"/>
      <c r="AY282" s="591"/>
      <c r="AZ282" s="591"/>
      <c r="BA282" s="591"/>
      <c r="BB282" s="591"/>
      <c r="BC282" s="591"/>
      <c r="BD282" s="591"/>
      <c r="BE282" s="591"/>
      <c r="BF282" s="591"/>
      <c r="BG282" s="591"/>
      <c r="BH282" s="591"/>
      <c r="BI282" s="591"/>
      <c r="BJ282" s="591"/>
      <c r="BK282" s="591"/>
      <c r="BL282" s="591"/>
      <c r="BM282" s="591"/>
      <c r="BN282" s="591"/>
      <c r="BO282" s="591"/>
      <c r="BP282" s="591"/>
      <c r="BQ282" s="591"/>
      <c r="BR282" s="591"/>
      <c r="BS282" s="591"/>
      <c r="BT282" s="591"/>
      <c r="BU282" s="591"/>
      <c r="BV282" s="591"/>
      <c r="BW282" s="591"/>
      <c r="BX282" s="591"/>
      <c r="BY282" s="591"/>
      <c r="BZ282" s="591"/>
      <c r="CA282" s="591"/>
      <c r="CB282" s="591"/>
      <c r="CC282" s="591"/>
      <c r="CD282" s="591"/>
      <c r="CE282" s="591"/>
      <c r="CF282" s="591"/>
    </row>
    <row r="283" spans="1:84">
      <c r="A283" s="591"/>
      <c r="B283" s="591"/>
      <c r="C283" s="591"/>
      <c r="D283" s="591"/>
      <c r="E283" s="591"/>
      <c r="F283" s="591"/>
      <c r="G283" s="591"/>
      <c r="H283" s="591"/>
      <c r="I283" s="591"/>
      <c r="J283" s="591"/>
      <c r="K283" s="591"/>
      <c r="L283" s="591"/>
      <c r="M283" s="591"/>
      <c r="N283" s="591"/>
      <c r="O283" s="591"/>
      <c r="P283" s="591"/>
      <c r="Q283" s="591"/>
      <c r="R283" s="591"/>
      <c r="S283" s="591"/>
      <c r="T283" s="591"/>
      <c r="U283" s="591"/>
      <c r="V283" s="591"/>
      <c r="W283" s="591"/>
      <c r="X283" s="591"/>
      <c r="Y283" s="591"/>
      <c r="Z283" s="591"/>
      <c r="AA283" s="591"/>
      <c r="AB283" s="591"/>
      <c r="AC283" s="591"/>
      <c r="AD283" s="591"/>
      <c r="AE283" s="591"/>
      <c r="AF283" s="591"/>
      <c r="AG283" s="591"/>
      <c r="AH283" s="591"/>
      <c r="AI283" s="591"/>
      <c r="AJ283" s="591"/>
      <c r="AK283" s="591"/>
      <c r="AL283" s="591"/>
      <c r="AM283" s="591"/>
      <c r="AN283" s="591"/>
      <c r="AO283" s="591"/>
      <c r="AP283" s="591"/>
      <c r="AQ283" s="591"/>
      <c r="AR283" s="591"/>
      <c r="AS283" s="591"/>
      <c r="AT283" s="591"/>
      <c r="AU283" s="591"/>
      <c r="AV283" s="591"/>
      <c r="AW283" s="591"/>
      <c r="AX283" s="591"/>
      <c r="AY283" s="591"/>
      <c r="AZ283" s="591"/>
      <c r="BA283" s="591"/>
      <c r="BB283" s="591"/>
      <c r="BC283" s="591"/>
      <c r="BD283" s="591"/>
      <c r="BE283" s="591"/>
      <c r="BF283" s="591"/>
      <c r="BG283" s="591"/>
      <c r="BH283" s="591"/>
      <c r="BI283" s="591"/>
      <c r="BJ283" s="591"/>
      <c r="BK283" s="591"/>
      <c r="BL283" s="591"/>
      <c r="BM283" s="591"/>
      <c r="BN283" s="591"/>
      <c r="BO283" s="591"/>
      <c r="BP283" s="591"/>
      <c r="BQ283" s="591"/>
      <c r="BR283" s="591"/>
      <c r="BS283" s="591"/>
      <c r="BT283" s="591"/>
      <c r="BU283" s="591"/>
      <c r="BV283" s="591"/>
      <c r="BW283" s="591"/>
      <c r="BX283" s="591"/>
      <c r="BY283" s="591"/>
      <c r="BZ283" s="591"/>
      <c r="CA283" s="591"/>
      <c r="CB283" s="591"/>
      <c r="CC283" s="591"/>
      <c r="CD283" s="591"/>
      <c r="CE283" s="591"/>
      <c r="CF283" s="591"/>
    </row>
    <row r="284" spans="1:84">
      <c r="A284" s="591"/>
      <c r="B284" s="591"/>
      <c r="C284" s="591"/>
      <c r="D284" s="591"/>
      <c r="E284" s="591"/>
      <c r="F284" s="591"/>
      <c r="G284" s="591"/>
      <c r="H284" s="591"/>
      <c r="I284" s="591"/>
      <c r="J284" s="591"/>
      <c r="K284" s="591"/>
      <c r="L284" s="591"/>
      <c r="M284" s="591"/>
      <c r="N284" s="591"/>
      <c r="O284" s="591"/>
      <c r="P284" s="591"/>
      <c r="Q284" s="591"/>
      <c r="R284" s="591"/>
      <c r="S284" s="591"/>
      <c r="T284" s="591"/>
      <c r="U284" s="591"/>
      <c r="V284" s="591"/>
      <c r="W284" s="591"/>
      <c r="X284" s="591"/>
      <c r="Y284" s="591"/>
      <c r="Z284" s="591"/>
      <c r="AA284" s="591"/>
      <c r="AB284" s="591"/>
      <c r="AC284" s="591"/>
      <c r="AD284" s="591"/>
      <c r="AE284" s="591"/>
      <c r="AF284" s="591"/>
      <c r="AG284" s="591"/>
      <c r="AH284" s="591"/>
      <c r="AI284" s="591"/>
      <c r="AJ284" s="591"/>
      <c r="AK284" s="591"/>
      <c r="AL284" s="591"/>
      <c r="AM284" s="591"/>
      <c r="AN284" s="591"/>
      <c r="AO284" s="591"/>
      <c r="AP284" s="591"/>
      <c r="AQ284" s="591"/>
      <c r="AR284" s="591"/>
      <c r="AS284" s="591"/>
      <c r="AT284" s="591"/>
      <c r="AU284" s="591"/>
      <c r="AV284" s="591"/>
      <c r="AW284" s="591"/>
      <c r="AX284" s="591"/>
      <c r="AY284" s="591"/>
      <c r="AZ284" s="591"/>
      <c r="BA284" s="591"/>
      <c r="BB284" s="591"/>
      <c r="BC284" s="591"/>
      <c r="BD284" s="591"/>
      <c r="BE284" s="591"/>
      <c r="BF284" s="591"/>
      <c r="BG284" s="591"/>
      <c r="BH284" s="591"/>
      <c r="BI284" s="591"/>
      <c r="BJ284" s="591"/>
      <c r="BK284" s="591"/>
      <c r="BL284" s="591"/>
      <c r="BM284" s="591"/>
      <c r="BN284" s="591"/>
      <c r="BO284" s="591"/>
      <c r="BP284" s="591"/>
      <c r="BQ284" s="591"/>
      <c r="BR284" s="591"/>
      <c r="BS284" s="591"/>
      <c r="BT284" s="591"/>
      <c r="BU284" s="591"/>
      <c r="BV284" s="591"/>
      <c r="BW284" s="591"/>
      <c r="BX284" s="591"/>
      <c r="BY284" s="591"/>
      <c r="BZ284" s="591"/>
      <c r="CA284" s="591"/>
      <c r="CB284" s="591"/>
      <c r="CC284" s="591"/>
      <c r="CD284" s="591"/>
      <c r="CE284" s="591"/>
      <c r="CF284" s="591"/>
    </row>
    <row r="285" spans="1:84">
      <c r="A285" s="591"/>
      <c r="B285" s="591"/>
      <c r="C285" s="591"/>
      <c r="D285" s="591"/>
      <c r="E285" s="591"/>
      <c r="F285" s="591"/>
      <c r="G285" s="591"/>
      <c r="H285" s="591"/>
      <c r="I285" s="591"/>
      <c r="J285" s="591"/>
      <c r="K285" s="591"/>
      <c r="L285" s="591"/>
      <c r="M285" s="591"/>
      <c r="N285" s="591"/>
      <c r="O285" s="591"/>
      <c r="P285" s="591"/>
      <c r="Q285" s="591"/>
      <c r="R285" s="591"/>
      <c r="S285" s="591"/>
      <c r="T285" s="591"/>
      <c r="U285" s="591"/>
      <c r="V285" s="591"/>
      <c r="W285" s="591"/>
      <c r="X285" s="591"/>
      <c r="Y285" s="591"/>
      <c r="Z285" s="591"/>
      <c r="AA285" s="591"/>
      <c r="AB285" s="591"/>
      <c r="AC285" s="591"/>
      <c r="AD285" s="591"/>
      <c r="AE285" s="591"/>
      <c r="AF285" s="591"/>
      <c r="AG285" s="591"/>
      <c r="AH285" s="591"/>
      <c r="AI285" s="591"/>
      <c r="AJ285" s="591"/>
      <c r="AK285" s="591"/>
      <c r="AL285" s="591"/>
      <c r="AM285" s="591"/>
      <c r="AN285" s="591"/>
      <c r="AO285" s="591"/>
      <c r="AP285" s="591"/>
      <c r="AQ285" s="591"/>
      <c r="AR285" s="591"/>
      <c r="AS285" s="591"/>
      <c r="AT285" s="591"/>
      <c r="AU285" s="591"/>
      <c r="AV285" s="591"/>
      <c r="AW285" s="591"/>
      <c r="AX285" s="591"/>
      <c r="AY285" s="591"/>
      <c r="AZ285" s="591"/>
      <c r="BA285" s="591"/>
      <c r="BB285" s="591"/>
      <c r="BC285" s="591"/>
      <c r="BD285" s="591"/>
      <c r="BE285" s="591"/>
      <c r="BF285" s="591"/>
      <c r="BG285" s="591"/>
      <c r="BH285" s="591"/>
      <c r="BI285" s="591"/>
      <c r="BJ285" s="591"/>
      <c r="BK285" s="591"/>
      <c r="BL285" s="591"/>
      <c r="BM285" s="591"/>
      <c r="BN285" s="591"/>
      <c r="BO285" s="591"/>
      <c r="BP285" s="591"/>
      <c r="BQ285" s="591"/>
      <c r="BR285" s="591"/>
      <c r="BS285" s="591"/>
      <c r="BT285" s="591"/>
      <c r="BU285" s="591"/>
      <c r="BV285" s="591"/>
      <c r="BW285" s="591"/>
      <c r="BX285" s="591"/>
      <c r="BY285" s="591"/>
      <c r="BZ285" s="591"/>
      <c r="CA285" s="591"/>
      <c r="CB285" s="591"/>
      <c r="CC285" s="591"/>
      <c r="CD285" s="591"/>
      <c r="CE285" s="591"/>
      <c r="CF285" s="591"/>
    </row>
    <row r="286" spans="1:84">
      <c r="A286" s="591"/>
      <c r="B286" s="591"/>
      <c r="C286" s="591"/>
      <c r="D286" s="591"/>
      <c r="E286" s="591"/>
      <c r="F286" s="591"/>
      <c r="G286" s="591"/>
      <c r="H286" s="591"/>
      <c r="I286" s="591"/>
      <c r="J286" s="591"/>
      <c r="K286" s="591"/>
      <c r="L286" s="591"/>
      <c r="M286" s="591"/>
      <c r="N286" s="591"/>
      <c r="O286" s="591"/>
      <c r="P286" s="591"/>
      <c r="Q286" s="591"/>
      <c r="R286" s="591"/>
      <c r="S286" s="591"/>
      <c r="T286" s="591"/>
      <c r="U286" s="591"/>
      <c r="V286" s="591"/>
      <c r="W286" s="591"/>
      <c r="X286" s="591"/>
      <c r="Y286" s="591"/>
      <c r="Z286" s="591"/>
      <c r="AA286" s="591"/>
      <c r="AB286" s="591"/>
      <c r="AC286" s="591"/>
      <c r="AD286" s="591"/>
      <c r="AE286" s="591"/>
      <c r="AF286" s="591"/>
      <c r="AG286" s="591"/>
      <c r="AH286" s="591"/>
      <c r="AI286" s="591"/>
      <c r="AJ286" s="591"/>
      <c r="AK286" s="591"/>
      <c r="AL286" s="591"/>
      <c r="AM286" s="591"/>
      <c r="AN286" s="591"/>
      <c r="AO286" s="591"/>
      <c r="AP286" s="591"/>
      <c r="AQ286" s="591"/>
      <c r="AR286" s="591"/>
      <c r="AS286" s="591"/>
      <c r="AT286" s="591"/>
      <c r="AU286" s="591"/>
      <c r="AV286" s="591"/>
      <c r="AW286" s="591"/>
      <c r="AX286" s="591"/>
      <c r="AY286" s="591"/>
      <c r="AZ286" s="591"/>
      <c r="BA286" s="591"/>
      <c r="BB286" s="591"/>
      <c r="BC286" s="591"/>
      <c r="BD286" s="591"/>
      <c r="BE286" s="591"/>
      <c r="BF286" s="591"/>
      <c r="BG286" s="591"/>
      <c r="BH286" s="591"/>
      <c r="BI286" s="591"/>
      <c r="BJ286" s="591"/>
      <c r="BK286" s="591"/>
      <c r="BL286" s="591"/>
      <c r="BM286" s="591"/>
      <c r="BN286" s="591"/>
      <c r="BO286" s="591"/>
      <c r="BP286" s="591"/>
      <c r="BQ286" s="591"/>
      <c r="BR286" s="591"/>
      <c r="BS286" s="591"/>
      <c r="BT286" s="591"/>
      <c r="BU286" s="591"/>
      <c r="BV286" s="591"/>
      <c r="BW286" s="591"/>
      <c r="BX286" s="591"/>
      <c r="BY286" s="591"/>
      <c r="BZ286" s="591"/>
      <c r="CA286" s="591"/>
      <c r="CB286" s="591"/>
      <c r="CC286" s="591"/>
      <c r="CD286" s="591"/>
      <c r="CE286" s="591"/>
      <c r="CF286" s="591"/>
    </row>
    <row r="287" spans="1:84">
      <c r="A287" s="591"/>
      <c r="B287" s="591"/>
      <c r="C287" s="591"/>
      <c r="D287" s="591"/>
      <c r="E287" s="591"/>
      <c r="F287" s="591"/>
      <c r="G287" s="591"/>
      <c r="H287" s="591"/>
      <c r="I287" s="591"/>
      <c r="J287" s="591"/>
      <c r="K287" s="591"/>
      <c r="L287" s="591"/>
      <c r="M287" s="591"/>
      <c r="N287" s="591"/>
      <c r="O287" s="591"/>
      <c r="P287" s="591"/>
      <c r="Q287" s="591"/>
      <c r="R287" s="591"/>
      <c r="S287" s="591"/>
      <c r="T287" s="591"/>
      <c r="U287" s="591"/>
      <c r="V287" s="591"/>
      <c r="W287" s="591"/>
      <c r="X287" s="591"/>
      <c r="Y287" s="591"/>
      <c r="Z287" s="591"/>
      <c r="AA287" s="591"/>
      <c r="AB287" s="591"/>
      <c r="AC287" s="591"/>
      <c r="AD287" s="591"/>
      <c r="AE287" s="591"/>
      <c r="AF287" s="591"/>
      <c r="AG287" s="591"/>
      <c r="AH287" s="591"/>
      <c r="AI287" s="591"/>
      <c r="AJ287" s="591"/>
      <c r="AK287" s="591"/>
      <c r="AL287" s="591"/>
      <c r="AM287" s="591"/>
      <c r="AN287" s="591"/>
      <c r="AO287" s="591"/>
      <c r="AP287" s="591"/>
      <c r="AQ287" s="591"/>
      <c r="AR287" s="591"/>
      <c r="AS287" s="591"/>
      <c r="AT287" s="591"/>
      <c r="AU287" s="591"/>
      <c r="AV287" s="591"/>
      <c r="AW287" s="591"/>
      <c r="AX287" s="591"/>
      <c r="AY287" s="591"/>
      <c r="AZ287" s="591"/>
      <c r="BA287" s="591"/>
      <c r="BB287" s="591"/>
      <c r="BC287" s="591"/>
      <c r="BD287" s="591"/>
      <c r="BE287" s="591"/>
      <c r="BF287" s="591"/>
      <c r="BG287" s="591"/>
      <c r="BH287" s="591"/>
      <c r="BI287" s="591"/>
      <c r="BJ287" s="591"/>
      <c r="BK287" s="591"/>
      <c r="BL287" s="591"/>
      <c r="BM287" s="591"/>
      <c r="BN287" s="591"/>
      <c r="BO287" s="591"/>
      <c r="BP287" s="591"/>
      <c r="BQ287" s="591"/>
      <c r="BR287" s="591"/>
      <c r="BS287" s="591"/>
      <c r="BT287" s="591"/>
      <c r="BU287" s="591"/>
      <c r="BV287" s="591"/>
      <c r="BW287" s="591"/>
      <c r="BX287" s="591"/>
      <c r="BY287" s="591"/>
      <c r="BZ287" s="591"/>
      <c r="CA287" s="591"/>
      <c r="CB287" s="591"/>
      <c r="CC287" s="591"/>
      <c r="CD287" s="591"/>
      <c r="CE287" s="591"/>
      <c r="CF287" s="591"/>
    </row>
    <row r="288" spans="1:84">
      <c r="A288" s="591"/>
      <c r="B288" s="591"/>
      <c r="C288" s="591"/>
      <c r="D288" s="591"/>
      <c r="E288" s="591"/>
      <c r="F288" s="591"/>
      <c r="G288" s="591"/>
      <c r="H288" s="591"/>
      <c r="I288" s="591"/>
      <c r="J288" s="591"/>
      <c r="K288" s="591"/>
      <c r="L288" s="591"/>
      <c r="M288" s="591"/>
      <c r="N288" s="591"/>
      <c r="O288" s="591"/>
      <c r="P288" s="591"/>
      <c r="Q288" s="591"/>
      <c r="R288" s="591"/>
      <c r="S288" s="591"/>
      <c r="T288" s="591"/>
      <c r="U288" s="591"/>
      <c r="V288" s="591"/>
      <c r="W288" s="591"/>
      <c r="X288" s="591"/>
      <c r="Y288" s="591"/>
      <c r="Z288" s="591"/>
      <c r="AA288" s="591"/>
      <c r="AB288" s="591"/>
      <c r="AC288" s="591"/>
      <c r="AD288" s="591"/>
      <c r="AE288" s="591"/>
      <c r="AF288" s="591"/>
      <c r="AG288" s="591"/>
      <c r="AH288" s="591"/>
      <c r="AI288" s="591"/>
      <c r="AJ288" s="591"/>
      <c r="AK288" s="591"/>
      <c r="AL288" s="591"/>
      <c r="AM288" s="591"/>
      <c r="AN288" s="591"/>
      <c r="AO288" s="591"/>
      <c r="AP288" s="591"/>
      <c r="AQ288" s="591"/>
      <c r="AR288" s="591"/>
      <c r="AS288" s="591"/>
      <c r="AT288" s="591"/>
      <c r="AU288" s="591"/>
      <c r="AV288" s="591"/>
      <c r="AW288" s="591"/>
      <c r="AX288" s="591"/>
      <c r="AY288" s="591"/>
      <c r="AZ288" s="591"/>
      <c r="BA288" s="591"/>
      <c r="BB288" s="591"/>
      <c r="BC288" s="591"/>
      <c r="BD288" s="591"/>
      <c r="BE288" s="591"/>
      <c r="BF288" s="591"/>
      <c r="BG288" s="591"/>
      <c r="BH288" s="591"/>
      <c r="BI288" s="591"/>
      <c r="BJ288" s="591"/>
      <c r="BK288" s="591"/>
      <c r="BL288" s="591"/>
      <c r="BM288" s="591"/>
      <c r="BN288" s="591"/>
      <c r="BO288" s="591"/>
      <c r="BP288" s="591"/>
      <c r="BQ288" s="591"/>
      <c r="BR288" s="591"/>
      <c r="BS288" s="591"/>
      <c r="BT288" s="591"/>
      <c r="BU288" s="591"/>
      <c r="BV288" s="591"/>
      <c r="BW288" s="591"/>
      <c r="BX288" s="591"/>
      <c r="BY288" s="591"/>
      <c r="BZ288" s="591"/>
      <c r="CA288" s="591"/>
      <c r="CB288" s="591"/>
      <c r="CC288" s="591"/>
      <c r="CD288" s="591"/>
      <c r="CE288" s="591"/>
      <c r="CF288" s="591"/>
    </row>
    <row r="289" spans="1:84">
      <c r="A289" s="591"/>
      <c r="B289" s="591"/>
      <c r="C289" s="591"/>
      <c r="D289" s="591"/>
      <c r="E289" s="591"/>
      <c r="F289" s="591"/>
      <c r="G289" s="591"/>
      <c r="H289" s="591"/>
      <c r="I289" s="591"/>
      <c r="J289" s="591"/>
      <c r="K289" s="591"/>
      <c r="L289" s="591"/>
      <c r="M289" s="591"/>
      <c r="N289" s="591"/>
      <c r="O289" s="591"/>
      <c r="P289" s="591"/>
      <c r="Q289" s="591"/>
      <c r="R289" s="591"/>
      <c r="S289" s="591"/>
      <c r="T289" s="591"/>
      <c r="U289" s="591"/>
      <c r="V289" s="591"/>
      <c r="W289" s="591"/>
      <c r="X289" s="591"/>
      <c r="Y289" s="591"/>
      <c r="Z289" s="591"/>
      <c r="AA289" s="591"/>
      <c r="AB289" s="591"/>
      <c r="AC289" s="591"/>
      <c r="AD289" s="591"/>
      <c r="AE289" s="591"/>
      <c r="AF289" s="591"/>
      <c r="AG289" s="591"/>
      <c r="AH289" s="591"/>
      <c r="AI289" s="591"/>
      <c r="AJ289" s="591"/>
      <c r="AK289" s="591"/>
      <c r="AL289" s="591"/>
      <c r="AM289" s="591"/>
      <c r="AN289" s="591"/>
      <c r="AO289" s="591"/>
      <c r="AP289" s="591"/>
      <c r="AQ289" s="591"/>
      <c r="AR289" s="591"/>
      <c r="AS289" s="591"/>
      <c r="AT289" s="591"/>
      <c r="AU289" s="591"/>
      <c r="AV289" s="591"/>
      <c r="AW289" s="591"/>
      <c r="AX289" s="591"/>
      <c r="AY289" s="591"/>
      <c r="AZ289" s="591"/>
      <c r="BA289" s="591"/>
      <c r="BB289" s="591"/>
      <c r="BC289" s="591"/>
      <c r="BD289" s="591"/>
      <c r="BE289" s="591"/>
      <c r="BF289" s="591"/>
      <c r="BG289" s="591"/>
      <c r="BH289" s="591"/>
      <c r="BI289" s="591"/>
      <c r="BJ289" s="591"/>
      <c r="BK289" s="591"/>
      <c r="BL289" s="591"/>
      <c r="BM289" s="591"/>
      <c r="BN289" s="591"/>
      <c r="BO289" s="591"/>
      <c r="BP289" s="591"/>
      <c r="BQ289" s="591"/>
      <c r="BR289" s="591"/>
      <c r="BS289" s="591"/>
      <c r="BT289" s="591"/>
      <c r="BU289" s="591"/>
      <c r="BV289" s="591"/>
      <c r="BW289" s="591"/>
      <c r="BX289" s="591"/>
      <c r="BY289" s="591"/>
      <c r="BZ289" s="591"/>
      <c r="CA289" s="591"/>
      <c r="CB289" s="591"/>
      <c r="CC289" s="591"/>
      <c r="CD289" s="591"/>
      <c r="CE289" s="591"/>
      <c r="CF289" s="591"/>
    </row>
    <row r="290" spans="1:84">
      <c r="A290" s="591"/>
      <c r="B290" s="591"/>
      <c r="C290" s="591"/>
      <c r="D290" s="591"/>
      <c r="E290" s="591"/>
      <c r="F290" s="591"/>
      <c r="G290" s="591"/>
      <c r="H290" s="591"/>
      <c r="I290" s="591"/>
      <c r="J290" s="591"/>
      <c r="K290" s="591"/>
      <c r="L290" s="591"/>
      <c r="M290" s="591"/>
      <c r="N290" s="591"/>
      <c r="O290" s="591"/>
      <c r="P290" s="591"/>
      <c r="Q290" s="591"/>
      <c r="R290" s="591"/>
      <c r="S290" s="591"/>
      <c r="T290" s="591"/>
      <c r="U290" s="591"/>
      <c r="V290" s="591"/>
      <c r="W290" s="591"/>
      <c r="X290" s="591"/>
      <c r="Y290" s="591"/>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c r="BD290" s="591"/>
      <c r="BE290" s="591"/>
      <c r="BF290" s="591"/>
      <c r="BG290" s="591"/>
      <c r="BH290" s="591"/>
      <c r="BI290" s="591"/>
      <c r="BJ290" s="591"/>
      <c r="BK290" s="591"/>
      <c r="BL290" s="591"/>
      <c r="BM290" s="591"/>
      <c r="BN290" s="591"/>
      <c r="BO290" s="591"/>
      <c r="BP290" s="591"/>
      <c r="BQ290" s="591"/>
      <c r="BR290" s="591"/>
      <c r="BS290" s="591"/>
      <c r="BT290" s="591"/>
      <c r="BU290" s="591"/>
      <c r="BV290" s="591"/>
      <c r="BW290" s="591"/>
      <c r="BX290" s="591"/>
      <c r="BY290" s="591"/>
      <c r="BZ290" s="591"/>
      <c r="CA290" s="591"/>
      <c r="CB290" s="591"/>
      <c r="CC290" s="591"/>
      <c r="CD290" s="591"/>
      <c r="CE290" s="591"/>
      <c r="CF290" s="591"/>
    </row>
    <row r="291" spans="1:84">
      <c r="A291" s="591"/>
      <c r="B291" s="591"/>
      <c r="C291" s="591"/>
      <c r="D291" s="591"/>
      <c r="E291" s="591"/>
      <c r="F291" s="591"/>
      <c r="G291" s="591"/>
      <c r="H291" s="591"/>
      <c r="I291" s="591"/>
      <c r="J291" s="591"/>
      <c r="K291" s="591"/>
      <c r="L291" s="591"/>
      <c r="M291" s="591"/>
      <c r="N291" s="591"/>
      <c r="O291" s="591"/>
      <c r="P291" s="591"/>
      <c r="Q291" s="591"/>
      <c r="R291" s="591"/>
      <c r="S291" s="591"/>
      <c r="T291" s="591"/>
      <c r="U291" s="591"/>
      <c r="V291" s="591"/>
      <c r="W291" s="591"/>
      <c r="X291" s="591"/>
      <c r="Y291" s="591"/>
      <c r="Z291" s="591"/>
      <c r="AA291" s="591"/>
      <c r="AB291" s="591"/>
      <c r="AC291" s="591"/>
      <c r="AD291" s="591"/>
      <c r="AE291" s="591"/>
      <c r="AF291" s="591"/>
      <c r="AG291" s="591"/>
      <c r="AH291" s="591"/>
      <c r="AI291" s="591"/>
      <c r="AJ291" s="591"/>
      <c r="AK291" s="591"/>
      <c r="AL291" s="591"/>
      <c r="AM291" s="591"/>
      <c r="AN291" s="591"/>
      <c r="AO291" s="591"/>
      <c r="AP291" s="591"/>
      <c r="AQ291" s="591"/>
      <c r="AR291" s="591"/>
      <c r="AS291" s="591"/>
      <c r="AT291" s="591"/>
      <c r="AU291" s="591"/>
      <c r="AV291" s="591"/>
      <c r="AW291" s="591"/>
      <c r="AX291" s="591"/>
      <c r="AY291" s="591"/>
      <c r="AZ291" s="591"/>
      <c r="BA291" s="591"/>
      <c r="BB291" s="591"/>
      <c r="BC291" s="591"/>
      <c r="BD291" s="591"/>
      <c r="BE291" s="591"/>
      <c r="BF291" s="591"/>
      <c r="BG291" s="591"/>
      <c r="BH291" s="591"/>
      <c r="BI291" s="591"/>
      <c r="BJ291" s="591"/>
      <c r="BK291" s="591"/>
      <c r="BL291" s="591"/>
      <c r="BM291" s="591"/>
      <c r="BN291" s="591"/>
      <c r="BO291" s="591"/>
      <c r="BP291" s="591"/>
      <c r="BQ291" s="591"/>
      <c r="BR291" s="591"/>
      <c r="BS291" s="591"/>
      <c r="BT291" s="591"/>
      <c r="BU291" s="591"/>
      <c r="BV291" s="591"/>
      <c r="BW291" s="591"/>
      <c r="BX291" s="591"/>
      <c r="BY291" s="591"/>
      <c r="BZ291" s="591"/>
      <c r="CA291" s="591"/>
      <c r="CB291" s="591"/>
      <c r="CC291" s="591"/>
      <c r="CD291" s="591"/>
      <c r="CE291" s="591"/>
      <c r="CF291" s="591"/>
    </row>
    <row r="292" spans="1:84">
      <c r="A292" s="591"/>
      <c r="B292" s="591"/>
      <c r="C292" s="591"/>
      <c r="D292" s="591"/>
      <c r="E292" s="591"/>
      <c r="F292" s="591"/>
      <c r="G292" s="591"/>
      <c r="H292" s="591"/>
      <c r="I292" s="591"/>
      <c r="J292" s="591"/>
      <c r="K292" s="591"/>
      <c r="L292" s="591"/>
      <c r="M292" s="591"/>
      <c r="N292" s="591"/>
      <c r="O292" s="591"/>
      <c r="P292" s="591"/>
      <c r="Q292" s="591"/>
      <c r="R292" s="591"/>
      <c r="S292" s="591"/>
      <c r="T292" s="591"/>
      <c r="U292" s="591"/>
      <c r="V292" s="591"/>
      <c r="W292" s="591"/>
      <c r="X292" s="591"/>
      <c r="Y292" s="591"/>
      <c r="Z292" s="591"/>
      <c r="AA292" s="591"/>
      <c r="AB292" s="591"/>
      <c r="AC292" s="591"/>
      <c r="AD292" s="591"/>
      <c r="AE292" s="591"/>
      <c r="AF292" s="591"/>
      <c r="AG292" s="591"/>
      <c r="AH292" s="591"/>
      <c r="AI292" s="591"/>
      <c r="AJ292" s="591"/>
      <c r="AK292" s="591"/>
      <c r="AL292" s="591"/>
      <c r="AM292" s="591"/>
      <c r="AN292" s="591"/>
      <c r="AO292" s="591"/>
      <c r="AP292" s="591"/>
      <c r="AQ292" s="591"/>
      <c r="AR292" s="591"/>
      <c r="AS292" s="591"/>
      <c r="AT292" s="591"/>
      <c r="AU292" s="591"/>
      <c r="AV292" s="591"/>
      <c r="AW292" s="591"/>
      <c r="AX292" s="591"/>
      <c r="AY292" s="591"/>
      <c r="AZ292" s="591"/>
      <c r="BA292" s="591"/>
      <c r="BB292" s="591"/>
      <c r="BC292" s="591"/>
      <c r="BD292" s="591"/>
      <c r="BE292" s="591"/>
      <c r="BF292" s="591"/>
      <c r="BG292" s="591"/>
      <c r="BH292" s="591"/>
      <c r="BI292" s="591"/>
      <c r="BJ292" s="591"/>
      <c r="BK292" s="591"/>
      <c r="BL292" s="591"/>
      <c r="BM292" s="591"/>
      <c r="BN292" s="591"/>
      <c r="BO292" s="591"/>
      <c r="BP292" s="591"/>
      <c r="BQ292" s="591"/>
      <c r="BR292" s="591"/>
      <c r="BS292" s="591"/>
      <c r="BT292" s="591"/>
      <c r="BU292" s="591"/>
      <c r="BV292" s="591"/>
      <c r="BW292" s="591"/>
      <c r="BX292" s="591"/>
      <c r="BY292" s="591"/>
      <c r="BZ292" s="591"/>
      <c r="CA292" s="591"/>
      <c r="CB292" s="591"/>
      <c r="CC292" s="591"/>
      <c r="CD292" s="591"/>
      <c r="CE292" s="591"/>
      <c r="CF292" s="591"/>
    </row>
    <row r="293" spans="1:84">
      <c r="A293" s="591"/>
      <c r="B293" s="591"/>
      <c r="C293" s="591"/>
      <c r="D293" s="591"/>
      <c r="E293" s="591"/>
      <c r="F293" s="591"/>
      <c r="G293" s="591"/>
      <c r="H293" s="591"/>
      <c r="I293" s="591"/>
      <c r="J293" s="591"/>
      <c r="K293" s="591"/>
      <c r="L293" s="591"/>
      <c r="M293" s="591"/>
      <c r="N293" s="591"/>
      <c r="O293" s="591"/>
      <c r="P293" s="591"/>
      <c r="Q293" s="591"/>
      <c r="R293" s="591"/>
      <c r="S293" s="591"/>
      <c r="T293" s="591"/>
      <c r="U293" s="591"/>
      <c r="V293" s="591"/>
      <c r="W293" s="591"/>
      <c r="X293" s="591"/>
      <c r="Y293" s="591"/>
      <c r="Z293" s="591"/>
      <c r="AA293" s="591"/>
      <c r="AB293" s="591"/>
      <c r="AC293" s="591"/>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1"/>
      <c r="AY293" s="591"/>
      <c r="AZ293" s="591"/>
      <c r="BA293" s="591"/>
      <c r="BB293" s="591"/>
      <c r="BC293" s="591"/>
      <c r="BD293" s="591"/>
      <c r="BE293" s="591"/>
      <c r="BF293" s="591"/>
      <c r="BG293" s="591"/>
      <c r="BH293" s="591"/>
      <c r="BI293" s="591"/>
      <c r="BJ293" s="591"/>
      <c r="BK293" s="591"/>
      <c r="BL293" s="591"/>
      <c r="BM293" s="591"/>
      <c r="BN293" s="591"/>
      <c r="BO293" s="591"/>
      <c r="BP293" s="591"/>
      <c r="BQ293" s="591"/>
      <c r="BR293" s="591"/>
      <c r="BS293" s="591"/>
      <c r="BT293" s="591"/>
      <c r="BU293" s="591"/>
      <c r="BV293" s="591"/>
      <c r="BW293" s="591"/>
      <c r="BX293" s="591"/>
      <c r="BY293" s="591"/>
      <c r="BZ293" s="591"/>
      <c r="CA293" s="591"/>
      <c r="CB293" s="591"/>
      <c r="CC293" s="591"/>
      <c r="CD293" s="591"/>
      <c r="CE293" s="591"/>
      <c r="CF293" s="591"/>
    </row>
    <row r="294" spans="1:84">
      <c r="A294" s="591"/>
      <c r="B294" s="591"/>
      <c r="C294" s="591"/>
      <c r="D294" s="591"/>
      <c r="E294" s="591"/>
      <c r="F294" s="591"/>
      <c r="G294" s="591"/>
      <c r="H294" s="591"/>
      <c r="I294" s="591"/>
      <c r="J294" s="591"/>
      <c r="K294" s="591"/>
      <c r="L294" s="591"/>
      <c r="M294" s="591"/>
      <c r="N294" s="591"/>
      <c r="O294" s="591"/>
      <c r="P294" s="591"/>
      <c r="Q294" s="591"/>
      <c r="R294" s="591"/>
      <c r="S294" s="591"/>
      <c r="T294" s="591"/>
      <c r="U294" s="591"/>
      <c r="V294" s="591"/>
      <c r="W294" s="591"/>
      <c r="X294" s="591"/>
      <c r="Y294" s="591"/>
      <c r="Z294" s="591"/>
      <c r="AA294" s="591"/>
      <c r="AB294" s="591"/>
      <c r="AC294" s="591"/>
      <c r="AD294" s="591"/>
      <c r="AE294" s="591"/>
      <c r="AF294" s="591"/>
      <c r="AG294" s="591"/>
      <c r="AH294" s="591"/>
      <c r="AI294" s="591"/>
      <c r="AJ294" s="591"/>
      <c r="AK294" s="591"/>
      <c r="AL294" s="591"/>
      <c r="AM294" s="591"/>
      <c r="AN294" s="591"/>
      <c r="AO294" s="591"/>
      <c r="AP294" s="591"/>
      <c r="AQ294" s="591"/>
      <c r="AR294" s="591"/>
      <c r="AS294" s="591"/>
      <c r="AT294" s="591"/>
      <c r="AU294" s="591"/>
      <c r="AV294" s="591"/>
      <c r="AW294" s="591"/>
      <c r="AX294" s="591"/>
      <c r="AY294" s="591"/>
      <c r="AZ294" s="591"/>
      <c r="BA294" s="591"/>
      <c r="BB294" s="591"/>
      <c r="BC294" s="591"/>
      <c r="BD294" s="591"/>
      <c r="BE294" s="591"/>
      <c r="BF294" s="591"/>
      <c r="BG294" s="591"/>
      <c r="BH294" s="591"/>
      <c r="BI294" s="591"/>
      <c r="BJ294" s="591"/>
      <c r="BK294" s="591"/>
      <c r="BL294" s="591"/>
      <c r="BM294" s="591"/>
      <c r="BN294" s="591"/>
      <c r="BO294" s="591"/>
      <c r="BP294" s="591"/>
      <c r="BQ294" s="591"/>
      <c r="BR294" s="591"/>
      <c r="BS294" s="591"/>
      <c r="BT294" s="591"/>
      <c r="BU294" s="591"/>
      <c r="BV294" s="591"/>
      <c r="BW294" s="591"/>
      <c r="BX294" s="591"/>
      <c r="BY294" s="591"/>
      <c r="BZ294" s="591"/>
      <c r="CA294" s="591"/>
      <c r="CB294" s="591"/>
      <c r="CC294" s="591"/>
      <c r="CD294" s="591"/>
      <c r="CE294" s="591"/>
      <c r="CF294" s="591"/>
    </row>
    <row r="295" spans="1:84">
      <c r="A295" s="591"/>
      <c r="B295" s="591"/>
      <c r="C295" s="591"/>
      <c r="D295" s="591"/>
      <c r="E295" s="591"/>
      <c r="F295" s="591"/>
      <c r="G295" s="591"/>
      <c r="H295" s="591"/>
      <c r="I295" s="591"/>
      <c r="J295" s="591"/>
      <c r="K295" s="591"/>
      <c r="L295" s="591"/>
      <c r="M295" s="591"/>
      <c r="N295" s="591"/>
      <c r="O295" s="591"/>
      <c r="P295" s="591"/>
      <c r="Q295" s="591"/>
      <c r="R295" s="591"/>
      <c r="S295" s="591"/>
      <c r="T295" s="591"/>
      <c r="U295" s="591"/>
      <c r="V295" s="591"/>
      <c r="W295" s="591"/>
      <c r="X295" s="591"/>
      <c r="Y295" s="591"/>
      <c r="Z295" s="591"/>
      <c r="AA295" s="591"/>
      <c r="AB295" s="591"/>
      <c r="AC295" s="591"/>
      <c r="AD295" s="591"/>
      <c r="AE295" s="591"/>
      <c r="AF295" s="591"/>
      <c r="AG295" s="591"/>
      <c r="AH295" s="591"/>
      <c r="AI295" s="591"/>
      <c r="AJ295" s="591"/>
      <c r="AK295" s="591"/>
      <c r="AL295" s="591"/>
      <c r="AM295" s="591"/>
      <c r="AN295" s="591"/>
      <c r="AO295" s="591"/>
      <c r="AP295" s="591"/>
      <c r="AQ295" s="591"/>
      <c r="AR295" s="591"/>
      <c r="AS295" s="591"/>
      <c r="AT295" s="591"/>
      <c r="AU295" s="591"/>
      <c r="AV295" s="591"/>
      <c r="AW295" s="591"/>
      <c r="AX295" s="591"/>
      <c r="AY295" s="591"/>
      <c r="AZ295" s="591"/>
      <c r="BA295" s="591"/>
      <c r="BB295" s="591"/>
      <c r="BC295" s="591"/>
      <c r="BD295" s="591"/>
      <c r="BE295" s="591"/>
      <c r="BF295" s="591"/>
      <c r="BG295" s="591"/>
      <c r="BH295" s="591"/>
      <c r="BI295" s="591"/>
      <c r="BJ295" s="591"/>
      <c r="BK295" s="591"/>
      <c r="BL295" s="591"/>
      <c r="BM295" s="591"/>
      <c r="BN295" s="591"/>
      <c r="BO295" s="591"/>
      <c r="BP295" s="591"/>
      <c r="BQ295" s="591"/>
      <c r="BR295" s="591"/>
      <c r="BS295" s="591"/>
      <c r="BT295" s="591"/>
      <c r="BU295" s="591"/>
      <c r="BV295" s="591"/>
      <c r="BW295" s="591"/>
      <c r="BX295" s="591"/>
      <c r="BY295" s="591"/>
      <c r="BZ295" s="591"/>
      <c r="CA295" s="591"/>
      <c r="CB295" s="591"/>
      <c r="CC295" s="591"/>
      <c r="CD295" s="591"/>
      <c r="CE295" s="591"/>
      <c r="CF295" s="591"/>
    </row>
    <row r="296" spans="1:84">
      <c r="A296" s="591"/>
      <c r="B296" s="591"/>
      <c r="C296" s="591"/>
      <c r="D296" s="591"/>
      <c r="E296" s="591"/>
      <c r="F296" s="591"/>
      <c r="G296" s="591"/>
      <c r="H296" s="591"/>
      <c r="I296" s="591"/>
      <c r="J296" s="591"/>
      <c r="K296" s="591"/>
      <c r="L296" s="591"/>
      <c r="M296" s="591"/>
      <c r="N296" s="591"/>
      <c r="O296" s="591"/>
      <c r="P296" s="591"/>
      <c r="Q296" s="591"/>
      <c r="R296" s="591"/>
      <c r="S296" s="591"/>
      <c r="T296" s="591"/>
      <c r="U296" s="591"/>
      <c r="V296" s="591"/>
      <c r="W296" s="591"/>
      <c r="X296" s="591"/>
      <c r="Y296" s="591"/>
      <c r="Z296" s="591"/>
      <c r="AA296" s="591"/>
      <c r="AB296" s="591"/>
      <c r="AC296" s="591"/>
      <c r="AD296" s="591"/>
      <c r="AE296" s="591"/>
      <c r="AF296" s="591"/>
      <c r="AG296" s="591"/>
      <c r="AH296" s="591"/>
      <c r="AI296" s="591"/>
      <c r="AJ296" s="591"/>
      <c r="AK296" s="591"/>
      <c r="AL296" s="591"/>
      <c r="AM296" s="591"/>
      <c r="AN296" s="591"/>
      <c r="AO296" s="591"/>
      <c r="AP296" s="591"/>
      <c r="AQ296" s="591"/>
      <c r="AR296" s="591"/>
      <c r="AS296" s="591"/>
      <c r="AT296" s="591"/>
      <c r="AU296" s="591"/>
      <c r="AV296" s="591"/>
      <c r="AW296" s="591"/>
      <c r="AX296" s="591"/>
      <c r="AY296" s="591"/>
      <c r="AZ296" s="591"/>
      <c r="BA296" s="591"/>
      <c r="BB296" s="591"/>
      <c r="BC296" s="591"/>
      <c r="BD296" s="591"/>
      <c r="BE296" s="591"/>
      <c r="BF296" s="591"/>
      <c r="BG296" s="591"/>
      <c r="BH296" s="591"/>
      <c r="BI296" s="591"/>
      <c r="BJ296" s="591"/>
      <c r="BK296" s="591"/>
      <c r="BL296" s="591"/>
      <c r="BM296" s="591"/>
      <c r="BN296" s="591"/>
      <c r="BO296" s="591"/>
      <c r="BP296" s="591"/>
      <c r="BQ296" s="591"/>
      <c r="BR296" s="591"/>
      <c r="BS296" s="591"/>
      <c r="BT296" s="591"/>
      <c r="BU296" s="591"/>
      <c r="BV296" s="591"/>
      <c r="BW296" s="591"/>
      <c r="BX296" s="591"/>
      <c r="BY296" s="591"/>
      <c r="BZ296" s="591"/>
      <c r="CA296" s="591"/>
      <c r="CB296" s="591"/>
      <c r="CC296" s="591"/>
      <c r="CD296" s="591"/>
      <c r="CE296" s="591"/>
      <c r="CF296" s="591"/>
    </row>
    <row r="297" spans="1:84">
      <c r="A297" s="591"/>
      <c r="B297" s="591"/>
      <c r="C297" s="591"/>
      <c r="D297" s="591"/>
      <c r="E297" s="591"/>
      <c r="F297" s="591"/>
      <c r="G297" s="591"/>
      <c r="H297" s="591"/>
      <c r="I297" s="591"/>
      <c r="J297" s="591"/>
      <c r="K297" s="591"/>
      <c r="L297" s="591"/>
      <c r="M297" s="591"/>
      <c r="N297" s="591"/>
      <c r="O297" s="591"/>
      <c r="P297" s="591"/>
      <c r="Q297" s="591"/>
      <c r="R297" s="591"/>
      <c r="S297" s="591"/>
      <c r="T297" s="591"/>
      <c r="U297" s="591"/>
      <c r="V297" s="591"/>
      <c r="W297" s="591"/>
      <c r="X297" s="591"/>
      <c r="Y297" s="591"/>
      <c r="Z297" s="591"/>
      <c r="AA297" s="591"/>
      <c r="AB297" s="591"/>
      <c r="AC297" s="591"/>
      <c r="AD297" s="591"/>
      <c r="AE297" s="591"/>
      <c r="AF297" s="591"/>
      <c r="AG297" s="591"/>
      <c r="AH297" s="591"/>
      <c r="AI297" s="591"/>
      <c r="AJ297" s="591"/>
      <c r="AK297" s="591"/>
      <c r="AL297" s="591"/>
      <c r="AM297" s="591"/>
      <c r="AN297" s="591"/>
      <c r="AO297" s="591"/>
      <c r="AP297" s="591"/>
      <c r="AQ297" s="591"/>
      <c r="AR297" s="591"/>
      <c r="AS297" s="591"/>
      <c r="AT297" s="591"/>
      <c r="AU297" s="591"/>
      <c r="AV297" s="591"/>
      <c r="AW297" s="591"/>
      <c r="AX297" s="591"/>
      <c r="AY297" s="591"/>
      <c r="AZ297" s="591"/>
      <c r="BA297" s="591"/>
      <c r="BB297" s="591"/>
      <c r="BC297" s="591"/>
      <c r="BD297" s="591"/>
      <c r="BE297" s="591"/>
      <c r="BF297" s="591"/>
      <c r="BG297" s="591"/>
      <c r="BH297" s="591"/>
      <c r="BI297" s="591"/>
      <c r="BJ297" s="591"/>
      <c r="BK297" s="591"/>
      <c r="BL297" s="591"/>
      <c r="BM297" s="591"/>
      <c r="BN297" s="591"/>
      <c r="BO297" s="591"/>
      <c r="BP297" s="591"/>
      <c r="BQ297" s="591"/>
      <c r="BR297" s="591"/>
      <c r="BS297" s="591"/>
      <c r="BT297" s="591"/>
      <c r="BU297" s="591"/>
      <c r="BV297" s="591"/>
      <c r="BW297" s="591"/>
      <c r="BX297" s="591"/>
      <c r="BY297" s="591"/>
      <c r="BZ297" s="591"/>
      <c r="CA297" s="591"/>
      <c r="CB297" s="591"/>
      <c r="CC297" s="591"/>
      <c r="CD297" s="591"/>
      <c r="CE297" s="591"/>
      <c r="CF297" s="591"/>
    </row>
    <row r="298" spans="1:84">
      <c r="A298" s="591"/>
      <c r="B298" s="591"/>
      <c r="C298" s="591"/>
      <c r="D298" s="591"/>
      <c r="E298" s="591"/>
      <c r="F298" s="591"/>
      <c r="G298" s="591"/>
      <c r="H298" s="591"/>
      <c r="I298" s="591"/>
      <c r="J298" s="591"/>
      <c r="K298" s="591"/>
      <c r="L298" s="591"/>
      <c r="M298" s="591"/>
      <c r="N298" s="591"/>
      <c r="O298" s="591"/>
      <c r="P298" s="591"/>
      <c r="Q298" s="591"/>
      <c r="R298" s="591"/>
      <c r="S298" s="591"/>
      <c r="T298" s="591"/>
      <c r="U298" s="591"/>
      <c r="V298" s="591"/>
      <c r="W298" s="591"/>
      <c r="X298" s="591"/>
      <c r="Y298" s="591"/>
      <c r="Z298" s="591"/>
      <c r="AA298" s="591"/>
      <c r="AB298" s="591"/>
      <c r="AC298" s="591"/>
      <c r="AD298" s="591"/>
      <c r="AE298" s="591"/>
      <c r="AF298" s="591"/>
      <c r="AG298" s="591"/>
      <c r="AH298" s="591"/>
      <c r="AI298" s="591"/>
      <c r="AJ298" s="591"/>
      <c r="AK298" s="591"/>
      <c r="AL298" s="591"/>
      <c r="AM298" s="591"/>
      <c r="AN298" s="591"/>
      <c r="AO298" s="591"/>
      <c r="AP298" s="591"/>
      <c r="AQ298" s="591"/>
      <c r="AR298" s="591"/>
      <c r="AS298" s="591"/>
      <c r="AT298" s="591"/>
      <c r="AU298" s="591"/>
      <c r="AV298" s="591"/>
      <c r="AW298" s="591"/>
      <c r="AX298" s="591"/>
      <c r="AY298" s="591"/>
      <c r="AZ298" s="591"/>
      <c r="BA298" s="591"/>
      <c r="BB298" s="591"/>
      <c r="BC298" s="591"/>
      <c r="BD298" s="591"/>
      <c r="BE298" s="591"/>
      <c r="BF298" s="591"/>
      <c r="BG298" s="591"/>
      <c r="BH298" s="591"/>
      <c r="BI298" s="591"/>
      <c r="BJ298" s="591"/>
      <c r="BK298" s="591"/>
      <c r="BL298" s="591"/>
      <c r="BM298" s="591"/>
      <c r="BN298" s="591"/>
      <c r="BO298" s="591"/>
      <c r="BP298" s="591"/>
      <c r="BQ298" s="591"/>
      <c r="BR298" s="591"/>
      <c r="BS298" s="591"/>
      <c r="BT298" s="591"/>
      <c r="BU298" s="591"/>
      <c r="BV298" s="591"/>
      <c r="BW298" s="591"/>
      <c r="BX298" s="591"/>
      <c r="BY298" s="591"/>
      <c r="BZ298" s="591"/>
      <c r="CA298" s="591"/>
      <c r="CB298" s="591"/>
      <c r="CC298" s="591"/>
      <c r="CD298" s="591"/>
      <c r="CE298" s="591"/>
      <c r="CF298" s="591"/>
    </row>
    <row r="299" spans="1:84">
      <c r="A299" s="591"/>
      <c r="B299" s="591"/>
      <c r="C299" s="591"/>
      <c r="D299" s="591"/>
      <c r="E299" s="591"/>
      <c r="F299" s="591"/>
      <c r="G299" s="591"/>
      <c r="H299" s="591"/>
      <c r="I299" s="591"/>
      <c r="J299" s="591"/>
      <c r="K299" s="591"/>
      <c r="L299" s="591"/>
      <c r="M299" s="591"/>
      <c r="N299" s="591"/>
      <c r="O299" s="591"/>
      <c r="P299" s="591"/>
      <c r="Q299" s="591"/>
      <c r="R299" s="591"/>
      <c r="S299" s="591"/>
      <c r="T299" s="591"/>
      <c r="U299" s="591"/>
      <c r="V299" s="591"/>
      <c r="W299" s="591"/>
      <c r="X299" s="591"/>
      <c r="Y299" s="591"/>
      <c r="Z299" s="591"/>
      <c r="AA299" s="591"/>
      <c r="AB299" s="591"/>
      <c r="AC299" s="591"/>
      <c r="AD299" s="591"/>
      <c r="AE299" s="591"/>
      <c r="AF299" s="591"/>
      <c r="AG299" s="591"/>
      <c r="AH299" s="591"/>
      <c r="AI299" s="591"/>
      <c r="AJ299" s="591"/>
      <c r="AK299" s="591"/>
      <c r="AL299" s="591"/>
      <c r="AM299" s="591"/>
      <c r="AN299" s="591"/>
      <c r="AO299" s="591"/>
      <c r="AP299" s="591"/>
      <c r="AQ299" s="591"/>
      <c r="AR299" s="591"/>
      <c r="AS299" s="591"/>
      <c r="AT299" s="591"/>
      <c r="AU299" s="591"/>
      <c r="AV299" s="591"/>
      <c r="AW299" s="591"/>
      <c r="AX299" s="591"/>
      <c r="AY299" s="591"/>
      <c r="AZ299" s="591"/>
      <c r="BA299" s="591"/>
      <c r="BB299" s="591"/>
      <c r="BC299" s="591"/>
      <c r="BD299" s="591"/>
      <c r="BE299" s="591"/>
      <c r="BF299" s="591"/>
      <c r="BG299" s="591"/>
      <c r="BH299" s="591"/>
      <c r="BI299" s="591"/>
      <c r="BJ299" s="591"/>
      <c r="BK299" s="591"/>
      <c r="BL299" s="591"/>
      <c r="BM299" s="591"/>
      <c r="BN299" s="591"/>
      <c r="BO299" s="591"/>
      <c r="BP299" s="591"/>
      <c r="BQ299" s="591"/>
      <c r="BR299" s="591"/>
      <c r="BS299" s="591"/>
      <c r="BT299" s="591"/>
      <c r="BU299" s="591"/>
      <c r="BV299" s="591"/>
      <c r="BW299" s="591"/>
      <c r="BX299" s="591"/>
      <c r="BY299" s="591"/>
      <c r="BZ299" s="591"/>
      <c r="CA299" s="591"/>
      <c r="CB299" s="591"/>
      <c r="CC299" s="591"/>
      <c r="CD299" s="591"/>
      <c r="CE299" s="591"/>
      <c r="CF299" s="591"/>
    </row>
    <row r="300" spans="1:84">
      <c r="A300" s="591"/>
      <c r="B300" s="591"/>
      <c r="C300" s="591"/>
      <c r="D300" s="591"/>
      <c r="E300" s="591"/>
      <c r="F300" s="591"/>
      <c r="G300" s="591"/>
      <c r="H300" s="591"/>
      <c r="I300" s="591"/>
      <c r="J300" s="591"/>
      <c r="K300" s="591"/>
      <c r="L300" s="591"/>
      <c r="M300" s="591"/>
      <c r="N300" s="591"/>
      <c r="O300" s="591"/>
      <c r="P300" s="591"/>
      <c r="Q300" s="591"/>
      <c r="R300" s="591"/>
      <c r="S300" s="591"/>
      <c r="T300" s="591"/>
      <c r="U300" s="591"/>
      <c r="V300" s="591"/>
      <c r="W300" s="591"/>
      <c r="X300" s="591"/>
      <c r="Y300" s="591"/>
      <c r="Z300" s="591"/>
      <c r="AA300" s="591"/>
      <c r="AB300" s="591"/>
      <c r="AC300" s="591"/>
      <c r="AD300" s="591"/>
      <c r="AE300" s="591"/>
      <c r="AF300" s="591"/>
      <c r="AG300" s="591"/>
      <c r="AH300" s="591"/>
      <c r="AI300" s="591"/>
      <c r="AJ300" s="591"/>
      <c r="AK300" s="591"/>
      <c r="AL300" s="591"/>
      <c r="AM300" s="591"/>
      <c r="AN300" s="591"/>
      <c r="AO300" s="591"/>
      <c r="AP300" s="591"/>
      <c r="AQ300" s="591"/>
      <c r="AR300" s="591"/>
      <c r="AS300" s="591"/>
      <c r="AT300" s="591"/>
      <c r="AU300" s="591"/>
      <c r="AV300" s="591"/>
      <c r="AW300" s="591"/>
      <c r="AX300" s="591"/>
      <c r="AY300" s="591"/>
      <c r="AZ300" s="591"/>
      <c r="BA300" s="591"/>
      <c r="BB300" s="591"/>
      <c r="BC300" s="591"/>
      <c r="BD300" s="591"/>
      <c r="BE300" s="591"/>
      <c r="BF300" s="591"/>
      <c r="BG300" s="591"/>
      <c r="BH300" s="591"/>
      <c r="BI300" s="591"/>
      <c r="BJ300" s="591"/>
      <c r="BK300" s="591"/>
      <c r="BL300" s="591"/>
      <c r="BM300" s="591"/>
      <c r="BN300" s="591"/>
      <c r="BO300" s="591"/>
      <c r="BP300" s="591"/>
      <c r="BQ300" s="591"/>
      <c r="BR300" s="591"/>
      <c r="BS300" s="591"/>
      <c r="BT300" s="591"/>
      <c r="BU300" s="591"/>
      <c r="BV300" s="591"/>
      <c r="BW300" s="591"/>
      <c r="BX300" s="591"/>
      <c r="BY300" s="591"/>
      <c r="BZ300" s="591"/>
      <c r="CA300" s="591"/>
      <c r="CB300" s="591"/>
      <c r="CC300" s="591"/>
      <c r="CD300" s="591"/>
      <c r="CE300" s="591"/>
      <c r="CF300" s="591"/>
    </row>
    <row r="301" spans="1:84">
      <c r="A301" s="591"/>
      <c r="B301" s="591"/>
      <c r="C301" s="591"/>
      <c r="D301" s="591"/>
      <c r="E301" s="591"/>
      <c r="F301" s="591"/>
      <c r="G301" s="591"/>
      <c r="H301" s="591"/>
      <c r="I301" s="591"/>
      <c r="J301" s="591"/>
      <c r="K301" s="591"/>
      <c r="L301" s="591"/>
      <c r="M301" s="591"/>
      <c r="N301" s="591"/>
      <c r="O301" s="591"/>
      <c r="P301" s="591"/>
      <c r="Q301" s="591"/>
      <c r="R301" s="591"/>
      <c r="S301" s="591"/>
      <c r="T301" s="591"/>
      <c r="U301" s="591"/>
      <c r="V301" s="591"/>
      <c r="W301" s="591"/>
      <c r="X301" s="591"/>
      <c r="Y301" s="591"/>
      <c r="Z301" s="591"/>
      <c r="AA301" s="591"/>
      <c r="AB301" s="591"/>
      <c r="AC301" s="591"/>
      <c r="AD301" s="591"/>
      <c r="AE301" s="591"/>
      <c r="AF301" s="591"/>
      <c r="AG301" s="591"/>
      <c r="AH301" s="591"/>
      <c r="AI301" s="591"/>
      <c r="AJ301" s="591"/>
      <c r="AK301" s="591"/>
      <c r="AL301" s="591"/>
      <c r="AM301" s="591"/>
      <c r="AN301" s="591"/>
      <c r="AO301" s="591"/>
      <c r="AP301" s="591"/>
      <c r="AQ301" s="591"/>
      <c r="AR301" s="591"/>
      <c r="AS301" s="591"/>
      <c r="AT301" s="591"/>
      <c r="AU301" s="591"/>
      <c r="AV301" s="591"/>
      <c r="AW301" s="591"/>
      <c r="AX301" s="591"/>
      <c r="AY301" s="591"/>
      <c r="AZ301" s="591"/>
      <c r="BA301" s="591"/>
      <c r="BB301" s="591"/>
      <c r="BC301" s="591"/>
      <c r="BD301" s="591"/>
      <c r="BE301" s="591"/>
      <c r="BF301" s="591"/>
      <c r="BG301" s="591"/>
      <c r="BH301" s="591"/>
      <c r="BI301" s="591"/>
      <c r="BJ301" s="591"/>
      <c r="BK301" s="591"/>
      <c r="BL301" s="591"/>
      <c r="BM301" s="591"/>
      <c r="BN301" s="591"/>
      <c r="BO301" s="591"/>
      <c r="BP301" s="591"/>
      <c r="BQ301" s="591"/>
      <c r="BR301" s="591"/>
      <c r="BS301" s="591"/>
      <c r="BT301" s="591"/>
      <c r="BU301" s="591"/>
      <c r="BV301" s="591"/>
      <c r="BW301" s="591"/>
      <c r="BX301" s="591"/>
      <c r="BY301" s="591"/>
      <c r="BZ301" s="591"/>
      <c r="CA301" s="591"/>
      <c r="CB301" s="591"/>
      <c r="CC301" s="591"/>
      <c r="CD301" s="591"/>
      <c r="CE301" s="591"/>
      <c r="CF301" s="591"/>
    </row>
    <row r="302" spans="1:84">
      <c r="A302" s="591"/>
      <c r="B302" s="591"/>
      <c r="C302" s="591"/>
      <c r="D302" s="591"/>
      <c r="E302" s="591"/>
      <c r="F302" s="591"/>
      <c r="G302" s="591"/>
      <c r="H302" s="591"/>
      <c r="I302" s="591"/>
      <c r="J302" s="591"/>
      <c r="K302" s="591"/>
      <c r="L302" s="591"/>
      <c r="M302" s="591"/>
      <c r="N302" s="591"/>
      <c r="O302" s="591"/>
      <c r="P302" s="591"/>
      <c r="Q302" s="591"/>
      <c r="R302" s="591"/>
      <c r="S302" s="591"/>
      <c r="T302" s="591"/>
      <c r="U302" s="591"/>
      <c r="V302" s="591"/>
      <c r="W302" s="591"/>
      <c r="X302" s="591"/>
      <c r="Y302" s="591"/>
      <c r="Z302" s="591"/>
      <c r="AA302" s="591"/>
      <c r="AB302" s="591"/>
      <c r="AC302" s="591"/>
      <c r="AD302" s="591"/>
      <c r="AE302" s="591"/>
      <c r="AF302" s="591"/>
      <c r="AG302" s="591"/>
      <c r="AH302" s="591"/>
      <c r="AI302" s="591"/>
      <c r="AJ302" s="591"/>
      <c r="AK302" s="591"/>
      <c r="AL302" s="591"/>
      <c r="AM302" s="591"/>
      <c r="AN302" s="591"/>
      <c r="AO302" s="591"/>
      <c r="AP302" s="591"/>
      <c r="AQ302" s="591"/>
      <c r="AR302" s="591"/>
      <c r="AS302" s="591"/>
      <c r="AT302" s="591"/>
      <c r="AU302" s="591"/>
      <c r="AV302" s="591"/>
      <c r="AW302" s="591"/>
      <c r="AX302" s="591"/>
      <c r="AY302" s="591"/>
      <c r="AZ302" s="591"/>
      <c r="BA302" s="591"/>
      <c r="BB302" s="591"/>
      <c r="BC302" s="591"/>
      <c r="BD302" s="591"/>
      <c r="BE302" s="591"/>
      <c r="BF302" s="591"/>
      <c r="BG302" s="591"/>
      <c r="BH302" s="591"/>
      <c r="BI302" s="591"/>
      <c r="BJ302" s="591"/>
      <c r="BK302" s="591"/>
      <c r="BL302" s="591"/>
      <c r="BM302" s="591"/>
      <c r="BN302" s="591"/>
      <c r="BO302" s="591"/>
      <c r="BP302" s="591"/>
      <c r="BQ302" s="591"/>
      <c r="BR302" s="591"/>
      <c r="BS302" s="591"/>
      <c r="BT302" s="591"/>
      <c r="BU302" s="591"/>
      <c r="BV302" s="591"/>
      <c r="BW302" s="591"/>
      <c r="BX302" s="591"/>
      <c r="BY302" s="591"/>
      <c r="BZ302" s="591"/>
      <c r="CA302" s="591"/>
      <c r="CB302" s="591"/>
      <c r="CC302" s="591"/>
      <c r="CD302" s="591"/>
      <c r="CE302" s="591"/>
      <c r="CF302" s="591"/>
    </row>
    <row r="303" spans="1:84">
      <c r="A303" s="591"/>
      <c r="B303" s="591"/>
      <c r="C303" s="591"/>
      <c r="D303" s="591"/>
      <c r="E303" s="591"/>
      <c r="F303" s="591"/>
      <c r="G303" s="591"/>
      <c r="H303" s="591"/>
      <c r="I303" s="591"/>
      <c r="J303" s="591"/>
      <c r="K303" s="591"/>
      <c r="L303" s="591"/>
      <c r="M303" s="591"/>
      <c r="N303" s="591"/>
      <c r="O303" s="591"/>
      <c r="P303" s="591"/>
      <c r="Q303" s="591"/>
      <c r="R303" s="591"/>
      <c r="S303" s="591"/>
      <c r="T303" s="591"/>
      <c r="U303" s="591"/>
      <c r="V303" s="591"/>
      <c r="W303" s="591"/>
      <c r="X303" s="591"/>
      <c r="Y303" s="591"/>
      <c r="Z303" s="591"/>
      <c r="AA303" s="591"/>
      <c r="AB303" s="591"/>
      <c r="AC303" s="591"/>
      <c r="AD303" s="591"/>
      <c r="AE303" s="591"/>
      <c r="AF303" s="591"/>
      <c r="AG303" s="591"/>
      <c r="AH303" s="591"/>
      <c r="AI303" s="591"/>
      <c r="AJ303" s="591"/>
      <c r="AK303" s="591"/>
      <c r="AL303" s="591"/>
      <c r="AM303" s="591"/>
      <c r="AN303" s="591"/>
      <c r="AO303" s="591"/>
      <c r="AP303" s="591"/>
      <c r="AQ303" s="591"/>
      <c r="AR303" s="591"/>
      <c r="AS303" s="591"/>
      <c r="AT303" s="591"/>
      <c r="AU303" s="591"/>
      <c r="AV303" s="591"/>
      <c r="AW303" s="591"/>
      <c r="AX303" s="591"/>
      <c r="AY303" s="591"/>
      <c r="AZ303" s="591"/>
      <c r="BA303" s="591"/>
      <c r="BB303" s="591"/>
      <c r="BC303" s="591"/>
      <c r="BD303" s="591"/>
      <c r="BE303" s="591"/>
      <c r="BF303" s="591"/>
      <c r="BG303" s="591"/>
      <c r="BH303" s="591"/>
      <c r="BI303" s="591"/>
      <c r="BJ303" s="591"/>
      <c r="BK303" s="591"/>
      <c r="BL303" s="591"/>
      <c r="BM303" s="591"/>
      <c r="BN303" s="591"/>
      <c r="BO303" s="591"/>
      <c r="BP303" s="591"/>
      <c r="BQ303" s="591"/>
      <c r="BR303" s="591"/>
      <c r="BS303" s="591"/>
      <c r="BT303" s="591"/>
      <c r="BU303" s="591"/>
      <c r="BV303" s="591"/>
      <c r="BW303" s="591"/>
      <c r="BX303" s="591"/>
      <c r="BY303" s="591"/>
      <c r="BZ303" s="591"/>
      <c r="CA303" s="591"/>
      <c r="CB303" s="591"/>
      <c r="CC303" s="591"/>
      <c r="CD303" s="591"/>
      <c r="CE303" s="591"/>
      <c r="CF303" s="591"/>
    </row>
    <row r="304" spans="1:84">
      <c r="A304" s="591"/>
      <c r="B304" s="591"/>
      <c r="C304" s="591"/>
      <c r="D304" s="591"/>
      <c r="E304" s="591"/>
      <c r="F304" s="591"/>
      <c r="G304" s="591"/>
      <c r="H304" s="591"/>
      <c r="I304" s="591"/>
      <c r="J304" s="591"/>
      <c r="K304" s="591"/>
      <c r="L304" s="591"/>
      <c r="M304" s="591"/>
      <c r="N304" s="591"/>
      <c r="O304" s="591"/>
      <c r="P304" s="591"/>
      <c r="Q304" s="591"/>
      <c r="R304" s="591"/>
      <c r="S304" s="591"/>
      <c r="T304" s="591"/>
      <c r="U304" s="591"/>
      <c r="V304" s="591"/>
      <c r="W304" s="591"/>
      <c r="X304" s="591"/>
      <c r="Y304" s="591"/>
      <c r="Z304" s="591"/>
      <c r="AA304" s="591"/>
      <c r="AB304" s="591"/>
      <c r="AC304" s="591"/>
      <c r="AD304" s="591"/>
      <c r="AE304" s="591"/>
      <c r="AF304" s="591"/>
      <c r="AG304" s="591"/>
      <c r="AH304" s="591"/>
      <c r="AI304" s="591"/>
      <c r="AJ304" s="591"/>
      <c r="AK304" s="591"/>
      <c r="AL304" s="591"/>
      <c r="AM304" s="591"/>
      <c r="AN304" s="591"/>
      <c r="AO304" s="591"/>
      <c r="AP304" s="591"/>
      <c r="AQ304" s="591"/>
      <c r="AR304" s="591"/>
      <c r="AS304" s="591"/>
      <c r="AT304" s="591"/>
      <c r="AU304" s="591"/>
      <c r="AV304" s="591"/>
      <c r="AW304" s="591"/>
      <c r="AX304" s="591"/>
      <c r="AY304" s="591"/>
      <c r="AZ304" s="591"/>
      <c r="BA304" s="591"/>
      <c r="BB304" s="591"/>
      <c r="BC304" s="591"/>
      <c r="BD304" s="591"/>
      <c r="BE304" s="591"/>
      <c r="BF304" s="591"/>
      <c r="BG304" s="591"/>
      <c r="BH304" s="591"/>
      <c r="BI304" s="591"/>
      <c r="BJ304" s="591"/>
      <c r="BK304" s="591"/>
      <c r="BL304" s="591"/>
      <c r="BM304" s="591"/>
      <c r="BN304" s="591"/>
      <c r="BO304" s="591"/>
      <c r="BP304" s="591"/>
      <c r="BQ304" s="591"/>
      <c r="BR304" s="591"/>
      <c r="BS304" s="591"/>
      <c r="BT304" s="591"/>
      <c r="BU304" s="591"/>
      <c r="BV304" s="591"/>
      <c r="BW304" s="591"/>
      <c r="BX304" s="591"/>
      <c r="BY304" s="591"/>
      <c r="BZ304" s="591"/>
      <c r="CA304" s="591"/>
      <c r="CB304" s="591"/>
      <c r="CC304" s="591"/>
      <c r="CD304" s="591"/>
      <c r="CE304" s="591"/>
      <c r="CF304" s="591"/>
    </row>
    <row r="305" spans="1:84">
      <c r="A305" s="591"/>
      <c r="B305" s="591"/>
      <c r="C305" s="591"/>
      <c r="D305" s="591"/>
      <c r="E305" s="591"/>
      <c r="F305" s="591"/>
      <c r="G305" s="591"/>
      <c r="H305" s="591"/>
      <c r="I305" s="591"/>
      <c r="J305" s="591"/>
      <c r="K305" s="591"/>
      <c r="L305" s="591"/>
      <c r="M305" s="591"/>
      <c r="N305" s="591"/>
      <c r="O305" s="591"/>
      <c r="P305" s="591"/>
      <c r="Q305" s="591"/>
      <c r="R305" s="591"/>
      <c r="S305" s="591"/>
      <c r="T305" s="591"/>
      <c r="U305" s="591"/>
      <c r="V305" s="591"/>
      <c r="W305" s="591"/>
      <c r="X305" s="591"/>
      <c r="Y305" s="591"/>
      <c r="Z305" s="591"/>
      <c r="AA305" s="591"/>
      <c r="AB305" s="591"/>
      <c r="AC305" s="591"/>
      <c r="AD305" s="591"/>
      <c r="AE305" s="591"/>
      <c r="AF305" s="591"/>
      <c r="AG305" s="591"/>
      <c r="AH305" s="591"/>
      <c r="AI305" s="591"/>
      <c r="AJ305" s="591"/>
      <c r="AK305" s="591"/>
      <c r="AL305" s="591"/>
      <c r="AM305" s="591"/>
      <c r="AN305" s="591"/>
      <c r="AO305" s="591"/>
      <c r="AP305" s="591"/>
      <c r="AQ305" s="591"/>
      <c r="AR305" s="591"/>
      <c r="AS305" s="591"/>
      <c r="AT305" s="591"/>
      <c r="AU305" s="591"/>
      <c r="AV305" s="591"/>
      <c r="AW305" s="591"/>
      <c r="AX305" s="591"/>
      <c r="AY305" s="591"/>
      <c r="AZ305" s="591"/>
      <c r="BA305" s="591"/>
      <c r="BB305" s="591"/>
      <c r="BC305" s="591"/>
      <c r="BD305" s="591"/>
      <c r="BE305" s="591"/>
      <c r="BF305" s="591"/>
      <c r="BG305" s="591"/>
      <c r="BH305" s="591"/>
      <c r="BI305" s="591"/>
      <c r="BJ305" s="591"/>
      <c r="BK305" s="591"/>
      <c r="BL305" s="591"/>
      <c r="BM305" s="591"/>
      <c r="BN305" s="591"/>
      <c r="BO305" s="591"/>
      <c r="BP305" s="591"/>
      <c r="BQ305" s="591"/>
      <c r="BR305" s="591"/>
      <c r="BS305" s="591"/>
      <c r="BT305" s="591"/>
      <c r="BU305" s="591"/>
      <c r="BV305" s="591"/>
      <c r="BW305" s="591"/>
      <c r="BX305" s="591"/>
      <c r="BY305" s="591"/>
      <c r="BZ305" s="591"/>
      <c r="CA305" s="591"/>
      <c r="CB305" s="591"/>
      <c r="CC305" s="591"/>
      <c r="CD305" s="591"/>
      <c r="CE305" s="591"/>
      <c r="CF305" s="591"/>
    </row>
    <row r="306" spans="1:84">
      <c r="A306" s="591"/>
      <c r="B306" s="591"/>
      <c r="C306" s="591"/>
      <c r="D306" s="591"/>
      <c r="E306" s="591"/>
      <c r="F306" s="591"/>
      <c r="G306" s="591"/>
      <c r="H306" s="591"/>
      <c r="I306" s="591"/>
      <c r="J306" s="591"/>
      <c r="K306" s="591"/>
      <c r="L306" s="591"/>
      <c r="M306" s="591"/>
      <c r="N306" s="591"/>
      <c r="O306" s="591"/>
      <c r="P306" s="591"/>
      <c r="Q306" s="591"/>
      <c r="R306" s="591"/>
      <c r="S306" s="591"/>
      <c r="T306" s="591"/>
      <c r="U306" s="591"/>
      <c r="V306" s="591"/>
      <c r="W306" s="591"/>
      <c r="X306" s="591"/>
      <c r="Y306" s="591"/>
      <c r="Z306" s="591"/>
      <c r="AA306" s="591"/>
      <c r="AB306" s="591"/>
      <c r="AC306" s="591"/>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1"/>
      <c r="AY306" s="591"/>
      <c r="AZ306" s="591"/>
      <c r="BA306" s="591"/>
      <c r="BB306" s="591"/>
      <c r="BC306" s="591"/>
      <c r="BD306" s="591"/>
      <c r="BE306" s="591"/>
      <c r="BF306" s="591"/>
      <c r="BG306" s="591"/>
      <c r="BH306" s="591"/>
      <c r="BI306" s="591"/>
      <c r="BJ306" s="591"/>
      <c r="BK306" s="591"/>
      <c r="BL306" s="591"/>
      <c r="BM306" s="591"/>
      <c r="BN306" s="591"/>
      <c r="BO306" s="591"/>
      <c r="BP306" s="591"/>
      <c r="BQ306" s="591"/>
      <c r="BR306" s="591"/>
      <c r="BS306" s="591"/>
      <c r="BT306" s="591"/>
      <c r="BU306" s="591"/>
      <c r="BV306" s="591"/>
      <c r="BW306" s="591"/>
      <c r="BX306" s="591"/>
      <c r="BY306" s="591"/>
      <c r="BZ306" s="591"/>
      <c r="CA306" s="591"/>
      <c r="CB306" s="591"/>
      <c r="CC306" s="591"/>
      <c r="CD306" s="591"/>
      <c r="CE306" s="591"/>
      <c r="CF306" s="591"/>
    </row>
    <row r="307" spans="1:84">
      <c r="A307" s="591"/>
      <c r="B307" s="591"/>
      <c r="C307" s="591"/>
      <c r="D307" s="591"/>
      <c r="E307" s="591"/>
      <c r="F307" s="591"/>
      <c r="G307" s="591"/>
      <c r="H307" s="591"/>
      <c r="I307" s="591"/>
      <c r="J307" s="591"/>
      <c r="K307" s="591"/>
      <c r="L307" s="591"/>
      <c r="M307" s="591"/>
      <c r="N307" s="591"/>
      <c r="O307" s="591"/>
      <c r="P307" s="591"/>
      <c r="Q307" s="591"/>
      <c r="R307" s="591"/>
      <c r="S307" s="591"/>
      <c r="T307" s="591"/>
      <c r="U307" s="591"/>
      <c r="V307" s="591"/>
      <c r="W307" s="591"/>
      <c r="X307" s="591"/>
      <c r="Y307" s="591"/>
      <c r="Z307" s="591"/>
      <c r="AA307" s="591"/>
      <c r="AB307" s="591"/>
      <c r="AC307" s="591"/>
      <c r="AD307" s="591"/>
      <c r="AE307" s="591"/>
      <c r="AF307" s="591"/>
      <c r="AG307" s="591"/>
      <c r="AH307" s="591"/>
      <c r="AI307" s="591"/>
      <c r="AJ307" s="591"/>
      <c r="AK307" s="591"/>
      <c r="AL307" s="591"/>
      <c r="AM307" s="591"/>
      <c r="AN307" s="591"/>
      <c r="AO307" s="591"/>
      <c r="AP307" s="591"/>
      <c r="AQ307" s="591"/>
      <c r="AR307" s="591"/>
      <c r="AS307" s="591"/>
      <c r="AT307" s="591"/>
      <c r="AU307" s="591"/>
      <c r="AV307" s="591"/>
      <c r="AW307" s="591"/>
      <c r="AX307" s="591"/>
      <c r="AY307" s="591"/>
      <c r="AZ307" s="591"/>
      <c r="BA307" s="591"/>
      <c r="BB307" s="591"/>
      <c r="BC307" s="591"/>
      <c r="BD307" s="591"/>
      <c r="BE307" s="591"/>
      <c r="BF307" s="591"/>
      <c r="BG307" s="591"/>
      <c r="BH307" s="591"/>
      <c r="BI307" s="591"/>
      <c r="BJ307" s="591"/>
      <c r="BK307" s="591"/>
      <c r="BL307" s="591"/>
      <c r="BM307" s="591"/>
      <c r="BN307" s="591"/>
      <c r="BO307" s="591"/>
      <c r="BP307" s="591"/>
      <c r="BQ307" s="591"/>
      <c r="BR307" s="591"/>
      <c r="BS307" s="591"/>
      <c r="BT307" s="591"/>
      <c r="BU307" s="591"/>
      <c r="BV307" s="591"/>
      <c r="BW307" s="591"/>
      <c r="BX307" s="591"/>
      <c r="BY307" s="591"/>
      <c r="BZ307" s="591"/>
      <c r="CA307" s="591"/>
      <c r="CB307" s="591"/>
      <c r="CC307" s="591"/>
      <c r="CD307" s="591"/>
      <c r="CE307" s="591"/>
      <c r="CF307" s="591"/>
    </row>
    <row r="308" spans="1:84">
      <c r="A308" s="591"/>
      <c r="B308" s="591"/>
      <c r="C308" s="591"/>
      <c r="D308" s="591"/>
      <c r="E308" s="591"/>
      <c r="F308" s="591"/>
      <c r="G308" s="591"/>
      <c r="H308" s="591"/>
      <c r="I308" s="591"/>
      <c r="J308" s="591"/>
      <c r="K308" s="591"/>
      <c r="L308" s="591"/>
      <c r="M308" s="591"/>
      <c r="N308" s="591"/>
      <c r="O308" s="591"/>
      <c r="P308" s="591"/>
      <c r="Q308" s="591"/>
      <c r="R308" s="591"/>
      <c r="S308" s="591"/>
      <c r="T308" s="591"/>
      <c r="U308" s="591"/>
      <c r="V308" s="591"/>
      <c r="W308" s="591"/>
      <c r="X308" s="591"/>
      <c r="Y308" s="591"/>
      <c r="Z308" s="591"/>
      <c r="AA308" s="591"/>
      <c r="AB308" s="591"/>
      <c r="AC308" s="591"/>
      <c r="AD308" s="591"/>
      <c r="AE308" s="591"/>
      <c r="AF308" s="591"/>
      <c r="AG308" s="591"/>
      <c r="AH308" s="591"/>
      <c r="AI308" s="591"/>
      <c r="AJ308" s="591"/>
      <c r="AK308" s="591"/>
      <c r="AL308" s="591"/>
      <c r="AM308" s="591"/>
      <c r="AN308" s="591"/>
      <c r="AO308" s="591"/>
      <c r="AP308" s="591"/>
      <c r="AQ308" s="591"/>
      <c r="AR308" s="591"/>
      <c r="AS308" s="591"/>
      <c r="AT308" s="591"/>
      <c r="AU308" s="591"/>
      <c r="AV308" s="591"/>
      <c r="AW308" s="591"/>
      <c r="AX308" s="591"/>
      <c r="AY308" s="591"/>
      <c r="AZ308" s="591"/>
      <c r="BA308" s="591"/>
      <c r="BB308" s="591"/>
      <c r="BC308" s="591"/>
      <c r="BD308" s="591"/>
      <c r="BE308" s="591"/>
      <c r="BF308" s="591"/>
      <c r="BG308" s="591"/>
      <c r="BH308" s="591"/>
      <c r="BI308" s="591"/>
      <c r="BJ308" s="591"/>
      <c r="BK308" s="591"/>
      <c r="BL308" s="591"/>
      <c r="BM308" s="591"/>
      <c r="BN308" s="591"/>
      <c r="BO308" s="591"/>
      <c r="BP308" s="591"/>
      <c r="BQ308" s="591"/>
      <c r="BR308" s="591"/>
      <c r="BS308" s="591"/>
      <c r="BT308" s="591"/>
      <c r="BU308" s="591"/>
      <c r="BV308" s="591"/>
      <c r="BW308" s="591"/>
      <c r="BX308" s="591"/>
      <c r="BY308" s="591"/>
      <c r="BZ308" s="591"/>
      <c r="CA308" s="591"/>
      <c r="CB308" s="591"/>
      <c r="CC308" s="591"/>
      <c r="CD308" s="591"/>
      <c r="CE308" s="591"/>
      <c r="CF308" s="591"/>
    </row>
    <row r="309" spans="1:84">
      <c r="A309" s="591"/>
      <c r="B309" s="591"/>
      <c r="C309" s="591"/>
      <c r="D309" s="591"/>
      <c r="E309" s="591"/>
      <c r="F309" s="591"/>
      <c r="G309" s="591"/>
      <c r="H309" s="591"/>
      <c r="I309" s="591"/>
      <c r="J309" s="591"/>
      <c r="K309" s="591"/>
      <c r="L309" s="591"/>
      <c r="M309" s="591"/>
      <c r="N309" s="591"/>
      <c r="O309" s="591"/>
      <c r="P309" s="591"/>
      <c r="Q309" s="591"/>
      <c r="R309" s="591"/>
      <c r="S309" s="591"/>
      <c r="T309" s="591"/>
      <c r="U309" s="591"/>
      <c r="V309" s="591"/>
      <c r="W309" s="591"/>
      <c r="X309" s="591"/>
      <c r="Y309" s="591"/>
      <c r="Z309" s="591"/>
      <c r="AA309" s="591"/>
      <c r="AB309" s="591"/>
      <c r="AC309" s="591"/>
      <c r="AD309" s="591"/>
      <c r="AE309" s="591"/>
      <c r="AF309" s="591"/>
      <c r="AG309" s="591"/>
      <c r="AH309" s="591"/>
      <c r="AI309" s="591"/>
      <c r="AJ309" s="591"/>
      <c r="AK309" s="591"/>
      <c r="AL309" s="591"/>
      <c r="AM309" s="591"/>
      <c r="AN309" s="591"/>
      <c r="AO309" s="591"/>
      <c r="AP309" s="591"/>
      <c r="AQ309" s="591"/>
      <c r="AR309" s="591"/>
      <c r="AS309" s="591"/>
      <c r="AT309" s="591"/>
      <c r="AU309" s="591"/>
      <c r="AV309" s="591"/>
      <c r="AW309" s="591"/>
      <c r="AX309" s="591"/>
      <c r="AY309" s="591"/>
      <c r="AZ309" s="591"/>
      <c r="BA309" s="591"/>
      <c r="BB309" s="591"/>
      <c r="BC309" s="591"/>
      <c r="BD309" s="591"/>
      <c r="BE309" s="591"/>
      <c r="BF309" s="591"/>
      <c r="BG309" s="591"/>
      <c r="BH309" s="591"/>
      <c r="BI309" s="591"/>
      <c r="BJ309" s="591"/>
      <c r="BK309" s="591"/>
      <c r="BL309" s="591"/>
      <c r="BM309" s="591"/>
      <c r="BN309" s="591"/>
      <c r="BO309" s="591"/>
      <c r="BP309" s="591"/>
      <c r="BQ309" s="591"/>
      <c r="BR309" s="591"/>
      <c r="BS309" s="591"/>
      <c r="BT309" s="591"/>
      <c r="BU309" s="591"/>
      <c r="BV309" s="591"/>
      <c r="BW309" s="591"/>
      <c r="BX309" s="591"/>
      <c r="BY309" s="591"/>
      <c r="BZ309" s="591"/>
      <c r="CA309" s="591"/>
      <c r="CB309" s="591"/>
      <c r="CC309" s="591"/>
      <c r="CD309" s="591"/>
      <c r="CE309" s="591"/>
      <c r="CF309" s="591"/>
    </row>
    <row r="310" spans="1:84">
      <c r="A310" s="591"/>
      <c r="B310" s="591"/>
      <c r="C310" s="591"/>
      <c r="D310" s="591"/>
      <c r="E310" s="591"/>
      <c r="F310" s="591"/>
      <c r="G310" s="591"/>
      <c r="H310" s="591"/>
      <c r="I310" s="591"/>
      <c r="J310" s="591"/>
      <c r="K310" s="591"/>
      <c r="L310" s="591"/>
      <c r="M310" s="591"/>
      <c r="N310" s="591"/>
      <c r="O310" s="591"/>
      <c r="P310" s="591"/>
      <c r="Q310" s="591"/>
      <c r="R310" s="591"/>
      <c r="S310" s="591"/>
      <c r="T310" s="591"/>
      <c r="U310" s="591"/>
      <c r="V310" s="591"/>
      <c r="W310" s="591"/>
      <c r="X310" s="591"/>
      <c r="Y310" s="591"/>
      <c r="Z310" s="591"/>
      <c r="AA310" s="591"/>
      <c r="AB310" s="591"/>
      <c r="AC310" s="591"/>
      <c r="AD310" s="591"/>
      <c r="AE310" s="591"/>
      <c r="AF310" s="591"/>
      <c r="AG310" s="591"/>
      <c r="AH310" s="591"/>
      <c r="AI310" s="591"/>
      <c r="AJ310" s="591"/>
      <c r="AK310" s="591"/>
      <c r="AL310" s="591"/>
      <c r="AM310" s="591"/>
      <c r="AN310" s="591"/>
      <c r="AO310" s="591"/>
      <c r="AP310" s="591"/>
      <c r="AQ310" s="591"/>
      <c r="AR310" s="591"/>
      <c r="AS310" s="591"/>
      <c r="AT310" s="591"/>
      <c r="AU310" s="591"/>
      <c r="AV310" s="591"/>
      <c r="AW310" s="591"/>
      <c r="AX310" s="591"/>
      <c r="AY310" s="591"/>
      <c r="AZ310" s="591"/>
      <c r="BA310" s="591"/>
      <c r="BB310" s="591"/>
      <c r="BC310" s="591"/>
      <c r="BD310" s="591"/>
      <c r="BE310" s="591"/>
      <c r="BF310" s="591"/>
      <c r="BG310" s="591"/>
      <c r="BH310" s="591"/>
      <c r="BI310" s="591"/>
      <c r="BJ310" s="591"/>
      <c r="BK310" s="591"/>
      <c r="BL310" s="591"/>
      <c r="BM310" s="591"/>
      <c r="BN310" s="591"/>
      <c r="BO310" s="591"/>
      <c r="BP310" s="591"/>
      <c r="BQ310" s="591"/>
      <c r="BR310" s="591"/>
      <c r="BS310" s="591"/>
      <c r="BT310" s="591"/>
      <c r="BU310" s="591"/>
      <c r="BV310" s="591"/>
      <c r="BW310" s="591"/>
      <c r="BX310" s="591"/>
      <c r="BY310" s="591"/>
      <c r="BZ310" s="591"/>
      <c r="CA310" s="591"/>
      <c r="CB310" s="591"/>
      <c r="CC310" s="591"/>
      <c r="CD310" s="591"/>
      <c r="CE310" s="591"/>
      <c r="CF310" s="591"/>
    </row>
    <row r="311" spans="1:84">
      <c r="A311" s="591"/>
      <c r="B311" s="591"/>
      <c r="C311" s="591"/>
      <c r="D311" s="591"/>
      <c r="E311" s="591"/>
      <c r="F311" s="591"/>
      <c r="G311" s="591"/>
      <c r="H311" s="591"/>
      <c r="I311" s="591"/>
      <c r="J311" s="591"/>
      <c r="K311" s="591"/>
      <c r="L311" s="591"/>
      <c r="M311" s="591"/>
      <c r="N311" s="591"/>
      <c r="O311" s="591"/>
      <c r="P311" s="591"/>
      <c r="Q311" s="591"/>
      <c r="R311" s="591"/>
      <c r="S311" s="591"/>
      <c r="T311" s="591"/>
      <c r="U311" s="591"/>
      <c r="V311" s="591"/>
      <c r="W311" s="591"/>
      <c r="X311" s="591"/>
      <c r="Y311" s="591"/>
      <c r="Z311" s="591"/>
      <c r="AA311" s="591"/>
      <c r="AB311" s="591"/>
      <c r="AC311" s="591"/>
      <c r="AD311" s="591"/>
      <c r="AE311" s="591"/>
      <c r="AF311" s="591"/>
      <c r="AG311" s="591"/>
      <c r="AH311" s="591"/>
      <c r="AI311" s="591"/>
      <c r="AJ311" s="591"/>
      <c r="AK311" s="591"/>
      <c r="AL311" s="591"/>
      <c r="AM311" s="591"/>
      <c r="AN311" s="591"/>
      <c r="AO311" s="591"/>
      <c r="AP311" s="591"/>
      <c r="AQ311" s="591"/>
      <c r="AR311" s="591"/>
      <c r="AS311" s="591"/>
      <c r="AT311" s="591"/>
      <c r="AU311" s="591"/>
      <c r="AV311" s="591"/>
      <c r="AW311" s="591"/>
      <c r="AX311" s="591"/>
      <c r="AY311" s="591"/>
      <c r="AZ311" s="591"/>
      <c r="BA311" s="591"/>
      <c r="BB311" s="591"/>
      <c r="BC311" s="591"/>
      <c r="BD311" s="591"/>
      <c r="BE311" s="591"/>
      <c r="BF311" s="591"/>
      <c r="BG311" s="591"/>
      <c r="BH311" s="591"/>
      <c r="BI311" s="591"/>
      <c r="BJ311" s="591"/>
      <c r="BK311" s="591"/>
      <c r="BL311" s="591"/>
      <c r="BM311" s="591"/>
      <c r="BN311" s="591"/>
      <c r="BO311" s="591"/>
      <c r="BP311" s="591"/>
      <c r="BQ311" s="591"/>
      <c r="BR311" s="591"/>
      <c r="BS311" s="591"/>
      <c r="BT311" s="591"/>
      <c r="BU311" s="591"/>
      <c r="BV311" s="591"/>
      <c r="BW311" s="591"/>
      <c r="BX311" s="591"/>
      <c r="BY311" s="591"/>
      <c r="BZ311" s="591"/>
      <c r="CA311" s="591"/>
      <c r="CB311" s="591"/>
      <c r="CC311" s="591"/>
      <c r="CD311" s="591"/>
      <c r="CE311" s="591"/>
      <c r="CF311" s="591"/>
    </row>
    <row r="312" spans="1:84">
      <c r="A312" s="591"/>
      <c r="B312" s="591"/>
      <c r="C312" s="591"/>
      <c r="D312" s="591"/>
      <c r="E312" s="591"/>
      <c r="F312" s="591"/>
      <c r="G312" s="591"/>
      <c r="H312" s="591"/>
      <c r="I312" s="591"/>
      <c r="J312" s="591"/>
      <c r="K312" s="591"/>
      <c r="L312" s="591"/>
      <c r="M312" s="591"/>
      <c r="N312" s="591"/>
      <c r="O312" s="591"/>
      <c r="P312" s="591"/>
      <c r="Q312" s="591"/>
      <c r="R312" s="591"/>
      <c r="S312" s="591"/>
      <c r="T312" s="591"/>
      <c r="U312" s="591"/>
      <c r="V312" s="591"/>
      <c r="W312" s="591"/>
      <c r="X312" s="591"/>
      <c r="Y312" s="591"/>
      <c r="Z312" s="591"/>
      <c r="AA312" s="591"/>
      <c r="AB312" s="591"/>
      <c r="AC312" s="591"/>
      <c r="AD312" s="591"/>
      <c r="AE312" s="591"/>
      <c r="AF312" s="591"/>
      <c r="AG312" s="591"/>
      <c r="AH312" s="591"/>
      <c r="AI312" s="591"/>
      <c r="AJ312" s="591"/>
      <c r="AK312" s="591"/>
      <c r="AL312" s="591"/>
      <c r="AM312" s="591"/>
      <c r="AN312" s="591"/>
      <c r="AO312" s="591"/>
      <c r="AP312" s="591"/>
      <c r="AQ312" s="591"/>
      <c r="AR312" s="591"/>
      <c r="AS312" s="591"/>
      <c r="AT312" s="591"/>
      <c r="AU312" s="591"/>
      <c r="AV312" s="591"/>
      <c r="AW312" s="591"/>
      <c r="AX312" s="591"/>
      <c r="AY312" s="591"/>
      <c r="AZ312" s="591"/>
      <c r="BA312" s="591"/>
      <c r="BB312" s="591"/>
      <c r="BC312" s="591"/>
      <c r="BD312" s="591"/>
      <c r="BE312" s="591"/>
      <c r="BF312" s="591"/>
      <c r="BG312" s="591"/>
      <c r="BH312" s="591"/>
      <c r="BI312" s="591"/>
      <c r="BJ312" s="591"/>
      <c r="BK312" s="591"/>
      <c r="BL312" s="591"/>
      <c r="BM312" s="591"/>
      <c r="BN312" s="591"/>
      <c r="BO312" s="591"/>
      <c r="BP312" s="591"/>
      <c r="BQ312" s="591"/>
      <c r="BR312" s="591"/>
      <c r="BS312" s="591"/>
      <c r="BT312" s="591"/>
      <c r="BU312" s="591"/>
      <c r="BV312" s="591"/>
      <c r="BW312" s="591"/>
      <c r="BX312" s="591"/>
      <c r="BY312" s="591"/>
      <c r="BZ312" s="591"/>
      <c r="CA312" s="591"/>
      <c r="CB312" s="591"/>
      <c r="CC312" s="591"/>
      <c r="CD312" s="591"/>
      <c r="CE312" s="591"/>
      <c r="CF312" s="591"/>
    </row>
    <row r="313" spans="1:84">
      <c r="A313" s="591"/>
      <c r="B313" s="591"/>
      <c r="C313" s="591"/>
      <c r="D313" s="591"/>
      <c r="E313" s="591"/>
      <c r="F313" s="591"/>
      <c r="G313" s="591"/>
      <c r="H313" s="591"/>
      <c r="I313" s="591"/>
      <c r="J313" s="591"/>
      <c r="K313" s="591"/>
      <c r="L313" s="591"/>
      <c r="M313" s="591"/>
      <c r="N313" s="591"/>
      <c r="O313" s="591"/>
      <c r="P313" s="591"/>
      <c r="Q313" s="591"/>
      <c r="R313" s="591"/>
      <c r="S313" s="591"/>
      <c r="T313" s="591"/>
      <c r="U313" s="591"/>
      <c r="V313" s="591"/>
      <c r="W313" s="591"/>
      <c r="X313" s="591"/>
      <c r="Y313" s="591"/>
      <c r="Z313" s="591"/>
      <c r="AA313" s="591"/>
      <c r="AB313" s="591"/>
      <c r="AC313" s="591"/>
      <c r="AD313" s="591"/>
      <c r="AE313" s="591"/>
      <c r="AF313" s="591"/>
      <c r="AG313" s="591"/>
      <c r="AH313" s="591"/>
      <c r="AI313" s="591"/>
      <c r="AJ313" s="591"/>
      <c r="AK313" s="591"/>
      <c r="AL313" s="591"/>
      <c r="AM313" s="591"/>
      <c r="AN313" s="591"/>
      <c r="AO313" s="591"/>
      <c r="AP313" s="591"/>
      <c r="AQ313" s="591"/>
      <c r="AR313" s="591"/>
      <c r="AS313" s="591"/>
      <c r="AT313" s="591"/>
      <c r="AU313" s="591"/>
      <c r="AV313" s="591"/>
      <c r="AW313" s="591"/>
      <c r="AX313" s="591"/>
      <c r="AY313" s="591"/>
      <c r="AZ313" s="591"/>
      <c r="BA313" s="591"/>
      <c r="BB313" s="591"/>
      <c r="BC313" s="591"/>
      <c r="BD313" s="591"/>
      <c r="BE313" s="591"/>
      <c r="BF313" s="591"/>
      <c r="BG313" s="591"/>
      <c r="BH313" s="591"/>
      <c r="BI313" s="591"/>
      <c r="BJ313" s="591"/>
      <c r="BK313" s="591"/>
      <c r="BL313" s="591"/>
      <c r="BM313" s="591"/>
      <c r="BN313" s="591"/>
      <c r="BO313" s="591"/>
      <c r="BP313" s="591"/>
      <c r="BQ313" s="591"/>
      <c r="BR313" s="591"/>
      <c r="BS313" s="591"/>
      <c r="BT313" s="591"/>
      <c r="BU313" s="591"/>
      <c r="BV313" s="591"/>
      <c r="BW313" s="591"/>
      <c r="BX313" s="591"/>
      <c r="BY313" s="591"/>
      <c r="BZ313" s="591"/>
      <c r="CA313" s="591"/>
      <c r="CB313" s="591"/>
      <c r="CC313" s="591"/>
      <c r="CD313" s="591"/>
      <c r="CE313" s="591"/>
      <c r="CF313" s="591"/>
    </row>
    <row r="314" spans="1:84">
      <c r="A314" s="591"/>
      <c r="B314" s="591"/>
      <c r="C314" s="591"/>
      <c r="D314" s="591"/>
      <c r="E314" s="591"/>
      <c r="F314" s="591"/>
      <c r="G314" s="591"/>
      <c r="H314" s="591"/>
      <c r="I314" s="591"/>
      <c r="J314" s="591"/>
      <c r="K314" s="591"/>
      <c r="L314" s="591"/>
      <c r="M314" s="591"/>
      <c r="N314" s="591"/>
      <c r="O314" s="591"/>
      <c r="P314" s="591"/>
      <c r="Q314" s="591"/>
      <c r="R314" s="591"/>
      <c r="S314" s="591"/>
      <c r="T314" s="591"/>
      <c r="U314" s="591"/>
      <c r="V314" s="591"/>
      <c r="W314" s="591"/>
      <c r="X314" s="591"/>
      <c r="Y314" s="591"/>
      <c r="Z314" s="591"/>
      <c r="AA314" s="591"/>
      <c r="AB314" s="591"/>
      <c r="AC314" s="591"/>
      <c r="AD314" s="591"/>
      <c r="AE314" s="591"/>
      <c r="AF314" s="591"/>
      <c r="AG314" s="591"/>
      <c r="AH314" s="591"/>
      <c r="AI314" s="591"/>
      <c r="AJ314" s="591"/>
      <c r="AK314" s="591"/>
      <c r="AL314" s="591"/>
      <c r="AM314" s="591"/>
      <c r="AN314" s="591"/>
      <c r="AO314" s="591"/>
      <c r="AP314" s="591"/>
      <c r="AQ314" s="591"/>
      <c r="AR314" s="591"/>
      <c r="AS314" s="591"/>
      <c r="AT314" s="591"/>
      <c r="AU314" s="591"/>
      <c r="AV314" s="591"/>
      <c r="AW314" s="591"/>
      <c r="AX314" s="591"/>
      <c r="AY314" s="591"/>
      <c r="AZ314" s="591"/>
      <c r="BA314" s="591"/>
      <c r="BB314" s="591"/>
      <c r="BC314" s="591"/>
      <c r="BD314" s="591"/>
      <c r="BE314" s="591"/>
      <c r="BF314" s="591"/>
      <c r="BG314" s="591"/>
      <c r="BH314" s="591"/>
      <c r="BI314" s="591"/>
      <c r="BJ314" s="591"/>
      <c r="BK314" s="591"/>
      <c r="BL314" s="591"/>
      <c r="BM314" s="591"/>
      <c r="BN314" s="591"/>
      <c r="BO314" s="591"/>
      <c r="BP314" s="591"/>
      <c r="BQ314" s="591"/>
      <c r="BR314" s="591"/>
      <c r="BS314" s="591"/>
      <c r="BT314" s="591"/>
      <c r="BU314" s="591"/>
      <c r="BV314" s="591"/>
      <c r="BW314" s="591"/>
      <c r="BX314" s="591"/>
      <c r="BY314" s="591"/>
      <c r="BZ314" s="591"/>
      <c r="CA314" s="591"/>
      <c r="CB314" s="591"/>
      <c r="CC314" s="591"/>
      <c r="CD314" s="591"/>
      <c r="CE314" s="591"/>
      <c r="CF314" s="591"/>
    </row>
    <row r="315" spans="1:84">
      <c r="A315" s="591"/>
      <c r="B315" s="591"/>
      <c r="C315" s="591"/>
      <c r="D315" s="591"/>
      <c r="E315" s="591"/>
      <c r="F315" s="591"/>
      <c r="G315" s="591"/>
      <c r="H315" s="591"/>
      <c r="I315" s="591"/>
      <c r="J315" s="591"/>
      <c r="K315" s="591"/>
      <c r="L315" s="591"/>
      <c r="M315" s="591"/>
      <c r="N315" s="591"/>
      <c r="O315" s="591"/>
      <c r="P315" s="591"/>
      <c r="Q315" s="591"/>
      <c r="R315" s="591"/>
      <c r="S315" s="591"/>
      <c r="T315" s="591"/>
      <c r="U315" s="591"/>
      <c r="V315" s="591"/>
      <c r="W315" s="591"/>
      <c r="X315" s="591"/>
      <c r="Y315" s="591"/>
      <c r="Z315" s="591"/>
      <c r="AA315" s="591"/>
      <c r="AB315" s="591"/>
      <c r="AC315" s="591"/>
      <c r="AD315" s="591"/>
      <c r="AE315" s="591"/>
      <c r="AF315" s="591"/>
      <c r="AG315" s="591"/>
      <c r="AH315" s="591"/>
      <c r="AI315" s="591"/>
      <c r="AJ315" s="591"/>
      <c r="AK315" s="591"/>
      <c r="AL315" s="591"/>
      <c r="AM315" s="591"/>
      <c r="AN315" s="591"/>
      <c r="AO315" s="591"/>
      <c r="AP315" s="591"/>
      <c r="AQ315" s="591"/>
      <c r="AR315" s="591"/>
      <c r="AS315" s="591"/>
      <c r="AT315" s="591"/>
      <c r="AU315" s="591"/>
      <c r="AV315" s="591"/>
      <c r="AW315" s="591"/>
      <c r="AX315" s="591"/>
      <c r="AY315" s="591"/>
      <c r="AZ315" s="591"/>
      <c r="BA315" s="591"/>
      <c r="BB315" s="591"/>
      <c r="BC315" s="591"/>
      <c r="BD315" s="591"/>
      <c r="BE315" s="591"/>
      <c r="BF315" s="591"/>
      <c r="BG315" s="591"/>
      <c r="BH315" s="591"/>
      <c r="BI315" s="591"/>
      <c r="BJ315" s="591"/>
      <c r="BK315" s="591"/>
      <c r="BL315" s="591"/>
      <c r="BM315" s="591"/>
      <c r="BN315" s="591"/>
      <c r="BO315" s="591"/>
      <c r="BP315" s="591"/>
      <c r="BQ315" s="591"/>
      <c r="BR315" s="591"/>
      <c r="BS315" s="591"/>
      <c r="BT315" s="591"/>
      <c r="BU315" s="591"/>
      <c r="BV315" s="591"/>
      <c r="BW315" s="591"/>
      <c r="BX315" s="591"/>
      <c r="BY315" s="591"/>
      <c r="BZ315" s="591"/>
      <c r="CA315" s="591"/>
      <c r="CB315" s="591"/>
      <c r="CC315" s="591"/>
      <c r="CD315" s="591"/>
      <c r="CE315" s="591"/>
      <c r="CF315" s="591"/>
    </row>
    <row r="316" spans="1:84">
      <c r="A316" s="591"/>
      <c r="B316" s="591"/>
      <c r="C316" s="591"/>
      <c r="D316" s="591"/>
      <c r="E316" s="591"/>
      <c r="F316" s="591"/>
      <c r="G316" s="591"/>
      <c r="H316" s="591"/>
      <c r="I316" s="591"/>
      <c r="J316" s="591"/>
      <c r="K316" s="591"/>
      <c r="L316" s="591"/>
      <c r="M316" s="591"/>
      <c r="N316" s="591"/>
      <c r="O316" s="591"/>
      <c r="P316" s="591"/>
      <c r="Q316" s="591"/>
      <c r="R316" s="591"/>
      <c r="S316" s="591"/>
      <c r="T316" s="591"/>
      <c r="U316" s="591"/>
      <c r="V316" s="591"/>
      <c r="W316" s="591"/>
      <c r="X316" s="591"/>
      <c r="Y316" s="591"/>
      <c r="Z316" s="591"/>
      <c r="AA316" s="591"/>
      <c r="AB316" s="591"/>
      <c r="AC316" s="591"/>
      <c r="AD316" s="591"/>
      <c r="AE316" s="591"/>
      <c r="AF316" s="591"/>
      <c r="AG316" s="591"/>
      <c r="AH316" s="591"/>
      <c r="AI316" s="591"/>
      <c r="AJ316" s="591"/>
      <c r="AK316" s="591"/>
      <c r="AL316" s="591"/>
      <c r="AM316" s="591"/>
      <c r="AN316" s="591"/>
      <c r="AO316" s="591"/>
      <c r="AP316" s="591"/>
      <c r="AQ316" s="591"/>
      <c r="AR316" s="591"/>
      <c r="AS316" s="591"/>
      <c r="AT316" s="591"/>
      <c r="AU316" s="591"/>
      <c r="AV316" s="591"/>
      <c r="AW316" s="591"/>
      <c r="AX316" s="591"/>
      <c r="AY316" s="591"/>
      <c r="AZ316" s="591"/>
      <c r="BA316" s="591"/>
      <c r="BB316" s="591"/>
      <c r="BC316" s="591"/>
      <c r="BD316" s="591"/>
      <c r="BE316" s="591"/>
      <c r="BF316" s="591"/>
      <c r="BG316" s="591"/>
      <c r="BH316" s="591"/>
      <c r="BI316" s="591"/>
      <c r="BJ316" s="591"/>
      <c r="BK316" s="591"/>
      <c r="BL316" s="591"/>
      <c r="BM316" s="591"/>
      <c r="BN316" s="591"/>
      <c r="BO316" s="591"/>
      <c r="BP316" s="591"/>
      <c r="BQ316" s="591"/>
      <c r="BR316" s="591"/>
      <c r="BS316" s="591"/>
      <c r="BT316" s="591"/>
      <c r="BU316" s="591"/>
      <c r="BV316" s="591"/>
      <c r="BW316" s="591"/>
      <c r="BX316" s="591"/>
      <c r="BY316" s="591"/>
      <c r="BZ316" s="591"/>
      <c r="CA316" s="591"/>
      <c r="CB316" s="591"/>
      <c r="CC316" s="591"/>
      <c r="CD316" s="591"/>
      <c r="CE316" s="591"/>
      <c r="CF316" s="591"/>
    </row>
    <row r="317" spans="1:84">
      <c r="A317" s="591"/>
      <c r="B317" s="591"/>
      <c r="C317" s="591"/>
      <c r="D317" s="591"/>
      <c r="E317" s="591"/>
      <c r="F317" s="591"/>
      <c r="G317" s="591"/>
      <c r="H317" s="591"/>
      <c r="I317" s="591"/>
      <c r="J317" s="591"/>
      <c r="K317" s="591"/>
      <c r="L317" s="591"/>
      <c r="M317" s="591"/>
      <c r="N317" s="591"/>
      <c r="O317" s="591"/>
      <c r="P317" s="591"/>
      <c r="Q317" s="591"/>
      <c r="R317" s="591"/>
      <c r="S317" s="591"/>
      <c r="T317" s="591"/>
      <c r="U317" s="591"/>
      <c r="V317" s="591"/>
      <c r="W317" s="591"/>
      <c r="X317" s="591"/>
      <c r="Y317" s="591"/>
      <c r="Z317" s="591"/>
      <c r="AA317" s="591"/>
      <c r="AB317" s="591"/>
      <c r="AC317" s="591"/>
      <c r="AD317" s="591"/>
      <c r="AE317" s="591"/>
      <c r="AF317" s="591"/>
      <c r="AG317" s="591"/>
      <c r="AH317" s="591"/>
      <c r="AI317" s="591"/>
      <c r="AJ317" s="591"/>
      <c r="AK317" s="591"/>
      <c r="AL317" s="591"/>
      <c r="AM317" s="591"/>
      <c r="AN317" s="591"/>
      <c r="AO317" s="591"/>
      <c r="AP317" s="591"/>
      <c r="AQ317" s="591"/>
      <c r="AR317" s="591"/>
      <c r="AS317" s="591"/>
      <c r="AT317" s="591"/>
      <c r="AU317" s="591"/>
      <c r="AV317" s="591"/>
      <c r="AW317" s="591"/>
      <c r="AX317" s="591"/>
      <c r="AY317" s="591"/>
      <c r="AZ317" s="591"/>
      <c r="BA317" s="591"/>
      <c r="BB317" s="591"/>
      <c r="BC317" s="591"/>
      <c r="BD317" s="591"/>
      <c r="BE317" s="591"/>
      <c r="BF317" s="591"/>
      <c r="BG317" s="591"/>
      <c r="BH317" s="591"/>
      <c r="BI317" s="591"/>
      <c r="BJ317" s="591"/>
      <c r="BK317" s="591"/>
      <c r="BL317" s="591"/>
      <c r="BM317" s="591"/>
      <c r="BN317" s="591"/>
      <c r="BO317" s="591"/>
      <c r="BP317" s="591"/>
      <c r="BQ317" s="591"/>
      <c r="BR317" s="591"/>
      <c r="BS317" s="591"/>
      <c r="BT317" s="591"/>
      <c r="BU317" s="591"/>
      <c r="BV317" s="591"/>
      <c r="BW317" s="591"/>
      <c r="BX317" s="591"/>
      <c r="BY317" s="591"/>
      <c r="BZ317" s="591"/>
      <c r="CA317" s="591"/>
      <c r="CB317" s="591"/>
      <c r="CC317" s="591"/>
      <c r="CD317" s="591"/>
      <c r="CE317" s="591"/>
      <c r="CF317" s="591"/>
    </row>
    <row r="318" spans="1:84">
      <c r="A318" s="591"/>
      <c r="B318" s="591"/>
      <c r="C318" s="591"/>
      <c r="D318" s="591"/>
      <c r="E318" s="591"/>
      <c r="F318" s="591"/>
      <c r="G318" s="591"/>
      <c r="H318" s="591"/>
      <c r="I318" s="591"/>
      <c r="J318" s="591"/>
      <c r="K318" s="591"/>
      <c r="L318" s="591"/>
      <c r="M318" s="591"/>
      <c r="N318" s="591"/>
      <c r="O318" s="591"/>
      <c r="P318" s="591"/>
      <c r="Q318" s="591"/>
      <c r="R318" s="591"/>
      <c r="S318" s="591"/>
      <c r="T318" s="591"/>
      <c r="U318" s="591"/>
      <c r="V318" s="591"/>
      <c r="W318" s="591"/>
      <c r="X318" s="591"/>
      <c r="Y318" s="591"/>
      <c r="Z318" s="591"/>
      <c r="AA318" s="591"/>
      <c r="AB318" s="591"/>
      <c r="AC318" s="591"/>
      <c r="AD318" s="591"/>
      <c r="AE318" s="591"/>
      <c r="AF318" s="591"/>
      <c r="AG318" s="591"/>
      <c r="AH318" s="591"/>
      <c r="AI318" s="591"/>
      <c r="AJ318" s="591"/>
      <c r="AK318" s="591"/>
      <c r="AL318" s="591"/>
      <c r="AM318" s="591"/>
      <c r="AN318" s="591"/>
      <c r="AO318" s="591"/>
      <c r="AP318" s="591"/>
      <c r="AQ318" s="591"/>
      <c r="AR318" s="591"/>
      <c r="AS318" s="591"/>
      <c r="AT318" s="591"/>
      <c r="AU318" s="591"/>
      <c r="AV318" s="591"/>
      <c r="AW318" s="591"/>
      <c r="AX318" s="591"/>
      <c r="AY318" s="591"/>
      <c r="AZ318" s="591"/>
      <c r="BA318" s="591"/>
      <c r="BB318" s="591"/>
      <c r="BC318" s="591"/>
      <c r="BD318" s="591"/>
      <c r="BE318" s="591"/>
      <c r="BF318" s="591"/>
      <c r="BG318" s="591"/>
      <c r="BH318" s="591"/>
      <c r="BI318" s="591"/>
      <c r="BJ318" s="591"/>
      <c r="BK318" s="591"/>
      <c r="BL318" s="591"/>
      <c r="BM318" s="591"/>
      <c r="BN318" s="591"/>
      <c r="BO318" s="591"/>
      <c r="BP318" s="591"/>
      <c r="BQ318" s="591"/>
      <c r="BR318" s="591"/>
      <c r="BS318" s="591"/>
      <c r="BT318" s="591"/>
      <c r="BU318" s="591"/>
      <c r="BV318" s="591"/>
      <c r="BW318" s="591"/>
      <c r="BX318" s="591"/>
      <c r="BY318" s="591"/>
      <c r="BZ318" s="591"/>
      <c r="CA318" s="591"/>
      <c r="CB318" s="591"/>
      <c r="CC318" s="591"/>
      <c r="CD318" s="591"/>
      <c r="CE318" s="591"/>
      <c r="CF318" s="591"/>
    </row>
    <row r="319" spans="1:84">
      <c r="A319" s="591"/>
      <c r="B319" s="591"/>
      <c r="C319" s="591"/>
      <c r="D319" s="591"/>
      <c r="E319" s="591"/>
      <c r="F319" s="591"/>
      <c r="G319" s="591"/>
      <c r="H319" s="591"/>
      <c r="I319" s="591"/>
      <c r="J319" s="591"/>
      <c r="K319" s="591"/>
      <c r="L319" s="591"/>
      <c r="M319" s="591"/>
      <c r="N319" s="591"/>
      <c r="O319" s="591"/>
      <c r="P319" s="591"/>
      <c r="Q319" s="591"/>
      <c r="R319" s="591"/>
      <c r="S319" s="591"/>
      <c r="T319" s="591"/>
      <c r="U319" s="591"/>
      <c r="V319" s="591"/>
      <c r="W319" s="591"/>
      <c r="X319" s="591"/>
      <c r="Y319" s="591"/>
      <c r="Z319" s="591"/>
      <c r="AA319" s="591"/>
      <c r="AB319" s="591"/>
      <c r="AC319" s="591"/>
      <c r="AD319" s="591"/>
      <c r="AE319" s="591"/>
      <c r="AF319" s="591"/>
      <c r="AG319" s="591"/>
      <c r="AH319" s="591"/>
      <c r="AI319" s="591"/>
      <c r="AJ319" s="591"/>
      <c r="AK319" s="591"/>
      <c r="AL319" s="591"/>
      <c r="AM319" s="591"/>
      <c r="AN319" s="591"/>
      <c r="AO319" s="591"/>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1"/>
      <c r="BM319" s="591"/>
      <c r="BN319" s="591"/>
      <c r="BO319" s="591"/>
      <c r="BP319" s="591"/>
      <c r="BQ319" s="591"/>
      <c r="BR319" s="591"/>
      <c r="BS319" s="591"/>
      <c r="BT319" s="591"/>
      <c r="BU319" s="591"/>
      <c r="BV319" s="591"/>
      <c r="BW319" s="591"/>
      <c r="BX319" s="591"/>
      <c r="BY319" s="591"/>
      <c r="BZ319" s="591"/>
      <c r="CA319" s="591"/>
      <c r="CB319" s="591"/>
      <c r="CC319" s="591"/>
      <c r="CD319" s="591"/>
      <c r="CE319" s="591"/>
      <c r="CF319" s="591"/>
    </row>
    <row r="320" spans="1:84">
      <c r="A320" s="591"/>
      <c r="B320" s="591"/>
      <c r="C320" s="591"/>
      <c r="D320" s="591"/>
      <c r="E320" s="591"/>
      <c r="F320" s="591"/>
      <c r="G320" s="591"/>
      <c r="H320" s="591"/>
      <c r="I320" s="591"/>
      <c r="J320" s="591"/>
      <c r="K320" s="591"/>
      <c r="L320" s="591"/>
      <c r="M320" s="591"/>
      <c r="N320" s="591"/>
      <c r="O320" s="591"/>
      <c r="P320" s="591"/>
      <c r="Q320" s="591"/>
      <c r="R320" s="591"/>
      <c r="S320" s="591"/>
      <c r="T320" s="591"/>
      <c r="U320" s="591"/>
      <c r="V320" s="591"/>
      <c r="W320" s="591"/>
      <c r="X320" s="591"/>
      <c r="Y320" s="591"/>
      <c r="Z320" s="591"/>
      <c r="AA320" s="591"/>
      <c r="AB320" s="591"/>
      <c r="AC320" s="591"/>
      <c r="AD320" s="591"/>
      <c r="AE320" s="591"/>
      <c r="AF320" s="591"/>
      <c r="AG320" s="591"/>
      <c r="AH320" s="591"/>
      <c r="AI320" s="591"/>
      <c r="AJ320" s="591"/>
      <c r="AK320" s="591"/>
      <c r="AL320" s="591"/>
      <c r="AM320" s="591"/>
      <c r="AN320" s="591"/>
      <c r="AO320" s="591"/>
      <c r="AP320" s="591"/>
      <c r="AQ320" s="591"/>
      <c r="AR320" s="591"/>
      <c r="AS320" s="591"/>
      <c r="AT320" s="591"/>
      <c r="AU320" s="591"/>
      <c r="AV320" s="591"/>
      <c r="AW320" s="591"/>
      <c r="AX320" s="591"/>
      <c r="AY320" s="591"/>
      <c r="AZ320" s="591"/>
      <c r="BA320" s="591"/>
      <c r="BB320" s="591"/>
      <c r="BC320" s="591"/>
      <c r="BD320" s="591"/>
      <c r="BE320" s="591"/>
      <c r="BF320" s="591"/>
      <c r="BG320" s="591"/>
      <c r="BH320" s="591"/>
      <c r="BI320" s="591"/>
      <c r="BJ320" s="591"/>
      <c r="BK320" s="591"/>
      <c r="BL320" s="591"/>
      <c r="BM320" s="591"/>
      <c r="BN320" s="591"/>
      <c r="BO320" s="591"/>
      <c r="BP320" s="591"/>
      <c r="BQ320" s="591"/>
      <c r="BR320" s="591"/>
      <c r="BS320" s="591"/>
      <c r="BT320" s="591"/>
      <c r="BU320" s="591"/>
      <c r="BV320" s="591"/>
      <c r="BW320" s="591"/>
      <c r="BX320" s="591"/>
      <c r="BY320" s="591"/>
      <c r="BZ320" s="591"/>
      <c r="CA320" s="591"/>
      <c r="CB320" s="591"/>
      <c r="CC320" s="591"/>
      <c r="CD320" s="591"/>
      <c r="CE320" s="591"/>
      <c r="CF320" s="591"/>
    </row>
    <row r="321" spans="1:84">
      <c r="A321" s="591"/>
      <c r="B321" s="591"/>
      <c r="C321" s="591"/>
      <c r="D321" s="591"/>
      <c r="E321" s="591"/>
      <c r="F321" s="591"/>
      <c r="G321" s="591"/>
      <c r="H321" s="591"/>
      <c r="I321" s="591"/>
      <c r="J321" s="591"/>
      <c r="K321" s="591"/>
      <c r="L321" s="591"/>
      <c r="M321" s="591"/>
      <c r="N321" s="591"/>
      <c r="O321" s="591"/>
      <c r="P321" s="591"/>
      <c r="Q321" s="591"/>
      <c r="R321" s="591"/>
      <c r="S321" s="591"/>
      <c r="T321" s="591"/>
      <c r="U321" s="591"/>
      <c r="V321" s="591"/>
      <c r="W321" s="591"/>
      <c r="X321" s="591"/>
      <c r="Y321" s="591"/>
      <c r="Z321" s="591"/>
      <c r="AA321" s="591"/>
      <c r="AB321" s="591"/>
      <c r="AC321" s="591"/>
      <c r="AD321" s="591"/>
      <c r="AE321" s="591"/>
      <c r="AF321" s="591"/>
      <c r="AG321" s="591"/>
      <c r="AH321" s="591"/>
      <c r="AI321" s="591"/>
      <c r="AJ321" s="591"/>
      <c r="AK321" s="591"/>
      <c r="AL321" s="591"/>
      <c r="AM321" s="591"/>
      <c r="AN321" s="591"/>
      <c r="AO321" s="591"/>
      <c r="AP321" s="591"/>
      <c r="AQ321" s="591"/>
      <c r="AR321" s="591"/>
      <c r="AS321" s="591"/>
      <c r="AT321" s="591"/>
      <c r="AU321" s="591"/>
      <c r="AV321" s="591"/>
      <c r="AW321" s="591"/>
      <c r="AX321" s="591"/>
      <c r="AY321" s="591"/>
      <c r="AZ321" s="591"/>
      <c r="BA321" s="591"/>
      <c r="BB321" s="591"/>
      <c r="BC321" s="591"/>
      <c r="BD321" s="591"/>
      <c r="BE321" s="591"/>
      <c r="BF321" s="591"/>
      <c r="BG321" s="591"/>
      <c r="BH321" s="591"/>
      <c r="BI321" s="591"/>
      <c r="BJ321" s="591"/>
      <c r="BK321" s="591"/>
      <c r="BL321" s="591"/>
      <c r="BM321" s="591"/>
      <c r="BN321" s="591"/>
      <c r="BO321" s="591"/>
      <c r="BP321" s="591"/>
      <c r="BQ321" s="591"/>
      <c r="BR321" s="591"/>
      <c r="BS321" s="591"/>
      <c r="BT321" s="591"/>
      <c r="BU321" s="591"/>
      <c r="BV321" s="591"/>
      <c r="BW321" s="591"/>
      <c r="BX321" s="591"/>
      <c r="BY321" s="591"/>
      <c r="BZ321" s="591"/>
      <c r="CA321" s="591"/>
      <c r="CB321" s="591"/>
      <c r="CC321" s="591"/>
      <c r="CD321" s="591"/>
      <c r="CE321" s="591"/>
      <c r="CF321" s="591"/>
    </row>
    <row r="322" spans="1:84">
      <c r="A322" s="591"/>
      <c r="B322" s="591"/>
      <c r="C322" s="591"/>
      <c r="D322" s="591"/>
      <c r="E322" s="591"/>
      <c r="F322" s="591"/>
      <c r="G322" s="591"/>
      <c r="H322" s="591"/>
      <c r="I322" s="591"/>
      <c r="J322" s="591"/>
      <c r="K322" s="591"/>
      <c r="L322" s="591"/>
      <c r="M322" s="591"/>
      <c r="N322" s="591"/>
      <c r="O322" s="591"/>
      <c r="P322" s="591"/>
      <c r="Q322" s="591"/>
      <c r="R322" s="591"/>
      <c r="S322" s="591"/>
      <c r="T322" s="591"/>
      <c r="U322" s="591"/>
      <c r="V322" s="591"/>
      <c r="W322" s="591"/>
      <c r="X322" s="591"/>
      <c r="Y322" s="591"/>
      <c r="Z322" s="591"/>
      <c r="AA322" s="591"/>
      <c r="AB322" s="591"/>
      <c r="AC322" s="591"/>
      <c r="AD322" s="591"/>
      <c r="AE322" s="591"/>
      <c r="AF322" s="591"/>
      <c r="AG322" s="591"/>
      <c r="AH322" s="591"/>
      <c r="AI322" s="591"/>
      <c r="AJ322" s="591"/>
      <c r="AK322" s="591"/>
      <c r="AL322" s="591"/>
      <c r="AM322" s="591"/>
      <c r="AN322" s="591"/>
      <c r="AO322" s="591"/>
      <c r="AP322" s="591"/>
      <c r="AQ322" s="591"/>
      <c r="AR322" s="591"/>
      <c r="AS322" s="591"/>
      <c r="AT322" s="591"/>
      <c r="AU322" s="591"/>
      <c r="AV322" s="591"/>
      <c r="AW322" s="591"/>
      <c r="AX322" s="591"/>
      <c r="AY322" s="591"/>
      <c r="AZ322" s="591"/>
      <c r="BA322" s="591"/>
      <c r="BB322" s="591"/>
      <c r="BC322" s="591"/>
      <c r="BD322" s="591"/>
      <c r="BE322" s="591"/>
      <c r="BF322" s="591"/>
      <c r="BG322" s="591"/>
      <c r="BH322" s="591"/>
      <c r="BI322" s="591"/>
      <c r="BJ322" s="591"/>
      <c r="BK322" s="591"/>
      <c r="BL322" s="591"/>
      <c r="BM322" s="591"/>
      <c r="BN322" s="591"/>
      <c r="BO322" s="591"/>
      <c r="BP322" s="591"/>
      <c r="BQ322" s="591"/>
      <c r="BR322" s="591"/>
      <c r="BS322" s="591"/>
      <c r="BT322" s="591"/>
      <c r="BU322" s="591"/>
      <c r="BV322" s="591"/>
      <c r="BW322" s="591"/>
      <c r="BX322" s="591"/>
      <c r="BY322" s="591"/>
      <c r="BZ322" s="591"/>
      <c r="CA322" s="591"/>
      <c r="CB322" s="591"/>
      <c r="CC322" s="591"/>
      <c r="CD322" s="591"/>
      <c r="CE322" s="591"/>
      <c r="CF322" s="591"/>
    </row>
    <row r="323" spans="1:84">
      <c r="A323" s="591"/>
      <c r="B323" s="591"/>
      <c r="C323" s="591"/>
      <c r="D323" s="591"/>
      <c r="E323" s="591"/>
      <c r="F323" s="591"/>
      <c r="G323" s="591"/>
      <c r="H323" s="591"/>
      <c r="I323" s="591"/>
      <c r="J323" s="591"/>
      <c r="K323" s="591"/>
      <c r="L323" s="591"/>
      <c r="M323" s="591"/>
      <c r="N323" s="591"/>
      <c r="O323" s="591"/>
      <c r="P323" s="591"/>
      <c r="Q323" s="591"/>
      <c r="R323" s="591"/>
      <c r="S323" s="591"/>
      <c r="T323" s="591"/>
      <c r="U323" s="591"/>
      <c r="V323" s="591"/>
      <c r="W323" s="591"/>
      <c r="X323" s="591"/>
      <c r="Y323" s="591"/>
      <c r="Z323" s="591"/>
      <c r="AA323" s="591"/>
      <c r="AB323" s="591"/>
      <c r="AC323" s="591"/>
      <c r="AD323" s="591"/>
      <c r="AE323" s="591"/>
      <c r="AF323" s="591"/>
      <c r="AG323" s="591"/>
      <c r="AH323" s="591"/>
      <c r="AI323" s="591"/>
      <c r="AJ323" s="591"/>
      <c r="AK323" s="591"/>
      <c r="AL323" s="591"/>
      <c r="AM323" s="591"/>
      <c r="AN323" s="591"/>
      <c r="AO323" s="591"/>
      <c r="AP323" s="591"/>
      <c r="AQ323" s="591"/>
      <c r="AR323" s="591"/>
      <c r="AS323" s="591"/>
      <c r="AT323" s="591"/>
      <c r="AU323" s="591"/>
      <c r="AV323" s="591"/>
      <c r="AW323" s="591"/>
      <c r="AX323" s="591"/>
      <c r="AY323" s="591"/>
      <c r="AZ323" s="591"/>
      <c r="BA323" s="591"/>
      <c r="BB323" s="591"/>
      <c r="BC323" s="591"/>
      <c r="BD323" s="591"/>
      <c r="BE323" s="591"/>
      <c r="BF323" s="591"/>
      <c r="BG323" s="591"/>
      <c r="BH323" s="591"/>
      <c r="BI323" s="591"/>
      <c r="BJ323" s="591"/>
      <c r="BK323" s="591"/>
      <c r="BL323" s="591"/>
      <c r="BM323" s="591"/>
      <c r="BN323" s="591"/>
      <c r="BO323" s="591"/>
      <c r="BP323" s="591"/>
      <c r="BQ323" s="591"/>
      <c r="BR323" s="591"/>
      <c r="BS323" s="591"/>
      <c r="BT323" s="591"/>
      <c r="BU323" s="591"/>
      <c r="BV323" s="591"/>
      <c r="BW323" s="591"/>
      <c r="BX323" s="591"/>
      <c r="BY323" s="591"/>
      <c r="BZ323" s="591"/>
      <c r="CA323" s="591"/>
      <c r="CB323" s="591"/>
      <c r="CC323" s="591"/>
      <c r="CD323" s="591"/>
      <c r="CE323" s="591"/>
      <c r="CF323" s="591"/>
    </row>
    <row r="324" spans="1:84">
      <c r="A324" s="591"/>
      <c r="B324" s="591"/>
      <c r="C324" s="591"/>
      <c r="D324" s="591"/>
      <c r="E324" s="591"/>
      <c r="F324" s="591"/>
      <c r="G324" s="591"/>
      <c r="H324" s="591"/>
      <c r="I324" s="591"/>
      <c r="J324" s="591"/>
      <c r="K324" s="591"/>
      <c r="L324" s="591"/>
      <c r="M324" s="591"/>
      <c r="N324" s="591"/>
      <c r="O324" s="591"/>
      <c r="P324" s="591"/>
      <c r="Q324" s="591"/>
      <c r="R324" s="591"/>
      <c r="S324" s="591"/>
      <c r="T324" s="591"/>
      <c r="U324" s="591"/>
      <c r="V324" s="591"/>
      <c r="W324" s="591"/>
      <c r="X324" s="591"/>
      <c r="Y324" s="591"/>
      <c r="Z324" s="591"/>
      <c r="AA324" s="591"/>
      <c r="AB324" s="591"/>
      <c r="AC324" s="591"/>
      <c r="AD324" s="591"/>
      <c r="AE324" s="591"/>
      <c r="AF324" s="591"/>
      <c r="AG324" s="591"/>
      <c r="AH324" s="591"/>
      <c r="AI324" s="591"/>
      <c r="AJ324" s="591"/>
      <c r="AK324" s="591"/>
      <c r="AL324" s="591"/>
      <c r="AM324" s="591"/>
      <c r="AN324" s="591"/>
      <c r="AO324" s="591"/>
      <c r="AP324" s="591"/>
      <c r="AQ324" s="591"/>
      <c r="AR324" s="591"/>
      <c r="AS324" s="591"/>
      <c r="AT324" s="591"/>
      <c r="AU324" s="591"/>
      <c r="AV324" s="591"/>
      <c r="AW324" s="591"/>
      <c r="AX324" s="591"/>
      <c r="AY324" s="591"/>
      <c r="AZ324" s="591"/>
      <c r="BA324" s="591"/>
      <c r="BB324" s="591"/>
      <c r="BC324" s="591"/>
      <c r="BD324" s="591"/>
      <c r="BE324" s="591"/>
      <c r="BF324" s="591"/>
      <c r="BG324" s="591"/>
      <c r="BH324" s="591"/>
      <c r="BI324" s="591"/>
      <c r="BJ324" s="591"/>
      <c r="BK324" s="591"/>
      <c r="BL324" s="591"/>
      <c r="BM324" s="591"/>
      <c r="BN324" s="591"/>
      <c r="BO324" s="591"/>
      <c r="BP324" s="591"/>
      <c r="BQ324" s="591"/>
      <c r="BR324" s="591"/>
      <c r="BS324" s="591"/>
      <c r="BT324" s="591"/>
      <c r="BU324" s="591"/>
      <c r="BV324" s="591"/>
      <c r="BW324" s="591"/>
      <c r="BX324" s="591"/>
      <c r="BY324" s="591"/>
      <c r="BZ324" s="591"/>
      <c r="CA324" s="591"/>
      <c r="CB324" s="591"/>
      <c r="CC324" s="591"/>
      <c r="CD324" s="591"/>
      <c r="CE324" s="591"/>
      <c r="CF324" s="591"/>
    </row>
    <row r="325" spans="1:84">
      <c r="A325" s="591"/>
      <c r="B325" s="591"/>
      <c r="C325" s="591"/>
      <c r="D325" s="591"/>
      <c r="E325" s="591"/>
      <c r="F325" s="591"/>
      <c r="G325" s="591"/>
      <c r="H325" s="591"/>
      <c r="I325" s="591"/>
      <c r="J325" s="591"/>
      <c r="K325" s="591"/>
      <c r="L325" s="591"/>
      <c r="M325" s="591"/>
      <c r="N325" s="591"/>
      <c r="O325" s="591"/>
      <c r="P325" s="591"/>
      <c r="Q325" s="591"/>
      <c r="R325" s="591"/>
      <c r="S325" s="591"/>
      <c r="T325" s="591"/>
      <c r="U325" s="591"/>
      <c r="V325" s="591"/>
      <c r="W325" s="591"/>
      <c r="X325" s="591"/>
      <c r="Y325" s="591"/>
      <c r="Z325" s="591"/>
      <c r="AA325" s="591"/>
      <c r="AB325" s="591"/>
      <c r="AC325" s="591"/>
      <c r="AD325" s="591"/>
      <c r="AE325" s="591"/>
      <c r="AF325" s="591"/>
      <c r="AG325" s="591"/>
      <c r="AH325" s="591"/>
      <c r="AI325" s="591"/>
      <c r="AJ325" s="591"/>
      <c r="AK325" s="591"/>
      <c r="AL325" s="591"/>
      <c r="AM325" s="591"/>
      <c r="AN325" s="591"/>
      <c r="AO325" s="591"/>
      <c r="AP325" s="591"/>
      <c r="AQ325" s="591"/>
      <c r="AR325" s="591"/>
      <c r="AS325" s="591"/>
      <c r="AT325" s="591"/>
      <c r="AU325" s="591"/>
      <c r="AV325" s="591"/>
      <c r="AW325" s="591"/>
      <c r="AX325" s="591"/>
      <c r="AY325" s="591"/>
      <c r="AZ325" s="591"/>
      <c r="BA325" s="591"/>
      <c r="BB325" s="591"/>
      <c r="BC325" s="591"/>
      <c r="BD325" s="591"/>
      <c r="BE325" s="591"/>
      <c r="BF325" s="591"/>
      <c r="BG325" s="591"/>
      <c r="BH325" s="591"/>
      <c r="BI325" s="591"/>
      <c r="BJ325" s="591"/>
      <c r="BK325" s="591"/>
      <c r="BL325" s="591"/>
      <c r="BM325" s="591"/>
      <c r="BN325" s="591"/>
      <c r="BO325" s="591"/>
      <c r="BP325" s="591"/>
      <c r="BQ325" s="591"/>
      <c r="BR325" s="591"/>
      <c r="BS325" s="591"/>
      <c r="BT325" s="591"/>
      <c r="BU325" s="591"/>
      <c r="BV325" s="591"/>
      <c r="BW325" s="591"/>
      <c r="BX325" s="591"/>
      <c r="BY325" s="591"/>
      <c r="BZ325" s="591"/>
      <c r="CA325" s="591"/>
      <c r="CB325" s="591"/>
      <c r="CC325" s="591"/>
      <c r="CD325" s="591"/>
      <c r="CE325" s="591"/>
      <c r="CF325" s="591"/>
    </row>
    <row r="326" spans="1:84">
      <c r="A326" s="591"/>
      <c r="B326" s="591"/>
      <c r="C326" s="591"/>
      <c r="D326" s="591"/>
      <c r="E326" s="591"/>
      <c r="F326" s="591"/>
      <c r="G326" s="591"/>
      <c r="H326" s="591"/>
      <c r="I326" s="591"/>
      <c r="J326" s="591"/>
      <c r="K326" s="591"/>
      <c r="L326" s="591"/>
      <c r="M326" s="591"/>
      <c r="N326" s="591"/>
      <c r="O326" s="591"/>
      <c r="P326" s="591"/>
      <c r="Q326" s="591"/>
      <c r="R326" s="591"/>
      <c r="S326" s="591"/>
      <c r="T326" s="591"/>
      <c r="U326" s="591"/>
      <c r="V326" s="591"/>
      <c r="W326" s="591"/>
      <c r="X326" s="591"/>
      <c r="Y326" s="591"/>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1"/>
      <c r="BM326" s="591"/>
      <c r="BN326" s="591"/>
      <c r="BO326" s="591"/>
      <c r="BP326" s="591"/>
      <c r="BQ326" s="591"/>
      <c r="BR326" s="591"/>
      <c r="BS326" s="591"/>
      <c r="BT326" s="591"/>
      <c r="BU326" s="591"/>
      <c r="BV326" s="591"/>
      <c r="BW326" s="591"/>
      <c r="BX326" s="591"/>
      <c r="BY326" s="591"/>
      <c r="BZ326" s="591"/>
      <c r="CA326" s="591"/>
      <c r="CB326" s="591"/>
      <c r="CC326" s="591"/>
      <c r="CD326" s="591"/>
      <c r="CE326" s="591"/>
      <c r="CF326" s="591"/>
    </row>
    <row r="327" spans="1:84">
      <c r="A327" s="591"/>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1"/>
      <c r="AD327" s="591"/>
      <c r="AE327" s="591"/>
      <c r="AF327" s="591"/>
      <c r="AG327" s="591"/>
      <c r="AH327" s="591"/>
      <c r="AI327" s="591"/>
      <c r="AJ327" s="591"/>
      <c r="AK327" s="591"/>
      <c r="AL327" s="591"/>
      <c r="AM327" s="591"/>
      <c r="AN327" s="591"/>
      <c r="AO327" s="591"/>
      <c r="AP327" s="591"/>
      <c r="AQ327" s="591"/>
      <c r="AR327" s="591"/>
      <c r="AS327" s="591"/>
      <c r="AT327" s="591"/>
      <c r="AU327" s="591"/>
      <c r="AV327" s="591"/>
      <c r="AW327" s="591"/>
      <c r="AX327" s="591"/>
      <c r="AY327" s="591"/>
      <c r="AZ327" s="591"/>
      <c r="BA327" s="591"/>
      <c r="BB327" s="591"/>
      <c r="BC327" s="591"/>
      <c r="BD327" s="591"/>
      <c r="BE327" s="591"/>
      <c r="BF327" s="591"/>
      <c r="BG327" s="591"/>
      <c r="BH327" s="591"/>
      <c r="BI327" s="591"/>
      <c r="BJ327" s="591"/>
      <c r="BK327" s="591"/>
      <c r="BL327" s="591"/>
      <c r="BM327" s="591"/>
      <c r="BN327" s="591"/>
      <c r="BO327" s="591"/>
      <c r="BP327" s="591"/>
      <c r="BQ327" s="591"/>
      <c r="BR327" s="591"/>
      <c r="BS327" s="591"/>
      <c r="BT327" s="591"/>
      <c r="BU327" s="591"/>
      <c r="BV327" s="591"/>
      <c r="BW327" s="591"/>
      <c r="BX327" s="591"/>
      <c r="BY327" s="591"/>
      <c r="BZ327" s="591"/>
      <c r="CA327" s="591"/>
      <c r="CB327" s="591"/>
      <c r="CC327" s="591"/>
      <c r="CD327" s="591"/>
      <c r="CE327" s="591"/>
      <c r="CF327" s="591"/>
    </row>
    <row r="328" spans="1:84">
      <c r="A328" s="591"/>
      <c r="B328" s="591"/>
      <c r="C328" s="591"/>
      <c r="D328" s="591"/>
      <c r="E328" s="591"/>
      <c r="F328" s="591"/>
      <c r="G328" s="591"/>
      <c r="H328" s="591"/>
      <c r="I328" s="591"/>
      <c r="J328" s="591"/>
      <c r="K328" s="591"/>
      <c r="L328" s="591"/>
      <c r="M328" s="591"/>
      <c r="N328" s="591"/>
      <c r="O328" s="591"/>
      <c r="P328" s="591"/>
      <c r="Q328" s="591"/>
      <c r="R328" s="591"/>
      <c r="S328" s="591"/>
      <c r="T328" s="591"/>
      <c r="U328" s="591"/>
      <c r="V328" s="591"/>
      <c r="W328" s="591"/>
      <c r="X328" s="591"/>
      <c r="Y328" s="591"/>
      <c r="Z328" s="591"/>
      <c r="AA328" s="591"/>
      <c r="AB328" s="591"/>
      <c r="AC328" s="591"/>
      <c r="AD328" s="591"/>
      <c r="AE328" s="591"/>
      <c r="AF328" s="591"/>
      <c r="AG328" s="591"/>
      <c r="AH328" s="591"/>
      <c r="AI328" s="591"/>
      <c r="AJ328" s="591"/>
      <c r="AK328" s="591"/>
      <c r="AL328" s="591"/>
      <c r="AM328" s="591"/>
      <c r="AN328" s="591"/>
      <c r="AO328" s="591"/>
      <c r="AP328" s="591"/>
      <c r="AQ328" s="591"/>
      <c r="AR328" s="591"/>
      <c r="AS328" s="591"/>
      <c r="AT328" s="591"/>
      <c r="AU328" s="591"/>
      <c r="AV328" s="591"/>
      <c r="AW328" s="591"/>
      <c r="AX328" s="591"/>
      <c r="AY328" s="591"/>
      <c r="AZ328" s="591"/>
      <c r="BA328" s="591"/>
      <c r="BB328" s="591"/>
      <c r="BC328" s="591"/>
      <c r="BD328" s="591"/>
      <c r="BE328" s="591"/>
      <c r="BF328" s="591"/>
      <c r="BG328" s="591"/>
      <c r="BH328" s="591"/>
      <c r="BI328" s="591"/>
      <c r="BJ328" s="591"/>
      <c r="BK328" s="591"/>
      <c r="BL328" s="591"/>
      <c r="BM328" s="591"/>
      <c r="BN328" s="591"/>
      <c r="BO328" s="591"/>
      <c r="BP328" s="591"/>
      <c r="BQ328" s="591"/>
      <c r="BR328" s="591"/>
      <c r="BS328" s="591"/>
      <c r="BT328" s="591"/>
      <c r="BU328" s="591"/>
      <c r="BV328" s="591"/>
      <c r="BW328" s="591"/>
      <c r="BX328" s="591"/>
      <c r="BY328" s="591"/>
      <c r="BZ328" s="591"/>
      <c r="CA328" s="591"/>
      <c r="CB328" s="591"/>
      <c r="CC328" s="591"/>
      <c r="CD328" s="591"/>
      <c r="CE328" s="591"/>
      <c r="CF328" s="591"/>
    </row>
    <row r="329" spans="1:84">
      <c r="A329" s="591"/>
      <c r="B329" s="591"/>
      <c r="C329" s="591"/>
      <c r="D329" s="591"/>
      <c r="E329" s="591"/>
      <c r="F329" s="591"/>
      <c r="G329" s="591"/>
      <c r="H329" s="591"/>
      <c r="I329" s="591"/>
      <c r="J329" s="591"/>
      <c r="K329" s="591"/>
      <c r="L329" s="591"/>
      <c r="M329" s="591"/>
      <c r="N329" s="591"/>
      <c r="O329" s="591"/>
      <c r="P329" s="591"/>
      <c r="Q329" s="591"/>
      <c r="R329" s="591"/>
      <c r="S329" s="591"/>
      <c r="T329" s="591"/>
      <c r="U329" s="591"/>
      <c r="V329" s="591"/>
      <c r="W329" s="591"/>
      <c r="X329" s="591"/>
      <c r="Y329" s="591"/>
      <c r="Z329" s="591"/>
      <c r="AA329" s="591"/>
      <c r="AB329" s="591"/>
      <c r="AC329" s="591"/>
      <c r="AD329" s="591"/>
      <c r="AE329" s="591"/>
      <c r="AF329" s="591"/>
      <c r="AG329" s="591"/>
      <c r="AH329" s="591"/>
      <c r="AI329" s="591"/>
      <c r="AJ329" s="591"/>
      <c r="AK329" s="591"/>
      <c r="AL329" s="591"/>
      <c r="AM329" s="591"/>
      <c r="AN329" s="591"/>
      <c r="AO329" s="591"/>
      <c r="AP329" s="591"/>
      <c r="AQ329" s="591"/>
      <c r="AR329" s="591"/>
      <c r="AS329" s="591"/>
      <c r="AT329" s="591"/>
      <c r="AU329" s="591"/>
      <c r="AV329" s="591"/>
      <c r="AW329" s="591"/>
      <c r="AX329" s="591"/>
      <c r="AY329" s="591"/>
      <c r="AZ329" s="591"/>
      <c r="BA329" s="591"/>
      <c r="BB329" s="591"/>
      <c r="BC329" s="591"/>
      <c r="BD329" s="591"/>
      <c r="BE329" s="591"/>
      <c r="BF329" s="591"/>
      <c r="BG329" s="591"/>
      <c r="BH329" s="591"/>
      <c r="BI329" s="591"/>
      <c r="BJ329" s="591"/>
      <c r="BK329" s="591"/>
      <c r="BL329" s="591"/>
      <c r="BM329" s="591"/>
      <c r="BN329" s="591"/>
      <c r="BO329" s="591"/>
      <c r="BP329" s="591"/>
      <c r="BQ329" s="591"/>
      <c r="BR329" s="591"/>
      <c r="BS329" s="591"/>
      <c r="BT329" s="591"/>
      <c r="BU329" s="591"/>
      <c r="BV329" s="591"/>
      <c r="BW329" s="591"/>
      <c r="BX329" s="591"/>
      <c r="BY329" s="591"/>
      <c r="BZ329" s="591"/>
      <c r="CA329" s="591"/>
      <c r="CB329" s="591"/>
      <c r="CC329" s="591"/>
      <c r="CD329" s="591"/>
      <c r="CE329" s="591"/>
      <c r="CF329" s="591"/>
    </row>
    <row r="330" spans="1:84">
      <c r="A330" s="591"/>
      <c r="B330" s="591"/>
      <c r="C330" s="591"/>
      <c r="D330" s="591"/>
      <c r="E330" s="591"/>
      <c r="F330" s="591"/>
      <c r="G330" s="591"/>
      <c r="H330" s="591"/>
      <c r="I330" s="591"/>
      <c r="J330" s="591"/>
      <c r="K330" s="591"/>
      <c r="L330" s="591"/>
      <c r="M330" s="591"/>
      <c r="N330" s="591"/>
      <c r="O330" s="591"/>
      <c r="P330" s="591"/>
      <c r="Q330" s="591"/>
      <c r="R330" s="591"/>
      <c r="S330" s="591"/>
      <c r="T330" s="591"/>
      <c r="U330" s="591"/>
      <c r="V330" s="591"/>
      <c r="W330" s="591"/>
      <c r="X330" s="591"/>
      <c r="Y330" s="591"/>
      <c r="Z330" s="591"/>
      <c r="AA330" s="591"/>
      <c r="AB330" s="591"/>
      <c r="AC330" s="591"/>
      <c r="AD330" s="591"/>
      <c r="AE330" s="591"/>
      <c r="AF330" s="591"/>
      <c r="AG330" s="591"/>
      <c r="AH330" s="591"/>
      <c r="AI330" s="591"/>
      <c r="AJ330" s="591"/>
      <c r="AK330" s="591"/>
      <c r="AL330" s="591"/>
      <c r="AM330" s="591"/>
      <c r="AN330" s="591"/>
      <c r="AO330" s="591"/>
      <c r="AP330" s="591"/>
      <c r="AQ330" s="591"/>
      <c r="AR330" s="591"/>
      <c r="AS330" s="591"/>
      <c r="AT330" s="591"/>
      <c r="AU330" s="591"/>
      <c r="AV330" s="591"/>
      <c r="AW330" s="591"/>
      <c r="AX330" s="591"/>
      <c r="AY330" s="591"/>
      <c r="AZ330" s="591"/>
      <c r="BA330" s="591"/>
      <c r="BB330" s="591"/>
      <c r="BC330" s="591"/>
      <c r="BD330" s="591"/>
      <c r="BE330" s="591"/>
      <c r="BF330" s="591"/>
      <c r="BG330" s="591"/>
      <c r="BH330" s="591"/>
      <c r="BI330" s="591"/>
      <c r="BJ330" s="591"/>
      <c r="BK330" s="591"/>
      <c r="BL330" s="591"/>
      <c r="BM330" s="591"/>
      <c r="BN330" s="591"/>
      <c r="BO330" s="591"/>
      <c r="BP330" s="591"/>
      <c r="BQ330" s="591"/>
      <c r="BR330" s="591"/>
      <c r="BS330" s="591"/>
      <c r="BT330" s="591"/>
      <c r="BU330" s="591"/>
      <c r="BV330" s="591"/>
      <c r="BW330" s="591"/>
      <c r="BX330" s="591"/>
      <c r="BY330" s="591"/>
      <c r="BZ330" s="591"/>
      <c r="CA330" s="591"/>
      <c r="CB330" s="591"/>
      <c r="CC330" s="591"/>
      <c r="CD330" s="591"/>
      <c r="CE330" s="591"/>
      <c r="CF330" s="591"/>
    </row>
    <row r="331" spans="1:84">
      <c r="A331" s="591"/>
      <c r="B331" s="591"/>
      <c r="C331" s="591"/>
      <c r="D331" s="591"/>
      <c r="E331" s="591"/>
      <c r="F331" s="591"/>
      <c r="G331" s="591"/>
      <c r="H331" s="591"/>
      <c r="I331" s="591"/>
      <c r="J331" s="591"/>
      <c r="K331" s="591"/>
      <c r="L331" s="591"/>
      <c r="M331" s="591"/>
      <c r="N331" s="591"/>
      <c r="O331" s="591"/>
      <c r="P331" s="591"/>
      <c r="Q331" s="591"/>
      <c r="R331" s="591"/>
      <c r="S331" s="591"/>
      <c r="T331" s="591"/>
      <c r="U331" s="591"/>
      <c r="V331" s="591"/>
      <c r="W331" s="591"/>
      <c r="X331" s="591"/>
      <c r="Y331" s="591"/>
      <c r="Z331" s="591"/>
      <c r="AA331" s="591"/>
      <c r="AB331" s="591"/>
      <c r="AC331" s="591"/>
      <c r="AD331" s="591"/>
      <c r="AE331" s="591"/>
      <c r="AF331" s="591"/>
      <c r="AG331" s="591"/>
      <c r="AH331" s="591"/>
      <c r="AI331" s="591"/>
      <c r="AJ331" s="591"/>
      <c r="AK331" s="591"/>
      <c r="AL331" s="591"/>
      <c r="AM331" s="591"/>
      <c r="AN331" s="591"/>
      <c r="AO331" s="591"/>
      <c r="AP331" s="591"/>
      <c r="AQ331" s="591"/>
      <c r="AR331" s="591"/>
      <c r="AS331" s="591"/>
      <c r="AT331" s="591"/>
      <c r="AU331" s="591"/>
      <c r="AV331" s="591"/>
      <c r="AW331" s="591"/>
      <c r="AX331" s="591"/>
      <c r="AY331" s="591"/>
      <c r="AZ331" s="591"/>
      <c r="BA331" s="591"/>
      <c r="BB331" s="591"/>
      <c r="BC331" s="591"/>
      <c r="BD331" s="591"/>
      <c r="BE331" s="591"/>
      <c r="BF331" s="591"/>
      <c r="BG331" s="591"/>
      <c r="BH331" s="591"/>
      <c r="BI331" s="591"/>
      <c r="BJ331" s="591"/>
      <c r="BK331" s="591"/>
      <c r="BL331" s="591"/>
      <c r="BM331" s="591"/>
      <c r="BN331" s="591"/>
      <c r="BO331" s="591"/>
      <c r="BP331" s="591"/>
      <c r="BQ331" s="591"/>
      <c r="BR331" s="591"/>
      <c r="BS331" s="591"/>
      <c r="BT331" s="591"/>
      <c r="BU331" s="591"/>
      <c r="BV331" s="591"/>
      <c r="BW331" s="591"/>
      <c r="BX331" s="591"/>
      <c r="BY331" s="591"/>
      <c r="BZ331" s="591"/>
      <c r="CA331" s="591"/>
      <c r="CB331" s="591"/>
      <c r="CC331" s="591"/>
      <c r="CD331" s="591"/>
      <c r="CE331" s="591"/>
      <c r="CF331" s="591"/>
    </row>
    <row r="332" spans="1:84">
      <c r="A332" s="591"/>
      <c r="B332" s="591"/>
      <c r="C332" s="591"/>
      <c r="D332" s="591"/>
      <c r="E332" s="591"/>
      <c r="F332" s="591"/>
      <c r="G332" s="591"/>
      <c r="H332" s="591"/>
      <c r="I332" s="591"/>
      <c r="J332" s="591"/>
      <c r="K332" s="591"/>
      <c r="L332" s="591"/>
      <c r="M332" s="591"/>
      <c r="N332" s="591"/>
      <c r="O332" s="591"/>
      <c r="P332" s="591"/>
      <c r="Q332" s="591"/>
      <c r="R332" s="591"/>
      <c r="S332" s="591"/>
      <c r="T332" s="591"/>
      <c r="U332" s="591"/>
      <c r="V332" s="591"/>
      <c r="W332" s="591"/>
      <c r="X332" s="591"/>
      <c r="Y332" s="591"/>
      <c r="Z332" s="591"/>
      <c r="AA332" s="591"/>
      <c r="AB332" s="591"/>
      <c r="AC332" s="591"/>
      <c r="AD332" s="591"/>
      <c r="AE332" s="591"/>
      <c r="AF332" s="591"/>
      <c r="AG332" s="591"/>
      <c r="AH332" s="591"/>
      <c r="AI332" s="591"/>
      <c r="AJ332" s="591"/>
      <c r="AK332" s="591"/>
      <c r="AL332" s="591"/>
      <c r="AM332" s="591"/>
      <c r="AN332" s="591"/>
      <c r="AO332" s="591"/>
      <c r="AP332" s="591"/>
      <c r="AQ332" s="591"/>
      <c r="AR332" s="591"/>
      <c r="AS332" s="591"/>
      <c r="AT332" s="591"/>
      <c r="AU332" s="591"/>
      <c r="AV332" s="591"/>
      <c r="AW332" s="591"/>
      <c r="AX332" s="591"/>
      <c r="AY332" s="591"/>
      <c r="AZ332" s="591"/>
      <c r="BA332" s="591"/>
      <c r="BB332" s="591"/>
      <c r="BC332" s="591"/>
      <c r="BD332" s="591"/>
      <c r="BE332" s="591"/>
      <c r="BF332" s="591"/>
      <c r="BG332" s="591"/>
      <c r="BH332" s="591"/>
      <c r="BI332" s="591"/>
      <c r="BJ332" s="591"/>
      <c r="BK332" s="591"/>
      <c r="BL332" s="591"/>
      <c r="BM332" s="591"/>
      <c r="BN332" s="591"/>
      <c r="BO332" s="591"/>
      <c r="BP332" s="591"/>
      <c r="BQ332" s="591"/>
      <c r="BR332" s="591"/>
      <c r="BS332" s="591"/>
      <c r="BT332" s="591"/>
      <c r="BU332" s="591"/>
      <c r="BV332" s="591"/>
      <c r="BW332" s="591"/>
      <c r="BX332" s="591"/>
      <c r="BY332" s="591"/>
      <c r="BZ332" s="591"/>
      <c r="CA332" s="591"/>
      <c r="CB332" s="591"/>
      <c r="CC332" s="591"/>
      <c r="CD332" s="591"/>
      <c r="CE332" s="591"/>
      <c r="CF332" s="591"/>
    </row>
    <row r="333" spans="1:84">
      <c r="A333" s="591"/>
      <c r="B333" s="591"/>
      <c r="C333" s="591"/>
      <c r="D333" s="591"/>
      <c r="E333" s="591"/>
      <c r="F333" s="591"/>
      <c r="G333" s="591"/>
      <c r="H333" s="591"/>
      <c r="I333" s="591"/>
      <c r="J333" s="591"/>
      <c r="K333" s="591"/>
      <c r="L333" s="591"/>
      <c r="M333" s="591"/>
      <c r="N333" s="591"/>
      <c r="O333" s="591"/>
      <c r="P333" s="591"/>
      <c r="Q333" s="591"/>
      <c r="R333" s="591"/>
      <c r="S333" s="591"/>
      <c r="T333" s="591"/>
      <c r="U333" s="591"/>
      <c r="V333" s="591"/>
      <c r="W333" s="591"/>
      <c r="X333" s="591"/>
      <c r="Y333" s="591"/>
      <c r="Z333" s="591"/>
      <c r="AA333" s="591"/>
      <c r="AB333" s="591"/>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591"/>
      <c r="BF333" s="591"/>
      <c r="BG333" s="591"/>
      <c r="BH333" s="591"/>
      <c r="BI333" s="591"/>
      <c r="BJ333" s="591"/>
      <c r="BK333" s="591"/>
      <c r="BL333" s="591"/>
      <c r="BM333" s="591"/>
      <c r="BN333" s="591"/>
      <c r="BO333" s="591"/>
      <c r="BP333" s="591"/>
      <c r="BQ333" s="591"/>
      <c r="BR333" s="591"/>
      <c r="BS333" s="591"/>
      <c r="BT333" s="591"/>
      <c r="BU333" s="591"/>
      <c r="BV333" s="591"/>
      <c r="BW333" s="591"/>
      <c r="BX333" s="591"/>
      <c r="BY333" s="591"/>
      <c r="BZ333" s="591"/>
      <c r="CA333" s="591"/>
      <c r="CB333" s="591"/>
      <c r="CC333" s="591"/>
      <c r="CD333" s="591"/>
      <c r="CE333" s="591"/>
      <c r="CF333" s="591"/>
    </row>
    <row r="334" spans="1:84">
      <c r="A334" s="591"/>
      <c r="B334" s="591"/>
      <c r="C334" s="591"/>
      <c r="D334" s="591"/>
      <c r="E334" s="591"/>
      <c r="F334" s="591"/>
      <c r="G334" s="591"/>
      <c r="H334" s="591"/>
      <c r="I334" s="591"/>
      <c r="J334" s="591"/>
      <c r="K334" s="591"/>
      <c r="L334" s="591"/>
      <c r="M334" s="591"/>
      <c r="N334" s="591"/>
      <c r="O334" s="591"/>
      <c r="P334" s="591"/>
      <c r="Q334" s="591"/>
      <c r="R334" s="591"/>
      <c r="S334" s="591"/>
      <c r="T334" s="591"/>
      <c r="U334" s="591"/>
      <c r="V334" s="591"/>
      <c r="W334" s="591"/>
      <c r="X334" s="591"/>
      <c r="Y334" s="591"/>
      <c r="Z334" s="591"/>
      <c r="AA334" s="591"/>
      <c r="AB334" s="591"/>
      <c r="AC334" s="591"/>
      <c r="AD334" s="591"/>
      <c r="AE334" s="591"/>
      <c r="AF334" s="591"/>
      <c r="AG334" s="591"/>
      <c r="AH334" s="591"/>
      <c r="AI334" s="591"/>
      <c r="AJ334" s="591"/>
      <c r="AK334" s="591"/>
      <c r="AL334" s="591"/>
      <c r="AM334" s="591"/>
      <c r="AN334" s="591"/>
      <c r="AO334" s="591"/>
      <c r="AP334" s="591"/>
      <c r="AQ334" s="591"/>
      <c r="AR334" s="591"/>
      <c r="AS334" s="591"/>
      <c r="AT334" s="591"/>
      <c r="AU334" s="591"/>
      <c r="AV334" s="591"/>
      <c r="AW334" s="591"/>
      <c r="AX334" s="591"/>
      <c r="AY334" s="591"/>
      <c r="AZ334" s="591"/>
      <c r="BA334" s="591"/>
      <c r="BB334" s="591"/>
      <c r="BC334" s="591"/>
      <c r="BD334" s="591"/>
      <c r="BE334" s="591"/>
      <c r="BF334" s="591"/>
      <c r="BG334" s="591"/>
      <c r="BH334" s="591"/>
      <c r="BI334" s="591"/>
      <c r="BJ334" s="591"/>
      <c r="BK334" s="591"/>
      <c r="BL334" s="591"/>
      <c r="BM334" s="591"/>
      <c r="BN334" s="591"/>
      <c r="BO334" s="591"/>
      <c r="BP334" s="591"/>
      <c r="BQ334" s="591"/>
      <c r="BR334" s="591"/>
      <c r="BS334" s="591"/>
      <c r="BT334" s="591"/>
      <c r="BU334" s="591"/>
      <c r="BV334" s="591"/>
      <c r="BW334" s="591"/>
      <c r="BX334" s="591"/>
      <c r="BY334" s="591"/>
      <c r="BZ334" s="591"/>
      <c r="CA334" s="591"/>
      <c r="CB334" s="591"/>
      <c r="CC334" s="591"/>
      <c r="CD334" s="591"/>
      <c r="CE334" s="591"/>
      <c r="CF334" s="591"/>
    </row>
    <row r="335" spans="1:84">
      <c r="A335" s="591"/>
      <c r="B335" s="591"/>
      <c r="C335" s="591"/>
      <c r="D335" s="591"/>
      <c r="E335" s="591"/>
      <c r="F335" s="591"/>
      <c r="G335" s="591"/>
      <c r="H335" s="591"/>
      <c r="I335" s="591"/>
      <c r="J335" s="591"/>
      <c r="K335" s="591"/>
      <c r="L335" s="591"/>
      <c r="M335" s="591"/>
      <c r="N335" s="591"/>
      <c r="O335" s="591"/>
      <c r="P335" s="591"/>
      <c r="Q335" s="591"/>
      <c r="R335" s="591"/>
      <c r="S335" s="591"/>
      <c r="T335" s="591"/>
      <c r="U335" s="591"/>
      <c r="V335" s="591"/>
      <c r="W335" s="591"/>
      <c r="X335" s="591"/>
      <c r="Y335" s="591"/>
      <c r="Z335" s="591"/>
      <c r="AA335" s="591"/>
      <c r="AB335" s="591"/>
      <c r="AC335" s="591"/>
      <c r="AD335" s="591"/>
      <c r="AE335" s="591"/>
      <c r="AF335" s="591"/>
      <c r="AG335" s="591"/>
      <c r="AH335" s="591"/>
      <c r="AI335" s="591"/>
      <c r="AJ335" s="591"/>
      <c r="AK335" s="591"/>
      <c r="AL335" s="591"/>
      <c r="AM335" s="591"/>
      <c r="AN335" s="591"/>
      <c r="AO335" s="591"/>
      <c r="AP335" s="591"/>
      <c r="AQ335" s="591"/>
      <c r="AR335" s="591"/>
      <c r="AS335" s="591"/>
      <c r="AT335" s="591"/>
      <c r="AU335" s="591"/>
      <c r="AV335" s="591"/>
      <c r="AW335" s="591"/>
      <c r="AX335" s="591"/>
      <c r="AY335" s="591"/>
      <c r="AZ335" s="591"/>
      <c r="BA335" s="591"/>
      <c r="BB335" s="591"/>
      <c r="BC335" s="591"/>
      <c r="BD335" s="591"/>
      <c r="BE335" s="591"/>
      <c r="BF335" s="591"/>
      <c r="BG335" s="591"/>
      <c r="BH335" s="591"/>
      <c r="BI335" s="591"/>
      <c r="BJ335" s="591"/>
      <c r="BK335" s="591"/>
      <c r="BL335" s="591"/>
      <c r="BM335" s="591"/>
      <c r="BN335" s="591"/>
      <c r="BO335" s="591"/>
      <c r="BP335" s="591"/>
      <c r="BQ335" s="591"/>
      <c r="BR335" s="591"/>
      <c r="BS335" s="591"/>
      <c r="BT335" s="591"/>
      <c r="BU335" s="591"/>
      <c r="BV335" s="591"/>
      <c r="BW335" s="591"/>
      <c r="BX335" s="591"/>
      <c r="BY335" s="591"/>
      <c r="BZ335" s="591"/>
      <c r="CA335" s="591"/>
      <c r="CB335" s="591"/>
      <c r="CC335" s="591"/>
      <c r="CD335" s="591"/>
      <c r="CE335" s="591"/>
      <c r="CF335" s="591"/>
    </row>
    <row r="336" spans="1:84">
      <c r="A336" s="591"/>
      <c r="B336" s="591"/>
      <c r="C336" s="591"/>
      <c r="D336" s="591"/>
      <c r="E336" s="591"/>
      <c r="F336" s="591"/>
      <c r="G336" s="591"/>
      <c r="H336" s="591"/>
      <c r="I336" s="591"/>
      <c r="J336" s="591"/>
      <c r="K336" s="591"/>
      <c r="L336" s="591"/>
      <c r="M336" s="591"/>
      <c r="N336" s="591"/>
      <c r="O336" s="591"/>
      <c r="P336" s="591"/>
      <c r="Q336" s="591"/>
      <c r="R336" s="591"/>
      <c r="S336" s="591"/>
      <c r="T336" s="591"/>
      <c r="U336" s="591"/>
      <c r="V336" s="591"/>
      <c r="W336" s="591"/>
      <c r="X336" s="591"/>
      <c r="Y336" s="591"/>
      <c r="Z336" s="591"/>
      <c r="AA336" s="591"/>
      <c r="AB336" s="591"/>
      <c r="AC336" s="591"/>
      <c r="AD336" s="591"/>
      <c r="AE336" s="591"/>
      <c r="AF336" s="591"/>
      <c r="AG336" s="591"/>
      <c r="AH336" s="591"/>
      <c r="AI336" s="591"/>
      <c r="AJ336" s="591"/>
      <c r="AK336" s="591"/>
      <c r="AL336" s="591"/>
      <c r="AM336" s="591"/>
      <c r="AN336" s="591"/>
      <c r="AO336" s="591"/>
      <c r="AP336" s="591"/>
      <c r="AQ336" s="591"/>
      <c r="AR336" s="591"/>
      <c r="AS336" s="591"/>
      <c r="AT336" s="591"/>
      <c r="AU336" s="591"/>
      <c r="AV336" s="591"/>
      <c r="AW336" s="591"/>
      <c r="AX336" s="591"/>
      <c r="AY336" s="591"/>
      <c r="AZ336" s="591"/>
      <c r="BA336" s="591"/>
      <c r="BB336" s="591"/>
      <c r="BC336" s="591"/>
      <c r="BD336" s="591"/>
      <c r="BE336" s="591"/>
      <c r="BF336" s="591"/>
      <c r="BG336" s="591"/>
      <c r="BH336" s="591"/>
      <c r="BI336" s="591"/>
      <c r="BJ336" s="591"/>
      <c r="BK336" s="591"/>
      <c r="BL336" s="591"/>
      <c r="BM336" s="591"/>
      <c r="BN336" s="591"/>
      <c r="BO336" s="591"/>
      <c r="BP336" s="591"/>
      <c r="BQ336" s="591"/>
      <c r="BR336" s="591"/>
      <c r="BS336" s="591"/>
      <c r="BT336" s="591"/>
      <c r="BU336" s="591"/>
      <c r="BV336" s="591"/>
      <c r="BW336" s="591"/>
      <c r="BX336" s="591"/>
      <c r="BY336" s="591"/>
      <c r="BZ336" s="591"/>
      <c r="CA336" s="591"/>
      <c r="CB336" s="591"/>
      <c r="CC336" s="591"/>
      <c r="CD336" s="591"/>
      <c r="CE336" s="591"/>
      <c r="CF336" s="591"/>
    </row>
    <row r="337" spans="1:84">
      <c r="A337" s="591"/>
      <c r="B337" s="591"/>
      <c r="C337" s="591"/>
      <c r="D337" s="591"/>
      <c r="E337" s="591"/>
      <c r="F337" s="591"/>
      <c r="G337" s="591"/>
      <c r="H337" s="591"/>
      <c r="I337" s="591"/>
      <c r="J337" s="591"/>
      <c r="K337" s="591"/>
      <c r="L337" s="591"/>
      <c r="M337" s="591"/>
      <c r="N337" s="591"/>
      <c r="O337" s="591"/>
      <c r="P337" s="591"/>
      <c r="Q337" s="591"/>
      <c r="R337" s="591"/>
      <c r="S337" s="591"/>
      <c r="T337" s="591"/>
      <c r="U337" s="591"/>
      <c r="V337" s="591"/>
      <c r="W337" s="591"/>
      <c r="X337" s="591"/>
      <c r="Y337" s="591"/>
      <c r="Z337" s="591"/>
      <c r="AA337" s="591"/>
      <c r="AB337" s="591"/>
      <c r="AC337" s="591"/>
      <c r="AD337" s="591"/>
      <c r="AE337" s="591"/>
      <c r="AF337" s="591"/>
      <c r="AG337" s="591"/>
      <c r="AH337" s="591"/>
      <c r="AI337" s="591"/>
      <c r="AJ337" s="591"/>
      <c r="AK337" s="591"/>
      <c r="AL337" s="591"/>
      <c r="AM337" s="591"/>
      <c r="AN337" s="591"/>
      <c r="AO337" s="591"/>
      <c r="AP337" s="591"/>
      <c r="AQ337" s="591"/>
      <c r="AR337" s="591"/>
      <c r="AS337" s="591"/>
      <c r="AT337" s="591"/>
      <c r="AU337" s="591"/>
      <c r="AV337" s="591"/>
      <c r="AW337" s="591"/>
      <c r="AX337" s="591"/>
      <c r="AY337" s="591"/>
      <c r="AZ337" s="591"/>
      <c r="BA337" s="591"/>
      <c r="BB337" s="591"/>
      <c r="BC337" s="591"/>
      <c r="BD337" s="591"/>
      <c r="BE337" s="591"/>
      <c r="BF337" s="591"/>
      <c r="BG337" s="591"/>
      <c r="BH337" s="591"/>
      <c r="BI337" s="591"/>
      <c r="BJ337" s="591"/>
      <c r="BK337" s="591"/>
      <c r="BL337" s="591"/>
      <c r="BM337" s="591"/>
      <c r="BN337" s="591"/>
      <c r="BO337" s="591"/>
      <c r="BP337" s="591"/>
      <c r="BQ337" s="591"/>
      <c r="BR337" s="591"/>
      <c r="BS337" s="591"/>
      <c r="BT337" s="591"/>
      <c r="BU337" s="591"/>
      <c r="BV337" s="591"/>
      <c r="BW337" s="591"/>
      <c r="BX337" s="591"/>
      <c r="BY337" s="591"/>
      <c r="BZ337" s="591"/>
      <c r="CA337" s="591"/>
      <c r="CB337" s="591"/>
      <c r="CC337" s="591"/>
      <c r="CD337" s="591"/>
      <c r="CE337" s="591"/>
      <c r="CF337" s="591"/>
    </row>
    <row r="338" spans="1:84">
      <c r="A338" s="591"/>
      <c r="B338" s="591"/>
      <c r="C338" s="591"/>
      <c r="D338" s="591"/>
      <c r="E338" s="591"/>
      <c r="F338" s="591"/>
      <c r="G338" s="591"/>
      <c r="H338" s="591"/>
      <c r="I338" s="591"/>
      <c r="J338" s="591"/>
      <c r="K338" s="591"/>
      <c r="L338" s="591"/>
      <c r="M338" s="591"/>
      <c r="N338" s="591"/>
      <c r="O338" s="591"/>
      <c r="P338" s="591"/>
      <c r="Q338" s="591"/>
      <c r="R338" s="591"/>
      <c r="S338" s="591"/>
      <c r="T338" s="591"/>
      <c r="U338" s="591"/>
      <c r="V338" s="591"/>
      <c r="W338" s="591"/>
      <c r="X338" s="591"/>
      <c r="Y338" s="591"/>
      <c r="Z338" s="591"/>
      <c r="AA338" s="591"/>
      <c r="AB338" s="591"/>
      <c r="AC338" s="591"/>
      <c r="AD338" s="591"/>
      <c r="AE338" s="591"/>
      <c r="AF338" s="591"/>
      <c r="AG338" s="591"/>
      <c r="AH338" s="591"/>
      <c r="AI338" s="591"/>
      <c r="AJ338" s="591"/>
      <c r="AK338" s="591"/>
      <c r="AL338" s="591"/>
      <c r="AM338" s="591"/>
      <c r="AN338" s="591"/>
      <c r="AO338" s="591"/>
      <c r="AP338" s="591"/>
      <c r="AQ338" s="591"/>
      <c r="AR338" s="591"/>
      <c r="AS338" s="591"/>
      <c r="AT338" s="591"/>
      <c r="AU338" s="591"/>
      <c r="AV338" s="591"/>
      <c r="AW338" s="591"/>
      <c r="AX338" s="591"/>
      <c r="AY338" s="591"/>
      <c r="AZ338" s="591"/>
      <c r="BA338" s="591"/>
      <c r="BB338" s="591"/>
      <c r="BC338" s="591"/>
      <c r="BD338" s="591"/>
      <c r="BE338" s="591"/>
      <c r="BF338" s="591"/>
      <c r="BG338" s="591"/>
      <c r="BH338" s="591"/>
      <c r="BI338" s="591"/>
      <c r="BJ338" s="591"/>
      <c r="BK338" s="591"/>
      <c r="BL338" s="591"/>
      <c r="BM338" s="591"/>
      <c r="BN338" s="591"/>
      <c r="BO338" s="591"/>
      <c r="BP338" s="591"/>
      <c r="BQ338" s="591"/>
      <c r="BR338" s="591"/>
      <c r="BS338" s="591"/>
      <c r="BT338" s="591"/>
      <c r="BU338" s="591"/>
      <c r="BV338" s="591"/>
      <c r="BW338" s="591"/>
      <c r="BX338" s="591"/>
      <c r="BY338" s="591"/>
      <c r="BZ338" s="591"/>
      <c r="CA338" s="591"/>
      <c r="CB338" s="591"/>
      <c r="CC338" s="591"/>
      <c r="CD338" s="591"/>
      <c r="CE338" s="591"/>
      <c r="CF338" s="591"/>
    </row>
    <row r="339" spans="1:84">
      <c r="A339" s="591"/>
      <c r="B339" s="591"/>
      <c r="C339" s="591"/>
      <c r="D339" s="591"/>
      <c r="E339" s="591"/>
      <c r="F339" s="591"/>
      <c r="G339" s="591"/>
      <c r="H339" s="591"/>
      <c r="I339" s="591"/>
      <c r="J339" s="591"/>
      <c r="K339" s="591"/>
      <c r="L339" s="591"/>
      <c r="M339" s="591"/>
      <c r="N339" s="591"/>
      <c r="O339" s="591"/>
      <c r="P339" s="591"/>
      <c r="Q339" s="591"/>
      <c r="R339" s="591"/>
      <c r="S339" s="591"/>
      <c r="T339" s="591"/>
      <c r="U339" s="591"/>
      <c r="V339" s="591"/>
      <c r="W339" s="591"/>
      <c r="X339" s="591"/>
      <c r="Y339" s="591"/>
      <c r="Z339" s="591"/>
      <c r="AA339" s="591"/>
      <c r="AB339" s="591"/>
      <c r="AC339" s="591"/>
      <c r="AD339" s="591"/>
      <c r="AE339" s="591"/>
      <c r="AF339" s="591"/>
      <c r="AG339" s="591"/>
      <c r="AH339" s="591"/>
      <c r="AI339" s="591"/>
      <c r="AJ339" s="591"/>
      <c r="AK339" s="591"/>
      <c r="AL339" s="591"/>
      <c r="AM339" s="591"/>
      <c r="AN339" s="591"/>
      <c r="AO339" s="591"/>
      <c r="AP339" s="591"/>
      <c r="AQ339" s="591"/>
      <c r="AR339" s="591"/>
      <c r="AS339" s="591"/>
      <c r="AT339" s="591"/>
      <c r="AU339" s="591"/>
      <c r="AV339" s="591"/>
      <c r="AW339" s="591"/>
      <c r="AX339" s="591"/>
      <c r="AY339" s="591"/>
      <c r="AZ339" s="591"/>
      <c r="BA339" s="591"/>
      <c r="BB339" s="591"/>
      <c r="BC339" s="591"/>
      <c r="BD339" s="591"/>
      <c r="BE339" s="591"/>
      <c r="BF339" s="591"/>
      <c r="BG339" s="591"/>
      <c r="BH339" s="591"/>
      <c r="BI339" s="591"/>
      <c r="BJ339" s="591"/>
      <c r="BK339" s="591"/>
      <c r="BL339" s="591"/>
      <c r="BM339" s="591"/>
      <c r="BN339" s="591"/>
      <c r="BO339" s="591"/>
      <c r="BP339" s="591"/>
      <c r="BQ339" s="591"/>
      <c r="BR339" s="591"/>
      <c r="BS339" s="591"/>
      <c r="BT339" s="591"/>
      <c r="BU339" s="591"/>
      <c r="BV339" s="591"/>
      <c r="BW339" s="591"/>
      <c r="BX339" s="591"/>
      <c r="BY339" s="591"/>
      <c r="BZ339" s="591"/>
      <c r="CA339" s="591"/>
      <c r="CB339" s="591"/>
      <c r="CC339" s="591"/>
      <c r="CD339" s="591"/>
      <c r="CE339" s="591"/>
      <c r="CF339" s="591"/>
    </row>
    <row r="340" spans="1:84">
      <c r="A340" s="591"/>
      <c r="B340" s="591"/>
      <c r="C340" s="591"/>
      <c r="D340" s="591"/>
      <c r="E340" s="591"/>
      <c r="F340" s="591"/>
      <c r="G340" s="591"/>
      <c r="H340" s="591"/>
      <c r="I340" s="591"/>
      <c r="J340" s="591"/>
      <c r="K340" s="591"/>
      <c r="L340" s="591"/>
      <c r="M340" s="591"/>
      <c r="N340" s="591"/>
      <c r="O340" s="591"/>
      <c r="P340" s="591"/>
      <c r="Q340" s="591"/>
      <c r="R340" s="591"/>
      <c r="S340" s="591"/>
      <c r="T340" s="591"/>
      <c r="U340" s="591"/>
      <c r="V340" s="591"/>
      <c r="W340" s="591"/>
      <c r="X340" s="591"/>
      <c r="Y340" s="591"/>
      <c r="Z340" s="591"/>
      <c r="AA340" s="591"/>
      <c r="AB340" s="591"/>
      <c r="AC340" s="591"/>
      <c r="AD340" s="591"/>
      <c r="AE340" s="591"/>
      <c r="AF340" s="591"/>
      <c r="AG340" s="591"/>
      <c r="AH340" s="591"/>
      <c r="AI340" s="591"/>
      <c r="AJ340" s="591"/>
      <c r="AK340" s="591"/>
      <c r="AL340" s="591"/>
      <c r="AM340" s="591"/>
      <c r="AN340" s="591"/>
      <c r="AO340" s="591"/>
      <c r="AP340" s="591"/>
      <c r="AQ340" s="591"/>
      <c r="AR340" s="591"/>
      <c r="AS340" s="591"/>
      <c r="AT340" s="591"/>
      <c r="AU340" s="591"/>
      <c r="AV340" s="591"/>
      <c r="AW340" s="591"/>
      <c r="AX340" s="591"/>
      <c r="AY340" s="591"/>
      <c r="AZ340" s="591"/>
      <c r="BA340" s="591"/>
      <c r="BB340" s="591"/>
      <c r="BC340" s="591"/>
      <c r="BD340" s="591"/>
      <c r="BE340" s="591"/>
      <c r="BF340" s="591"/>
      <c r="BG340" s="591"/>
      <c r="BH340" s="591"/>
      <c r="BI340" s="591"/>
      <c r="BJ340" s="591"/>
      <c r="BK340" s="591"/>
      <c r="BL340" s="591"/>
      <c r="BM340" s="591"/>
      <c r="BN340" s="591"/>
      <c r="BO340" s="591"/>
      <c r="BP340" s="591"/>
      <c r="BQ340" s="591"/>
      <c r="BR340" s="591"/>
      <c r="BS340" s="591"/>
      <c r="BT340" s="591"/>
      <c r="BU340" s="591"/>
      <c r="BV340" s="591"/>
      <c r="BW340" s="591"/>
      <c r="BX340" s="591"/>
      <c r="BY340" s="591"/>
      <c r="BZ340" s="591"/>
      <c r="CA340" s="591"/>
      <c r="CB340" s="591"/>
      <c r="CC340" s="591"/>
      <c r="CD340" s="591"/>
      <c r="CE340" s="591"/>
      <c r="CF340" s="591"/>
    </row>
    <row r="341" spans="1:84">
      <c r="A341" s="591"/>
      <c r="B341" s="591"/>
      <c r="C341" s="591"/>
      <c r="D341" s="591"/>
      <c r="E341" s="591"/>
      <c r="F341" s="591"/>
      <c r="G341" s="591"/>
      <c r="H341" s="591"/>
      <c r="I341" s="591"/>
      <c r="J341" s="591"/>
      <c r="K341" s="591"/>
      <c r="L341" s="591"/>
      <c r="M341" s="591"/>
      <c r="N341" s="591"/>
      <c r="O341" s="591"/>
      <c r="P341" s="591"/>
      <c r="Q341" s="591"/>
      <c r="R341" s="591"/>
      <c r="S341" s="591"/>
      <c r="T341" s="591"/>
      <c r="U341" s="591"/>
      <c r="V341" s="591"/>
      <c r="W341" s="591"/>
      <c r="X341" s="591"/>
      <c r="Y341" s="591"/>
      <c r="Z341" s="591"/>
      <c r="AA341" s="591"/>
      <c r="AB341" s="591"/>
      <c r="AC341" s="591"/>
      <c r="AD341" s="591"/>
      <c r="AE341" s="591"/>
      <c r="AF341" s="591"/>
      <c r="AG341" s="591"/>
      <c r="AH341" s="591"/>
      <c r="AI341" s="591"/>
      <c r="AJ341" s="591"/>
      <c r="AK341" s="591"/>
      <c r="AL341" s="591"/>
      <c r="AM341" s="591"/>
      <c r="AN341" s="591"/>
      <c r="AO341" s="591"/>
      <c r="AP341" s="591"/>
      <c r="AQ341" s="591"/>
      <c r="AR341" s="591"/>
      <c r="AS341" s="591"/>
      <c r="AT341" s="591"/>
      <c r="AU341" s="591"/>
      <c r="AV341" s="591"/>
      <c r="AW341" s="591"/>
      <c r="AX341" s="591"/>
      <c r="AY341" s="591"/>
      <c r="AZ341" s="591"/>
      <c r="BA341" s="591"/>
      <c r="BB341" s="591"/>
      <c r="BC341" s="591"/>
      <c r="BD341" s="591"/>
      <c r="BE341" s="591"/>
      <c r="BF341" s="591"/>
      <c r="BG341" s="591"/>
      <c r="BH341" s="591"/>
      <c r="BI341" s="591"/>
      <c r="BJ341" s="591"/>
      <c r="BK341" s="591"/>
      <c r="BL341" s="591"/>
      <c r="BM341" s="591"/>
      <c r="BN341" s="591"/>
      <c r="BO341" s="591"/>
      <c r="BP341" s="591"/>
      <c r="BQ341" s="591"/>
      <c r="BR341" s="591"/>
      <c r="BS341" s="591"/>
      <c r="BT341" s="591"/>
      <c r="BU341" s="591"/>
      <c r="BV341" s="591"/>
      <c r="BW341" s="591"/>
      <c r="BX341" s="591"/>
      <c r="BY341" s="591"/>
      <c r="BZ341" s="591"/>
      <c r="CA341" s="591"/>
      <c r="CB341" s="591"/>
      <c r="CC341" s="591"/>
      <c r="CD341" s="591"/>
      <c r="CE341" s="591"/>
      <c r="CF341" s="591"/>
    </row>
    <row r="342" spans="1:84">
      <c r="A342" s="591"/>
      <c r="B342" s="591"/>
      <c r="C342" s="591"/>
      <c r="D342" s="591"/>
      <c r="E342" s="591"/>
      <c r="F342" s="591"/>
      <c r="G342" s="591"/>
      <c r="H342" s="591"/>
      <c r="I342" s="591"/>
      <c r="J342" s="591"/>
      <c r="K342" s="591"/>
      <c r="L342" s="591"/>
      <c r="M342" s="591"/>
      <c r="N342" s="591"/>
      <c r="O342" s="591"/>
      <c r="P342" s="591"/>
      <c r="Q342" s="591"/>
      <c r="R342" s="591"/>
      <c r="S342" s="591"/>
      <c r="T342" s="591"/>
      <c r="U342" s="591"/>
      <c r="V342" s="591"/>
      <c r="W342" s="591"/>
      <c r="X342" s="591"/>
      <c r="Y342" s="591"/>
      <c r="Z342" s="591"/>
      <c r="AA342" s="591"/>
      <c r="AB342" s="591"/>
      <c r="AC342" s="591"/>
      <c r="AD342" s="591"/>
      <c r="AE342" s="591"/>
      <c r="AF342" s="591"/>
      <c r="AG342" s="591"/>
      <c r="AH342" s="591"/>
      <c r="AI342" s="591"/>
      <c r="AJ342" s="591"/>
      <c r="AK342" s="591"/>
      <c r="AL342" s="591"/>
      <c r="AM342" s="591"/>
      <c r="AN342" s="591"/>
      <c r="AO342" s="591"/>
      <c r="AP342" s="591"/>
      <c r="AQ342" s="591"/>
      <c r="AR342" s="591"/>
      <c r="AS342" s="591"/>
      <c r="AT342" s="591"/>
      <c r="AU342" s="591"/>
      <c r="AV342" s="591"/>
      <c r="AW342" s="591"/>
      <c r="AX342" s="591"/>
      <c r="AY342" s="591"/>
      <c r="AZ342" s="591"/>
      <c r="BA342" s="591"/>
      <c r="BB342" s="591"/>
      <c r="BC342" s="591"/>
      <c r="BD342" s="591"/>
      <c r="BE342" s="591"/>
      <c r="BF342" s="591"/>
      <c r="BG342" s="591"/>
      <c r="BH342" s="591"/>
      <c r="BI342" s="591"/>
      <c r="BJ342" s="591"/>
      <c r="BK342" s="591"/>
      <c r="BL342" s="591"/>
      <c r="BM342" s="591"/>
      <c r="BN342" s="591"/>
      <c r="BO342" s="591"/>
      <c r="BP342" s="591"/>
      <c r="BQ342" s="591"/>
      <c r="BR342" s="591"/>
      <c r="BS342" s="591"/>
      <c r="BT342" s="591"/>
      <c r="BU342" s="591"/>
      <c r="BV342" s="591"/>
      <c r="BW342" s="591"/>
      <c r="BX342" s="591"/>
      <c r="BY342" s="591"/>
      <c r="BZ342" s="591"/>
      <c r="CA342" s="591"/>
      <c r="CB342" s="591"/>
      <c r="CC342" s="591"/>
      <c r="CD342" s="591"/>
      <c r="CE342" s="591"/>
      <c r="CF342" s="591"/>
    </row>
    <row r="343" spans="1:84">
      <c r="A343" s="591"/>
      <c r="B343" s="591"/>
      <c r="C343" s="591"/>
      <c r="D343" s="591"/>
      <c r="E343" s="591"/>
      <c r="F343" s="591"/>
      <c r="G343" s="591"/>
      <c r="H343" s="591"/>
      <c r="I343" s="591"/>
      <c r="J343" s="591"/>
      <c r="K343" s="591"/>
      <c r="L343" s="591"/>
      <c r="M343" s="591"/>
      <c r="N343" s="591"/>
      <c r="O343" s="591"/>
      <c r="P343" s="591"/>
      <c r="Q343" s="591"/>
      <c r="R343" s="591"/>
      <c r="S343" s="591"/>
      <c r="T343" s="591"/>
      <c r="U343" s="591"/>
      <c r="V343" s="591"/>
      <c r="W343" s="591"/>
      <c r="X343" s="591"/>
      <c r="Y343" s="591"/>
      <c r="Z343" s="591"/>
      <c r="AA343" s="591"/>
      <c r="AB343" s="591"/>
      <c r="AC343" s="591"/>
      <c r="AD343" s="591"/>
      <c r="AE343" s="591"/>
      <c r="AF343" s="591"/>
      <c r="AG343" s="591"/>
      <c r="AH343" s="591"/>
      <c r="AI343" s="591"/>
      <c r="AJ343" s="591"/>
      <c r="AK343" s="591"/>
      <c r="AL343" s="591"/>
      <c r="AM343" s="591"/>
      <c r="AN343" s="591"/>
      <c r="AO343" s="591"/>
      <c r="AP343" s="591"/>
      <c r="AQ343" s="591"/>
      <c r="AR343" s="591"/>
      <c r="AS343" s="591"/>
      <c r="AT343" s="591"/>
      <c r="AU343" s="591"/>
      <c r="AV343" s="591"/>
      <c r="AW343" s="591"/>
      <c r="AX343" s="591"/>
      <c r="AY343" s="591"/>
      <c r="AZ343" s="591"/>
      <c r="BA343" s="591"/>
      <c r="BB343" s="591"/>
      <c r="BC343" s="591"/>
      <c r="BD343" s="591"/>
      <c r="BE343" s="591"/>
      <c r="BF343" s="591"/>
      <c r="BG343" s="591"/>
      <c r="BH343" s="591"/>
      <c r="BI343" s="591"/>
      <c r="BJ343" s="591"/>
      <c r="BK343" s="591"/>
      <c r="BL343" s="591"/>
      <c r="BM343" s="591"/>
      <c r="BN343" s="591"/>
      <c r="BO343" s="591"/>
      <c r="BP343" s="591"/>
      <c r="BQ343" s="591"/>
      <c r="BR343" s="591"/>
      <c r="BS343" s="591"/>
      <c r="BT343" s="591"/>
      <c r="BU343" s="591"/>
      <c r="BV343" s="591"/>
      <c r="BW343" s="591"/>
      <c r="BX343" s="591"/>
      <c r="BY343" s="591"/>
      <c r="BZ343" s="591"/>
      <c r="CA343" s="591"/>
      <c r="CB343" s="591"/>
      <c r="CC343" s="591"/>
      <c r="CD343" s="591"/>
      <c r="CE343" s="591"/>
      <c r="CF343" s="591"/>
    </row>
    <row r="344" spans="1:84">
      <c r="A344" s="591"/>
      <c r="B344" s="591"/>
      <c r="C344" s="591"/>
      <c r="D344" s="591"/>
      <c r="E344" s="591"/>
      <c r="F344" s="591"/>
      <c r="G344" s="591"/>
      <c r="H344" s="591"/>
      <c r="I344" s="591"/>
      <c r="J344" s="591"/>
      <c r="K344" s="591"/>
      <c r="L344" s="591"/>
      <c r="M344" s="591"/>
      <c r="N344" s="591"/>
      <c r="O344" s="591"/>
      <c r="P344" s="591"/>
      <c r="Q344" s="591"/>
      <c r="R344" s="591"/>
      <c r="S344" s="591"/>
      <c r="T344" s="591"/>
      <c r="U344" s="591"/>
      <c r="V344" s="591"/>
      <c r="W344" s="591"/>
      <c r="X344" s="591"/>
      <c r="Y344" s="591"/>
      <c r="Z344" s="591"/>
      <c r="AA344" s="591"/>
      <c r="AB344" s="591"/>
      <c r="AC344" s="591"/>
      <c r="AD344" s="591"/>
      <c r="AE344" s="591"/>
      <c r="AF344" s="591"/>
      <c r="AG344" s="591"/>
      <c r="AH344" s="591"/>
      <c r="AI344" s="591"/>
      <c r="AJ344" s="591"/>
      <c r="AK344" s="591"/>
      <c r="AL344" s="591"/>
      <c r="AM344" s="591"/>
      <c r="AN344" s="591"/>
      <c r="AO344" s="591"/>
      <c r="AP344" s="591"/>
      <c r="AQ344" s="591"/>
      <c r="AR344" s="591"/>
      <c r="AS344" s="591"/>
      <c r="AT344" s="591"/>
      <c r="AU344" s="591"/>
      <c r="AV344" s="591"/>
      <c r="AW344" s="591"/>
      <c r="AX344" s="591"/>
      <c r="AY344" s="591"/>
      <c r="AZ344" s="591"/>
      <c r="BA344" s="591"/>
      <c r="BB344" s="591"/>
      <c r="BC344" s="591"/>
      <c r="BD344" s="591"/>
      <c r="BE344" s="591"/>
      <c r="BF344" s="591"/>
      <c r="BG344" s="591"/>
      <c r="BH344" s="591"/>
      <c r="BI344" s="591"/>
      <c r="BJ344" s="591"/>
      <c r="BK344" s="591"/>
      <c r="BL344" s="591"/>
      <c r="BM344" s="591"/>
      <c r="BN344" s="591"/>
      <c r="BO344" s="591"/>
      <c r="BP344" s="591"/>
      <c r="BQ344" s="591"/>
      <c r="BR344" s="591"/>
      <c r="BS344" s="591"/>
      <c r="BT344" s="591"/>
      <c r="BU344" s="591"/>
      <c r="BV344" s="591"/>
      <c r="BW344" s="591"/>
      <c r="BX344" s="591"/>
      <c r="BY344" s="591"/>
      <c r="BZ344" s="591"/>
      <c r="CA344" s="591"/>
      <c r="CB344" s="591"/>
      <c r="CC344" s="591"/>
      <c r="CD344" s="591"/>
      <c r="CE344" s="591"/>
      <c r="CF344" s="591"/>
    </row>
    <row r="345" spans="1:84">
      <c r="A345" s="591"/>
      <c r="B345" s="591"/>
      <c r="C345" s="591"/>
      <c r="D345" s="591"/>
      <c r="E345" s="591"/>
      <c r="F345" s="591"/>
      <c r="G345" s="591"/>
      <c r="H345" s="591"/>
      <c r="I345" s="591"/>
      <c r="J345" s="591"/>
      <c r="K345" s="591"/>
      <c r="L345" s="591"/>
      <c r="M345" s="591"/>
      <c r="N345" s="591"/>
      <c r="O345" s="591"/>
      <c r="P345" s="591"/>
      <c r="Q345" s="591"/>
      <c r="R345" s="591"/>
      <c r="S345" s="591"/>
      <c r="T345" s="591"/>
      <c r="U345" s="591"/>
      <c r="V345" s="591"/>
      <c r="W345" s="591"/>
      <c r="X345" s="591"/>
      <c r="Y345" s="591"/>
      <c r="Z345" s="591"/>
      <c r="AA345" s="591"/>
      <c r="AB345" s="591"/>
      <c r="AC345" s="591"/>
      <c r="AD345" s="591"/>
      <c r="AE345" s="591"/>
      <c r="AF345" s="591"/>
      <c r="AG345" s="591"/>
      <c r="AH345" s="591"/>
      <c r="AI345" s="591"/>
      <c r="AJ345" s="591"/>
      <c r="AK345" s="591"/>
      <c r="AL345" s="591"/>
      <c r="AM345" s="591"/>
      <c r="AN345" s="591"/>
      <c r="AO345" s="591"/>
      <c r="AP345" s="591"/>
      <c r="AQ345" s="591"/>
      <c r="AR345" s="591"/>
      <c r="AS345" s="591"/>
      <c r="AT345" s="591"/>
      <c r="AU345" s="591"/>
      <c r="AV345" s="591"/>
      <c r="AW345" s="591"/>
      <c r="AX345" s="591"/>
      <c r="AY345" s="591"/>
      <c r="AZ345" s="591"/>
      <c r="BA345" s="591"/>
      <c r="BB345" s="591"/>
      <c r="BC345" s="591"/>
      <c r="BD345" s="591"/>
      <c r="BE345" s="591"/>
      <c r="BF345" s="591"/>
      <c r="BG345" s="591"/>
      <c r="BH345" s="591"/>
      <c r="BI345" s="591"/>
      <c r="BJ345" s="591"/>
      <c r="BK345" s="591"/>
      <c r="BL345" s="591"/>
      <c r="BM345" s="591"/>
      <c r="BN345" s="591"/>
      <c r="BO345" s="591"/>
      <c r="BP345" s="591"/>
      <c r="BQ345" s="591"/>
      <c r="BR345" s="591"/>
      <c r="BS345" s="591"/>
      <c r="BT345" s="591"/>
      <c r="BU345" s="591"/>
      <c r="BV345" s="591"/>
      <c r="BW345" s="591"/>
      <c r="BX345" s="591"/>
      <c r="BY345" s="591"/>
      <c r="BZ345" s="591"/>
      <c r="CA345" s="591"/>
      <c r="CB345" s="591"/>
      <c r="CC345" s="591"/>
      <c r="CD345" s="591"/>
      <c r="CE345" s="591"/>
      <c r="CF345" s="591"/>
    </row>
    <row r="346" spans="1:84">
      <c r="A346" s="591"/>
      <c r="B346" s="591"/>
      <c r="C346" s="591"/>
      <c r="D346" s="591"/>
      <c r="E346" s="591"/>
      <c r="F346" s="591"/>
      <c r="G346" s="591"/>
      <c r="H346" s="591"/>
      <c r="I346" s="591"/>
      <c r="J346" s="591"/>
      <c r="K346" s="591"/>
      <c r="L346" s="591"/>
      <c r="M346" s="591"/>
      <c r="N346" s="591"/>
      <c r="O346" s="591"/>
      <c r="P346" s="591"/>
      <c r="Q346" s="591"/>
      <c r="R346" s="591"/>
      <c r="S346" s="591"/>
      <c r="T346" s="591"/>
      <c r="U346" s="591"/>
      <c r="V346" s="591"/>
      <c r="W346" s="591"/>
      <c r="X346" s="591"/>
      <c r="Y346" s="591"/>
      <c r="Z346" s="591"/>
      <c r="AA346" s="591"/>
      <c r="AB346" s="591"/>
      <c r="AC346" s="591"/>
      <c r="AD346" s="591"/>
      <c r="AE346" s="591"/>
      <c r="AF346" s="591"/>
      <c r="AG346" s="591"/>
      <c r="AH346" s="591"/>
      <c r="AI346" s="591"/>
      <c r="AJ346" s="591"/>
      <c r="AK346" s="591"/>
      <c r="AL346" s="591"/>
      <c r="AM346" s="591"/>
      <c r="AN346" s="591"/>
      <c r="AO346" s="591"/>
      <c r="AP346" s="591"/>
      <c r="AQ346" s="591"/>
      <c r="AR346" s="591"/>
      <c r="AS346" s="591"/>
      <c r="AT346" s="591"/>
      <c r="AU346" s="591"/>
      <c r="AV346" s="591"/>
      <c r="AW346" s="591"/>
      <c r="AX346" s="591"/>
      <c r="AY346" s="591"/>
      <c r="AZ346" s="591"/>
      <c r="BA346" s="591"/>
      <c r="BB346" s="591"/>
      <c r="BC346" s="591"/>
      <c r="BD346" s="591"/>
      <c r="BE346" s="591"/>
      <c r="BF346" s="591"/>
      <c r="BG346" s="591"/>
      <c r="BH346" s="591"/>
      <c r="BI346" s="591"/>
      <c r="BJ346" s="591"/>
      <c r="BK346" s="591"/>
      <c r="BL346" s="591"/>
      <c r="BM346" s="591"/>
      <c r="BN346" s="591"/>
      <c r="BO346" s="591"/>
      <c r="BP346" s="591"/>
      <c r="BQ346" s="591"/>
      <c r="BR346" s="591"/>
      <c r="BS346" s="591"/>
      <c r="BT346" s="591"/>
      <c r="BU346" s="591"/>
      <c r="BV346" s="591"/>
      <c r="BW346" s="591"/>
      <c r="BX346" s="591"/>
      <c r="BY346" s="591"/>
      <c r="BZ346" s="591"/>
      <c r="CA346" s="591"/>
      <c r="CB346" s="591"/>
      <c r="CC346" s="591"/>
      <c r="CD346" s="591"/>
      <c r="CE346" s="591"/>
      <c r="CF346" s="591"/>
    </row>
    <row r="347" spans="1:84">
      <c r="A347" s="591"/>
      <c r="B347" s="591"/>
      <c r="C347" s="591"/>
      <c r="D347" s="591"/>
      <c r="E347" s="591"/>
      <c r="F347" s="591"/>
      <c r="G347" s="591"/>
      <c r="H347" s="591"/>
      <c r="I347" s="591"/>
      <c r="J347" s="591"/>
      <c r="K347" s="591"/>
      <c r="L347" s="591"/>
      <c r="M347" s="591"/>
      <c r="N347" s="591"/>
      <c r="O347" s="591"/>
      <c r="P347" s="591"/>
      <c r="Q347" s="591"/>
      <c r="R347" s="591"/>
      <c r="S347" s="591"/>
      <c r="T347" s="591"/>
      <c r="U347" s="591"/>
      <c r="V347" s="591"/>
      <c r="W347" s="591"/>
      <c r="X347" s="591"/>
      <c r="Y347" s="591"/>
      <c r="Z347" s="591"/>
      <c r="AA347" s="591"/>
      <c r="AB347" s="591"/>
      <c r="AC347" s="591"/>
      <c r="AD347" s="591"/>
      <c r="AE347" s="591"/>
      <c r="AF347" s="591"/>
      <c r="AG347" s="591"/>
      <c r="AH347" s="591"/>
      <c r="AI347" s="591"/>
      <c r="AJ347" s="591"/>
      <c r="AK347" s="591"/>
      <c r="AL347" s="591"/>
      <c r="AM347" s="591"/>
      <c r="AN347" s="591"/>
      <c r="AO347" s="591"/>
      <c r="AP347" s="591"/>
      <c r="AQ347" s="591"/>
      <c r="AR347" s="591"/>
      <c r="AS347" s="591"/>
      <c r="AT347" s="591"/>
      <c r="AU347" s="591"/>
      <c r="AV347" s="591"/>
      <c r="AW347" s="591"/>
      <c r="AX347" s="591"/>
      <c r="AY347" s="591"/>
      <c r="AZ347" s="591"/>
      <c r="BA347" s="591"/>
      <c r="BB347" s="591"/>
      <c r="BC347" s="591"/>
      <c r="BD347" s="591"/>
      <c r="BE347" s="591"/>
      <c r="BF347" s="591"/>
      <c r="BG347" s="591"/>
      <c r="BH347" s="591"/>
      <c r="BI347" s="591"/>
      <c r="BJ347" s="591"/>
      <c r="BK347" s="591"/>
      <c r="BL347" s="591"/>
      <c r="BM347" s="591"/>
      <c r="BN347" s="591"/>
      <c r="BO347" s="591"/>
      <c r="BP347" s="591"/>
      <c r="BQ347" s="591"/>
      <c r="BR347" s="591"/>
      <c r="BS347" s="591"/>
      <c r="BT347" s="591"/>
      <c r="BU347" s="591"/>
      <c r="BV347" s="591"/>
      <c r="BW347" s="591"/>
      <c r="BX347" s="591"/>
      <c r="BY347" s="591"/>
      <c r="BZ347" s="591"/>
      <c r="CA347" s="591"/>
      <c r="CB347" s="591"/>
      <c r="CC347" s="591"/>
      <c r="CD347" s="591"/>
      <c r="CE347" s="591"/>
      <c r="CF347" s="591"/>
    </row>
    <row r="348" spans="1:84">
      <c r="A348" s="591"/>
      <c r="B348" s="591"/>
      <c r="C348" s="591"/>
      <c r="D348" s="591"/>
      <c r="E348" s="591"/>
      <c r="F348" s="591"/>
      <c r="G348" s="591"/>
      <c r="H348" s="591"/>
      <c r="I348" s="591"/>
      <c r="J348" s="591"/>
      <c r="K348" s="591"/>
      <c r="L348" s="591"/>
      <c r="M348" s="591"/>
      <c r="N348" s="591"/>
      <c r="O348" s="591"/>
      <c r="P348" s="591"/>
      <c r="Q348" s="591"/>
      <c r="R348" s="591"/>
      <c r="S348" s="591"/>
      <c r="T348" s="591"/>
      <c r="U348" s="591"/>
      <c r="V348" s="591"/>
      <c r="W348" s="591"/>
      <c r="X348" s="591"/>
      <c r="Y348" s="591"/>
      <c r="Z348" s="591"/>
      <c r="AA348" s="591"/>
      <c r="AB348" s="591"/>
      <c r="AC348" s="591"/>
      <c r="AD348" s="591"/>
      <c r="AE348" s="591"/>
      <c r="AF348" s="591"/>
      <c r="AG348" s="591"/>
      <c r="AH348" s="591"/>
      <c r="AI348" s="591"/>
      <c r="AJ348" s="591"/>
      <c r="AK348" s="591"/>
      <c r="AL348" s="591"/>
      <c r="AM348" s="591"/>
      <c r="AN348" s="591"/>
      <c r="AO348" s="591"/>
      <c r="AP348" s="591"/>
      <c r="AQ348" s="591"/>
      <c r="AR348" s="591"/>
      <c r="AS348" s="591"/>
      <c r="AT348" s="591"/>
      <c r="AU348" s="591"/>
      <c r="AV348" s="591"/>
      <c r="AW348" s="591"/>
      <c r="AX348" s="591"/>
      <c r="AY348" s="591"/>
      <c r="AZ348" s="591"/>
      <c r="BA348" s="591"/>
      <c r="BB348" s="591"/>
      <c r="BC348" s="591"/>
      <c r="BD348" s="591"/>
      <c r="BE348" s="591"/>
      <c r="BF348" s="591"/>
      <c r="BG348" s="591"/>
      <c r="BH348" s="591"/>
      <c r="BI348" s="591"/>
      <c r="BJ348" s="591"/>
      <c r="BK348" s="591"/>
      <c r="BL348" s="591"/>
      <c r="BM348" s="591"/>
      <c r="BN348" s="591"/>
      <c r="BO348" s="591"/>
      <c r="BP348" s="591"/>
      <c r="BQ348" s="591"/>
      <c r="BR348" s="591"/>
      <c r="BS348" s="591"/>
      <c r="BT348" s="591"/>
      <c r="BU348" s="591"/>
      <c r="BV348" s="591"/>
      <c r="BW348" s="591"/>
      <c r="BX348" s="591"/>
      <c r="BY348" s="591"/>
      <c r="BZ348" s="591"/>
      <c r="CA348" s="591"/>
      <c r="CB348" s="591"/>
      <c r="CC348" s="591"/>
      <c r="CD348" s="591"/>
      <c r="CE348" s="591"/>
      <c r="CF348" s="591"/>
    </row>
    <row r="349" spans="1:84">
      <c r="A349" s="591"/>
      <c r="B349" s="591"/>
      <c r="C349" s="591"/>
      <c r="D349" s="591"/>
      <c r="E349" s="591"/>
      <c r="F349" s="591"/>
      <c r="G349" s="591"/>
      <c r="H349" s="591"/>
      <c r="I349" s="591"/>
      <c r="J349" s="591"/>
      <c r="K349" s="591"/>
      <c r="L349" s="591"/>
      <c r="M349" s="591"/>
      <c r="N349" s="591"/>
      <c r="O349" s="591"/>
      <c r="P349" s="591"/>
      <c r="Q349" s="591"/>
      <c r="R349" s="591"/>
      <c r="S349" s="591"/>
      <c r="T349" s="591"/>
      <c r="U349" s="591"/>
      <c r="V349" s="591"/>
      <c r="W349" s="591"/>
      <c r="X349" s="591"/>
      <c r="Y349" s="591"/>
      <c r="Z349" s="591"/>
      <c r="AA349" s="591"/>
      <c r="AB349" s="591"/>
      <c r="AC349" s="591"/>
      <c r="AD349" s="591"/>
      <c r="AE349" s="591"/>
      <c r="AF349" s="591"/>
      <c r="AG349" s="591"/>
      <c r="AH349" s="591"/>
      <c r="AI349" s="591"/>
      <c r="AJ349" s="591"/>
      <c r="AK349" s="591"/>
      <c r="AL349" s="591"/>
      <c r="AM349" s="591"/>
      <c r="AN349" s="591"/>
      <c r="AO349" s="591"/>
      <c r="AP349" s="591"/>
      <c r="AQ349" s="591"/>
      <c r="AR349" s="591"/>
      <c r="AS349" s="591"/>
      <c r="AT349" s="591"/>
      <c r="AU349" s="591"/>
      <c r="AV349" s="591"/>
      <c r="AW349" s="591"/>
      <c r="AX349" s="591"/>
      <c r="AY349" s="591"/>
      <c r="AZ349" s="591"/>
      <c r="BA349" s="591"/>
      <c r="BB349" s="591"/>
      <c r="BC349" s="591"/>
      <c r="BD349" s="591"/>
      <c r="BE349" s="591"/>
      <c r="BF349" s="591"/>
      <c r="BG349" s="591"/>
      <c r="BH349" s="591"/>
      <c r="BI349" s="591"/>
      <c r="BJ349" s="591"/>
      <c r="BK349" s="591"/>
      <c r="BL349" s="591"/>
      <c r="BM349" s="591"/>
      <c r="BN349" s="591"/>
      <c r="BO349" s="591"/>
      <c r="BP349" s="591"/>
      <c r="BQ349" s="591"/>
      <c r="BR349" s="591"/>
      <c r="BS349" s="591"/>
      <c r="BT349" s="591"/>
      <c r="BU349" s="591"/>
      <c r="BV349" s="591"/>
      <c r="BW349" s="591"/>
      <c r="BX349" s="591"/>
      <c r="BY349" s="591"/>
      <c r="BZ349" s="591"/>
      <c r="CA349" s="591"/>
      <c r="CB349" s="591"/>
      <c r="CC349" s="591"/>
      <c r="CD349" s="591"/>
      <c r="CE349" s="591"/>
      <c r="CF349" s="591"/>
    </row>
    <row r="350" spans="1:84">
      <c r="A350" s="591"/>
      <c r="B350" s="591"/>
      <c r="C350" s="591"/>
      <c r="D350" s="591"/>
      <c r="E350" s="591"/>
      <c r="F350" s="591"/>
      <c r="G350" s="591"/>
      <c r="H350" s="591"/>
      <c r="I350" s="591"/>
      <c r="J350" s="591"/>
      <c r="K350" s="591"/>
      <c r="L350" s="591"/>
      <c r="M350" s="591"/>
      <c r="N350" s="591"/>
      <c r="O350" s="591"/>
      <c r="P350" s="591"/>
      <c r="Q350" s="591"/>
      <c r="R350" s="591"/>
      <c r="S350" s="591"/>
      <c r="T350" s="591"/>
      <c r="U350" s="591"/>
      <c r="V350" s="591"/>
      <c r="W350" s="591"/>
      <c r="X350" s="591"/>
      <c r="Y350" s="591"/>
      <c r="Z350" s="591"/>
      <c r="AA350" s="591"/>
      <c r="AB350" s="591"/>
      <c r="AC350" s="591"/>
      <c r="AD350" s="591"/>
      <c r="AE350" s="591"/>
      <c r="AF350" s="591"/>
      <c r="AG350" s="591"/>
      <c r="AH350" s="591"/>
      <c r="AI350" s="591"/>
      <c r="AJ350" s="591"/>
      <c r="AK350" s="591"/>
      <c r="AL350" s="591"/>
      <c r="AM350" s="591"/>
      <c r="AN350" s="591"/>
      <c r="AO350" s="591"/>
      <c r="AP350" s="591"/>
      <c r="AQ350" s="591"/>
      <c r="AR350" s="591"/>
      <c r="AS350" s="591"/>
      <c r="AT350" s="591"/>
      <c r="AU350" s="591"/>
      <c r="AV350" s="591"/>
      <c r="AW350" s="591"/>
      <c r="AX350" s="591"/>
      <c r="AY350" s="591"/>
      <c r="AZ350" s="591"/>
      <c r="BA350" s="591"/>
      <c r="BB350" s="591"/>
      <c r="BC350" s="591"/>
      <c r="BD350" s="591"/>
      <c r="BE350" s="591"/>
      <c r="BF350" s="591"/>
      <c r="BG350" s="591"/>
      <c r="BH350" s="591"/>
      <c r="BI350" s="591"/>
      <c r="BJ350" s="591"/>
      <c r="BK350" s="591"/>
      <c r="BL350" s="591"/>
      <c r="BM350" s="591"/>
      <c r="BN350" s="591"/>
      <c r="BO350" s="591"/>
      <c r="BP350" s="591"/>
      <c r="BQ350" s="591"/>
      <c r="BR350" s="591"/>
      <c r="BS350" s="591"/>
      <c r="BT350" s="591"/>
      <c r="BU350" s="591"/>
      <c r="BV350" s="591"/>
      <c r="BW350" s="591"/>
      <c r="BX350" s="591"/>
      <c r="BY350" s="591"/>
      <c r="BZ350" s="591"/>
      <c r="CA350" s="591"/>
      <c r="CB350" s="591"/>
      <c r="CC350" s="591"/>
      <c r="CD350" s="591"/>
      <c r="CE350" s="591"/>
      <c r="CF350" s="591"/>
    </row>
    <row r="351" spans="1:84">
      <c r="A351" s="591"/>
      <c r="B351" s="591"/>
      <c r="C351" s="591"/>
      <c r="D351" s="591"/>
      <c r="E351" s="591"/>
      <c r="F351" s="591"/>
      <c r="G351" s="591"/>
      <c r="H351" s="591"/>
      <c r="I351" s="591"/>
      <c r="J351" s="591"/>
      <c r="K351" s="591"/>
      <c r="L351" s="591"/>
      <c r="M351" s="591"/>
      <c r="N351" s="591"/>
      <c r="O351" s="591"/>
      <c r="P351" s="591"/>
      <c r="Q351" s="591"/>
      <c r="R351" s="591"/>
      <c r="S351" s="591"/>
      <c r="T351" s="591"/>
      <c r="U351" s="591"/>
      <c r="V351" s="591"/>
      <c r="W351" s="591"/>
      <c r="X351" s="591"/>
      <c r="Y351" s="591"/>
      <c r="Z351" s="591"/>
      <c r="AA351" s="591"/>
      <c r="AB351" s="591"/>
      <c r="AC351" s="591"/>
      <c r="AD351" s="591"/>
      <c r="AE351" s="591"/>
      <c r="AF351" s="591"/>
      <c r="AG351" s="591"/>
      <c r="AH351" s="591"/>
      <c r="AI351" s="591"/>
      <c r="AJ351" s="591"/>
      <c r="AK351" s="591"/>
      <c r="AL351" s="591"/>
      <c r="AM351" s="591"/>
      <c r="AN351" s="591"/>
      <c r="AO351" s="591"/>
      <c r="AP351" s="591"/>
      <c r="AQ351" s="591"/>
      <c r="AR351" s="591"/>
      <c r="AS351" s="591"/>
      <c r="AT351" s="591"/>
      <c r="AU351" s="591"/>
      <c r="AV351" s="591"/>
      <c r="AW351" s="591"/>
      <c r="AX351" s="591"/>
      <c r="AY351" s="591"/>
      <c r="AZ351" s="591"/>
      <c r="BA351" s="591"/>
      <c r="BB351" s="591"/>
      <c r="BC351" s="591"/>
      <c r="BD351" s="591"/>
      <c r="BE351" s="591"/>
      <c r="BF351" s="591"/>
      <c r="BG351" s="591"/>
      <c r="BH351" s="591"/>
      <c r="BI351" s="591"/>
      <c r="BJ351" s="591"/>
      <c r="BK351" s="591"/>
      <c r="BL351" s="591"/>
      <c r="BM351" s="591"/>
      <c r="BN351" s="591"/>
      <c r="BO351" s="591"/>
      <c r="BP351" s="591"/>
      <c r="BQ351" s="591"/>
      <c r="BR351" s="591"/>
      <c r="BS351" s="591"/>
      <c r="BT351" s="591"/>
      <c r="BU351" s="591"/>
      <c r="BV351" s="591"/>
      <c r="BW351" s="591"/>
      <c r="BX351" s="591"/>
      <c r="BY351" s="591"/>
      <c r="BZ351" s="591"/>
      <c r="CA351" s="591"/>
      <c r="CB351" s="591"/>
      <c r="CC351" s="591"/>
      <c r="CD351" s="591"/>
      <c r="CE351" s="591"/>
      <c r="CF351" s="591"/>
    </row>
    <row r="352" spans="1:84">
      <c r="A352" s="591"/>
      <c r="B352" s="591"/>
      <c r="C352" s="591"/>
      <c r="D352" s="591"/>
      <c r="E352" s="591"/>
      <c r="F352" s="591"/>
      <c r="G352" s="591"/>
      <c r="H352" s="591"/>
      <c r="I352" s="591"/>
      <c r="J352" s="591"/>
      <c r="K352" s="591"/>
      <c r="L352" s="591"/>
      <c r="M352" s="591"/>
      <c r="N352" s="591"/>
      <c r="O352" s="591"/>
      <c r="P352" s="591"/>
      <c r="Q352" s="591"/>
      <c r="R352" s="591"/>
      <c r="S352" s="591"/>
      <c r="T352" s="591"/>
      <c r="U352" s="591"/>
      <c r="V352" s="591"/>
      <c r="W352" s="591"/>
      <c r="X352" s="591"/>
      <c r="Y352" s="591"/>
      <c r="Z352" s="591"/>
      <c r="AA352" s="591"/>
      <c r="AB352" s="591"/>
      <c r="AC352" s="591"/>
      <c r="AD352" s="591"/>
      <c r="AE352" s="591"/>
      <c r="AF352" s="591"/>
      <c r="AG352" s="591"/>
      <c r="AH352" s="591"/>
      <c r="AI352" s="591"/>
      <c r="AJ352" s="591"/>
      <c r="AK352" s="591"/>
      <c r="AL352" s="591"/>
      <c r="AM352" s="591"/>
      <c r="AN352" s="591"/>
      <c r="AO352" s="591"/>
      <c r="AP352" s="591"/>
      <c r="AQ352" s="591"/>
      <c r="AR352" s="591"/>
      <c r="AS352" s="591"/>
      <c r="AT352" s="591"/>
      <c r="AU352" s="591"/>
      <c r="AV352" s="591"/>
      <c r="AW352" s="591"/>
      <c r="AX352" s="591"/>
      <c r="AY352" s="591"/>
      <c r="AZ352" s="591"/>
      <c r="BA352" s="591"/>
      <c r="BB352" s="591"/>
      <c r="BC352" s="591"/>
      <c r="BD352" s="591"/>
      <c r="BE352" s="591"/>
      <c r="BF352" s="591"/>
      <c r="BG352" s="591"/>
      <c r="BH352" s="591"/>
      <c r="BI352" s="591"/>
      <c r="BJ352" s="591"/>
      <c r="BK352" s="591"/>
      <c r="BL352" s="591"/>
      <c r="BM352" s="591"/>
      <c r="BN352" s="591"/>
      <c r="BO352" s="591"/>
      <c r="BP352" s="591"/>
      <c r="BQ352" s="591"/>
      <c r="BR352" s="591"/>
      <c r="BS352" s="591"/>
      <c r="BT352" s="591"/>
      <c r="BU352" s="591"/>
      <c r="BV352" s="591"/>
      <c r="BW352" s="591"/>
      <c r="BX352" s="591"/>
      <c r="BY352" s="591"/>
      <c r="BZ352" s="591"/>
      <c r="CA352" s="591"/>
      <c r="CB352" s="591"/>
      <c r="CC352" s="591"/>
      <c r="CD352" s="591"/>
      <c r="CE352" s="591"/>
      <c r="CF352" s="591"/>
    </row>
    <row r="353" spans="1:84">
      <c r="A353" s="591"/>
      <c r="B353" s="591"/>
      <c r="C353" s="591"/>
      <c r="D353" s="591"/>
      <c r="E353" s="591"/>
      <c r="F353" s="591"/>
      <c r="G353" s="591"/>
      <c r="H353" s="591"/>
      <c r="I353" s="591"/>
      <c r="J353" s="591"/>
      <c r="K353" s="591"/>
      <c r="L353" s="591"/>
      <c r="M353" s="591"/>
      <c r="N353" s="591"/>
      <c r="O353" s="591"/>
      <c r="P353" s="591"/>
      <c r="Q353" s="591"/>
      <c r="R353" s="591"/>
      <c r="S353" s="591"/>
      <c r="T353" s="591"/>
      <c r="U353" s="591"/>
      <c r="V353" s="591"/>
      <c r="W353" s="591"/>
      <c r="X353" s="591"/>
      <c r="Y353" s="591"/>
      <c r="Z353" s="591"/>
      <c r="AA353" s="591"/>
      <c r="AB353" s="591"/>
      <c r="AC353" s="591"/>
      <c r="AD353" s="591"/>
      <c r="AE353" s="591"/>
      <c r="AF353" s="591"/>
      <c r="AG353" s="591"/>
      <c r="AH353" s="591"/>
      <c r="AI353" s="591"/>
      <c r="AJ353" s="591"/>
      <c r="AK353" s="591"/>
      <c r="AL353" s="591"/>
      <c r="AM353" s="591"/>
      <c r="AN353" s="591"/>
      <c r="AO353" s="591"/>
      <c r="AP353" s="591"/>
      <c r="AQ353" s="591"/>
      <c r="AR353" s="591"/>
      <c r="AS353" s="591"/>
      <c r="AT353" s="591"/>
      <c r="AU353" s="591"/>
      <c r="AV353" s="591"/>
      <c r="AW353" s="591"/>
      <c r="AX353" s="591"/>
      <c r="AY353" s="591"/>
      <c r="AZ353" s="591"/>
      <c r="BA353" s="591"/>
      <c r="BB353" s="591"/>
      <c r="BC353" s="591"/>
      <c r="BD353" s="591"/>
      <c r="BE353" s="591"/>
      <c r="BF353" s="591"/>
      <c r="BG353" s="591"/>
      <c r="BH353" s="591"/>
      <c r="BI353" s="591"/>
      <c r="BJ353" s="591"/>
      <c r="BK353" s="591"/>
      <c r="BL353" s="591"/>
      <c r="BM353" s="591"/>
      <c r="BN353" s="591"/>
      <c r="BO353" s="591"/>
      <c r="BP353" s="591"/>
      <c r="BQ353" s="591"/>
      <c r="BR353" s="591"/>
      <c r="BS353" s="591"/>
      <c r="BT353" s="591"/>
      <c r="BU353" s="591"/>
      <c r="BV353" s="591"/>
      <c r="BW353" s="591"/>
      <c r="BX353" s="591"/>
      <c r="BY353" s="591"/>
      <c r="BZ353" s="591"/>
      <c r="CA353" s="591"/>
      <c r="CB353" s="591"/>
      <c r="CC353" s="591"/>
      <c r="CD353" s="591"/>
      <c r="CE353" s="591"/>
      <c r="CF353" s="591"/>
    </row>
    <row r="354" spans="1:84">
      <c r="A354" s="591"/>
      <c r="B354" s="591"/>
      <c r="C354" s="591"/>
      <c r="D354" s="591"/>
      <c r="E354" s="591"/>
      <c r="F354" s="591"/>
      <c r="G354" s="591"/>
      <c r="H354" s="591"/>
      <c r="I354" s="591"/>
      <c r="J354" s="591"/>
      <c r="K354" s="591"/>
      <c r="L354" s="591"/>
      <c r="M354" s="591"/>
      <c r="N354" s="591"/>
      <c r="O354" s="591"/>
      <c r="P354" s="591"/>
      <c r="Q354" s="591"/>
      <c r="R354" s="591"/>
      <c r="S354" s="591"/>
      <c r="T354" s="591"/>
      <c r="U354" s="591"/>
      <c r="V354" s="591"/>
      <c r="W354" s="591"/>
      <c r="X354" s="591"/>
      <c r="Y354" s="591"/>
      <c r="Z354" s="591"/>
      <c r="AA354" s="591"/>
      <c r="AB354" s="591"/>
      <c r="AC354" s="591"/>
      <c r="AD354" s="591"/>
      <c r="AE354" s="591"/>
      <c r="AF354" s="591"/>
      <c r="AG354" s="591"/>
      <c r="AH354" s="591"/>
      <c r="AI354" s="591"/>
      <c r="AJ354" s="591"/>
      <c r="AK354" s="591"/>
      <c r="AL354" s="591"/>
      <c r="AM354" s="591"/>
      <c r="AN354" s="591"/>
      <c r="AO354" s="591"/>
      <c r="AP354" s="591"/>
      <c r="AQ354" s="591"/>
      <c r="AR354" s="591"/>
      <c r="AS354" s="591"/>
      <c r="AT354" s="591"/>
      <c r="AU354" s="591"/>
      <c r="AV354" s="591"/>
      <c r="AW354" s="591"/>
      <c r="AX354" s="591"/>
      <c r="AY354" s="591"/>
      <c r="AZ354" s="591"/>
      <c r="BA354" s="591"/>
      <c r="BB354" s="591"/>
      <c r="BC354" s="591"/>
      <c r="BD354" s="591"/>
      <c r="BE354" s="591"/>
      <c r="BF354" s="591"/>
      <c r="BG354" s="591"/>
      <c r="BH354" s="591"/>
      <c r="BI354" s="591"/>
      <c r="BJ354" s="591"/>
      <c r="BK354" s="591"/>
      <c r="BL354" s="591"/>
      <c r="BM354" s="591"/>
      <c r="BN354" s="591"/>
      <c r="BO354" s="591"/>
      <c r="BP354" s="591"/>
      <c r="BQ354" s="591"/>
      <c r="BR354" s="591"/>
      <c r="BS354" s="591"/>
      <c r="BT354" s="591"/>
      <c r="BU354" s="591"/>
      <c r="BV354" s="591"/>
      <c r="BW354" s="591"/>
      <c r="BX354" s="591"/>
      <c r="BY354" s="591"/>
      <c r="BZ354" s="591"/>
      <c r="CA354" s="591"/>
      <c r="CB354" s="591"/>
      <c r="CC354" s="591"/>
      <c r="CD354" s="591"/>
      <c r="CE354" s="591"/>
      <c r="CF354" s="591"/>
    </row>
    <row r="355" spans="1:84">
      <c r="A355" s="591"/>
      <c r="B355" s="591"/>
      <c r="C355" s="591"/>
      <c r="D355" s="591"/>
      <c r="E355" s="591"/>
      <c r="F355" s="591"/>
      <c r="G355" s="591"/>
      <c r="H355" s="591"/>
      <c r="I355" s="591"/>
      <c r="J355" s="591"/>
      <c r="K355" s="591"/>
      <c r="L355" s="591"/>
      <c r="M355" s="591"/>
      <c r="N355" s="591"/>
      <c r="O355" s="591"/>
      <c r="P355" s="591"/>
      <c r="Q355" s="591"/>
      <c r="R355" s="591"/>
      <c r="S355" s="591"/>
      <c r="T355" s="591"/>
      <c r="U355" s="591"/>
      <c r="V355" s="591"/>
      <c r="W355" s="591"/>
      <c r="X355" s="591"/>
      <c r="Y355" s="591"/>
      <c r="Z355" s="591"/>
      <c r="AA355" s="591"/>
      <c r="AB355" s="591"/>
      <c r="AC355" s="591"/>
      <c r="AD355" s="591"/>
      <c r="AE355" s="591"/>
      <c r="AF355" s="591"/>
      <c r="AG355" s="591"/>
      <c r="AH355" s="591"/>
      <c r="AI355" s="591"/>
      <c r="AJ355" s="591"/>
      <c r="AK355" s="591"/>
      <c r="AL355" s="591"/>
      <c r="AM355" s="591"/>
      <c r="AN355" s="591"/>
      <c r="AO355" s="591"/>
      <c r="AP355" s="591"/>
      <c r="AQ355" s="591"/>
      <c r="AR355" s="591"/>
      <c r="AS355" s="591"/>
      <c r="AT355" s="591"/>
      <c r="AU355" s="591"/>
      <c r="AV355" s="591"/>
      <c r="AW355" s="591"/>
      <c r="AX355" s="591"/>
      <c r="AY355" s="591"/>
      <c r="AZ355" s="591"/>
      <c r="BA355" s="591"/>
      <c r="BB355" s="591"/>
      <c r="BC355" s="591"/>
      <c r="BD355" s="591"/>
      <c r="BE355" s="591"/>
      <c r="BF355" s="591"/>
      <c r="BG355" s="591"/>
      <c r="BH355" s="591"/>
      <c r="BI355" s="591"/>
      <c r="BJ355" s="591"/>
      <c r="BK355" s="591"/>
      <c r="BL355" s="591"/>
      <c r="BM355" s="591"/>
      <c r="BN355" s="591"/>
      <c r="BO355" s="591"/>
      <c r="BP355" s="591"/>
      <c r="BQ355" s="591"/>
      <c r="BR355" s="591"/>
      <c r="BS355" s="591"/>
      <c r="BT355" s="591"/>
      <c r="BU355" s="591"/>
      <c r="BV355" s="591"/>
      <c r="BW355" s="591"/>
      <c r="BX355" s="591"/>
      <c r="BY355" s="591"/>
      <c r="BZ355" s="591"/>
      <c r="CA355" s="591"/>
      <c r="CB355" s="591"/>
      <c r="CC355" s="591"/>
      <c r="CD355" s="591"/>
      <c r="CE355" s="591"/>
      <c r="CF355" s="591"/>
    </row>
    <row r="356" spans="1:84">
      <c r="A356" s="591"/>
      <c r="B356" s="591"/>
      <c r="C356" s="591"/>
      <c r="D356" s="591"/>
      <c r="E356" s="591"/>
      <c r="F356" s="591"/>
      <c r="G356" s="591"/>
      <c r="H356" s="591"/>
      <c r="I356" s="591"/>
      <c r="J356" s="591"/>
      <c r="K356" s="591"/>
      <c r="L356" s="591"/>
      <c r="M356" s="591"/>
      <c r="N356" s="591"/>
      <c r="O356" s="591"/>
      <c r="P356" s="591"/>
      <c r="Q356" s="591"/>
      <c r="R356" s="591"/>
      <c r="S356" s="591"/>
      <c r="T356" s="591"/>
      <c r="U356" s="591"/>
      <c r="V356" s="591"/>
      <c r="W356" s="591"/>
      <c r="X356" s="591"/>
      <c r="Y356" s="591"/>
      <c r="Z356" s="591"/>
      <c r="AA356" s="591"/>
      <c r="AB356" s="591"/>
      <c r="AC356" s="591"/>
      <c r="AD356" s="591"/>
      <c r="AE356" s="591"/>
      <c r="AF356" s="591"/>
      <c r="AG356" s="591"/>
      <c r="AH356" s="591"/>
      <c r="AI356" s="591"/>
      <c r="AJ356" s="591"/>
      <c r="AK356" s="591"/>
      <c r="AL356" s="591"/>
      <c r="AM356" s="591"/>
      <c r="AN356" s="591"/>
      <c r="AO356" s="591"/>
      <c r="AP356" s="591"/>
      <c r="AQ356" s="591"/>
      <c r="AR356" s="591"/>
      <c r="AS356" s="591"/>
      <c r="AT356" s="591"/>
      <c r="AU356" s="591"/>
      <c r="AV356" s="591"/>
      <c r="AW356" s="591"/>
      <c r="AX356" s="591"/>
      <c r="AY356" s="591"/>
      <c r="AZ356" s="591"/>
      <c r="BA356" s="591"/>
      <c r="BB356" s="591"/>
      <c r="BC356" s="591"/>
      <c r="BD356" s="591"/>
      <c r="BE356" s="591"/>
      <c r="BF356" s="591"/>
      <c r="BG356" s="591"/>
      <c r="BH356" s="591"/>
      <c r="BI356" s="591"/>
      <c r="BJ356" s="591"/>
      <c r="BK356" s="591"/>
      <c r="BL356" s="591"/>
      <c r="BM356" s="591"/>
      <c r="BN356" s="591"/>
      <c r="BO356" s="591"/>
      <c r="BP356" s="591"/>
      <c r="BQ356" s="591"/>
      <c r="BR356" s="591"/>
      <c r="BS356" s="591"/>
      <c r="BT356" s="591"/>
      <c r="BU356" s="591"/>
      <c r="BV356" s="591"/>
      <c r="BW356" s="591"/>
      <c r="BX356" s="591"/>
      <c r="BY356" s="591"/>
      <c r="BZ356" s="591"/>
      <c r="CA356" s="591"/>
      <c r="CB356" s="591"/>
      <c r="CC356" s="591"/>
      <c r="CD356" s="591"/>
      <c r="CE356" s="591"/>
      <c r="CF356" s="591"/>
    </row>
    <row r="357" spans="1:84">
      <c r="A357" s="591"/>
      <c r="B357" s="591"/>
      <c r="C357" s="591"/>
      <c r="D357" s="591"/>
      <c r="E357" s="591"/>
      <c r="F357" s="591"/>
      <c r="G357" s="591"/>
      <c r="H357" s="591"/>
      <c r="I357" s="591"/>
      <c r="J357" s="591"/>
      <c r="K357" s="591"/>
      <c r="L357" s="591"/>
      <c r="M357" s="591"/>
      <c r="N357" s="591"/>
      <c r="O357" s="591"/>
      <c r="P357" s="591"/>
      <c r="Q357" s="591"/>
      <c r="R357" s="591"/>
      <c r="S357" s="591"/>
      <c r="T357" s="591"/>
      <c r="U357" s="591"/>
      <c r="V357" s="591"/>
      <c r="W357" s="591"/>
      <c r="X357" s="591"/>
      <c r="Y357" s="591"/>
      <c r="Z357" s="591"/>
      <c r="AA357" s="591"/>
      <c r="AB357" s="591"/>
      <c r="AC357" s="591"/>
      <c r="AD357" s="591"/>
      <c r="AE357" s="591"/>
      <c r="AF357" s="591"/>
      <c r="AG357" s="591"/>
      <c r="AH357" s="591"/>
      <c r="AI357" s="591"/>
      <c r="AJ357" s="591"/>
      <c r="AK357" s="591"/>
      <c r="AL357" s="591"/>
      <c r="AM357" s="591"/>
      <c r="AN357" s="591"/>
      <c r="AO357" s="591"/>
      <c r="AP357" s="591"/>
      <c r="AQ357" s="591"/>
      <c r="AR357" s="591"/>
      <c r="AS357" s="591"/>
      <c r="AT357" s="591"/>
      <c r="AU357" s="591"/>
      <c r="AV357" s="591"/>
      <c r="AW357" s="591"/>
      <c r="AX357" s="591"/>
      <c r="AY357" s="591"/>
      <c r="AZ357" s="591"/>
      <c r="BA357" s="591"/>
      <c r="BB357" s="591"/>
      <c r="BC357" s="591"/>
      <c r="BD357" s="591"/>
      <c r="BE357" s="591"/>
      <c r="BF357" s="591"/>
      <c r="BG357" s="591"/>
      <c r="BH357" s="591"/>
      <c r="BI357" s="591"/>
      <c r="BJ357" s="591"/>
      <c r="BK357" s="591"/>
      <c r="BL357" s="591"/>
      <c r="BM357" s="591"/>
      <c r="BN357" s="591"/>
      <c r="BO357" s="591"/>
      <c r="BP357" s="591"/>
      <c r="BQ357" s="591"/>
      <c r="BR357" s="591"/>
      <c r="BS357" s="591"/>
      <c r="BT357" s="591"/>
      <c r="BU357" s="591"/>
      <c r="BV357" s="591"/>
      <c r="BW357" s="591"/>
      <c r="BX357" s="591"/>
      <c r="BY357" s="591"/>
      <c r="BZ357" s="591"/>
      <c r="CA357" s="591"/>
      <c r="CB357" s="591"/>
      <c r="CC357" s="591"/>
      <c r="CD357" s="591"/>
      <c r="CE357" s="591"/>
      <c r="CF357" s="591"/>
    </row>
    <row r="358" spans="1:84">
      <c r="A358" s="591"/>
      <c r="B358" s="591"/>
      <c r="C358" s="591"/>
      <c r="D358" s="591"/>
      <c r="E358" s="591"/>
      <c r="F358" s="591"/>
      <c r="G358" s="591"/>
      <c r="H358" s="591"/>
      <c r="I358" s="591"/>
      <c r="J358" s="591"/>
      <c r="K358" s="591"/>
      <c r="L358" s="591"/>
      <c r="M358" s="591"/>
      <c r="N358" s="591"/>
      <c r="O358" s="591"/>
      <c r="P358" s="591"/>
      <c r="Q358" s="591"/>
      <c r="R358" s="591"/>
      <c r="S358" s="591"/>
      <c r="T358" s="591"/>
      <c r="U358" s="591"/>
      <c r="V358" s="591"/>
      <c r="W358" s="591"/>
      <c r="X358" s="591"/>
      <c r="Y358" s="591"/>
      <c r="Z358" s="591"/>
      <c r="AA358" s="591"/>
      <c r="AB358" s="591"/>
      <c r="AC358" s="591"/>
      <c r="AD358" s="591"/>
      <c r="AE358" s="591"/>
      <c r="AF358" s="591"/>
      <c r="AG358" s="591"/>
      <c r="AH358" s="591"/>
      <c r="AI358" s="591"/>
      <c r="AJ358" s="591"/>
      <c r="AK358" s="591"/>
      <c r="AL358" s="591"/>
      <c r="AM358" s="591"/>
      <c r="AN358" s="591"/>
      <c r="AO358" s="591"/>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1"/>
      <c r="BM358" s="591"/>
      <c r="BN358" s="591"/>
      <c r="BO358" s="591"/>
      <c r="BP358" s="591"/>
      <c r="BQ358" s="591"/>
      <c r="BR358" s="591"/>
      <c r="BS358" s="591"/>
      <c r="BT358" s="591"/>
      <c r="BU358" s="591"/>
      <c r="BV358" s="591"/>
      <c r="BW358" s="591"/>
      <c r="BX358" s="591"/>
      <c r="BY358" s="591"/>
      <c r="BZ358" s="591"/>
      <c r="CA358" s="591"/>
      <c r="CB358" s="591"/>
      <c r="CC358" s="591"/>
      <c r="CD358" s="591"/>
      <c r="CE358" s="591"/>
      <c r="CF358" s="591"/>
    </row>
    <row r="359" spans="1:84">
      <c r="A359" s="591"/>
      <c r="B359" s="591"/>
      <c r="C359" s="591"/>
      <c r="D359" s="591"/>
      <c r="E359" s="591"/>
      <c r="F359" s="591"/>
      <c r="G359" s="591"/>
      <c r="H359" s="591"/>
      <c r="I359" s="591"/>
      <c r="J359" s="591"/>
      <c r="K359" s="591"/>
      <c r="L359" s="591"/>
      <c r="M359" s="591"/>
      <c r="N359" s="591"/>
      <c r="O359" s="591"/>
      <c r="P359" s="591"/>
      <c r="Q359" s="591"/>
      <c r="R359" s="591"/>
      <c r="S359" s="591"/>
      <c r="T359" s="591"/>
      <c r="U359" s="591"/>
      <c r="V359" s="591"/>
      <c r="W359" s="591"/>
      <c r="X359" s="591"/>
      <c r="Y359" s="591"/>
      <c r="Z359" s="591"/>
      <c r="AA359" s="591"/>
      <c r="AB359" s="591"/>
      <c r="AC359" s="591"/>
      <c r="AD359" s="591"/>
      <c r="AE359" s="591"/>
      <c r="AF359" s="591"/>
      <c r="AG359" s="591"/>
      <c r="AH359" s="591"/>
      <c r="AI359" s="591"/>
      <c r="AJ359" s="591"/>
      <c r="AK359" s="591"/>
      <c r="AL359" s="591"/>
      <c r="AM359" s="591"/>
      <c r="AN359" s="591"/>
      <c r="AO359" s="591"/>
      <c r="AP359" s="591"/>
      <c r="AQ359" s="591"/>
      <c r="AR359" s="591"/>
      <c r="AS359" s="591"/>
      <c r="AT359" s="591"/>
      <c r="AU359" s="591"/>
      <c r="AV359" s="591"/>
      <c r="AW359" s="591"/>
      <c r="AX359" s="591"/>
      <c r="AY359" s="591"/>
      <c r="AZ359" s="591"/>
      <c r="BA359" s="591"/>
      <c r="BB359" s="591"/>
      <c r="BC359" s="591"/>
      <c r="BD359" s="591"/>
      <c r="BE359" s="591"/>
      <c r="BF359" s="591"/>
      <c r="BG359" s="591"/>
      <c r="BH359" s="591"/>
      <c r="BI359" s="591"/>
      <c r="BJ359" s="591"/>
      <c r="BK359" s="591"/>
      <c r="BL359" s="591"/>
      <c r="BM359" s="591"/>
      <c r="BN359" s="591"/>
      <c r="BO359" s="591"/>
      <c r="BP359" s="591"/>
      <c r="BQ359" s="591"/>
      <c r="BR359" s="591"/>
      <c r="BS359" s="591"/>
      <c r="BT359" s="591"/>
      <c r="BU359" s="591"/>
      <c r="BV359" s="591"/>
      <c r="BW359" s="591"/>
      <c r="BX359" s="591"/>
      <c r="BY359" s="591"/>
      <c r="BZ359" s="591"/>
      <c r="CA359" s="591"/>
      <c r="CB359" s="591"/>
      <c r="CC359" s="591"/>
      <c r="CD359" s="591"/>
      <c r="CE359" s="591"/>
      <c r="CF359" s="591"/>
    </row>
    <row r="360" spans="1:84">
      <c r="A360" s="591"/>
      <c r="B360" s="591"/>
      <c r="C360" s="591"/>
      <c r="D360" s="591"/>
      <c r="E360" s="591"/>
      <c r="F360" s="591"/>
      <c r="G360" s="591"/>
      <c r="H360" s="591"/>
      <c r="I360" s="591"/>
      <c r="J360" s="591"/>
      <c r="K360" s="591"/>
      <c r="L360" s="591"/>
      <c r="M360" s="591"/>
      <c r="N360" s="591"/>
      <c r="O360" s="591"/>
      <c r="P360" s="591"/>
      <c r="Q360" s="591"/>
      <c r="R360" s="591"/>
      <c r="S360" s="591"/>
      <c r="T360" s="591"/>
      <c r="U360" s="591"/>
      <c r="V360" s="591"/>
      <c r="W360" s="591"/>
      <c r="X360" s="591"/>
      <c r="Y360" s="591"/>
      <c r="Z360" s="591"/>
      <c r="AA360" s="591"/>
      <c r="AB360" s="591"/>
      <c r="AC360" s="591"/>
      <c r="AD360" s="591"/>
      <c r="AE360" s="591"/>
      <c r="AF360" s="591"/>
      <c r="AG360" s="591"/>
      <c r="AH360" s="591"/>
      <c r="AI360" s="591"/>
      <c r="AJ360" s="591"/>
      <c r="AK360" s="591"/>
      <c r="AL360" s="591"/>
      <c r="AM360" s="591"/>
      <c r="AN360" s="591"/>
      <c r="AO360" s="591"/>
      <c r="AP360" s="591"/>
      <c r="AQ360" s="591"/>
      <c r="AR360" s="591"/>
      <c r="AS360" s="591"/>
      <c r="AT360" s="591"/>
      <c r="AU360" s="591"/>
      <c r="AV360" s="591"/>
      <c r="AW360" s="591"/>
      <c r="AX360" s="591"/>
      <c r="AY360" s="591"/>
      <c r="AZ360" s="591"/>
      <c r="BA360" s="591"/>
      <c r="BB360" s="591"/>
      <c r="BC360" s="591"/>
      <c r="BD360" s="591"/>
      <c r="BE360" s="591"/>
      <c r="BF360" s="591"/>
      <c r="BG360" s="591"/>
      <c r="BH360" s="591"/>
      <c r="BI360" s="591"/>
      <c r="BJ360" s="591"/>
      <c r="BK360" s="591"/>
      <c r="BL360" s="591"/>
      <c r="BM360" s="591"/>
      <c r="BN360" s="591"/>
      <c r="BO360" s="591"/>
      <c r="BP360" s="591"/>
      <c r="BQ360" s="591"/>
      <c r="BR360" s="591"/>
      <c r="BS360" s="591"/>
      <c r="BT360" s="591"/>
      <c r="BU360" s="591"/>
      <c r="BV360" s="591"/>
      <c r="BW360" s="591"/>
      <c r="BX360" s="591"/>
      <c r="BY360" s="591"/>
      <c r="BZ360" s="591"/>
      <c r="CA360" s="591"/>
      <c r="CB360" s="591"/>
      <c r="CC360" s="591"/>
      <c r="CD360" s="591"/>
      <c r="CE360" s="591"/>
      <c r="CF360" s="591"/>
    </row>
    <row r="361" spans="1:84">
      <c r="A361" s="591"/>
      <c r="B361" s="591"/>
      <c r="C361" s="591"/>
      <c r="D361" s="591"/>
      <c r="E361" s="591"/>
      <c r="F361" s="591"/>
      <c r="G361" s="591"/>
      <c r="H361" s="591"/>
      <c r="I361" s="591"/>
      <c r="J361" s="591"/>
      <c r="K361" s="591"/>
      <c r="L361" s="591"/>
      <c r="M361" s="591"/>
      <c r="N361" s="591"/>
      <c r="O361" s="591"/>
      <c r="P361" s="591"/>
      <c r="Q361" s="591"/>
      <c r="R361" s="591"/>
      <c r="S361" s="591"/>
      <c r="T361" s="591"/>
      <c r="U361" s="591"/>
      <c r="V361" s="591"/>
      <c r="W361" s="591"/>
      <c r="X361" s="591"/>
      <c r="Y361" s="591"/>
      <c r="Z361" s="591"/>
      <c r="AA361" s="591"/>
      <c r="AB361" s="591"/>
      <c r="AC361" s="591"/>
      <c r="AD361" s="591"/>
      <c r="AE361" s="591"/>
      <c r="AF361" s="591"/>
      <c r="AG361" s="591"/>
      <c r="AH361" s="591"/>
      <c r="AI361" s="591"/>
      <c r="AJ361" s="591"/>
      <c r="AK361" s="591"/>
      <c r="AL361" s="591"/>
      <c r="AM361" s="591"/>
      <c r="AN361" s="591"/>
      <c r="AO361" s="591"/>
      <c r="AP361" s="591"/>
      <c r="AQ361" s="591"/>
      <c r="AR361" s="591"/>
      <c r="AS361" s="591"/>
      <c r="AT361" s="591"/>
      <c r="AU361" s="591"/>
      <c r="AV361" s="591"/>
      <c r="AW361" s="591"/>
      <c r="AX361" s="591"/>
      <c r="AY361" s="591"/>
      <c r="AZ361" s="591"/>
      <c r="BA361" s="591"/>
      <c r="BB361" s="591"/>
      <c r="BC361" s="591"/>
      <c r="BD361" s="591"/>
      <c r="BE361" s="591"/>
      <c r="BF361" s="591"/>
      <c r="BG361" s="591"/>
      <c r="BH361" s="591"/>
      <c r="BI361" s="591"/>
      <c r="BJ361" s="591"/>
      <c r="BK361" s="591"/>
      <c r="BL361" s="591"/>
      <c r="BM361" s="591"/>
      <c r="BN361" s="591"/>
      <c r="BO361" s="591"/>
      <c r="BP361" s="591"/>
      <c r="BQ361" s="591"/>
      <c r="BR361" s="591"/>
      <c r="BS361" s="591"/>
      <c r="BT361" s="591"/>
      <c r="BU361" s="591"/>
      <c r="BV361" s="591"/>
      <c r="BW361" s="591"/>
      <c r="BX361" s="591"/>
      <c r="BY361" s="591"/>
      <c r="BZ361" s="591"/>
      <c r="CA361" s="591"/>
      <c r="CB361" s="591"/>
      <c r="CC361" s="591"/>
      <c r="CD361" s="591"/>
      <c r="CE361" s="591"/>
      <c r="CF361" s="591"/>
    </row>
    <row r="362" spans="1:84">
      <c r="A362" s="591"/>
      <c r="B362" s="591"/>
      <c r="C362" s="591"/>
      <c r="D362" s="591"/>
      <c r="E362" s="591"/>
      <c r="F362" s="591"/>
      <c r="G362" s="591"/>
      <c r="H362" s="591"/>
      <c r="I362" s="591"/>
      <c r="J362" s="591"/>
      <c r="K362" s="591"/>
      <c r="L362" s="591"/>
      <c r="M362" s="591"/>
      <c r="N362" s="591"/>
      <c r="O362" s="591"/>
      <c r="P362" s="591"/>
      <c r="Q362" s="591"/>
      <c r="R362" s="591"/>
      <c r="S362" s="591"/>
      <c r="T362" s="591"/>
      <c r="U362" s="591"/>
      <c r="V362" s="591"/>
      <c r="W362" s="591"/>
      <c r="X362" s="591"/>
      <c r="Y362" s="591"/>
      <c r="Z362" s="591"/>
      <c r="AA362" s="591"/>
      <c r="AB362" s="591"/>
      <c r="AC362" s="591"/>
      <c r="AD362" s="591"/>
      <c r="AE362" s="591"/>
      <c r="AF362" s="591"/>
      <c r="AG362" s="591"/>
      <c r="AH362" s="591"/>
      <c r="AI362" s="591"/>
      <c r="AJ362" s="591"/>
      <c r="AK362" s="591"/>
      <c r="AL362" s="591"/>
      <c r="AM362" s="591"/>
      <c r="AN362" s="591"/>
      <c r="AO362" s="591"/>
      <c r="AP362" s="591"/>
      <c r="AQ362" s="591"/>
      <c r="AR362" s="591"/>
      <c r="AS362" s="591"/>
      <c r="AT362" s="591"/>
      <c r="AU362" s="591"/>
      <c r="AV362" s="591"/>
      <c r="AW362" s="591"/>
      <c r="AX362" s="591"/>
      <c r="AY362" s="591"/>
      <c r="AZ362" s="591"/>
      <c r="BA362" s="591"/>
      <c r="BB362" s="591"/>
      <c r="BC362" s="591"/>
      <c r="BD362" s="591"/>
      <c r="BE362" s="591"/>
      <c r="BF362" s="591"/>
      <c r="BG362" s="591"/>
      <c r="BH362" s="591"/>
      <c r="BI362" s="591"/>
      <c r="BJ362" s="591"/>
      <c r="BK362" s="591"/>
      <c r="BL362" s="591"/>
      <c r="BM362" s="591"/>
      <c r="BN362" s="591"/>
      <c r="BO362" s="591"/>
      <c r="BP362" s="591"/>
      <c r="BQ362" s="591"/>
      <c r="BR362" s="591"/>
      <c r="BS362" s="591"/>
      <c r="BT362" s="591"/>
      <c r="BU362" s="591"/>
      <c r="BV362" s="591"/>
      <c r="BW362" s="591"/>
      <c r="BX362" s="591"/>
      <c r="BY362" s="591"/>
      <c r="BZ362" s="591"/>
      <c r="CA362" s="591"/>
      <c r="CB362" s="591"/>
      <c r="CC362" s="591"/>
      <c r="CD362" s="591"/>
      <c r="CE362" s="591"/>
      <c r="CF362" s="591"/>
    </row>
    <row r="363" spans="1:84">
      <c r="A363" s="591"/>
      <c r="B363" s="591"/>
      <c r="C363" s="591"/>
      <c r="D363" s="591"/>
      <c r="E363" s="591"/>
      <c r="F363" s="591"/>
      <c r="G363" s="591"/>
      <c r="H363" s="591"/>
      <c r="I363" s="591"/>
      <c r="J363" s="591"/>
      <c r="K363" s="591"/>
      <c r="L363" s="591"/>
      <c r="M363" s="591"/>
      <c r="N363" s="591"/>
      <c r="O363" s="591"/>
      <c r="P363" s="591"/>
      <c r="Q363" s="591"/>
      <c r="R363" s="591"/>
      <c r="S363" s="591"/>
      <c r="T363" s="591"/>
      <c r="U363" s="591"/>
      <c r="V363" s="591"/>
      <c r="W363" s="591"/>
      <c r="X363" s="591"/>
      <c r="Y363" s="591"/>
      <c r="Z363" s="591"/>
      <c r="AA363" s="591"/>
      <c r="AB363" s="591"/>
      <c r="AC363" s="591"/>
      <c r="AD363" s="591"/>
      <c r="AE363" s="591"/>
      <c r="AF363" s="591"/>
      <c r="AG363" s="591"/>
      <c r="AH363" s="591"/>
      <c r="AI363" s="591"/>
      <c r="AJ363" s="591"/>
      <c r="AK363" s="591"/>
      <c r="AL363" s="591"/>
      <c r="AM363" s="591"/>
      <c r="AN363" s="591"/>
      <c r="AO363" s="591"/>
      <c r="AP363" s="591"/>
      <c r="AQ363" s="591"/>
      <c r="AR363" s="591"/>
      <c r="AS363" s="591"/>
      <c r="AT363" s="591"/>
      <c r="AU363" s="591"/>
      <c r="AV363" s="591"/>
      <c r="AW363" s="591"/>
      <c r="AX363" s="591"/>
      <c r="AY363" s="591"/>
      <c r="AZ363" s="591"/>
      <c r="BA363" s="591"/>
      <c r="BB363" s="591"/>
      <c r="BC363" s="591"/>
      <c r="BD363" s="591"/>
      <c r="BE363" s="591"/>
      <c r="BF363" s="591"/>
      <c r="BG363" s="591"/>
      <c r="BH363" s="591"/>
      <c r="BI363" s="591"/>
      <c r="BJ363" s="591"/>
      <c r="BK363" s="591"/>
      <c r="BL363" s="591"/>
      <c r="BM363" s="591"/>
      <c r="BN363" s="591"/>
      <c r="BO363" s="591"/>
      <c r="BP363" s="591"/>
      <c r="BQ363" s="591"/>
      <c r="BR363" s="591"/>
      <c r="BS363" s="591"/>
      <c r="BT363" s="591"/>
      <c r="BU363" s="591"/>
      <c r="BV363" s="591"/>
      <c r="BW363" s="591"/>
      <c r="BX363" s="591"/>
      <c r="BY363" s="591"/>
      <c r="BZ363" s="591"/>
      <c r="CA363" s="591"/>
      <c r="CB363" s="591"/>
      <c r="CC363" s="591"/>
      <c r="CD363" s="591"/>
      <c r="CE363" s="591"/>
      <c r="CF363" s="591"/>
    </row>
    <row r="364" spans="1:84">
      <c r="A364" s="591"/>
      <c r="B364" s="591"/>
      <c r="C364" s="591"/>
      <c r="D364" s="591"/>
      <c r="E364" s="591"/>
      <c r="F364" s="591"/>
      <c r="G364" s="591"/>
      <c r="H364" s="591"/>
      <c r="I364" s="591"/>
      <c r="J364" s="591"/>
      <c r="K364" s="591"/>
      <c r="L364" s="591"/>
      <c r="M364" s="591"/>
      <c r="N364" s="591"/>
      <c r="O364" s="591"/>
      <c r="P364" s="591"/>
      <c r="Q364" s="591"/>
      <c r="R364" s="591"/>
      <c r="S364" s="591"/>
      <c r="T364" s="591"/>
      <c r="U364" s="591"/>
      <c r="V364" s="591"/>
      <c r="W364" s="591"/>
      <c r="X364" s="591"/>
      <c r="Y364" s="591"/>
      <c r="Z364" s="591"/>
      <c r="AA364" s="591"/>
      <c r="AB364" s="591"/>
      <c r="AC364" s="591"/>
      <c r="AD364" s="591"/>
      <c r="AE364" s="591"/>
      <c r="AF364" s="591"/>
      <c r="AG364" s="591"/>
      <c r="AH364" s="591"/>
      <c r="AI364" s="591"/>
      <c r="AJ364" s="591"/>
      <c r="AK364" s="591"/>
      <c r="AL364" s="591"/>
      <c r="AM364" s="591"/>
      <c r="AN364" s="591"/>
      <c r="AO364" s="591"/>
      <c r="AP364" s="591"/>
      <c r="AQ364" s="591"/>
      <c r="AR364" s="591"/>
      <c r="AS364" s="591"/>
      <c r="AT364" s="591"/>
      <c r="AU364" s="591"/>
      <c r="AV364" s="591"/>
      <c r="AW364" s="591"/>
      <c r="AX364" s="591"/>
      <c r="AY364" s="591"/>
      <c r="AZ364" s="591"/>
      <c r="BA364" s="591"/>
      <c r="BB364" s="591"/>
      <c r="BC364" s="591"/>
      <c r="BD364" s="591"/>
      <c r="BE364" s="591"/>
      <c r="BF364" s="591"/>
      <c r="BG364" s="591"/>
      <c r="BH364" s="591"/>
      <c r="BI364" s="591"/>
      <c r="BJ364" s="591"/>
      <c r="BK364" s="591"/>
      <c r="BL364" s="591"/>
      <c r="BM364" s="591"/>
      <c r="BN364" s="591"/>
      <c r="BO364" s="591"/>
      <c r="BP364" s="591"/>
      <c r="BQ364" s="591"/>
      <c r="BR364" s="591"/>
      <c r="BS364" s="591"/>
      <c r="BT364" s="591"/>
      <c r="BU364" s="591"/>
      <c r="BV364" s="591"/>
      <c r="BW364" s="591"/>
      <c r="BX364" s="591"/>
      <c r="BY364" s="591"/>
      <c r="BZ364" s="591"/>
      <c r="CA364" s="591"/>
      <c r="CB364" s="591"/>
      <c r="CC364" s="591"/>
      <c r="CD364" s="591"/>
      <c r="CE364" s="591"/>
      <c r="CF364" s="591"/>
    </row>
    <row r="365" spans="1:84">
      <c r="A365" s="591"/>
      <c r="B365" s="591"/>
      <c r="C365" s="591"/>
      <c r="D365" s="591"/>
      <c r="E365" s="591"/>
      <c r="F365" s="591"/>
      <c r="G365" s="591"/>
      <c r="H365" s="591"/>
      <c r="I365" s="591"/>
      <c r="J365" s="591"/>
      <c r="K365" s="591"/>
      <c r="L365" s="591"/>
      <c r="M365" s="591"/>
      <c r="N365" s="591"/>
      <c r="O365" s="591"/>
      <c r="P365" s="591"/>
      <c r="Q365" s="591"/>
      <c r="R365" s="591"/>
      <c r="S365" s="591"/>
      <c r="T365" s="591"/>
      <c r="U365" s="591"/>
      <c r="V365" s="591"/>
      <c r="W365" s="591"/>
      <c r="X365" s="591"/>
      <c r="Y365" s="591"/>
      <c r="Z365" s="591"/>
      <c r="AA365" s="591"/>
      <c r="AB365" s="591"/>
      <c r="AC365" s="591"/>
      <c r="AD365" s="591"/>
      <c r="AE365" s="591"/>
      <c r="AF365" s="591"/>
      <c r="AG365" s="591"/>
      <c r="AH365" s="591"/>
      <c r="AI365" s="591"/>
      <c r="AJ365" s="591"/>
      <c r="AK365" s="591"/>
      <c r="AL365" s="591"/>
      <c r="AM365" s="591"/>
      <c r="AN365" s="591"/>
      <c r="AO365" s="591"/>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1"/>
      <c r="BM365" s="591"/>
      <c r="BN365" s="591"/>
      <c r="BO365" s="591"/>
      <c r="BP365" s="591"/>
      <c r="BQ365" s="591"/>
      <c r="BR365" s="591"/>
      <c r="BS365" s="591"/>
      <c r="BT365" s="591"/>
      <c r="BU365" s="591"/>
      <c r="BV365" s="591"/>
      <c r="BW365" s="591"/>
      <c r="BX365" s="591"/>
      <c r="BY365" s="591"/>
      <c r="BZ365" s="591"/>
      <c r="CA365" s="591"/>
      <c r="CB365" s="591"/>
      <c r="CC365" s="591"/>
      <c r="CD365" s="591"/>
      <c r="CE365" s="591"/>
      <c r="CF365" s="591"/>
    </row>
    <row r="366" spans="1:84">
      <c r="A366" s="591"/>
      <c r="B366" s="591"/>
      <c r="C366" s="591"/>
      <c r="D366" s="591"/>
      <c r="E366" s="591"/>
      <c r="F366" s="591"/>
      <c r="G366" s="591"/>
      <c r="H366" s="591"/>
      <c r="I366" s="591"/>
      <c r="J366" s="591"/>
      <c r="K366" s="591"/>
      <c r="L366" s="591"/>
      <c r="M366" s="591"/>
      <c r="N366" s="591"/>
      <c r="O366" s="591"/>
      <c r="P366" s="591"/>
      <c r="Q366" s="591"/>
      <c r="R366" s="591"/>
      <c r="S366" s="591"/>
      <c r="T366" s="591"/>
      <c r="U366" s="591"/>
      <c r="V366" s="591"/>
      <c r="W366" s="591"/>
      <c r="X366" s="591"/>
      <c r="Y366" s="591"/>
      <c r="Z366" s="591"/>
      <c r="AA366" s="591"/>
      <c r="AB366" s="591"/>
      <c r="AC366" s="591"/>
      <c r="AD366" s="591"/>
      <c r="AE366" s="591"/>
      <c r="AF366" s="591"/>
      <c r="AG366" s="591"/>
      <c r="AH366" s="591"/>
      <c r="AI366" s="591"/>
      <c r="AJ366" s="591"/>
      <c r="AK366" s="591"/>
      <c r="AL366" s="591"/>
      <c r="AM366" s="591"/>
      <c r="AN366" s="591"/>
      <c r="AO366" s="591"/>
      <c r="AP366" s="591"/>
      <c r="AQ366" s="591"/>
      <c r="AR366" s="591"/>
      <c r="AS366" s="591"/>
      <c r="AT366" s="591"/>
      <c r="AU366" s="591"/>
      <c r="AV366" s="591"/>
      <c r="AW366" s="591"/>
      <c r="AX366" s="591"/>
      <c r="AY366" s="591"/>
      <c r="AZ366" s="591"/>
      <c r="BA366" s="591"/>
      <c r="BB366" s="591"/>
      <c r="BC366" s="591"/>
      <c r="BD366" s="591"/>
      <c r="BE366" s="591"/>
      <c r="BF366" s="591"/>
      <c r="BG366" s="591"/>
      <c r="BH366" s="591"/>
      <c r="BI366" s="591"/>
      <c r="BJ366" s="591"/>
      <c r="BK366" s="591"/>
      <c r="BL366" s="591"/>
      <c r="BM366" s="591"/>
      <c r="BN366" s="591"/>
      <c r="BO366" s="591"/>
      <c r="BP366" s="591"/>
      <c r="BQ366" s="591"/>
      <c r="BR366" s="591"/>
      <c r="BS366" s="591"/>
      <c r="BT366" s="591"/>
      <c r="BU366" s="591"/>
      <c r="BV366" s="591"/>
      <c r="BW366" s="591"/>
      <c r="BX366" s="591"/>
      <c r="BY366" s="591"/>
      <c r="BZ366" s="591"/>
      <c r="CA366" s="591"/>
      <c r="CB366" s="591"/>
      <c r="CC366" s="591"/>
      <c r="CD366" s="591"/>
      <c r="CE366" s="591"/>
      <c r="CF366" s="591"/>
    </row>
    <row r="367" spans="1:84">
      <c r="A367" s="591"/>
      <c r="B367" s="591"/>
      <c r="C367" s="591"/>
      <c r="D367" s="591"/>
      <c r="E367" s="591"/>
      <c r="F367" s="591"/>
      <c r="G367" s="591"/>
      <c r="H367" s="591"/>
      <c r="I367" s="591"/>
      <c r="J367" s="591"/>
      <c r="K367" s="591"/>
      <c r="L367" s="591"/>
      <c r="M367" s="591"/>
      <c r="N367" s="591"/>
      <c r="O367" s="591"/>
      <c r="P367" s="591"/>
      <c r="Q367" s="591"/>
      <c r="R367" s="591"/>
      <c r="S367" s="591"/>
      <c r="T367" s="591"/>
      <c r="U367" s="591"/>
      <c r="V367" s="591"/>
      <c r="W367" s="591"/>
      <c r="X367" s="591"/>
      <c r="Y367" s="591"/>
      <c r="Z367" s="591"/>
      <c r="AA367" s="591"/>
      <c r="AB367" s="591"/>
      <c r="AC367" s="591"/>
      <c r="AD367" s="591"/>
      <c r="AE367" s="591"/>
      <c r="AF367" s="591"/>
      <c r="AG367" s="591"/>
      <c r="AH367" s="591"/>
      <c r="AI367" s="591"/>
      <c r="AJ367" s="591"/>
      <c r="AK367" s="591"/>
      <c r="AL367" s="591"/>
      <c r="AM367" s="591"/>
      <c r="AN367" s="591"/>
      <c r="AO367" s="591"/>
      <c r="AP367" s="591"/>
      <c r="AQ367" s="591"/>
      <c r="AR367" s="591"/>
      <c r="AS367" s="591"/>
      <c r="AT367" s="591"/>
      <c r="AU367" s="591"/>
      <c r="AV367" s="591"/>
      <c r="AW367" s="591"/>
      <c r="AX367" s="591"/>
      <c r="AY367" s="591"/>
      <c r="AZ367" s="591"/>
      <c r="BA367" s="591"/>
      <c r="BB367" s="591"/>
      <c r="BC367" s="591"/>
      <c r="BD367" s="591"/>
      <c r="BE367" s="591"/>
      <c r="BF367" s="591"/>
      <c r="BG367" s="591"/>
      <c r="BH367" s="591"/>
      <c r="BI367" s="591"/>
      <c r="BJ367" s="591"/>
      <c r="BK367" s="591"/>
      <c r="BL367" s="591"/>
      <c r="BM367" s="591"/>
      <c r="BN367" s="591"/>
      <c r="BO367" s="591"/>
      <c r="BP367" s="591"/>
      <c r="BQ367" s="591"/>
      <c r="BR367" s="591"/>
      <c r="BS367" s="591"/>
      <c r="BT367" s="591"/>
      <c r="BU367" s="591"/>
      <c r="BV367" s="591"/>
      <c r="BW367" s="591"/>
      <c r="BX367" s="591"/>
      <c r="BY367" s="591"/>
      <c r="BZ367" s="591"/>
      <c r="CA367" s="591"/>
      <c r="CB367" s="591"/>
      <c r="CC367" s="591"/>
      <c r="CD367" s="591"/>
      <c r="CE367" s="591"/>
      <c r="CF367" s="591"/>
    </row>
    <row r="368" spans="1:84">
      <c r="A368" s="591"/>
      <c r="B368" s="591"/>
      <c r="C368" s="591"/>
      <c r="D368" s="591"/>
      <c r="E368" s="591"/>
      <c r="F368" s="591"/>
      <c r="G368" s="591"/>
      <c r="H368" s="591"/>
      <c r="I368" s="591"/>
      <c r="J368" s="591"/>
      <c r="K368" s="591"/>
      <c r="L368" s="591"/>
      <c r="M368" s="591"/>
      <c r="N368" s="591"/>
      <c r="O368" s="591"/>
      <c r="P368" s="591"/>
      <c r="Q368" s="591"/>
      <c r="R368" s="591"/>
      <c r="S368" s="591"/>
      <c r="T368" s="591"/>
      <c r="U368" s="591"/>
      <c r="V368" s="591"/>
      <c r="W368" s="591"/>
      <c r="X368" s="591"/>
      <c r="Y368" s="591"/>
      <c r="Z368" s="591"/>
      <c r="AA368" s="591"/>
      <c r="AB368" s="591"/>
      <c r="AC368" s="591"/>
      <c r="AD368" s="591"/>
      <c r="AE368" s="591"/>
      <c r="AF368" s="591"/>
      <c r="AG368" s="591"/>
      <c r="AH368" s="591"/>
      <c r="AI368" s="591"/>
      <c r="AJ368" s="591"/>
      <c r="AK368" s="591"/>
      <c r="AL368" s="591"/>
      <c r="AM368" s="591"/>
      <c r="AN368" s="591"/>
      <c r="AO368" s="591"/>
      <c r="AP368" s="591"/>
      <c r="AQ368" s="591"/>
      <c r="AR368" s="591"/>
      <c r="AS368" s="591"/>
      <c r="AT368" s="591"/>
      <c r="AU368" s="591"/>
      <c r="AV368" s="591"/>
      <c r="AW368" s="591"/>
      <c r="AX368" s="591"/>
      <c r="AY368" s="591"/>
      <c r="AZ368" s="591"/>
      <c r="BA368" s="591"/>
      <c r="BB368" s="591"/>
      <c r="BC368" s="591"/>
      <c r="BD368" s="591"/>
      <c r="BE368" s="591"/>
      <c r="BF368" s="591"/>
      <c r="BG368" s="591"/>
      <c r="BH368" s="591"/>
      <c r="BI368" s="591"/>
      <c r="BJ368" s="591"/>
      <c r="BK368" s="591"/>
      <c r="BL368" s="591"/>
      <c r="BM368" s="591"/>
      <c r="BN368" s="591"/>
      <c r="BO368" s="591"/>
      <c r="BP368" s="591"/>
      <c r="BQ368" s="591"/>
      <c r="BR368" s="591"/>
      <c r="BS368" s="591"/>
      <c r="BT368" s="591"/>
      <c r="BU368" s="591"/>
      <c r="BV368" s="591"/>
      <c r="BW368" s="591"/>
      <c r="BX368" s="591"/>
      <c r="BY368" s="591"/>
      <c r="BZ368" s="591"/>
      <c r="CA368" s="591"/>
      <c r="CB368" s="591"/>
      <c r="CC368" s="591"/>
      <c r="CD368" s="591"/>
      <c r="CE368" s="591"/>
      <c r="CF368" s="591"/>
    </row>
    <row r="369" spans="1:84">
      <c r="A369" s="591"/>
      <c r="B369" s="591"/>
      <c r="C369" s="591"/>
      <c r="D369" s="591"/>
      <c r="E369" s="591"/>
      <c r="F369" s="591"/>
      <c r="G369" s="591"/>
      <c r="H369" s="591"/>
      <c r="I369" s="591"/>
      <c r="J369" s="591"/>
      <c r="K369" s="591"/>
      <c r="L369" s="591"/>
      <c r="M369" s="591"/>
      <c r="N369" s="591"/>
      <c r="O369" s="591"/>
      <c r="P369" s="591"/>
      <c r="Q369" s="591"/>
      <c r="R369" s="591"/>
      <c r="S369" s="591"/>
      <c r="T369" s="591"/>
      <c r="U369" s="591"/>
      <c r="V369" s="591"/>
      <c r="W369" s="591"/>
      <c r="X369" s="591"/>
      <c r="Y369" s="591"/>
      <c r="Z369" s="591"/>
      <c r="AA369" s="591"/>
      <c r="AB369" s="591"/>
      <c r="AC369" s="591"/>
      <c r="AD369" s="591"/>
      <c r="AE369" s="591"/>
      <c r="AF369" s="591"/>
      <c r="AG369" s="591"/>
      <c r="AH369" s="591"/>
      <c r="AI369" s="591"/>
      <c r="AJ369" s="591"/>
      <c r="AK369" s="591"/>
      <c r="AL369" s="591"/>
      <c r="AM369" s="591"/>
      <c r="AN369" s="591"/>
      <c r="AO369" s="591"/>
      <c r="AP369" s="591"/>
      <c r="AQ369" s="591"/>
      <c r="AR369" s="591"/>
      <c r="AS369" s="591"/>
      <c r="AT369" s="591"/>
      <c r="AU369" s="591"/>
      <c r="AV369" s="591"/>
      <c r="AW369" s="591"/>
      <c r="AX369" s="591"/>
      <c r="AY369" s="591"/>
      <c r="AZ369" s="591"/>
      <c r="BA369" s="591"/>
      <c r="BB369" s="591"/>
      <c r="BC369" s="591"/>
      <c r="BD369" s="591"/>
      <c r="BE369" s="591"/>
      <c r="BF369" s="591"/>
      <c r="BG369" s="591"/>
      <c r="BH369" s="591"/>
      <c r="BI369" s="591"/>
      <c r="BJ369" s="591"/>
      <c r="BK369" s="591"/>
      <c r="BL369" s="591"/>
      <c r="BM369" s="591"/>
      <c r="BN369" s="591"/>
      <c r="BO369" s="591"/>
      <c r="BP369" s="591"/>
      <c r="BQ369" s="591"/>
      <c r="BR369" s="591"/>
      <c r="BS369" s="591"/>
      <c r="BT369" s="591"/>
      <c r="BU369" s="591"/>
      <c r="BV369" s="591"/>
      <c r="BW369" s="591"/>
      <c r="BX369" s="591"/>
      <c r="BY369" s="591"/>
      <c r="BZ369" s="591"/>
      <c r="CA369" s="591"/>
      <c r="CB369" s="591"/>
      <c r="CC369" s="591"/>
      <c r="CD369" s="591"/>
      <c r="CE369" s="591"/>
      <c r="CF369" s="591"/>
    </row>
    <row r="370" spans="1:84">
      <c r="A370" s="591"/>
      <c r="B370" s="591"/>
      <c r="C370" s="591"/>
      <c r="D370" s="591"/>
      <c r="E370" s="591"/>
      <c r="F370" s="591"/>
      <c r="G370" s="591"/>
      <c r="H370" s="591"/>
      <c r="I370" s="591"/>
      <c r="J370" s="591"/>
      <c r="K370" s="591"/>
      <c r="L370" s="591"/>
      <c r="M370" s="591"/>
      <c r="N370" s="591"/>
      <c r="O370" s="591"/>
      <c r="P370" s="591"/>
      <c r="Q370" s="591"/>
      <c r="R370" s="591"/>
      <c r="S370" s="591"/>
      <c r="T370" s="591"/>
      <c r="U370" s="591"/>
      <c r="V370" s="591"/>
      <c r="W370" s="591"/>
      <c r="X370" s="591"/>
      <c r="Y370" s="591"/>
      <c r="Z370" s="591"/>
      <c r="AA370" s="591"/>
      <c r="AB370" s="591"/>
      <c r="AC370" s="591"/>
      <c r="AD370" s="591"/>
      <c r="AE370" s="591"/>
      <c r="AF370" s="591"/>
      <c r="AG370" s="591"/>
      <c r="AH370" s="591"/>
      <c r="AI370" s="591"/>
      <c r="AJ370" s="591"/>
      <c r="AK370" s="591"/>
      <c r="AL370" s="591"/>
      <c r="AM370" s="591"/>
      <c r="AN370" s="591"/>
      <c r="AO370" s="591"/>
      <c r="AP370" s="591"/>
      <c r="AQ370" s="591"/>
      <c r="AR370" s="591"/>
      <c r="AS370" s="591"/>
      <c r="AT370" s="591"/>
      <c r="AU370" s="591"/>
      <c r="AV370" s="591"/>
      <c r="AW370" s="591"/>
      <c r="AX370" s="591"/>
      <c r="AY370" s="591"/>
      <c r="AZ370" s="591"/>
      <c r="BA370" s="591"/>
      <c r="BB370" s="591"/>
      <c r="BC370" s="591"/>
      <c r="BD370" s="591"/>
      <c r="BE370" s="591"/>
      <c r="BF370" s="591"/>
      <c r="BG370" s="591"/>
      <c r="BH370" s="591"/>
      <c r="BI370" s="591"/>
      <c r="BJ370" s="591"/>
      <c r="BK370" s="591"/>
      <c r="BL370" s="591"/>
      <c r="BM370" s="591"/>
      <c r="BN370" s="591"/>
      <c r="BO370" s="591"/>
      <c r="BP370" s="591"/>
      <c r="BQ370" s="591"/>
      <c r="BR370" s="591"/>
      <c r="BS370" s="591"/>
      <c r="BT370" s="591"/>
      <c r="BU370" s="591"/>
      <c r="BV370" s="591"/>
      <c r="BW370" s="591"/>
      <c r="BX370" s="591"/>
      <c r="BY370" s="591"/>
      <c r="BZ370" s="591"/>
      <c r="CA370" s="591"/>
      <c r="CB370" s="591"/>
      <c r="CC370" s="591"/>
      <c r="CD370" s="591"/>
      <c r="CE370" s="591"/>
      <c r="CF370" s="591"/>
    </row>
    <row r="371" spans="1:84">
      <c r="A371" s="591"/>
      <c r="B371" s="591"/>
      <c r="C371" s="591"/>
      <c r="D371" s="591"/>
      <c r="E371" s="591"/>
      <c r="F371" s="591"/>
      <c r="G371" s="591"/>
      <c r="H371" s="591"/>
      <c r="I371" s="591"/>
      <c r="J371" s="591"/>
      <c r="K371" s="591"/>
      <c r="L371" s="591"/>
      <c r="M371" s="591"/>
      <c r="N371" s="591"/>
      <c r="O371" s="591"/>
      <c r="P371" s="591"/>
      <c r="Q371" s="591"/>
      <c r="R371" s="591"/>
      <c r="S371" s="591"/>
      <c r="T371" s="591"/>
      <c r="U371" s="591"/>
      <c r="V371" s="591"/>
      <c r="W371" s="591"/>
      <c r="X371" s="591"/>
      <c r="Y371" s="591"/>
      <c r="Z371" s="591"/>
      <c r="AA371" s="591"/>
      <c r="AB371" s="591"/>
      <c r="AC371" s="591"/>
      <c r="AD371" s="591"/>
      <c r="AE371" s="591"/>
      <c r="AF371" s="591"/>
      <c r="AG371" s="591"/>
      <c r="AH371" s="591"/>
      <c r="AI371" s="591"/>
      <c r="AJ371" s="591"/>
      <c r="AK371" s="591"/>
      <c r="AL371" s="591"/>
      <c r="AM371" s="591"/>
      <c r="AN371" s="591"/>
      <c r="AO371" s="591"/>
      <c r="AP371" s="591"/>
      <c r="AQ371" s="591"/>
      <c r="AR371" s="591"/>
      <c r="AS371" s="591"/>
      <c r="AT371" s="591"/>
      <c r="AU371" s="591"/>
      <c r="AV371" s="591"/>
      <c r="AW371" s="591"/>
      <c r="AX371" s="591"/>
      <c r="AY371" s="591"/>
      <c r="AZ371" s="591"/>
      <c r="BA371" s="591"/>
      <c r="BB371" s="591"/>
      <c r="BC371" s="591"/>
      <c r="BD371" s="591"/>
      <c r="BE371" s="591"/>
      <c r="BF371" s="591"/>
      <c r="BG371" s="591"/>
      <c r="BH371" s="591"/>
      <c r="BI371" s="591"/>
      <c r="BJ371" s="591"/>
      <c r="BK371" s="591"/>
      <c r="BL371" s="591"/>
      <c r="BM371" s="591"/>
      <c r="BN371" s="591"/>
      <c r="BO371" s="591"/>
      <c r="BP371" s="591"/>
      <c r="BQ371" s="591"/>
      <c r="BR371" s="591"/>
      <c r="BS371" s="591"/>
      <c r="BT371" s="591"/>
      <c r="BU371" s="591"/>
      <c r="BV371" s="591"/>
      <c r="BW371" s="591"/>
      <c r="BX371" s="591"/>
      <c r="BY371" s="591"/>
      <c r="BZ371" s="591"/>
      <c r="CA371" s="591"/>
      <c r="CB371" s="591"/>
      <c r="CC371" s="591"/>
      <c r="CD371" s="591"/>
      <c r="CE371" s="591"/>
      <c r="CF371" s="591"/>
    </row>
  </sheetData>
  <pageMargins left="0.7" right="0.7" top="0.75" bottom="0.75" header="0.3" footer="0.3"/>
  <pageSetup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F371"/>
  <sheetViews>
    <sheetView view="pageBreakPreview" topLeftCell="B1" zoomScale="115" zoomScaleNormal="100" zoomScaleSheetLayoutView="115" workbookViewId="0">
      <selection activeCell="Q27" sqref="Q27"/>
    </sheetView>
  </sheetViews>
  <sheetFormatPr defaultRowHeight="15"/>
  <cols>
    <col min="1" max="1" width="2" style="553" customWidth="1"/>
    <col min="2" max="4" width="9.140625" style="553"/>
    <col min="5" max="5" width="13" style="553" customWidth="1"/>
    <col min="6" max="6" width="9.7109375" style="553" bestFit="1" customWidth="1"/>
    <col min="7" max="7" width="9.140625" style="553"/>
    <col min="8" max="8" width="9.7109375" style="553" bestFit="1" customWidth="1"/>
    <col min="9" max="10" width="9.140625" style="553"/>
    <col min="11" max="11" width="10" style="553" customWidth="1"/>
    <col min="12" max="12" width="9.140625" style="553"/>
    <col min="13" max="13" width="11.140625" style="553" customWidth="1"/>
    <col min="14" max="16384" width="9.140625" style="553"/>
  </cols>
  <sheetData>
    <row r="1" spans="1:84">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1"/>
      <c r="BL1" s="591"/>
      <c r="BM1" s="591"/>
      <c r="BN1" s="591"/>
      <c r="BO1" s="591"/>
      <c r="BP1" s="591"/>
      <c r="BQ1" s="591"/>
      <c r="BR1" s="591"/>
      <c r="BS1" s="591"/>
      <c r="BT1" s="591"/>
      <c r="BU1" s="591"/>
      <c r="BV1" s="591"/>
      <c r="BW1" s="591"/>
      <c r="BX1" s="591"/>
      <c r="BY1" s="591"/>
      <c r="BZ1" s="591"/>
      <c r="CA1" s="591"/>
      <c r="CB1" s="591"/>
      <c r="CC1" s="591"/>
      <c r="CD1" s="591"/>
      <c r="CE1" s="591"/>
      <c r="CF1" s="591"/>
    </row>
    <row r="2" spans="1:84">
      <c r="A2" s="590"/>
      <c r="B2" s="590"/>
      <c r="C2" s="590"/>
      <c r="D2" s="590"/>
      <c r="E2" s="590"/>
      <c r="F2" s="590"/>
      <c r="G2" s="590"/>
      <c r="H2" s="590"/>
      <c r="I2" s="590"/>
      <c r="J2" s="590"/>
      <c r="K2" s="592"/>
      <c r="L2" s="592"/>
      <c r="M2" s="592"/>
      <c r="N2" s="592"/>
      <c r="O2" s="592"/>
      <c r="P2" s="592"/>
      <c r="Q2" s="592"/>
      <c r="R2" s="592"/>
      <c r="S2" s="592"/>
      <c r="T2" s="592"/>
      <c r="U2" s="592"/>
      <c r="V2" s="592"/>
      <c r="W2" s="592"/>
      <c r="X2" s="592"/>
      <c r="Y2" s="592"/>
      <c r="Z2" s="592"/>
      <c r="AA2" s="592"/>
      <c r="AB2" s="592"/>
      <c r="AC2" s="592"/>
      <c r="AD2" s="592"/>
      <c r="AE2" s="593" t="s">
        <v>335</v>
      </c>
      <c r="AF2" s="593" t="s">
        <v>336</v>
      </c>
      <c r="AG2" s="592"/>
      <c r="AH2" s="592"/>
      <c r="AI2" s="592" t="s">
        <v>337</v>
      </c>
      <c r="AJ2" s="592"/>
      <c r="AK2" s="592"/>
      <c r="AL2" s="592"/>
      <c r="AM2" s="592"/>
      <c r="AN2" s="592"/>
      <c r="AO2" s="592"/>
      <c r="AP2" s="592"/>
      <c r="AQ2" s="592"/>
      <c r="AR2" s="592"/>
      <c r="AS2" s="590"/>
      <c r="AT2" s="590"/>
      <c r="AU2" s="590"/>
      <c r="AV2" s="590"/>
      <c r="AW2" s="590"/>
      <c r="AX2" s="590"/>
      <c r="AY2" s="590"/>
      <c r="AZ2" s="590"/>
      <c r="BA2" s="590"/>
      <c r="BB2" s="590"/>
      <c r="BC2" s="590"/>
      <c r="BD2" s="590"/>
      <c r="BE2" s="590"/>
      <c r="BF2" s="590"/>
      <c r="BG2" s="590"/>
      <c r="BH2" s="590"/>
      <c r="BI2" s="590"/>
      <c r="BJ2" s="590"/>
      <c r="BK2" s="591"/>
      <c r="BL2" s="591"/>
      <c r="BM2" s="591"/>
      <c r="BN2" s="591"/>
      <c r="BO2" s="591"/>
      <c r="BP2" s="591"/>
      <c r="BQ2" s="591"/>
      <c r="BR2" s="591"/>
      <c r="BS2" s="591"/>
      <c r="BT2" s="591"/>
      <c r="BU2" s="591"/>
      <c r="BV2" s="591"/>
      <c r="BW2" s="591"/>
      <c r="BX2" s="591"/>
      <c r="BY2" s="591"/>
      <c r="BZ2" s="591"/>
      <c r="CA2" s="591"/>
      <c r="CB2" s="591"/>
      <c r="CC2" s="591"/>
      <c r="CD2" s="591"/>
      <c r="CE2" s="591"/>
      <c r="CF2" s="591"/>
    </row>
    <row r="3" spans="1:84">
      <c r="A3" s="590"/>
      <c r="B3" s="592" t="s">
        <v>1406</v>
      </c>
      <c r="C3" s="590"/>
      <c r="D3" s="590"/>
      <c r="E3" s="590"/>
      <c r="F3" s="590"/>
      <c r="G3" s="590"/>
      <c r="H3" s="590"/>
      <c r="I3" s="590"/>
      <c r="J3" s="590"/>
      <c r="K3" s="592"/>
      <c r="L3" s="592"/>
      <c r="M3" s="592"/>
      <c r="N3" s="592"/>
      <c r="O3" s="592"/>
      <c r="P3" s="592"/>
      <c r="Q3" s="592"/>
      <c r="R3" s="592"/>
      <c r="S3" s="592"/>
      <c r="T3" s="592"/>
      <c r="U3" s="592"/>
      <c r="V3" s="592"/>
      <c r="W3" s="592"/>
      <c r="X3" s="592"/>
      <c r="Y3" s="592"/>
      <c r="Z3" s="592"/>
      <c r="AA3" s="592"/>
      <c r="AB3" s="592"/>
      <c r="AC3" s="592"/>
      <c r="AD3" s="592"/>
      <c r="AE3" s="593"/>
      <c r="AF3" s="593"/>
      <c r="AG3" s="592"/>
      <c r="AH3" s="592"/>
      <c r="AI3" s="592"/>
      <c r="AJ3" s="592"/>
      <c r="AK3" s="592"/>
      <c r="AL3" s="592"/>
      <c r="AM3" s="592"/>
      <c r="AN3" s="592"/>
      <c r="AO3" s="592"/>
      <c r="AP3" s="592"/>
      <c r="AQ3" s="592"/>
      <c r="AR3" s="592"/>
      <c r="AS3" s="590"/>
      <c r="AT3" s="590"/>
      <c r="AU3" s="590"/>
      <c r="AV3" s="590"/>
      <c r="AW3" s="590"/>
      <c r="AX3" s="590"/>
      <c r="AY3" s="590"/>
      <c r="AZ3" s="590"/>
      <c r="BA3" s="590"/>
      <c r="BB3" s="590"/>
      <c r="BC3" s="590"/>
      <c r="BD3" s="590"/>
      <c r="BE3" s="590"/>
      <c r="BF3" s="590"/>
      <c r="BG3" s="590"/>
      <c r="BH3" s="590"/>
      <c r="BI3" s="590"/>
      <c r="BJ3" s="590"/>
      <c r="BK3" s="591"/>
      <c r="BL3" s="591"/>
      <c r="BM3" s="591"/>
      <c r="BN3" s="591"/>
      <c r="BO3" s="591"/>
      <c r="BP3" s="591"/>
      <c r="BQ3" s="591"/>
      <c r="BR3" s="591"/>
      <c r="BS3" s="591"/>
      <c r="BT3" s="591"/>
      <c r="BU3" s="591"/>
      <c r="BV3" s="591"/>
      <c r="BW3" s="591"/>
      <c r="BX3" s="591"/>
      <c r="BY3" s="591"/>
      <c r="BZ3" s="591"/>
      <c r="CA3" s="591"/>
      <c r="CB3" s="591"/>
      <c r="CC3" s="591"/>
      <c r="CD3" s="591"/>
      <c r="CE3" s="591"/>
      <c r="CF3" s="591"/>
    </row>
    <row r="4" spans="1:84">
      <c r="A4" s="590"/>
      <c r="B4" s="594"/>
      <c r="C4" s="592"/>
      <c r="D4" s="592"/>
      <c r="E4" s="595"/>
      <c r="F4" s="592"/>
      <c r="G4" s="596"/>
      <c r="H4" s="592"/>
      <c r="I4" s="592"/>
      <c r="J4" s="592"/>
      <c r="K4" s="592"/>
      <c r="L4" s="592"/>
      <c r="M4" s="592"/>
      <c r="N4" s="592" t="s">
        <v>338</v>
      </c>
      <c r="O4" s="592"/>
      <c r="P4" s="592"/>
      <c r="Q4" s="592"/>
      <c r="R4" s="592"/>
      <c r="S4" s="592"/>
      <c r="T4" s="592"/>
      <c r="U4" s="593" t="s">
        <v>339</v>
      </c>
      <c r="V4" s="593" t="s">
        <v>340</v>
      </c>
      <c r="W4" s="593" t="s">
        <v>331</v>
      </c>
      <c r="X4" s="593" t="s">
        <v>341</v>
      </c>
      <c r="Y4" s="593" t="s">
        <v>342</v>
      </c>
      <c r="Z4" s="592"/>
      <c r="AA4" s="593" t="s">
        <v>343</v>
      </c>
      <c r="AB4" s="592" t="s">
        <v>344</v>
      </c>
      <c r="AC4" s="593" t="s">
        <v>345</v>
      </c>
      <c r="AD4" s="593" t="s">
        <v>346</v>
      </c>
      <c r="AE4" s="593" t="s">
        <v>347</v>
      </c>
      <c r="AF4" s="592"/>
      <c r="AG4" s="592"/>
      <c r="AH4" s="592"/>
      <c r="AI4" s="592" t="s">
        <v>348</v>
      </c>
      <c r="AJ4" s="592"/>
      <c r="AK4" s="592"/>
      <c r="AL4" s="592"/>
      <c r="AM4" s="592"/>
      <c r="AN4" s="592"/>
      <c r="AO4" s="592"/>
      <c r="AP4" s="592"/>
      <c r="AQ4" s="592"/>
      <c r="AR4" s="592"/>
      <c r="AS4" s="590"/>
      <c r="AT4" s="590"/>
      <c r="AU4" s="590"/>
      <c r="AV4" s="590"/>
      <c r="AW4" s="590"/>
      <c r="AX4" s="590"/>
      <c r="AY4" s="590"/>
      <c r="AZ4" s="590"/>
      <c r="BA4" s="590"/>
      <c r="BB4" s="590"/>
      <c r="BC4" s="590"/>
      <c r="BD4" s="590"/>
      <c r="BE4" s="590"/>
      <c r="BF4" s="590"/>
      <c r="BG4" s="590"/>
      <c r="BH4" s="590"/>
      <c r="BI4" s="590"/>
      <c r="BJ4" s="590"/>
      <c r="BK4" s="591"/>
      <c r="BL4" s="591"/>
      <c r="BM4" s="591"/>
      <c r="BN4" s="591"/>
      <c r="BO4" s="591"/>
      <c r="BP4" s="591"/>
      <c r="BQ4" s="591"/>
      <c r="BR4" s="591"/>
      <c r="BS4" s="591"/>
      <c r="BT4" s="591"/>
      <c r="BU4" s="591"/>
      <c r="BV4" s="591"/>
      <c r="BW4" s="591"/>
      <c r="BX4" s="591"/>
      <c r="BY4" s="591"/>
      <c r="BZ4" s="591"/>
      <c r="CA4" s="591"/>
      <c r="CB4" s="591"/>
      <c r="CC4" s="591"/>
      <c r="CD4" s="591"/>
      <c r="CE4" s="591"/>
      <c r="CF4" s="591"/>
    </row>
    <row r="5" spans="1:84">
      <c r="A5" s="590"/>
      <c r="B5" s="597" t="s">
        <v>349</v>
      </c>
      <c r="C5" s="597" t="s">
        <v>350</v>
      </c>
      <c r="D5" s="592"/>
      <c r="E5" s="595">
        <f>E7+E6</f>
        <v>3283992.5702441651</v>
      </c>
      <c r="F5" s="597" t="s">
        <v>351</v>
      </c>
      <c r="G5" s="592"/>
      <c r="H5" s="592"/>
      <c r="I5" s="592"/>
      <c r="J5" s="597"/>
      <c r="K5" s="592"/>
      <c r="L5" s="598"/>
      <c r="M5" s="592"/>
      <c r="N5" s="597" t="s">
        <v>352</v>
      </c>
      <c r="O5" s="592"/>
      <c r="P5" s="592"/>
      <c r="Q5" s="597" t="s">
        <v>353</v>
      </c>
      <c r="R5" s="592"/>
      <c r="S5" s="592"/>
      <c r="T5" s="592"/>
      <c r="U5" s="599">
        <f>$E$8*1.25</f>
        <v>3644313.0472393492</v>
      </c>
      <c r="V5" s="600">
        <f>100*(+U5/$E$9)</f>
        <v>215.03426840578405</v>
      </c>
      <c r="W5" s="601">
        <f>EXP(5.7226-(0.68367*LN(+V5)))</f>
        <v>7.7737054239564163</v>
      </c>
      <c r="X5" s="601">
        <f>(+W5*V5)/100</f>
        <v>16.716130586425432</v>
      </c>
      <c r="Y5" s="600">
        <f>100*((((X5/100)-((X5/100)-0.03574)*$E$21)-0.03574-0.00619)/0.344)</f>
        <v>23.415134264653442</v>
      </c>
      <c r="Z5" s="592">
        <f>$E$20</f>
        <v>0.25</v>
      </c>
      <c r="AA5" s="600">
        <f>Y5+Z5</f>
        <v>23.665134264653442</v>
      </c>
      <c r="AB5" s="600">
        <f>100*($E$17*$E$19+($E$18*(AA5/100))/(1-$E$21))</f>
        <v>22.742263528059247</v>
      </c>
      <c r="AC5" s="601">
        <f>AB5/V5</f>
        <v>0.10576111285268762</v>
      </c>
      <c r="AD5" s="599">
        <f>$E$8/(1-AC5)</f>
        <v>3260259.064657745</v>
      </c>
      <c r="AE5" s="592" t="str">
        <f>IF(AD5=$U$5,"yes","not yet")</f>
        <v>not yet</v>
      </c>
      <c r="AF5" s="600">
        <f>100*(1-AC5)</f>
        <v>89.423888714731234</v>
      </c>
      <c r="AG5" s="592"/>
      <c r="AH5" s="592"/>
      <c r="AI5" s="592">
        <v>0</v>
      </c>
      <c r="AJ5" s="592">
        <v>1</v>
      </c>
      <c r="AK5" s="592"/>
      <c r="AL5" s="592"/>
      <c r="AM5" s="592"/>
      <c r="AN5" s="592"/>
      <c r="AO5" s="592"/>
      <c r="AP5" s="592"/>
      <c r="AQ5" s="592"/>
      <c r="AR5" s="592"/>
      <c r="AS5" s="590"/>
      <c r="AT5" s="590"/>
      <c r="AU5" s="590"/>
      <c r="AV5" s="590"/>
      <c r="AW5" s="590"/>
      <c r="AX5" s="590"/>
      <c r="AY5" s="590"/>
      <c r="AZ5" s="590"/>
      <c r="BA5" s="590"/>
      <c r="BB5" s="590"/>
      <c r="BC5" s="590"/>
      <c r="BD5" s="590"/>
      <c r="BE5" s="590"/>
      <c r="BF5" s="590"/>
      <c r="BG5" s="590"/>
      <c r="BH5" s="590"/>
      <c r="BI5" s="590"/>
      <c r="BJ5" s="590"/>
      <c r="BK5" s="591"/>
      <c r="BL5" s="591"/>
      <c r="BM5" s="591"/>
      <c r="BN5" s="591"/>
      <c r="BO5" s="591"/>
      <c r="BP5" s="591"/>
      <c r="BQ5" s="591"/>
      <c r="BR5" s="591"/>
      <c r="BS5" s="591"/>
      <c r="BT5" s="591"/>
      <c r="BU5" s="591"/>
      <c r="BV5" s="591"/>
      <c r="BW5" s="591"/>
      <c r="BX5" s="591"/>
      <c r="BY5" s="591"/>
      <c r="BZ5" s="591"/>
      <c r="CA5" s="591"/>
      <c r="CB5" s="591"/>
      <c r="CC5" s="591"/>
      <c r="CD5" s="591"/>
      <c r="CE5" s="591"/>
      <c r="CF5" s="591"/>
    </row>
    <row r="6" spans="1:84">
      <c r="A6" s="590"/>
      <c r="B6" s="597" t="s">
        <v>349</v>
      </c>
      <c r="C6" s="597" t="s">
        <v>354</v>
      </c>
      <c r="D6" s="592"/>
      <c r="E6" s="595">
        <f>(+E8-((H15/100)*E7))/H25</f>
        <v>395447.05513210944</v>
      </c>
      <c r="F6" s="602" t="s">
        <v>351</v>
      </c>
      <c r="G6" s="592"/>
      <c r="H6" s="603"/>
      <c r="I6" s="592"/>
      <c r="J6" s="604">
        <f>E6/E7</f>
        <v>0.13690179125211699</v>
      </c>
      <c r="K6" s="592" t="s">
        <v>355</v>
      </c>
      <c r="L6" s="598"/>
      <c r="M6" s="592"/>
      <c r="N6" s="597" t="s">
        <v>356</v>
      </c>
      <c r="O6" s="592"/>
      <c r="P6" s="592"/>
      <c r="Q6" s="597" t="s">
        <v>357</v>
      </c>
      <c r="R6" s="592"/>
      <c r="S6" s="592"/>
      <c r="T6" s="592"/>
      <c r="U6" s="599">
        <f>$E$8*1.25</f>
        <v>3644313.0472393492</v>
      </c>
      <c r="V6" s="600">
        <f>100*(+U6/$E$9)</f>
        <v>215.03426840578405</v>
      </c>
      <c r="W6" s="601">
        <f>EXP(5.70827-(0.68367*LN(+V6)))</f>
        <v>7.6631025872306866</v>
      </c>
      <c r="X6" s="601">
        <f>(+W6*V6)/100</f>
        <v>16.478296585636215</v>
      </c>
      <c r="Y6" s="600">
        <f>100*((((X6/100)-((X6/100)-0.03574)*$E$21)-0.03574-0.00619)/0.344)</f>
        <v>22.9588248445346</v>
      </c>
      <c r="Z6" s="592">
        <f>$E$20</f>
        <v>0.25</v>
      </c>
      <c r="AA6" s="600">
        <f>Y6+Z6</f>
        <v>23.2088248445346</v>
      </c>
      <c r="AB6" s="600">
        <f>100*($E$17*$E$19+($E$18*(AA6/100))/(1-$E$21))</f>
        <v>22.327436782496658</v>
      </c>
      <c r="AC6" s="601">
        <f>AB6/V6</f>
        <v>0.1038319936074714</v>
      </c>
      <c r="AD6" s="599">
        <f>$E$8/(1-AC6)</f>
        <v>3253240.9291506098</v>
      </c>
      <c r="AE6" s="592" t="str">
        <f>IF(AD6=$U$6,"yes","not yet")</f>
        <v>not yet</v>
      </c>
      <c r="AF6" s="600">
        <f>100*(1-AC6)</f>
        <v>89.616800639252858</v>
      </c>
      <c r="AG6" s="592"/>
      <c r="AH6" s="592"/>
      <c r="AI6" s="592">
        <v>50</v>
      </c>
      <c r="AJ6" s="592">
        <v>2</v>
      </c>
      <c r="AK6" s="592"/>
      <c r="AL6" s="592"/>
      <c r="AM6" s="592"/>
      <c r="AN6" s="592"/>
      <c r="AO6" s="592"/>
      <c r="AP6" s="592"/>
      <c r="AQ6" s="592"/>
      <c r="AR6" s="592"/>
      <c r="AS6" s="590"/>
      <c r="AT6" s="590"/>
      <c r="AU6" s="590"/>
      <c r="AV6" s="590"/>
      <c r="AW6" s="590"/>
      <c r="AX6" s="590"/>
      <c r="AY6" s="590"/>
      <c r="AZ6" s="590"/>
      <c r="BA6" s="590"/>
      <c r="BB6" s="590"/>
      <c r="BC6" s="590"/>
      <c r="BD6" s="590"/>
      <c r="BE6" s="590"/>
      <c r="BF6" s="590"/>
      <c r="BG6" s="590"/>
      <c r="BH6" s="590"/>
      <c r="BI6" s="590"/>
      <c r="BJ6" s="590"/>
      <c r="BK6" s="591"/>
      <c r="BL6" s="591"/>
      <c r="BM6" s="591"/>
      <c r="BN6" s="591"/>
      <c r="BO6" s="591"/>
      <c r="BP6" s="591"/>
      <c r="BQ6" s="591"/>
      <c r="BR6" s="591"/>
      <c r="BS6" s="591"/>
      <c r="BT6" s="591"/>
      <c r="BU6" s="591"/>
      <c r="BV6" s="591"/>
      <c r="BW6" s="591"/>
      <c r="BX6" s="591"/>
      <c r="BY6" s="591"/>
      <c r="BZ6" s="591"/>
      <c r="CA6" s="591"/>
      <c r="CB6" s="591"/>
      <c r="CC6" s="591"/>
      <c r="CD6" s="591"/>
      <c r="CE6" s="591"/>
      <c r="CF6" s="591"/>
    </row>
    <row r="7" spans="1:84">
      <c r="A7" s="590"/>
      <c r="B7" s="605" t="s">
        <v>358</v>
      </c>
      <c r="C7" s="597" t="s">
        <v>87</v>
      </c>
      <c r="D7" s="605" t="s">
        <v>359</v>
      </c>
      <c r="E7" s="606">
        <f>'Consolidated IS'!P18</f>
        <v>2888545.5151120559</v>
      </c>
      <c r="F7" s="597" t="s">
        <v>360</v>
      </c>
      <c r="G7" s="592"/>
      <c r="H7" s="607"/>
      <c r="I7" s="592"/>
      <c r="J7" s="597"/>
      <c r="K7" s="592"/>
      <c r="L7" s="598"/>
      <c r="M7" s="592"/>
      <c r="N7" s="597" t="s">
        <v>361</v>
      </c>
      <c r="O7" s="592"/>
      <c r="P7" s="592"/>
      <c r="Q7" s="597" t="s">
        <v>362</v>
      </c>
      <c r="R7" s="592"/>
      <c r="S7" s="592"/>
      <c r="T7" s="592"/>
      <c r="U7" s="599">
        <f>$E$8*1.25</f>
        <v>3644313.0472393492</v>
      </c>
      <c r="V7" s="600">
        <f>100*(+U7/$E$9)</f>
        <v>215.03426840578405</v>
      </c>
      <c r="W7" s="601">
        <f>EXP(5.6985-(0.68367*LN(V7)))</f>
        <v>7.5885986194699964</v>
      </c>
      <c r="X7" s="601">
        <f>(+W7*V7)/100</f>
        <v>16.318087523628733</v>
      </c>
      <c r="Y7" s="600">
        <f>100*((((X7/100)-((X7/100)-0.03574)*$E$21)-0.03574-0.00619)/0.344)</f>
        <v>22.651446993008616</v>
      </c>
      <c r="Z7" s="592">
        <f>$E$20</f>
        <v>0.25</v>
      </c>
      <c r="AA7" s="600">
        <f>Y7+Z7</f>
        <v>22.901446993008616</v>
      </c>
      <c r="AB7" s="600">
        <f>100*($E$17*$E$19+($E$18*(AA7/100))/(1-$E$21))</f>
        <v>22.048002372018491</v>
      </c>
      <c r="AC7" s="601">
        <f>AB7/V7</f>
        <v>0.10253250579769191</v>
      </c>
      <c r="AD7" s="599">
        <f>$E$8/(1-AC7)</f>
        <v>3248530.3998478581</v>
      </c>
      <c r="AE7" s="592" t="str">
        <f>IF(AD7=$U$7,"yes","not yet")</f>
        <v>not yet</v>
      </c>
      <c r="AF7" s="600">
        <f>100*(1-AC7)</f>
        <v>89.746749420230813</v>
      </c>
      <c r="AG7" s="592"/>
      <c r="AH7" s="592"/>
      <c r="AI7" s="592">
        <v>125</v>
      </c>
      <c r="AJ7" s="592">
        <v>3</v>
      </c>
      <c r="AK7" s="592"/>
      <c r="AL7" s="592"/>
      <c r="AM7" s="592"/>
      <c r="AN7" s="592"/>
      <c r="AO7" s="592"/>
      <c r="AP7" s="592"/>
      <c r="AQ7" s="592"/>
      <c r="AR7" s="592"/>
      <c r="AS7" s="590"/>
      <c r="AT7" s="590"/>
      <c r="AU7" s="590"/>
      <c r="AV7" s="590"/>
      <c r="AW7" s="590"/>
      <c r="AX7" s="590"/>
      <c r="AY7" s="590"/>
      <c r="AZ7" s="590"/>
      <c r="BA7" s="590"/>
      <c r="BB7" s="590"/>
      <c r="BC7" s="590"/>
      <c r="BD7" s="590"/>
      <c r="BE7" s="590"/>
      <c r="BF7" s="590"/>
      <c r="BG7" s="590"/>
      <c r="BH7" s="590"/>
      <c r="BI7" s="590"/>
      <c r="BJ7" s="590"/>
      <c r="BK7" s="591"/>
      <c r="BL7" s="591"/>
      <c r="BM7" s="591"/>
      <c r="BN7" s="591"/>
      <c r="BO7" s="591"/>
      <c r="BP7" s="591"/>
      <c r="BQ7" s="591"/>
      <c r="BR7" s="591"/>
      <c r="BS7" s="591"/>
      <c r="BT7" s="591"/>
      <c r="BU7" s="591"/>
      <c r="BV7" s="591"/>
      <c r="BW7" s="591"/>
      <c r="BX7" s="591"/>
      <c r="BY7" s="591"/>
      <c r="BZ7" s="591"/>
      <c r="CA7" s="591"/>
      <c r="CB7" s="591"/>
      <c r="CC7" s="591"/>
      <c r="CD7" s="591"/>
      <c r="CE7" s="591"/>
      <c r="CF7" s="591"/>
    </row>
    <row r="8" spans="1:84">
      <c r="A8" s="590"/>
      <c r="B8" s="605" t="s">
        <v>358</v>
      </c>
      <c r="C8" s="597" t="s">
        <v>363</v>
      </c>
      <c r="D8" s="605" t="s">
        <v>359</v>
      </c>
      <c r="E8" s="606">
        <f>'Consolidated IS'!P261</f>
        <v>2915450.4377914793</v>
      </c>
      <c r="F8" s="597" t="s">
        <v>360</v>
      </c>
      <c r="G8" s="592"/>
      <c r="H8" s="607"/>
      <c r="I8" s="592"/>
      <c r="J8" s="604"/>
      <c r="K8" s="603"/>
      <c r="L8" s="598"/>
      <c r="M8" s="592"/>
      <c r="N8" s="597" t="s">
        <v>364</v>
      </c>
      <c r="O8" s="592"/>
      <c r="P8" s="592"/>
      <c r="Q8" s="597" t="s">
        <v>365</v>
      </c>
      <c r="R8" s="592"/>
      <c r="S8" s="592"/>
      <c r="T8" s="592"/>
      <c r="U8" s="599">
        <f>$E$8*1.25</f>
        <v>3644313.0472393492</v>
      </c>
      <c r="V8" s="600">
        <f>100*(+U8/$E$9)</f>
        <v>215.03426840578405</v>
      </c>
      <c r="W8" s="601">
        <f>EXP(5.6922-(0.68367*LN(V8)))</f>
        <v>7.5409407281533509</v>
      </c>
      <c r="X8" s="601">
        <f>(+W8*V8)/100</f>
        <v>16.215606725698361</v>
      </c>
      <c r="Y8" s="600">
        <f>100*((((X8/100)-((X8/100)-0.03574)*$E$21)-0.03574-0.00619)/0.344)</f>
        <v>22.45482685744453</v>
      </c>
      <c r="Z8" s="592">
        <f>$E$20</f>
        <v>0.25</v>
      </c>
      <c r="AA8" s="600">
        <f>Y8+Z8</f>
        <v>22.70482685744453</v>
      </c>
      <c r="AB8" s="600">
        <f>100*($E$17*$E$19+($E$18*(AA8/100))/(1-$E$21))</f>
        <v>21.86925679423296</v>
      </c>
      <c r="AC8" s="601">
        <f>AB8/V8</f>
        <v>0.10170126350728531</v>
      </c>
      <c r="AD8" s="599">
        <f>$E$8/(1-AC8)</f>
        <v>3245524.3666204624</v>
      </c>
      <c r="AE8" s="592" t="str">
        <f>IF(AD8=$U$8,"yes","not yet")</f>
        <v>not yet</v>
      </c>
      <c r="AF8" s="600">
        <f>100*(1-AC8)</f>
        <v>89.829873649271462</v>
      </c>
      <c r="AG8" s="592"/>
      <c r="AH8" s="592"/>
      <c r="AI8" s="592">
        <v>401</v>
      </c>
      <c r="AJ8" s="592">
        <v>4</v>
      </c>
      <c r="AK8" s="592"/>
      <c r="AL8" s="592"/>
      <c r="AM8" s="592"/>
      <c r="AN8" s="592"/>
      <c r="AO8" s="592"/>
      <c r="AP8" s="592"/>
      <c r="AQ8" s="592"/>
      <c r="AR8" s="592"/>
      <c r="AS8" s="590"/>
      <c r="AT8" s="590"/>
      <c r="AU8" s="590"/>
      <c r="AV8" s="590"/>
      <c r="AW8" s="590"/>
      <c r="AX8" s="590"/>
      <c r="AY8" s="590"/>
      <c r="AZ8" s="590"/>
      <c r="BA8" s="590"/>
      <c r="BB8" s="590"/>
      <c r="BC8" s="590"/>
      <c r="BD8" s="590"/>
      <c r="BE8" s="590"/>
      <c r="BF8" s="590"/>
      <c r="BG8" s="590"/>
      <c r="BH8" s="590"/>
      <c r="BI8" s="590"/>
      <c r="BJ8" s="590"/>
      <c r="BK8" s="591"/>
      <c r="BL8" s="591"/>
      <c r="BM8" s="591"/>
      <c r="BN8" s="591"/>
      <c r="BO8" s="591"/>
      <c r="BP8" s="591"/>
      <c r="BQ8" s="591"/>
      <c r="BR8" s="591"/>
      <c r="BS8" s="591"/>
      <c r="BT8" s="591"/>
      <c r="BU8" s="591"/>
      <c r="BV8" s="591"/>
      <c r="BW8" s="591"/>
      <c r="BX8" s="591"/>
      <c r="BY8" s="591"/>
      <c r="BZ8" s="591"/>
      <c r="CA8" s="591"/>
      <c r="CB8" s="591"/>
      <c r="CC8" s="591"/>
      <c r="CD8" s="591"/>
      <c r="CE8" s="591"/>
      <c r="CF8" s="591"/>
    </row>
    <row r="9" spans="1:84">
      <c r="A9" s="590"/>
      <c r="B9" s="605" t="s">
        <v>358</v>
      </c>
      <c r="C9" s="597" t="s">
        <v>366</v>
      </c>
      <c r="D9" s="592"/>
      <c r="E9" s="606">
        <f>'Consolidated IS'!P267</f>
        <v>1694759.2001300403</v>
      </c>
      <c r="F9" s="597" t="s">
        <v>360</v>
      </c>
      <c r="G9" s="592"/>
      <c r="H9" s="592"/>
      <c r="I9" s="592"/>
      <c r="J9" s="675"/>
      <c r="K9" s="608"/>
      <c r="L9" s="598"/>
      <c r="M9" s="592"/>
      <c r="N9" s="592"/>
      <c r="O9" s="592"/>
      <c r="P9" s="592"/>
      <c r="Q9" s="592"/>
      <c r="R9" s="592"/>
      <c r="S9" s="592"/>
      <c r="T9" s="592"/>
      <c r="U9" s="592"/>
      <c r="V9" s="592"/>
      <c r="W9" s="592"/>
      <c r="X9" s="592"/>
      <c r="Y9" s="592"/>
      <c r="Z9" s="592"/>
      <c r="AA9" s="600"/>
      <c r="AB9" s="592"/>
      <c r="AC9" s="592"/>
      <c r="AD9" s="592"/>
      <c r="AE9" s="592"/>
      <c r="AF9" s="592"/>
      <c r="AG9" s="592"/>
      <c r="AH9" s="592"/>
      <c r="AI9" s="592"/>
      <c r="AJ9" s="592"/>
      <c r="AK9" s="592"/>
      <c r="AL9" s="592"/>
      <c r="AM9" s="592"/>
      <c r="AN9" s="592"/>
      <c r="AO9" s="592"/>
      <c r="AP9" s="592"/>
      <c r="AQ9" s="592"/>
      <c r="AR9" s="592"/>
      <c r="AS9" s="590"/>
      <c r="AT9" s="590"/>
      <c r="AU9" s="590"/>
      <c r="AV9" s="590"/>
      <c r="AW9" s="590"/>
      <c r="AX9" s="590"/>
      <c r="AY9" s="590"/>
      <c r="AZ9" s="590"/>
      <c r="BA9" s="590"/>
      <c r="BB9" s="590"/>
      <c r="BC9" s="590"/>
      <c r="BD9" s="590"/>
      <c r="BE9" s="590"/>
      <c r="BF9" s="590"/>
      <c r="BG9" s="590"/>
      <c r="BH9" s="590"/>
      <c r="BI9" s="590"/>
      <c r="BJ9" s="590"/>
      <c r="BK9" s="591"/>
      <c r="BL9" s="591"/>
      <c r="BM9" s="591"/>
      <c r="BN9" s="591"/>
      <c r="BO9" s="591"/>
      <c r="BP9" s="591"/>
      <c r="BQ9" s="591"/>
      <c r="BR9" s="591"/>
      <c r="BS9" s="591"/>
      <c r="BT9" s="591"/>
      <c r="BU9" s="591"/>
      <c r="BV9" s="591"/>
      <c r="BW9" s="591"/>
      <c r="BX9" s="591"/>
      <c r="BY9" s="591"/>
      <c r="BZ9" s="591"/>
      <c r="CA9" s="591"/>
      <c r="CB9" s="591"/>
      <c r="CC9" s="591"/>
      <c r="CD9" s="591"/>
      <c r="CE9" s="591"/>
      <c r="CF9" s="591"/>
    </row>
    <row r="10" spans="1:84">
      <c r="A10" s="590"/>
      <c r="B10" s="594"/>
      <c r="C10" s="597" t="s">
        <v>367</v>
      </c>
      <c r="D10" s="592"/>
      <c r="E10" s="600">
        <f>V5</f>
        <v>215.03426840578405</v>
      </c>
      <c r="F10" s="597" t="s">
        <v>368</v>
      </c>
      <c r="G10" s="592"/>
      <c r="H10" s="600"/>
      <c r="I10" s="600"/>
      <c r="J10" s="594"/>
      <c r="K10" s="596"/>
      <c r="L10" s="592"/>
      <c r="M10" s="592"/>
      <c r="N10" s="592"/>
      <c r="O10" s="592"/>
      <c r="P10" s="592"/>
      <c r="Q10" s="592"/>
      <c r="R10" s="592"/>
      <c r="S10" s="592"/>
      <c r="T10" s="592"/>
      <c r="U10" s="592"/>
      <c r="V10" s="609" t="s">
        <v>369</v>
      </c>
      <c r="W10" s="609" t="s">
        <v>331</v>
      </c>
      <c r="X10" s="609" t="s">
        <v>341</v>
      </c>
      <c r="Y10" s="609" t="s">
        <v>342</v>
      </c>
      <c r="Z10" s="592"/>
      <c r="AA10" s="600"/>
      <c r="AB10" s="592"/>
      <c r="AC10" s="592"/>
      <c r="AD10" s="592"/>
      <c r="AE10" s="592"/>
      <c r="AF10" s="592"/>
      <c r="AG10" s="592"/>
      <c r="AH10" s="592"/>
      <c r="AI10" s="592" t="s">
        <v>370</v>
      </c>
      <c r="AJ10" s="592"/>
      <c r="AK10" s="592"/>
      <c r="AL10" s="592"/>
      <c r="AM10" s="592"/>
      <c r="AN10" s="592"/>
      <c r="AO10" s="592"/>
      <c r="AP10" s="592"/>
      <c r="AQ10" s="592"/>
      <c r="AR10" s="592"/>
      <c r="AS10" s="590"/>
      <c r="AT10" s="590"/>
      <c r="AU10" s="590"/>
      <c r="AV10" s="590"/>
      <c r="AW10" s="590"/>
      <c r="AX10" s="590"/>
      <c r="AY10" s="590"/>
      <c r="AZ10" s="590"/>
      <c r="BA10" s="590"/>
      <c r="BB10" s="590"/>
      <c r="BC10" s="590"/>
      <c r="BD10" s="590"/>
      <c r="BE10" s="590"/>
      <c r="BF10" s="590"/>
      <c r="BG10" s="590"/>
      <c r="BH10" s="590"/>
      <c r="BI10" s="590"/>
      <c r="BJ10" s="590"/>
      <c r="BK10" s="591"/>
      <c r="BL10" s="591"/>
      <c r="BM10" s="591"/>
      <c r="BN10" s="591"/>
      <c r="BO10" s="591"/>
      <c r="BP10" s="591"/>
      <c r="BQ10" s="591"/>
      <c r="BR10" s="591"/>
      <c r="BS10" s="591"/>
      <c r="BT10" s="591"/>
      <c r="BU10" s="591"/>
      <c r="BV10" s="591"/>
      <c r="BW10" s="591"/>
      <c r="BX10" s="591"/>
      <c r="BY10" s="591"/>
      <c r="BZ10" s="591"/>
      <c r="CA10" s="591"/>
      <c r="CB10" s="591"/>
      <c r="CC10" s="591"/>
      <c r="CD10" s="591"/>
      <c r="CE10" s="591"/>
      <c r="CF10" s="591"/>
    </row>
    <row r="11" spans="1:84">
      <c r="A11" s="590"/>
      <c r="B11" s="594"/>
      <c r="C11" s="597" t="s">
        <v>371</v>
      </c>
      <c r="D11" s="592"/>
      <c r="E11" s="600">
        <f>HLOOKUP($AJ$34,$AJ$28:$AR$32,($E$12)+1)</f>
        <v>193.12413231029285</v>
      </c>
      <c r="F11" s="597" t="s">
        <v>368</v>
      </c>
      <c r="G11" s="592"/>
      <c r="H11" s="592"/>
      <c r="I11" s="592"/>
      <c r="J11" s="605"/>
      <c r="K11" s="595"/>
      <c r="L11" s="592"/>
      <c r="M11" s="592"/>
      <c r="N11" s="592"/>
      <c r="O11" s="592"/>
      <c r="P11" s="592"/>
      <c r="Q11" s="592"/>
      <c r="R11" s="592"/>
      <c r="S11" s="592"/>
      <c r="T11" s="592"/>
      <c r="U11" s="592"/>
      <c r="V11" s="600">
        <f>100*(+AD5/$E$9)</f>
        <v>192.3729969666241</v>
      </c>
      <c r="W11" s="610">
        <f>EXP(5.7226-(0.68367*LN(+V11)))</f>
        <v>8.3886639683221489</v>
      </c>
      <c r="X11" s="601">
        <f>(+W11*V11)/100</f>
        <v>16.137524281320658</v>
      </c>
      <c r="Y11" s="600">
        <f>100*((((X11/100)-((X11/100)-0.03574)*$E$21)-0.03574-0.00619)/0.344)</f>
        <v>22.305017516487307</v>
      </c>
      <c r="Z11" s="592">
        <f>$E$20</f>
        <v>0.25</v>
      </c>
      <c r="AA11" s="600">
        <f>Y11+Z11</f>
        <v>22.555017516487307</v>
      </c>
      <c r="AB11" s="600">
        <f>100*($E$17*$E$19+($E$18*(AA11/100))/(1-$E$21))</f>
        <v>21.733066484271852</v>
      </c>
      <c r="AC11" s="601">
        <f>AB11/V11</f>
        <v>0.11297358167187282</v>
      </c>
      <c r="AD11" s="599">
        <f>$E$8/(1-AC11)</f>
        <v>3286768.440658778</v>
      </c>
      <c r="AE11" s="592" t="str">
        <f>IF(AD11=AD5,"yes","not yet")</f>
        <v>not yet</v>
      </c>
      <c r="AF11" s="600">
        <f>100*(1-AC11)</f>
        <v>88.702641832812716</v>
      </c>
      <c r="AG11" s="592"/>
      <c r="AH11" s="592"/>
      <c r="AI11" s="592"/>
      <c r="AJ11" s="592"/>
      <c r="AK11" s="592"/>
      <c r="AL11" s="592"/>
      <c r="AM11" s="592"/>
      <c r="AN11" s="592"/>
      <c r="AO11" s="592"/>
      <c r="AP11" s="592"/>
      <c r="AQ11" s="592"/>
      <c r="AR11" s="592"/>
      <c r="AS11" s="590"/>
      <c r="AT11" s="590"/>
      <c r="AU11" s="590"/>
      <c r="AV11" s="590"/>
      <c r="AW11" s="590"/>
      <c r="AX11" s="590"/>
      <c r="AY11" s="590"/>
      <c r="AZ11" s="590"/>
      <c r="BA11" s="590"/>
      <c r="BB11" s="590"/>
      <c r="BC11" s="590"/>
      <c r="BD11" s="590"/>
      <c r="BE11" s="590"/>
      <c r="BF11" s="590"/>
      <c r="BG11" s="590"/>
      <c r="BH11" s="590"/>
      <c r="BI11" s="590"/>
      <c r="BJ11" s="590"/>
      <c r="BK11" s="591"/>
      <c r="BL11" s="591"/>
      <c r="BM11" s="591"/>
      <c r="BN11" s="591"/>
      <c r="BO11" s="591"/>
      <c r="BP11" s="591"/>
      <c r="BQ11" s="591"/>
      <c r="BR11" s="591"/>
      <c r="BS11" s="591"/>
      <c r="BT11" s="591"/>
      <c r="BU11" s="591"/>
      <c r="BV11" s="591"/>
      <c r="BW11" s="591"/>
      <c r="BX11" s="591"/>
      <c r="BY11" s="591"/>
      <c r="BZ11" s="591"/>
      <c r="CA11" s="591"/>
      <c r="CB11" s="591"/>
      <c r="CC11" s="591"/>
      <c r="CD11" s="591"/>
      <c r="CE11" s="591"/>
      <c r="CF11" s="591"/>
    </row>
    <row r="12" spans="1:84">
      <c r="A12" s="590"/>
      <c r="B12" s="594"/>
      <c r="C12" s="597" t="s">
        <v>372</v>
      </c>
      <c r="D12" s="592"/>
      <c r="E12" s="592">
        <f>VLOOKUP(E10,AI5:AJ8,2)</f>
        <v>3</v>
      </c>
      <c r="F12" s="597" t="s">
        <v>368</v>
      </c>
      <c r="G12" s="592"/>
      <c r="H12" s="592"/>
      <c r="I12" s="592"/>
      <c r="J12" s="605"/>
      <c r="K12" s="595"/>
      <c r="L12" s="592"/>
      <c r="M12" s="592"/>
      <c r="N12" s="592"/>
      <c r="O12" s="592"/>
      <c r="P12" s="592"/>
      <c r="Q12" s="592"/>
      <c r="R12" s="592"/>
      <c r="S12" s="592"/>
      <c r="T12" s="592"/>
      <c r="U12" s="592"/>
      <c r="V12" s="600">
        <f>100*(+AD6/$E$9)</f>
        <v>191.95888884397181</v>
      </c>
      <c r="W12" s="610">
        <f>EXP(5.70827-(0.68367*LN(+V12)))</f>
        <v>8.2815035701869579</v>
      </c>
      <c r="X12" s="601">
        <f>(+W12*V12)/100</f>
        <v>15.897082232904738</v>
      </c>
      <c r="Y12" s="600">
        <f>100*((((X12/100)-((X12/100)-0.03574)*$E$21)-0.03574-0.00619)/0.344)</f>
        <v>21.843704284061417</v>
      </c>
      <c r="Z12" s="592">
        <f>$E$20</f>
        <v>0.25</v>
      </c>
      <c r="AA12" s="600">
        <f>Y12+Z12</f>
        <v>22.093704284061417</v>
      </c>
      <c r="AB12" s="600">
        <f>100*($E$17*$E$19+($E$18*(AA12/100))/(1-$E$21))</f>
        <v>21.313690818430132</v>
      </c>
      <c r="AC12" s="601">
        <f>AB12/V12</f>
        <v>0.11103258070927023</v>
      </c>
      <c r="AD12" s="599">
        <f>$E$8/(1-AC12)</f>
        <v>3279592.0013779541</v>
      </c>
      <c r="AE12" s="592" t="str">
        <f>IF(AD12=AD6,"yes","not yet")</f>
        <v>not yet</v>
      </c>
      <c r="AF12" s="600">
        <f>100*(1-AC12)</f>
        <v>88.896741929072974</v>
      </c>
      <c r="AG12" s="592"/>
      <c r="AH12" s="592"/>
      <c r="AI12" s="592"/>
      <c r="AJ12" s="592"/>
      <c r="AK12" s="592"/>
      <c r="AL12" s="592"/>
      <c r="AM12" s="592"/>
      <c r="AN12" s="592"/>
      <c r="AO12" s="592"/>
      <c r="AP12" s="592"/>
      <c r="AQ12" s="592"/>
      <c r="AR12" s="592"/>
      <c r="AS12" s="590"/>
      <c r="AT12" s="590"/>
      <c r="AU12" s="590"/>
      <c r="AV12" s="590"/>
      <c r="AW12" s="590"/>
      <c r="AX12" s="590"/>
      <c r="AY12" s="590"/>
      <c r="AZ12" s="590"/>
      <c r="BA12" s="590"/>
      <c r="BB12" s="590"/>
      <c r="BC12" s="590"/>
      <c r="BD12" s="590"/>
      <c r="BE12" s="590"/>
      <c r="BF12" s="590"/>
      <c r="BG12" s="590"/>
      <c r="BH12" s="590"/>
      <c r="BI12" s="590"/>
      <c r="BJ12" s="590"/>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row>
    <row r="13" spans="1:84">
      <c r="A13" s="590"/>
      <c r="B13" s="594"/>
      <c r="C13" s="592"/>
      <c r="D13" s="592"/>
      <c r="E13" s="592"/>
      <c r="F13" s="592"/>
      <c r="G13" s="592"/>
      <c r="H13" s="592"/>
      <c r="I13" s="592"/>
      <c r="J13" s="605"/>
      <c r="L13" s="611"/>
      <c r="M13" s="596"/>
      <c r="N13" s="595"/>
      <c r="O13" s="592"/>
      <c r="P13" s="592"/>
      <c r="Q13" s="592"/>
      <c r="R13" s="592"/>
      <c r="S13" s="592"/>
      <c r="T13" s="592"/>
      <c r="U13" s="592"/>
      <c r="V13" s="600">
        <f>100*(+AD7/$E$9)</f>
        <v>191.68094202401119</v>
      </c>
      <c r="W13" s="610">
        <f>EXP(5.6985-(0.68367*LN(V13)))</f>
        <v>8.2091154711064931</v>
      </c>
      <c r="X13" s="601">
        <f>(+W13*V13)/100</f>
        <v>15.73530986685577</v>
      </c>
      <c r="Y13" s="600">
        <f>100*((((X13/100)-((X13/100)-0.03574)*$E$21)-0.03574-0.00619)/0.344)</f>
        <v>21.533327070130259</v>
      </c>
      <c r="Z13" s="592">
        <f>$E$20</f>
        <v>0.25</v>
      </c>
      <c r="AA13" s="600">
        <f>Y13+Z13</f>
        <v>21.783327070130259</v>
      </c>
      <c r="AB13" s="600">
        <f>100*($E$17*$E$19+($E$18*(AA13/100))/(1-$E$21))</f>
        <v>21.031529714856351</v>
      </c>
      <c r="AC13" s="601">
        <f>AB13/V13</f>
        <v>0.10972154817677078</v>
      </c>
      <c r="AD13" s="599">
        <f>$E$8/(1-AC13)</f>
        <v>3274762.4429422468</v>
      </c>
      <c r="AE13" s="592" t="str">
        <f>IF(AD13=AD7,"yes","not yet")</f>
        <v>not yet</v>
      </c>
      <c r="AF13" s="600">
        <f>100*(1-AC13)</f>
        <v>89.02784518232292</v>
      </c>
      <c r="AG13" s="592"/>
      <c r="AH13" s="592"/>
      <c r="AI13" s="592"/>
      <c r="AJ13" s="592">
        <v>1</v>
      </c>
      <c r="AK13" s="592">
        <v>2</v>
      </c>
      <c r="AL13" s="592">
        <v>3</v>
      </c>
      <c r="AM13" s="592">
        <v>4</v>
      </c>
      <c r="AN13" s="592">
        <v>5</v>
      </c>
      <c r="AO13" s="592">
        <v>6</v>
      </c>
      <c r="AP13" s="592">
        <v>7</v>
      </c>
      <c r="AQ13" s="592">
        <v>8</v>
      </c>
      <c r="AR13" s="592">
        <v>9</v>
      </c>
      <c r="AS13" s="590"/>
      <c r="AT13" s="590"/>
      <c r="AU13" s="590"/>
      <c r="AV13" s="590"/>
      <c r="AW13" s="590"/>
      <c r="AX13" s="590"/>
      <c r="AY13" s="590"/>
      <c r="AZ13" s="590"/>
      <c r="BA13" s="590"/>
      <c r="BB13" s="590"/>
      <c r="BC13" s="590"/>
      <c r="BD13" s="590"/>
      <c r="BE13" s="590"/>
      <c r="BF13" s="590"/>
      <c r="BG13" s="590"/>
      <c r="BH13" s="590"/>
      <c r="BI13" s="590"/>
      <c r="BJ13" s="590"/>
      <c r="BK13" s="591"/>
      <c r="BL13" s="591"/>
      <c r="BM13" s="591"/>
      <c r="BN13" s="591"/>
      <c r="BO13" s="591"/>
      <c r="BP13" s="591"/>
      <c r="BQ13" s="591"/>
      <c r="BR13" s="591"/>
      <c r="BS13" s="591"/>
      <c r="BT13" s="591"/>
      <c r="BU13" s="591"/>
      <c r="BV13" s="591"/>
      <c r="BW13" s="591"/>
      <c r="BX13" s="591"/>
      <c r="BY13" s="591"/>
      <c r="BZ13" s="591"/>
      <c r="CA13" s="591"/>
      <c r="CB13" s="591"/>
      <c r="CC13" s="591"/>
      <c r="CD13" s="591"/>
      <c r="CE13" s="591"/>
      <c r="CF13" s="591"/>
    </row>
    <row r="14" spans="1:84">
      <c r="A14" s="590"/>
      <c r="B14" s="594"/>
      <c r="C14" s="597" t="s">
        <v>373</v>
      </c>
      <c r="D14" s="592"/>
      <c r="E14" s="592"/>
      <c r="F14" s="592"/>
      <c r="G14" s="592"/>
      <c r="H14" s="592"/>
      <c r="I14" s="592"/>
      <c r="J14" s="594"/>
      <c r="L14" s="611"/>
      <c r="M14" s="596"/>
      <c r="N14" s="595"/>
      <c r="O14" s="592"/>
      <c r="P14" s="592"/>
      <c r="Q14" s="592"/>
      <c r="R14" s="592"/>
      <c r="S14" s="592"/>
      <c r="T14" s="592"/>
      <c r="U14" s="592"/>
      <c r="V14" s="600">
        <f>100*(+AD8/$E$9)</f>
        <v>191.50356973258681</v>
      </c>
      <c r="W14" s="610">
        <f>EXP(5.6922-(0.68367*LN(V14)))</f>
        <v>8.162725395624852</v>
      </c>
      <c r="X14" s="601">
        <f>(+W14*V14)/100</f>
        <v>15.631910520090011</v>
      </c>
      <c r="Y14" s="600">
        <f>100*((((X14/100)-((X14/100)-0.03574)*$E$21)-0.03574-0.00619)/0.344)</f>
        <v>21.334944602498283</v>
      </c>
      <c r="Z14" s="592">
        <f>$E$20</f>
        <v>0.25</v>
      </c>
      <c r="AA14" s="600">
        <f>Y14+Z14</f>
        <v>21.584944602498283</v>
      </c>
      <c r="AB14" s="600">
        <f>100*($E$17*$E$19+($E$18*(AA14/100))/(1-$E$21))</f>
        <v>20.851182017009101</v>
      </c>
      <c r="AC14" s="601">
        <f>AB14/V14</f>
        <v>0.10888142735994651</v>
      </c>
      <c r="AD14" s="599">
        <f>$E$8/(1-AC14)</f>
        <v>3271675.0916256658</v>
      </c>
      <c r="AE14" s="592" t="str">
        <f>IF(AD14=AD8,"yes","not yet")</f>
        <v>not yet</v>
      </c>
      <c r="AF14" s="600">
        <f>100*(1-AC14)</f>
        <v>89.111857264005351</v>
      </c>
      <c r="AG14" s="592"/>
      <c r="AH14" s="592"/>
      <c r="AI14" s="592"/>
      <c r="AJ14" s="592" t="str">
        <f>AE5</f>
        <v>not yet</v>
      </c>
      <c r="AK14" s="592" t="str">
        <f>AE11</f>
        <v>not yet</v>
      </c>
      <c r="AL14" s="592" t="str">
        <f>AE17</f>
        <v>not yet</v>
      </c>
      <c r="AM14" s="592" t="str">
        <f>AE23</f>
        <v>not yet</v>
      </c>
      <c r="AN14" s="592" t="str">
        <f>AE29</f>
        <v>not yet</v>
      </c>
      <c r="AO14" s="592" t="str">
        <f>AE35</f>
        <v>not yet</v>
      </c>
      <c r="AP14" s="592" t="str">
        <f>AE41</f>
        <v>yes</v>
      </c>
      <c r="AQ14" s="592" t="str">
        <f>AE47</f>
        <v>yes</v>
      </c>
      <c r="AR14" s="592" t="str">
        <f>AE53</f>
        <v>yes</v>
      </c>
      <c r="AS14" s="590"/>
      <c r="AT14" s="590"/>
      <c r="AU14" s="590"/>
      <c r="AV14" s="590"/>
      <c r="AW14" s="590"/>
      <c r="AX14" s="590"/>
      <c r="AY14" s="590"/>
      <c r="AZ14" s="590"/>
      <c r="BA14" s="590"/>
      <c r="BB14" s="590"/>
      <c r="BC14" s="590"/>
      <c r="BD14" s="590"/>
      <c r="BE14" s="590"/>
      <c r="BF14" s="590"/>
      <c r="BG14" s="590"/>
      <c r="BH14" s="590"/>
      <c r="BI14" s="590"/>
      <c r="BJ14" s="590"/>
      <c r="BK14" s="591"/>
      <c r="BL14" s="591"/>
      <c r="BM14" s="591"/>
      <c r="BN14" s="591"/>
      <c r="BO14" s="591"/>
      <c r="BP14" s="591"/>
      <c r="BQ14" s="591"/>
      <c r="BR14" s="591"/>
      <c r="BS14" s="591"/>
      <c r="BT14" s="591"/>
      <c r="BU14" s="591"/>
      <c r="BV14" s="591"/>
      <c r="BW14" s="591"/>
      <c r="BX14" s="591"/>
      <c r="BY14" s="591"/>
      <c r="BZ14" s="591"/>
      <c r="CA14" s="591"/>
      <c r="CB14" s="591"/>
      <c r="CC14" s="591"/>
      <c r="CD14" s="591"/>
      <c r="CE14" s="591"/>
      <c r="CF14" s="591"/>
    </row>
    <row r="15" spans="1:84">
      <c r="A15" s="590"/>
      <c r="B15" s="594"/>
      <c r="C15" s="597" t="s">
        <v>374</v>
      </c>
      <c r="D15" s="592"/>
      <c r="E15" s="605" t="s">
        <v>349</v>
      </c>
      <c r="F15" s="597" t="s">
        <v>375</v>
      </c>
      <c r="G15" s="592"/>
      <c r="H15" s="600">
        <f>HLOOKUP($AJ$25,$AJ$19:$AR$23,($E$12)+1)</f>
        <v>89.076078622394149</v>
      </c>
      <c r="I15" s="597" t="s">
        <v>351</v>
      </c>
      <c r="J15" s="590"/>
      <c r="L15" s="611"/>
      <c r="M15" s="596"/>
      <c r="N15" s="595"/>
      <c r="O15" s="592"/>
      <c r="P15" s="592"/>
      <c r="Q15" s="592"/>
      <c r="R15" s="592"/>
      <c r="S15" s="592"/>
      <c r="T15" s="592"/>
      <c r="U15" s="592"/>
      <c r="V15" s="592"/>
      <c r="W15" s="592"/>
      <c r="X15" s="592"/>
      <c r="Y15" s="592"/>
      <c r="Z15" s="592"/>
      <c r="AA15" s="600"/>
      <c r="AB15" s="592"/>
      <c r="AC15" s="592"/>
      <c r="AD15" s="592"/>
      <c r="AE15" s="592"/>
      <c r="AF15" s="592"/>
      <c r="AG15" s="592"/>
      <c r="AH15" s="592"/>
      <c r="AI15" s="592"/>
      <c r="AJ15" s="592" t="str">
        <f>AE6</f>
        <v>not yet</v>
      </c>
      <c r="AK15" s="592" t="str">
        <f>AE12</f>
        <v>not yet</v>
      </c>
      <c r="AL15" s="592" t="str">
        <f>AE18</f>
        <v>not yet</v>
      </c>
      <c r="AM15" s="592" t="str">
        <f>AE24</f>
        <v>not yet</v>
      </c>
      <c r="AN15" s="592" t="str">
        <f>AE30</f>
        <v>not yet</v>
      </c>
      <c r="AO15" s="592" t="str">
        <f>AE36</f>
        <v>not yet</v>
      </c>
      <c r="AP15" s="592" t="str">
        <f>AE42</f>
        <v>yes</v>
      </c>
      <c r="AQ15" s="592" t="str">
        <f>AE48</f>
        <v>yes</v>
      </c>
      <c r="AR15" s="592" t="str">
        <f>AE54</f>
        <v>yes</v>
      </c>
      <c r="AS15" s="590"/>
      <c r="AT15" s="590"/>
      <c r="AU15" s="590"/>
      <c r="AV15" s="590"/>
      <c r="AW15" s="590"/>
      <c r="AX15" s="590"/>
      <c r="AY15" s="590"/>
      <c r="AZ15" s="590"/>
      <c r="BA15" s="590"/>
      <c r="BB15" s="590"/>
      <c r="BC15" s="590"/>
      <c r="BD15" s="590"/>
      <c r="BE15" s="590"/>
      <c r="BF15" s="590"/>
      <c r="BG15" s="590"/>
      <c r="BH15" s="590"/>
      <c r="BI15" s="590"/>
      <c r="BJ15" s="590"/>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row>
    <row r="16" spans="1:84">
      <c r="A16" s="590"/>
      <c r="B16" s="594"/>
      <c r="C16" s="612"/>
      <c r="D16" s="612"/>
      <c r="E16" s="613"/>
      <c r="F16" s="592"/>
      <c r="G16" s="592"/>
      <c r="H16" s="612"/>
      <c r="I16" s="594"/>
      <c r="J16" s="590"/>
      <c r="K16" s="595"/>
      <c r="L16" s="592"/>
      <c r="M16" s="592"/>
      <c r="N16" s="592"/>
      <c r="O16" s="592"/>
      <c r="P16" s="592"/>
      <c r="Q16" s="592"/>
      <c r="R16" s="592"/>
      <c r="S16" s="592"/>
      <c r="T16" s="592"/>
      <c r="U16" s="592"/>
      <c r="V16" s="597" t="s">
        <v>376</v>
      </c>
      <c r="W16" s="609" t="s">
        <v>331</v>
      </c>
      <c r="X16" s="609" t="s">
        <v>341</v>
      </c>
      <c r="Y16" s="609" t="s">
        <v>342</v>
      </c>
      <c r="Z16" s="592"/>
      <c r="AA16" s="600"/>
      <c r="AB16" s="592"/>
      <c r="AC16" s="592"/>
      <c r="AD16" s="592"/>
      <c r="AE16" s="592"/>
      <c r="AF16" s="592"/>
      <c r="AG16" s="592"/>
      <c r="AH16" s="592"/>
      <c r="AI16" s="592"/>
      <c r="AJ16" s="592" t="str">
        <f>AE7</f>
        <v>not yet</v>
      </c>
      <c r="AK16" s="592" t="str">
        <f>AE13</f>
        <v>not yet</v>
      </c>
      <c r="AL16" s="592" t="str">
        <f>AE19</f>
        <v>not yet</v>
      </c>
      <c r="AM16" s="592" t="str">
        <f>AE25</f>
        <v>not yet</v>
      </c>
      <c r="AN16" s="592" t="str">
        <f>AE31</f>
        <v>not yet</v>
      </c>
      <c r="AO16" s="592" t="str">
        <f>AE37</f>
        <v>not yet</v>
      </c>
      <c r="AP16" s="592" t="str">
        <f>AE43</f>
        <v>yes</v>
      </c>
      <c r="AQ16" s="592" t="str">
        <f>AE49</f>
        <v>yes</v>
      </c>
      <c r="AR16" s="592" t="str">
        <f>AE55</f>
        <v>yes</v>
      </c>
      <c r="AS16" s="590"/>
      <c r="AT16" s="590"/>
      <c r="AU16" s="590"/>
      <c r="AV16" s="590"/>
      <c r="AW16" s="590"/>
      <c r="AX16" s="590"/>
      <c r="AY16" s="590"/>
      <c r="AZ16" s="590"/>
      <c r="BA16" s="590"/>
      <c r="BB16" s="590"/>
      <c r="BC16" s="590"/>
      <c r="BD16" s="590"/>
      <c r="BE16" s="590"/>
      <c r="BF16" s="590"/>
      <c r="BG16" s="590"/>
      <c r="BH16" s="590"/>
      <c r="BI16" s="590"/>
      <c r="BJ16" s="590"/>
      <c r="BK16" s="591"/>
      <c r="BL16" s="591"/>
      <c r="BM16" s="591"/>
      <c r="BN16" s="591"/>
      <c r="BO16" s="591"/>
      <c r="BP16" s="591"/>
      <c r="BQ16" s="591"/>
      <c r="BR16" s="591"/>
      <c r="BS16" s="591"/>
      <c r="BT16" s="591"/>
      <c r="BU16" s="591"/>
      <c r="BV16" s="591"/>
      <c r="BW16" s="591"/>
      <c r="BX16" s="591"/>
      <c r="BY16" s="591"/>
      <c r="BZ16" s="591"/>
      <c r="CA16" s="591"/>
      <c r="CB16" s="591"/>
      <c r="CC16" s="591"/>
      <c r="CD16" s="591"/>
      <c r="CE16" s="591"/>
      <c r="CF16" s="591"/>
    </row>
    <row r="17" spans="1:84">
      <c r="A17" s="590"/>
      <c r="B17" s="605" t="s">
        <v>358</v>
      </c>
      <c r="C17" s="597" t="s">
        <v>377</v>
      </c>
      <c r="D17" s="592"/>
      <c r="E17" s="614">
        <f>LG!E17</f>
        <v>0.4</v>
      </c>
      <c r="F17" s="597" t="s">
        <v>378</v>
      </c>
      <c r="G17" s="592"/>
      <c r="H17" s="592"/>
      <c r="I17" s="594"/>
      <c r="J17" s="590"/>
      <c r="K17" s="592"/>
      <c r="L17" s="592"/>
      <c r="M17" s="592"/>
      <c r="N17" s="592"/>
      <c r="O17" s="592"/>
      <c r="P17" s="592"/>
      <c r="Q17" s="592"/>
      <c r="R17" s="592"/>
      <c r="S17" s="592"/>
      <c r="T17" s="592"/>
      <c r="U17" s="592"/>
      <c r="V17" s="600">
        <f>100*(+AD11/$E$9)</f>
        <v>193.93719416932987</v>
      </c>
      <c r="W17" s="610">
        <f>EXP(5.7226-(0.68367*LN(+V17)))</f>
        <v>8.3423485755254259</v>
      </c>
      <c r="X17" s="601">
        <f>(+W17*V17)/100</f>
        <v>16.178916755199069</v>
      </c>
      <c r="Y17" s="600">
        <f>100*((((X17/100)-((X17/100)-0.03574)*$E$21)-0.03574-0.00619)/0.344)</f>
        <v>22.384433309393561</v>
      </c>
      <c r="Z17" s="592">
        <f>$E$20</f>
        <v>0.25</v>
      </c>
      <c r="AA17" s="600">
        <f>Y17+Z17</f>
        <v>22.634433309393561</v>
      </c>
      <c r="AB17" s="600">
        <f>100*($E$17*$E$19+($E$18*(AA17/100))/(1-$E$21))</f>
        <v>21.805262659641173</v>
      </c>
      <c r="AC17" s="601">
        <f>AB17/V17</f>
        <v>0.11243466088615589</v>
      </c>
      <c r="AD17" s="599">
        <f>$E$8/(1-AC17)</f>
        <v>3284772.7477757302</v>
      </c>
      <c r="AE17" s="592" t="str">
        <f>IF(AD17=AD11,"yes","not yet")</f>
        <v>not yet</v>
      </c>
      <c r="AF17" s="600">
        <f>100*(1-AC17)</f>
        <v>88.756533911384409</v>
      </c>
      <c r="AG17" s="592"/>
      <c r="AH17" s="592"/>
      <c r="AI17" s="592"/>
      <c r="AJ17" s="592" t="str">
        <f>AE8</f>
        <v>not yet</v>
      </c>
      <c r="AK17" s="592" t="str">
        <f>AE14</f>
        <v>not yet</v>
      </c>
      <c r="AL17" s="592" t="str">
        <f>AE20</f>
        <v>not yet</v>
      </c>
      <c r="AM17" s="592" t="str">
        <f>AE26</f>
        <v>not yet</v>
      </c>
      <c r="AN17" s="592" t="str">
        <f>AE32</f>
        <v>not yet</v>
      </c>
      <c r="AO17" s="592" t="str">
        <f>AE38</f>
        <v>not yet</v>
      </c>
      <c r="AP17" s="592" t="str">
        <f>AE44</f>
        <v>yes</v>
      </c>
      <c r="AQ17" s="592" t="str">
        <f>AE50</f>
        <v>yes</v>
      </c>
      <c r="AR17" s="592" t="str">
        <f>AE56</f>
        <v>yes</v>
      </c>
      <c r="AS17" s="590"/>
      <c r="AT17" s="590"/>
      <c r="AU17" s="590"/>
      <c r="AV17" s="590"/>
      <c r="AW17" s="590"/>
      <c r="AX17" s="590"/>
      <c r="AY17" s="590"/>
      <c r="AZ17" s="590"/>
      <c r="BA17" s="590"/>
      <c r="BB17" s="590"/>
      <c r="BC17" s="590"/>
      <c r="BD17" s="590"/>
      <c r="BE17" s="590"/>
      <c r="BF17" s="590"/>
      <c r="BG17" s="590"/>
      <c r="BH17" s="590"/>
      <c r="BI17" s="590"/>
      <c r="BJ17" s="590"/>
      <c r="BK17" s="591"/>
      <c r="BL17" s="591"/>
      <c r="BM17" s="591"/>
      <c r="BN17" s="591"/>
      <c r="BO17" s="591"/>
      <c r="BP17" s="591"/>
      <c r="BQ17" s="591"/>
      <c r="BR17" s="591"/>
      <c r="BS17" s="591"/>
      <c r="BT17" s="591"/>
      <c r="BU17" s="591"/>
      <c r="BV17" s="591"/>
      <c r="BW17" s="591"/>
      <c r="BX17" s="591"/>
      <c r="BY17" s="591"/>
      <c r="BZ17" s="591"/>
      <c r="CA17" s="591"/>
      <c r="CB17" s="591"/>
      <c r="CC17" s="591"/>
      <c r="CD17" s="591"/>
      <c r="CE17" s="591"/>
      <c r="CF17" s="591"/>
    </row>
    <row r="18" spans="1:84">
      <c r="A18" s="590"/>
      <c r="B18" s="605" t="s">
        <v>358</v>
      </c>
      <c r="C18" s="597" t="s">
        <v>379</v>
      </c>
      <c r="D18" s="592"/>
      <c r="E18" s="614">
        <f>LG!E18</f>
        <v>0.6</v>
      </c>
      <c r="F18" s="597" t="s">
        <v>380</v>
      </c>
      <c r="G18" s="592"/>
      <c r="H18" s="598">
        <v>1.4999999999999999E-2</v>
      </c>
      <c r="I18" s="597" t="s">
        <v>358</v>
      </c>
      <c r="J18" s="590"/>
      <c r="K18" s="592"/>
      <c r="L18" s="592"/>
      <c r="M18" s="592"/>
      <c r="N18" s="592"/>
      <c r="O18" s="592"/>
      <c r="P18" s="592"/>
      <c r="Q18" s="592"/>
      <c r="R18" s="592"/>
      <c r="S18" s="592"/>
      <c r="T18" s="592"/>
      <c r="U18" s="592"/>
      <c r="V18" s="600">
        <f>100*(+AD12/$E$9)</f>
        <v>193.51374526400613</v>
      </c>
      <c r="W18" s="610">
        <f>EXP(5.70827-(0.68367*LN(+V18)))</f>
        <v>8.2359536408442064</v>
      </c>
      <c r="X18" s="601">
        <f>(+W18*V18)/100</f>
        <v>15.937702348604896</v>
      </c>
      <c r="Y18" s="600">
        <f>100*((((X18/100)-((X18/100)-0.03574)*$E$21)-0.03574-0.00619)/0.344)</f>
        <v>21.921638226974512</v>
      </c>
      <c r="Z18" s="592">
        <f>$E$20</f>
        <v>0.25</v>
      </c>
      <c r="AA18" s="600">
        <f>Y18+Z18</f>
        <v>22.171638226974512</v>
      </c>
      <c r="AB18" s="600">
        <f>100*($E$17*$E$19+($E$18*(AA18/100))/(1-$E$21))</f>
        <v>21.384539857442036</v>
      </c>
      <c r="AC18" s="601">
        <f>AB18/V18</f>
        <v>0.11050656803870766</v>
      </c>
      <c r="AD18" s="599">
        <f>$E$8/(1-AC18)</f>
        <v>3277652.5750876479</v>
      </c>
      <c r="AE18" s="592" t="str">
        <f>IF(AD18=AD12,"yes","not yet")</f>
        <v>not yet</v>
      </c>
      <c r="AF18" s="600">
        <f>100*(1-AC18)</f>
        <v>88.949343196129234</v>
      </c>
      <c r="AG18" s="592"/>
      <c r="AH18" s="592"/>
      <c r="AI18" s="592"/>
      <c r="AJ18" s="592"/>
      <c r="AK18" s="592"/>
      <c r="AL18" s="592"/>
      <c r="AM18" s="592"/>
      <c r="AN18" s="592"/>
      <c r="AO18" s="592"/>
      <c r="AP18" s="592"/>
      <c r="AQ18" s="592"/>
      <c r="AR18" s="592"/>
      <c r="AS18" s="590"/>
      <c r="AT18" s="590"/>
      <c r="AU18" s="590"/>
      <c r="AV18" s="590"/>
      <c r="AW18" s="590"/>
      <c r="AX18" s="590"/>
      <c r="AY18" s="590"/>
      <c r="AZ18" s="590"/>
      <c r="BA18" s="590"/>
      <c r="BB18" s="590"/>
      <c r="BC18" s="590"/>
      <c r="BD18" s="590"/>
      <c r="BE18" s="590"/>
      <c r="BF18" s="590"/>
      <c r="BG18" s="590"/>
      <c r="BH18" s="590"/>
      <c r="BI18" s="590"/>
      <c r="BJ18" s="590"/>
      <c r="BK18" s="591"/>
      <c r="BL18" s="591"/>
      <c r="BM18" s="591"/>
      <c r="BN18" s="591"/>
      <c r="BO18" s="591"/>
      <c r="BP18" s="591"/>
      <c r="BQ18" s="591"/>
      <c r="BR18" s="591"/>
      <c r="BS18" s="591"/>
      <c r="BT18" s="591"/>
      <c r="BU18" s="591"/>
      <c r="BV18" s="591"/>
      <c r="BW18" s="591"/>
      <c r="BX18" s="591"/>
      <c r="BY18" s="591"/>
      <c r="BZ18" s="591"/>
      <c r="CA18" s="591"/>
      <c r="CB18" s="591"/>
      <c r="CC18" s="591"/>
      <c r="CD18" s="591"/>
      <c r="CE18" s="591"/>
      <c r="CF18" s="591"/>
    </row>
    <row r="19" spans="1:84">
      <c r="A19" s="590"/>
      <c r="B19" s="605" t="s">
        <v>358</v>
      </c>
      <c r="C19" s="597" t="s">
        <v>381</v>
      </c>
      <c r="D19" s="592"/>
      <c r="E19" s="614">
        <f>LG!E19</f>
        <v>3.071262764117556E-2</v>
      </c>
      <c r="F19" s="597" t="s">
        <v>382</v>
      </c>
      <c r="G19" s="592"/>
      <c r="H19" s="614">
        <f>LG!H19</f>
        <v>5.1000000000000004E-3</v>
      </c>
      <c r="I19" s="597" t="s">
        <v>358</v>
      </c>
      <c r="J19" s="590"/>
      <c r="K19" s="592"/>
      <c r="L19" s="592"/>
      <c r="M19" s="592"/>
      <c r="N19" s="592"/>
      <c r="O19" s="592"/>
      <c r="P19" s="592"/>
      <c r="Q19" s="592"/>
      <c r="R19" s="592"/>
      <c r="S19" s="592"/>
      <c r="T19" s="592"/>
      <c r="U19" s="592"/>
      <c r="V19" s="600">
        <f>100*(+AD13/$E$9)</f>
        <v>193.22877507854633</v>
      </c>
      <c r="W19" s="610">
        <f>EXP(5.6985-(0.68367*LN(V19)))</f>
        <v>8.1641015309159215</v>
      </c>
      <c r="X19" s="601">
        <f>(+W19*V19)/100</f>
        <v>15.775393384357683</v>
      </c>
      <c r="Y19" s="600">
        <f>100*((((X19/100)-((X19/100)-0.03574)*$E$21)-0.03574-0.00619)/0.344)</f>
        <v>21.610231493244392</v>
      </c>
      <c r="Z19" s="592">
        <f>$E$20</f>
        <v>0.25</v>
      </c>
      <c r="AA19" s="600">
        <f>Y19+Z19</f>
        <v>21.860231493244392</v>
      </c>
      <c r="AB19" s="600">
        <f>100*($E$17*$E$19+($E$18*(AA19/100))/(1-$E$21))</f>
        <v>21.101442826778293</v>
      </c>
      <c r="AC19" s="601">
        <f>AB19/V19</f>
        <v>0.10920445372693939</v>
      </c>
      <c r="AD19" s="599">
        <f>$E$8/(1-AC19)</f>
        <v>3272861.4887997992</v>
      </c>
      <c r="AE19" s="592" t="str">
        <f>IF(AD19=AD13,"yes","not yet")</f>
        <v>not yet</v>
      </c>
      <c r="AF19" s="600">
        <f>100*(1-AC19)</f>
        <v>89.079554627306052</v>
      </c>
      <c r="AG19" s="592"/>
      <c r="AH19" s="592"/>
      <c r="AI19" s="592"/>
      <c r="AJ19" s="592" t="str">
        <f>HLOOKUP(1,$AJ$13:$AR$17,($E$12)+1)</f>
        <v>not yet</v>
      </c>
      <c r="AK19" s="592" t="str">
        <f>HLOOKUP(2,$AJ$13:$AR$17,($E$12)+1)</f>
        <v>not yet</v>
      </c>
      <c r="AL19" s="592" t="str">
        <f>HLOOKUP(3,$AJ$13:$AR$17,($E$12)+1)</f>
        <v>not yet</v>
      </c>
      <c r="AM19" s="592" t="str">
        <f>HLOOKUP(4,$AJ$13:$AR$17,($E$12)+1)</f>
        <v>not yet</v>
      </c>
      <c r="AN19" s="592" t="str">
        <f>HLOOKUP(5,$AJ$13:$AR$17,($E$12)+1)</f>
        <v>not yet</v>
      </c>
      <c r="AO19" s="592" t="str">
        <f>HLOOKUP(6,$AJ$13:$AR$17,($E$12)+1)</f>
        <v>not yet</v>
      </c>
      <c r="AP19" s="592" t="str">
        <f>HLOOKUP(7,$AJ$13:$AR$17,($E$12)+1)</f>
        <v>yes</v>
      </c>
      <c r="AQ19" s="592" t="str">
        <f>HLOOKUP(8,$AJ$13:$AR$17,($E$12)+1)</f>
        <v>yes</v>
      </c>
      <c r="AR19" s="592" t="str">
        <f>HLOOKUP(9,$AJ$13:$AR$17,($E$12)+1)</f>
        <v>yes</v>
      </c>
      <c r="AS19" s="590"/>
      <c r="AT19" s="590"/>
      <c r="AU19" s="590"/>
      <c r="AV19" s="590"/>
      <c r="AW19" s="590"/>
      <c r="AX19" s="590"/>
      <c r="AY19" s="590"/>
      <c r="AZ19" s="590"/>
      <c r="BA19" s="590"/>
      <c r="BB19" s="590"/>
      <c r="BC19" s="590"/>
      <c r="BD19" s="590"/>
      <c r="BE19" s="590"/>
      <c r="BF19" s="590"/>
      <c r="BG19" s="590"/>
      <c r="BH19" s="590"/>
      <c r="BI19" s="590"/>
      <c r="BJ19" s="590"/>
      <c r="BK19" s="591"/>
      <c r="BL19" s="591"/>
      <c r="BM19" s="591"/>
      <c r="BN19" s="591"/>
      <c r="BO19" s="591"/>
      <c r="BP19" s="591"/>
      <c r="BQ19" s="591"/>
      <c r="BR19" s="591"/>
      <c r="BS19" s="591"/>
      <c r="BT19" s="591"/>
      <c r="BU19" s="591"/>
      <c r="BV19" s="591"/>
      <c r="BW19" s="591"/>
      <c r="BX19" s="591"/>
      <c r="BY19" s="591"/>
      <c r="BZ19" s="591"/>
      <c r="CA19" s="591"/>
      <c r="CB19" s="591"/>
      <c r="CC19" s="591"/>
      <c r="CD19" s="591"/>
      <c r="CE19" s="591"/>
      <c r="CF19" s="591"/>
    </row>
    <row r="20" spans="1:84">
      <c r="A20" s="590"/>
      <c r="B20" s="605" t="s">
        <v>358</v>
      </c>
      <c r="C20" s="597" t="s">
        <v>383</v>
      </c>
      <c r="D20" s="592"/>
      <c r="E20" s="616">
        <v>0.25</v>
      </c>
      <c r="F20" s="597" t="s">
        <v>384</v>
      </c>
      <c r="G20" s="592"/>
      <c r="H20" s="598"/>
      <c r="I20" s="597" t="s">
        <v>358</v>
      </c>
      <c r="J20" s="590"/>
      <c r="K20" s="617"/>
      <c r="L20" s="592"/>
      <c r="M20" s="592"/>
      <c r="N20" s="592"/>
      <c r="O20" s="592"/>
      <c r="P20" s="592"/>
      <c r="Q20" s="592"/>
      <c r="R20" s="592"/>
      <c r="S20" s="592"/>
      <c r="T20" s="592"/>
      <c r="U20" s="592"/>
      <c r="V20" s="600">
        <f>100*(+AD14/$E$9)</f>
        <v>193.04660457807975</v>
      </c>
      <c r="W20" s="610">
        <f>EXP(5.6922-(0.68367*LN(V20)))</f>
        <v>8.118062599713701</v>
      </c>
      <c r="X20" s="601">
        <f>(+W20*V20)/100</f>
        <v>15.671644206270289</v>
      </c>
      <c r="Y20" s="600">
        <f>100*((((X20/100)-((X20/100)-0.03574)*$E$21)-0.03574-0.00619)/0.344)</f>
        <v>21.411177837611604</v>
      </c>
      <c r="Z20" s="592">
        <f>$E$20</f>
        <v>0.25</v>
      </c>
      <c r="AA20" s="600">
        <f>Y20+Z20</f>
        <v>21.661177837611604</v>
      </c>
      <c r="AB20" s="600">
        <f>100*($E$17*$E$19+($E$18*(AA20/100))/(1-$E$21))</f>
        <v>20.920484958021213</v>
      </c>
      <c r="AC20" s="601">
        <f>AB20/V20</f>
        <v>0.10837012649740596</v>
      </c>
      <c r="AD20" s="599">
        <f>$E$8/(1-AC20)</f>
        <v>3269798.965279955</v>
      </c>
      <c r="AE20" s="592" t="str">
        <f>IF(AD20=AD14,"yes","not yet")</f>
        <v>not yet</v>
      </c>
      <c r="AF20" s="600">
        <f>100*(1-AC20)</f>
        <v>89.162987350259399</v>
      </c>
      <c r="AG20" s="592"/>
      <c r="AH20" s="592"/>
      <c r="AI20" s="592">
        <v>1</v>
      </c>
      <c r="AJ20" s="600">
        <f>AF5</f>
        <v>89.423888714731234</v>
      </c>
      <c r="AK20" s="600">
        <f>AF11</f>
        <v>88.702641832812716</v>
      </c>
      <c r="AL20" s="600">
        <f>AF17</f>
        <v>88.756533911384409</v>
      </c>
      <c r="AM20" s="600">
        <f>AF23</f>
        <v>88.752499892546012</v>
      </c>
      <c r="AN20" s="600">
        <f>AF29</f>
        <v>88.752801813385062</v>
      </c>
      <c r="AO20" s="600">
        <f>AF35</f>
        <v>88.752779216291444</v>
      </c>
      <c r="AP20" s="600">
        <f>AF41</f>
        <v>88.752781493154004</v>
      </c>
      <c r="AQ20" s="600">
        <f>AF47</f>
        <v>88.752781493154004</v>
      </c>
      <c r="AR20" s="600">
        <f>AF53</f>
        <v>88.752781493154004</v>
      </c>
      <c r="AS20" s="590"/>
      <c r="AT20" s="590"/>
      <c r="AU20" s="590"/>
      <c r="AV20" s="590"/>
      <c r="AW20" s="590"/>
      <c r="AX20" s="590"/>
      <c r="AY20" s="590"/>
      <c r="AZ20" s="590"/>
      <c r="BA20" s="590"/>
      <c r="BB20" s="590"/>
      <c r="BC20" s="590"/>
      <c r="BD20" s="590"/>
      <c r="BE20" s="590"/>
      <c r="BF20" s="590"/>
      <c r="BG20" s="590"/>
      <c r="BH20" s="590"/>
      <c r="BI20" s="590"/>
      <c r="BJ20" s="590"/>
      <c r="BK20" s="591"/>
      <c r="BL20" s="591"/>
      <c r="BM20" s="591"/>
      <c r="BN20" s="591"/>
      <c r="BO20" s="591"/>
      <c r="BP20" s="591"/>
      <c r="BQ20" s="591"/>
      <c r="BR20" s="591"/>
      <c r="BS20" s="591"/>
      <c r="BT20" s="591"/>
      <c r="BU20" s="591"/>
      <c r="BV20" s="591"/>
      <c r="BW20" s="591"/>
      <c r="BX20" s="591"/>
      <c r="BY20" s="591"/>
      <c r="BZ20" s="591"/>
      <c r="CA20" s="591"/>
      <c r="CB20" s="591"/>
      <c r="CC20" s="591"/>
      <c r="CD20" s="591"/>
      <c r="CE20" s="591"/>
      <c r="CF20" s="591"/>
    </row>
    <row r="21" spans="1:84">
      <c r="A21" s="590"/>
      <c r="B21" s="605" t="s">
        <v>358</v>
      </c>
      <c r="C21" s="597" t="s">
        <v>385</v>
      </c>
      <c r="D21" s="592"/>
      <c r="E21" s="616">
        <v>0.34</v>
      </c>
      <c r="F21" s="597" t="s">
        <v>386</v>
      </c>
      <c r="G21" s="592"/>
      <c r="H21" s="614">
        <f>LG!H21</f>
        <v>4.6855329951100907E-3</v>
      </c>
      <c r="I21" s="597" t="s">
        <v>358</v>
      </c>
      <c r="J21" s="590"/>
      <c r="K21" s="618"/>
      <c r="L21" s="592"/>
      <c r="M21" s="592"/>
      <c r="N21" s="592"/>
      <c r="O21" s="592"/>
      <c r="P21" s="592"/>
      <c r="Q21" s="592"/>
      <c r="R21" s="592"/>
      <c r="S21" s="592"/>
      <c r="T21" s="592"/>
      <c r="U21" s="592"/>
      <c r="V21" s="592"/>
      <c r="W21" s="592"/>
      <c r="X21" s="592"/>
      <c r="Y21" s="592"/>
      <c r="Z21" s="592"/>
      <c r="AA21" s="600"/>
      <c r="AB21" s="592"/>
      <c r="AC21" s="592"/>
      <c r="AD21" s="592"/>
      <c r="AE21" s="592"/>
      <c r="AF21" s="592"/>
      <c r="AG21" s="592"/>
      <c r="AH21" s="592"/>
      <c r="AI21" s="592">
        <v>2</v>
      </c>
      <c r="AJ21" s="600">
        <f>AF6</f>
        <v>89.616800639252858</v>
      </c>
      <c r="AK21" s="600">
        <f>AF12</f>
        <v>88.896741929072974</v>
      </c>
      <c r="AL21" s="600">
        <f>AF18</f>
        <v>88.949343196129234</v>
      </c>
      <c r="AM21" s="600">
        <f>AF24</f>
        <v>88.945493727306257</v>
      </c>
      <c r="AN21" s="600">
        <f>AF30</f>
        <v>88.945775402476272</v>
      </c>
      <c r="AO21" s="600">
        <f>AF36</f>
        <v>88.945754791408902</v>
      </c>
      <c r="AP21" s="600">
        <f>AF42</f>
        <v>88.94575668109735</v>
      </c>
      <c r="AQ21" s="600">
        <f>AF48</f>
        <v>88.94575668109735</v>
      </c>
      <c r="AR21" s="600">
        <f>AF54</f>
        <v>88.94575668109735</v>
      </c>
      <c r="AS21" s="590"/>
      <c r="AT21" s="590"/>
      <c r="AU21" s="590"/>
      <c r="AV21" s="590"/>
      <c r="AW21" s="590"/>
      <c r="AX21" s="590"/>
      <c r="AY21" s="590"/>
      <c r="AZ21" s="590"/>
      <c r="BA21" s="590"/>
      <c r="BB21" s="590"/>
      <c r="BC21" s="590"/>
      <c r="BD21" s="590"/>
      <c r="BE21" s="590"/>
      <c r="BF21" s="590"/>
      <c r="BG21" s="590"/>
      <c r="BH21" s="590"/>
      <c r="BI21" s="590"/>
      <c r="BJ21" s="590"/>
      <c r="BK21" s="591"/>
      <c r="BL21" s="591"/>
      <c r="BM21" s="591"/>
      <c r="BN21" s="591"/>
      <c r="BO21" s="591"/>
      <c r="BP21" s="591"/>
      <c r="BQ21" s="591"/>
      <c r="BR21" s="591"/>
      <c r="BS21" s="591"/>
      <c r="BT21" s="591"/>
      <c r="BU21" s="591"/>
      <c r="BV21" s="591"/>
      <c r="BW21" s="591"/>
      <c r="BX21" s="591"/>
      <c r="BY21" s="591"/>
      <c r="BZ21" s="591"/>
      <c r="CA21" s="591"/>
      <c r="CB21" s="591"/>
      <c r="CC21" s="591"/>
      <c r="CD21" s="591"/>
      <c r="CE21" s="591"/>
      <c r="CF21" s="591"/>
    </row>
    <row r="22" spans="1:84">
      <c r="A22" s="590"/>
      <c r="B22" s="594"/>
      <c r="C22" s="592"/>
      <c r="D22" s="592"/>
      <c r="E22" s="592"/>
      <c r="F22" s="592"/>
      <c r="G22" s="592"/>
      <c r="H22" s="612"/>
      <c r="I22" s="612"/>
      <c r="J22" s="594"/>
      <c r="K22" s="592"/>
      <c r="L22" s="592"/>
      <c r="M22" s="592"/>
      <c r="N22" s="592"/>
      <c r="O22" s="592"/>
      <c r="P22" s="592"/>
      <c r="Q22" s="592"/>
      <c r="R22" s="592"/>
      <c r="S22" s="592"/>
      <c r="T22" s="592"/>
      <c r="U22" s="592"/>
      <c r="V22" s="597" t="s">
        <v>387</v>
      </c>
      <c r="W22" s="609" t="s">
        <v>331</v>
      </c>
      <c r="X22" s="609" t="s">
        <v>341</v>
      </c>
      <c r="Y22" s="609" t="s">
        <v>342</v>
      </c>
      <c r="Z22" s="592"/>
      <c r="AA22" s="600"/>
      <c r="AB22" s="592"/>
      <c r="AC22" s="592"/>
      <c r="AD22" s="592"/>
      <c r="AE22" s="592"/>
      <c r="AF22" s="592"/>
      <c r="AG22" s="592"/>
      <c r="AH22" s="592"/>
      <c r="AI22" s="592">
        <v>3</v>
      </c>
      <c r="AJ22" s="600">
        <f>AF7</f>
        <v>89.746749420230813</v>
      </c>
      <c r="AK22" s="600">
        <f>AF13</f>
        <v>89.02784518232292</v>
      </c>
      <c r="AL22" s="600">
        <f>AF19</f>
        <v>89.079554627306052</v>
      </c>
      <c r="AM22" s="600">
        <f>AF25</f>
        <v>89.07582858604421</v>
      </c>
      <c r="AN22" s="600">
        <f>AF31</f>
        <v>89.07609703967654</v>
      </c>
      <c r="AO22" s="600">
        <f>AF37</f>
        <v>89.076077697962617</v>
      </c>
      <c r="AP22" s="600">
        <f>AF43</f>
        <v>89.076078622394149</v>
      </c>
      <c r="AQ22" s="600">
        <f>AF49</f>
        <v>89.076078622394149</v>
      </c>
      <c r="AR22" s="600">
        <f>AF55</f>
        <v>89.076078622394149</v>
      </c>
      <c r="AS22" s="590"/>
      <c r="AT22" s="590"/>
      <c r="AU22" s="590"/>
      <c r="AV22" s="590"/>
      <c r="AW22" s="590"/>
      <c r="AX22" s="590"/>
      <c r="AY22" s="590"/>
      <c r="AZ22" s="590"/>
      <c r="BA22" s="590"/>
      <c r="BB22" s="590"/>
      <c r="BC22" s="590"/>
      <c r="BD22" s="590"/>
      <c r="BE22" s="590"/>
      <c r="BF22" s="590"/>
      <c r="BG22" s="590"/>
      <c r="BH22" s="590"/>
      <c r="BI22" s="590"/>
      <c r="BJ22" s="590"/>
      <c r="BK22" s="591"/>
      <c r="BL22" s="591"/>
      <c r="BM22" s="591"/>
      <c r="BN22" s="591"/>
      <c r="BO22" s="591"/>
      <c r="BP22" s="591"/>
      <c r="BQ22" s="591"/>
      <c r="BR22" s="591"/>
      <c r="BS22" s="591"/>
      <c r="BT22" s="591"/>
      <c r="BU22" s="591"/>
      <c r="BV22" s="591"/>
      <c r="BW22" s="591"/>
      <c r="BX22" s="591"/>
      <c r="BY22" s="591"/>
      <c r="BZ22" s="591"/>
      <c r="CA22" s="591"/>
      <c r="CB22" s="591"/>
      <c r="CC22" s="591"/>
      <c r="CD22" s="591"/>
      <c r="CE22" s="591"/>
      <c r="CF22" s="591"/>
    </row>
    <row r="23" spans="1:84">
      <c r="A23" s="590"/>
      <c r="B23" s="594"/>
      <c r="C23" s="592"/>
      <c r="D23" s="592"/>
      <c r="E23" s="592"/>
      <c r="F23" s="597" t="s">
        <v>388</v>
      </c>
      <c r="G23" s="592"/>
      <c r="H23" s="598">
        <f>SUM(H18:H21)</f>
        <v>2.4785532995110091E-2</v>
      </c>
      <c r="I23" s="598"/>
      <c r="J23" s="594"/>
      <c r="K23" s="619"/>
      <c r="L23" s="592"/>
      <c r="M23" s="592"/>
      <c r="N23" s="595"/>
      <c r="O23" s="592"/>
      <c r="P23" s="595"/>
      <c r="Q23" s="592"/>
      <c r="R23" s="592"/>
      <c r="S23" s="592"/>
      <c r="T23" s="592"/>
      <c r="U23" s="592"/>
      <c r="V23" s="600">
        <f>100*(+AD17/$E$9)</f>
        <v>193.81943744714215</v>
      </c>
      <c r="W23" s="610">
        <f>EXP(5.7226-(0.68367*LN(+V23)))</f>
        <v>8.3458134021738939</v>
      </c>
      <c r="X23" s="601">
        <f>(+W23*V23)/100</f>
        <v>16.175808586481637</v>
      </c>
      <c r="Y23" s="600">
        <f>100*((((X23/100)-((X23/100)-0.03574)*$E$21)-0.03574-0.00619)/0.344)</f>
        <v>22.378469962435698</v>
      </c>
      <c r="Z23" s="592">
        <f>$E$20</f>
        <v>0.25</v>
      </c>
      <c r="AA23" s="600">
        <f>Y23+Z23</f>
        <v>22.628469962435698</v>
      </c>
      <c r="AB23" s="600">
        <f>100*($E$17*$E$19+($E$18*(AA23/100))/(1-$E$21))</f>
        <v>21.799841435134027</v>
      </c>
      <c r="AC23" s="601">
        <f>AB23/V23</f>
        <v>0.11247500107453988</v>
      </c>
      <c r="AD23" s="599">
        <f>$E$8/(1-AC23)</f>
        <v>3284922.0487549747</v>
      </c>
      <c r="AE23" s="592" t="str">
        <f>IF(AD23=AD17,"yes","not yet")</f>
        <v>not yet</v>
      </c>
      <c r="AF23" s="600">
        <f>100*(1-AC23)</f>
        <v>88.752499892546012</v>
      </c>
      <c r="AG23" s="592"/>
      <c r="AH23" s="592"/>
      <c r="AI23" s="592">
        <v>4</v>
      </c>
      <c r="AJ23" s="600">
        <f>AF8</f>
        <v>89.829873649271462</v>
      </c>
      <c r="AK23" s="600">
        <f>AF14</f>
        <v>89.111857264005351</v>
      </c>
      <c r="AL23" s="600">
        <f>AF20</f>
        <v>89.162987350259399</v>
      </c>
      <c r="AM23" s="600">
        <f>AF26</f>
        <v>89.15933981721868</v>
      </c>
      <c r="AN23" s="600">
        <f>AF32</f>
        <v>89.15959999261959</v>
      </c>
      <c r="AO23" s="600">
        <f>AF38</f>
        <v>89.159581434361769</v>
      </c>
      <c r="AP23" s="600">
        <f>AF44</f>
        <v>89.159583006425663</v>
      </c>
      <c r="AQ23" s="600">
        <f>AF50</f>
        <v>89.159583006425663</v>
      </c>
      <c r="AR23" s="600">
        <f>AF56</f>
        <v>89.159583006425663</v>
      </c>
      <c r="AS23" s="590"/>
      <c r="AT23" s="590"/>
      <c r="AU23" s="590"/>
      <c r="AV23" s="590"/>
      <c r="AW23" s="590"/>
      <c r="AX23" s="590"/>
      <c r="AY23" s="590"/>
      <c r="AZ23" s="590"/>
      <c r="BA23" s="590"/>
      <c r="BB23" s="590"/>
      <c r="BC23" s="590"/>
      <c r="BD23" s="590"/>
      <c r="BE23" s="590"/>
      <c r="BF23" s="590"/>
      <c r="BG23" s="590"/>
      <c r="BH23" s="590"/>
      <c r="BI23" s="590"/>
      <c r="BJ23" s="590"/>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row>
    <row r="24" spans="1:84">
      <c r="A24" s="590"/>
      <c r="B24" s="594"/>
      <c r="C24" s="592"/>
      <c r="D24" s="592"/>
      <c r="E24" s="592"/>
      <c r="F24" s="592"/>
      <c r="G24" s="592"/>
      <c r="H24" s="592"/>
      <c r="I24" s="592"/>
      <c r="J24" s="594"/>
      <c r="K24" s="592"/>
      <c r="L24" s="592"/>
      <c r="M24" s="592"/>
      <c r="N24" s="592"/>
      <c r="O24" s="592"/>
      <c r="P24" s="592"/>
      <c r="Q24" s="592"/>
      <c r="R24" s="592"/>
      <c r="S24" s="592"/>
      <c r="T24" s="592"/>
      <c r="U24" s="592"/>
      <c r="V24" s="600">
        <f>100*(+AD18/$E$9)</f>
        <v>193.39930857647215</v>
      </c>
      <c r="W24" s="610">
        <f>EXP(5.70827-(0.68367*LN(+V24)))</f>
        <v>8.2392850666192068</v>
      </c>
      <c r="X24" s="601">
        <f>(+W24*V24)/100</f>
        <v>15.934720350486067</v>
      </c>
      <c r="Y24" s="600">
        <f>100*((((X24/100)-((X24/100)-0.03574)*$E$21)-0.03574-0.00619)/0.344)</f>
        <v>21.915916951513971</v>
      </c>
      <c r="Z24" s="592">
        <f>$E$20</f>
        <v>0.25</v>
      </c>
      <c r="AA24" s="600">
        <f>Y24+Z24</f>
        <v>22.165916951513971</v>
      </c>
      <c r="AB24" s="600">
        <f>100*($E$17*$E$19+($E$18*(AA24/100))/(1-$E$21))</f>
        <v>21.37933869793245</v>
      </c>
      <c r="AC24" s="601">
        <f>AB24/V24</f>
        <v>0.11054506272693747</v>
      </c>
      <c r="AD24" s="599">
        <f>$E$8/(1-AC24)</f>
        <v>3277794.4284955231</v>
      </c>
      <c r="AE24" s="592" t="str">
        <f>IF(AD24=AD18,"yes","not yet")</f>
        <v>not yet</v>
      </c>
      <c r="AF24" s="600">
        <f>100*(1-AC24)</f>
        <v>88.945493727306257</v>
      </c>
      <c r="AG24" s="592"/>
      <c r="AH24" s="592"/>
      <c r="AI24" s="592"/>
      <c r="AJ24" s="592"/>
      <c r="AK24" s="592"/>
      <c r="AL24" s="592"/>
      <c r="AM24" s="592"/>
      <c r="AN24" s="592"/>
      <c r="AO24" s="592"/>
      <c r="AP24" s="592"/>
      <c r="AQ24" s="592"/>
      <c r="AR24" s="592"/>
      <c r="AS24" s="590"/>
      <c r="AT24" s="590"/>
      <c r="AU24" s="590"/>
      <c r="AV24" s="590"/>
      <c r="AW24" s="590"/>
      <c r="AX24" s="590"/>
      <c r="AY24" s="590"/>
      <c r="AZ24" s="590"/>
      <c r="BA24" s="590"/>
      <c r="BB24" s="590"/>
      <c r="BC24" s="590"/>
      <c r="BD24" s="590"/>
      <c r="BE24" s="590"/>
      <c r="BF24" s="590"/>
      <c r="BG24" s="590"/>
      <c r="BH24" s="590"/>
      <c r="BI24" s="590"/>
      <c r="BJ24" s="590"/>
      <c r="BK24" s="591"/>
      <c r="BL24" s="591"/>
      <c r="BM24" s="591"/>
      <c r="BN24" s="591"/>
      <c r="BO24" s="591"/>
      <c r="BP24" s="591"/>
      <c r="BQ24" s="591"/>
      <c r="BR24" s="591"/>
      <c r="BS24" s="591"/>
      <c r="BT24" s="591"/>
      <c r="BU24" s="591"/>
      <c r="BV24" s="591"/>
      <c r="BW24" s="591"/>
      <c r="BX24" s="591"/>
      <c r="BY24" s="591"/>
      <c r="BZ24" s="591"/>
      <c r="CA24" s="591"/>
      <c r="CB24" s="591"/>
      <c r="CC24" s="591"/>
      <c r="CD24" s="591"/>
      <c r="CE24" s="591"/>
      <c r="CF24" s="591"/>
    </row>
    <row r="25" spans="1:84">
      <c r="A25" s="590"/>
      <c r="B25" s="594"/>
      <c r="C25" s="592"/>
      <c r="D25" s="592"/>
      <c r="E25" s="592"/>
      <c r="F25" s="597" t="s">
        <v>389</v>
      </c>
      <c r="G25" s="592"/>
      <c r="H25" s="601">
        <f>((+H15/100)-H23)</f>
        <v>0.8659752532288314</v>
      </c>
      <c r="I25" s="601"/>
      <c r="J25" s="594"/>
      <c r="K25" s="592"/>
      <c r="L25" s="595"/>
      <c r="M25" s="592"/>
      <c r="N25" s="592"/>
      <c r="O25" s="592"/>
      <c r="P25" s="592"/>
      <c r="Q25" s="592"/>
      <c r="R25" s="592"/>
      <c r="S25" s="592"/>
      <c r="T25" s="592"/>
      <c r="U25" s="592"/>
      <c r="V25" s="600">
        <f>100*(+AD19/$E$9)</f>
        <v>193.11660845674535</v>
      </c>
      <c r="W25" s="610">
        <f>EXP(5.6985-(0.68367*LN(V25)))</f>
        <v>8.1673431280978139</v>
      </c>
      <c r="X25" s="601">
        <f>(+W25*V25)/100</f>
        <v>15.772496050007554</v>
      </c>
      <c r="Y25" s="600">
        <f>100*((((X25/100)-((X25/100)-0.03574)*$E$21)-0.03574-0.00619)/0.344)</f>
        <v>21.604672654084261</v>
      </c>
      <c r="Z25" s="592">
        <f>$E$20</f>
        <v>0.25</v>
      </c>
      <c r="AA25" s="600">
        <f>Y25+Z25</f>
        <v>21.854672654084261</v>
      </c>
      <c r="AB25" s="600">
        <f>100*($E$17*$E$19+($E$18*(AA25/100))/(1-$E$21))</f>
        <v>21.096389336632718</v>
      </c>
      <c r="AC25" s="601">
        <f>AB25/V25</f>
        <v>0.10924171413955797</v>
      </c>
      <c r="AD25" s="599">
        <f>$E$8/(1-AC25)</f>
        <v>3272998.39257207</v>
      </c>
      <c r="AE25" s="592" t="str">
        <f>IF(AD25=AD19,"yes","not yet")</f>
        <v>not yet</v>
      </c>
      <c r="AF25" s="600">
        <f>100*(1-AC25)</f>
        <v>89.07582858604421</v>
      </c>
      <c r="AG25" s="592"/>
      <c r="AH25" s="592"/>
      <c r="AI25" s="592"/>
      <c r="AJ25" s="592" t="s">
        <v>390</v>
      </c>
      <c r="AK25" s="592"/>
      <c r="AL25" s="592"/>
      <c r="AM25" s="592"/>
      <c r="AN25" s="592"/>
      <c r="AO25" s="592"/>
      <c r="AP25" s="592"/>
      <c r="AQ25" s="592"/>
      <c r="AR25" s="592"/>
      <c r="AS25" s="590"/>
      <c r="AT25" s="590"/>
      <c r="AU25" s="590"/>
      <c r="AV25" s="590"/>
      <c r="AW25" s="590"/>
      <c r="AX25" s="590"/>
      <c r="AY25" s="590"/>
      <c r="AZ25" s="590"/>
      <c r="BA25" s="590"/>
      <c r="BB25" s="590"/>
      <c r="BC25" s="590"/>
      <c r="BD25" s="590"/>
      <c r="BE25" s="590"/>
      <c r="BF25" s="590"/>
      <c r="BG25" s="590"/>
      <c r="BH25" s="590"/>
      <c r="BI25" s="590"/>
      <c r="BJ25" s="590"/>
      <c r="BK25" s="591"/>
      <c r="BL25" s="591"/>
      <c r="BM25" s="591"/>
      <c r="BN25" s="591"/>
      <c r="BO25" s="591"/>
      <c r="BP25" s="591"/>
      <c r="BQ25" s="591"/>
      <c r="BR25" s="591"/>
      <c r="BS25" s="591"/>
      <c r="BT25" s="591"/>
      <c r="BU25" s="591"/>
      <c r="BV25" s="591"/>
      <c r="BW25" s="591"/>
      <c r="BX25" s="591"/>
      <c r="BY25" s="591"/>
      <c r="BZ25" s="591"/>
      <c r="CA25" s="591"/>
      <c r="CB25" s="591"/>
      <c r="CC25" s="591"/>
      <c r="CD25" s="591"/>
      <c r="CE25" s="591"/>
      <c r="CF25" s="591"/>
    </row>
    <row r="26" spans="1:84">
      <c r="A26" s="590"/>
      <c r="B26" s="594"/>
      <c r="C26" s="592"/>
      <c r="D26" s="592"/>
      <c r="E26" s="592"/>
      <c r="F26" s="592"/>
      <c r="G26" s="592"/>
      <c r="H26" s="592"/>
      <c r="I26" s="592"/>
      <c r="J26" s="594"/>
      <c r="K26" s="592"/>
      <c r="L26" s="592"/>
      <c r="M26" s="592"/>
      <c r="N26" s="592"/>
      <c r="O26" s="592"/>
      <c r="P26" s="592"/>
      <c r="Q26" s="592"/>
      <c r="R26" s="592"/>
      <c r="S26" s="592"/>
      <c r="T26" s="592"/>
      <c r="U26" s="592"/>
      <c r="V26" s="600">
        <f>100*(+AD20/$E$9)</f>
        <v>192.93590293116924</v>
      </c>
      <c r="W26" s="610">
        <f>EXP(5.6922-(0.68367*LN(V26)))</f>
        <v>8.1212468012281072</v>
      </c>
      <c r="X26" s="601">
        <f>(+W26*V26)/100</f>
        <v>15.668800845218147</v>
      </c>
      <c r="Y26" s="600">
        <f>100*((((X26/100)-((X26/100)-0.03574)*$E$21)-0.03574-0.00619)/0.344)</f>
        <v>21.405722551872028</v>
      </c>
      <c r="Z26" s="592">
        <f>$E$20</f>
        <v>0.25</v>
      </c>
      <c r="AA26" s="600">
        <f>Y26+Z26</f>
        <v>21.655722551872028</v>
      </c>
      <c r="AB26" s="600">
        <f>100*($E$17*$E$19+($E$18*(AA26/100))/(1-$E$21))</f>
        <v>20.915525607348869</v>
      </c>
      <c r="AC26" s="601">
        <f>AB26/V26</f>
        <v>0.10840660182781313</v>
      </c>
      <c r="AD26" s="599">
        <f>$E$8/(1-AC26)</f>
        <v>3269932.7336522513</v>
      </c>
      <c r="AE26" s="592" t="str">
        <f>IF(AD26=AD20,"yes","not yet")</f>
        <v>not yet</v>
      </c>
      <c r="AF26" s="600">
        <f>100*(1-AC26)</f>
        <v>89.15933981721868</v>
      </c>
      <c r="AG26" s="592"/>
      <c r="AH26" s="592"/>
      <c r="AI26" s="592"/>
      <c r="AJ26" s="600">
        <f>HLOOKUP($AJ$25,$AJ$19:$AR$23,($E$12)+1)</f>
        <v>89.076078622394149</v>
      </c>
      <c r="AK26" s="592"/>
      <c r="AL26" s="592"/>
      <c r="AM26" s="592"/>
      <c r="AN26" s="592"/>
      <c r="AO26" s="592"/>
      <c r="AP26" s="592"/>
      <c r="AQ26" s="592"/>
      <c r="AR26" s="592"/>
      <c r="AS26" s="590"/>
      <c r="AT26" s="590"/>
      <c r="AU26" s="590"/>
      <c r="AV26" s="590"/>
      <c r="AW26" s="590"/>
      <c r="AX26" s="590"/>
      <c r="AY26" s="590"/>
      <c r="AZ26" s="590"/>
      <c r="BA26" s="590"/>
      <c r="BB26" s="590"/>
      <c r="BC26" s="590"/>
      <c r="BD26" s="590"/>
      <c r="BE26" s="590"/>
      <c r="BF26" s="590"/>
      <c r="BG26" s="590"/>
      <c r="BH26" s="590"/>
      <c r="BI26" s="590"/>
      <c r="BJ26" s="590"/>
      <c r="BK26" s="591"/>
      <c r="BL26" s="591"/>
      <c r="BM26" s="591"/>
      <c r="BN26" s="591"/>
      <c r="BO26" s="591"/>
      <c r="BP26" s="591"/>
      <c r="BQ26" s="591"/>
      <c r="BR26" s="591"/>
      <c r="BS26" s="591"/>
      <c r="BT26" s="591"/>
      <c r="BU26" s="591"/>
      <c r="BV26" s="591"/>
      <c r="BW26" s="591"/>
      <c r="BX26" s="591"/>
      <c r="BY26" s="591"/>
      <c r="BZ26" s="591"/>
      <c r="CA26" s="591"/>
      <c r="CB26" s="591"/>
      <c r="CC26" s="591"/>
      <c r="CD26" s="591"/>
      <c r="CE26" s="591"/>
      <c r="CF26" s="591"/>
    </row>
    <row r="27" spans="1:84" ht="15.75">
      <c r="A27" s="590"/>
      <c r="B27" s="594"/>
      <c r="C27" s="592"/>
      <c r="D27" s="592"/>
      <c r="E27" s="620"/>
      <c r="F27" s="621"/>
      <c r="G27" s="621"/>
      <c r="H27" s="592"/>
      <c r="I27" s="592"/>
      <c r="J27" s="594"/>
      <c r="K27" s="592"/>
      <c r="L27" s="592"/>
      <c r="M27" s="592"/>
      <c r="N27" s="592"/>
      <c r="O27" s="592"/>
      <c r="P27" s="592"/>
      <c r="Q27" s="592"/>
      <c r="R27" s="592"/>
      <c r="S27" s="592"/>
      <c r="T27" s="592"/>
      <c r="U27" s="592"/>
      <c r="V27" s="592"/>
      <c r="W27" s="592"/>
      <c r="X27" s="592"/>
      <c r="Y27" s="592"/>
      <c r="Z27" s="592"/>
      <c r="AA27" s="600"/>
      <c r="AB27" s="592"/>
      <c r="AC27" s="592"/>
      <c r="AD27" s="592"/>
      <c r="AE27" s="592"/>
      <c r="AF27" s="592"/>
      <c r="AG27" s="592"/>
      <c r="AH27" s="592"/>
      <c r="AI27" s="592"/>
      <c r="AJ27" s="592"/>
      <c r="AK27" s="592"/>
      <c r="AL27" s="592"/>
      <c r="AM27" s="592"/>
      <c r="AN27" s="592"/>
      <c r="AO27" s="592"/>
      <c r="AP27" s="592"/>
      <c r="AQ27" s="592"/>
      <c r="AR27" s="592"/>
      <c r="AS27" s="590"/>
      <c r="AT27" s="590"/>
      <c r="AU27" s="590"/>
      <c r="AV27" s="590"/>
      <c r="AW27" s="590"/>
      <c r="AX27" s="590"/>
      <c r="AY27" s="590"/>
      <c r="AZ27" s="590"/>
      <c r="BA27" s="590"/>
      <c r="BB27" s="590"/>
      <c r="BC27" s="590"/>
      <c r="BD27" s="590"/>
      <c r="BE27" s="590"/>
      <c r="BF27" s="590"/>
      <c r="BG27" s="590"/>
      <c r="BH27" s="590"/>
      <c r="BI27" s="590"/>
      <c r="BJ27" s="590"/>
      <c r="BK27" s="591"/>
      <c r="BL27" s="591"/>
      <c r="BM27" s="591"/>
      <c r="BN27" s="591"/>
      <c r="BO27" s="591"/>
      <c r="BP27" s="591"/>
      <c r="BQ27" s="591"/>
      <c r="BR27" s="591"/>
      <c r="BS27" s="591"/>
      <c r="BT27" s="591"/>
      <c r="BU27" s="591"/>
      <c r="BV27" s="591"/>
      <c r="BW27" s="591"/>
      <c r="BX27" s="591"/>
      <c r="BY27" s="591"/>
      <c r="BZ27" s="591"/>
      <c r="CA27" s="591"/>
      <c r="CB27" s="591"/>
      <c r="CC27" s="591"/>
      <c r="CD27" s="591"/>
      <c r="CE27" s="591"/>
      <c r="CF27" s="591"/>
    </row>
    <row r="28" spans="1:84">
      <c r="A28" s="590"/>
      <c r="B28" s="594"/>
      <c r="C28" s="622"/>
      <c r="D28" s="623"/>
      <c r="E28" s="606"/>
      <c r="F28" s="624"/>
      <c r="G28" s="625"/>
      <c r="H28" s="622"/>
      <c r="I28" s="622"/>
      <c r="J28" s="592"/>
      <c r="K28" s="592"/>
      <c r="L28" s="592"/>
      <c r="M28" s="592"/>
      <c r="N28" s="592"/>
      <c r="O28" s="592"/>
      <c r="P28" s="592"/>
      <c r="Q28" s="592"/>
      <c r="R28" s="592"/>
      <c r="S28" s="592"/>
      <c r="T28" s="592"/>
      <c r="U28" s="592"/>
      <c r="V28" s="597" t="s">
        <v>391</v>
      </c>
      <c r="W28" s="609" t="s">
        <v>331</v>
      </c>
      <c r="X28" s="609" t="s">
        <v>341</v>
      </c>
      <c r="Y28" s="609" t="s">
        <v>342</v>
      </c>
      <c r="Z28" s="592"/>
      <c r="AA28" s="600"/>
      <c r="AB28" s="592"/>
      <c r="AC28" s="592"/>
      <c r="AD28" s="592"/>
      <c r="AE28" s="592"/>
      <c r="AF28" s="592"/>
      <c r="AG28" s="592"/>
      <c r="AH28" s="592"/>
      <c r="AI28" s="592"/>
      <c r="AJ28" s="592" t="str">
        <f>HLOOKUP(1,$AJ$13:$AR$17,($E$12)+1)</f>
        <v>not yet</v>
      </c>
      <c r="AK28" s="592" t="str">
        <f>HLOOKUP(2,$AJ$13:$AR$17,($E$12)+1)</f>
        <v>not yet</v>
      </c>
      <c r="AL28" s="592" t="str">
        <f>HLOOKUP(3,$AJ$13:$AR$17,($E$12)+1)</f>
        <v>not yet</v>
      </c>
      <c r="AM28" s="592" t="str">
        <f>HLOOKUP(4,$AJ$13:$AR$17,($E$12)+1)</f>
        <v>not yet</v>
      </c>
      <c r="AN28" s="592" t="str">
        <f>HLOOKUP(5,$AJ$13:$AR$17,($E$12)+1)</f>
        <v>not yet</v>
      </c>
      <c r="AO28" s="592" t="str">
        <f>HLOOKUP(6,$AJ$13:$AR$17,($E$12)+1)</f>
        <v>not yet</v>
      </c>
      <c r="AP28" s="592" t="str">
        <f>HLOOKUP(7,$AJ$13:$AR$17,($E$12)+1)</f>
        <v>yes</v>
      </c>
      <c r="AQ28" s="592" t="str">
        <f>HLOOKUP(8,$AJ$13:$AR$17,($E$12)+1)</f>
        <v>yes</v>
      </c>
      <c r="AR28" s="592" t="str">
        <f>HLOOKUP(9,$AJ$13:$AR$17,($E$12)+1)</f>
        <v>yes</v>
      </c>
      <c r="AS28" s="590"/>
      <c r="AT28" s="590"/>
      <c r="AU28" s="590"/>
      <c r="AV28" s="590"/>
      <c r="AW28" s="590"/>
      <c r="AX28" s="590"/>
      <c r="AY28" s="590"/>
      <c r="AZ28" s="590"/>
      <c r="BA28" s="590"/>
      <c r="BB28" s="590"/>
      <c r="BC28" s="590"/>
      <c r="BD28" s="590"/>
      <c r="BE28" s="590"/>
      <c r="BF28" s="590"/>
      <c r="BG28" s="590"/>
      <c r="BH28" s="590"/>
      <c r="BI28" s="590"/>
      <c r="BJ28" s="590"/>
      <c r="BK28" s="591"/>
      <c r="BL28" s="591"/>
      <c r="BM28" s="591"/>
      <c r="BN28" s="591"/>
      <c r="BO28" s="591"/>
      <c r="BP28" s="591"/>
      <c r="BQ28" s="591"/>
      <c r="BR28" s="591"/>
      <c r="BS28" s="591"/>
      <c r="BT28" s="591"/>
      <c r="BU28" s="591"/>
      <c r="BV28" s="591"/>
      <c r="BW28" s="591"/>
      <c r="BX28" s="591"/>
      <c r="BY28" s="591"/>
      <c r="BZ28" s="591"/>
      <c r="CA28" s="591"/>
      <c r="CB28" s="591"/>
      <c r="CC28" s="591"/>
      <c r="CD28" s="591"/>
      <c r="CE28" s="591"/>
      <c r="CF28" s="591"/>
    </row>
    <row r="29" spans="1:84">
      <c r="A29" s="590"/>
      <c r="B29" s="592"/>
      <c r="C29" s="629"/>
      <c r="D29" s="628"/>
      <c r="E29" s="611"/>
      <c r="F29" s="626"/>
      <c r="G29" s="627"/>
      <c r="H29" s="592"/>
      <c r="I29" s="596"/>
      <c r="J29" s="592"/>
      <c r="K29" s="592"/>
      <c r="L29" s="592"/>
      <c r="M29" s="592"/>
      <c r="N29" s="592"/>
      <c r="O29" s="592"/>
      <c r="P29" s="592"/>
      <c r="Q29" s="592"/>
      <c r="R29" s="592"/>
      <c r="S29" s="592"/>
      <c r="T29" s="592"/>
      <c r="U29" s="592"/>
      <c r="V29" s="600">
        <f>100*(+AD23/$E$9)</f>
        <v>193.82824701603155</v>
      </c>
      <c r="W29" s="610">
        <f>EXP(5.7226-(0.68367*LN(+V29)))</f>
        <v>8.3455540702967799</v>
      </c>
      <c r="X29" s="601">
        <f>(+W29*V29)/100</f>
        <v>16.176041158231317</v>
      </c>
      <c r="Y29" s="600">
        <f>100*((((X29/100)-((X29/100)-0.03574)*$E$21)-0.03574-0.00619)/0.344)</f>
        <v>22.378916175676363</v>
      </c>
      <c r="Z29" s="592">
        <f>$E$20</f>
        <v>0.25</v>
      </c>
      <c r="AA29" s="600">
        <f>Y29+Z29</f>
        <v>22.628916175676363</v>
      </c>
      <c r="AB29" s="600">
        <f>100*($E$17*$E$19+($E$18*(AA29/100))/(1-$E$21))</f>
        <v>21.800247083534625</v>
      </c>
      <c r="AC29" s="601">
        <f>AB29/V29</f>
        <v>0.11247198186614939</v>
      </c>
      <c r="AD29" s="599">
        <f>$E$8/(1-AC29)</f>
        <v>3284910.8740494903</v>
      </c>
      <c r="AE29" s="592" t="str">
        <f>IF(AD29=AD23,"yes","not yet")</f>
        <v>not yet</v>
      </c>
      <c r="AF29" s="600">
        <f>100*(1-AC29)</f>
        <v>88.752801813385062</v>
      </c>
      <c r="AG29" s="592"/>
      <c r="AH29" s="592"/>
      <c r="AI29" s="592">
        <v>1</v>
      </c>
      <c r="AJ29" s="600">
        <f>V5</f>
        <v>215.03426840578405</v>
      </c>
      <c r="AK29" s="600">
        <f>V11</f>
        <v>192.3729969666241</v>
      </c>
      <c r="AL29" s="600">
        <f>V17</f>
        <v>193.93719416932987</v>
      </c>
      <c r="AM29" s="600">
        <f>V23</f>
        <v>193.81943744714215</v>
      </c>
      <c r="AN29" s="600">
        <f>V29</f>
        <v>193.82824701603155</v>
      </c>
      <c r="AO29" s="600">
        <f>V35</f>
        <v>193.82758764769866</v>
      </c>
      <c r="AP29" s="600">
        <f>V41</f>
        <v>193.8276540848957</v>
      </c>
      <c r="AQ29" s="600">
        <f>V47</f>
        <v>193.8276540848957</v>
      </c>
      <c r="AR29" s="600">
        <f>V53</f>
        <v>193.8276540848957</v>
      </c>
      <c r="AS29" s="590"/>
      <c r="AT29" s="590"/>
      <c r="AU29" s="590"/>
      <c r="AV29" s="590"/>
      <c r="AW29" s="590"/>
      <c r="AX29" s="590"/>
      <c r="AY29" s="590"/>
      <c r="AZ29" s="590"/>
      <c r="BA29" s="590"/>
      <c r="BB29" s="590"/>
      <c r="BC29" s="590"/>
      <c r="BD29" s="590"/>
      <c r="BE29" s="590"/>
      <c r="BF29" s="590"/>
      <c r="BG29" s="590"/>
      <c r="BH29" s="590"/>
      <c r="BI29" s="590"/>
      <c r="BJ29" s="590"/>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row>
    <row r="30" spans="1:84">
      <c r="A30" s="590"/>
      <c r="B30" s="592"/>
      <c r="C30" s="629"/>
      <c r="D30" s="628"/>
      <c r="E30" s="668"/>
      <c r="F30" s="626"/>
      <c r="G30" s="627"/>
      <c r="H30" s="592"/>
      <c r="I30" s="596"/>
      <c r="J30" s="592"/>
      <c r="K30" s="592"/>
      <c r="L30" s="592"/>
      <c r="M30" s="592"/>
      <c r="N30" s="592"/>
      <c r="O30" s="592"/>
      <c r="P30" s="592"/>
      <c r="Q30" s="592"/>
      <c r="R30" s="592"/>
      <c r="S30" s="592"/>
      <c r="T30" s="592"/>
      <c r="U30" s="592"/>
      <c r="V30" s="600">
        <f>100*(+AD24/$E$9)</f>
        <v>193.40767869819001</v>
      </c>
      <c r="W30" s="610">
        <f>EXP(5.70827-(0.68367*LN(+V30)))</f>
        <v>8.2390412871731069</v>
      </c>
      <c r="X30" s="601">
        <f>(+W30*V30)/100</f>
        <v>15.934938500506981</v>
      </c>
      <c r="Y30" s="600">
        <f>100*((((X30/100)-((X30/100)-0.03574)*$E$21)-0.03574-0.00619)/0.344)</f>
        <v>21.916335495158744</v>
      </c>
      <c r="Z30" s="592">
        <f>$E$20</f>
        <v>0.25</v>
      </c>
      <c r="AA30" s="600">
        <f>Y30+Z30</f>
        <v>22.166335495158744</v>
      </c>
      <c r="AB30" s="600">
        <f>100*($E$17*$E$19+($E$18*(AA30/100))/(1-$E$21))</f>
        <v>21.379719192154976</v>
      </c>
      <c r="AC30" s="601">
        <f>AB30/V30</f>
        <v>0.11054224597523726</v>
      </c>
      <c r="AD30" s="599">
        <f>$E$8/(1-AC30)</f>
        <v>3277784.0483139036</v>
      </c>
      <c r="AE30" s="592" t="str">
        <f>IF(AD30=AD24,"yes","not yet")</f>
        <v>not yet</v>
      </c>
      <c r="AF30" s="600">
        <f>100*(1-AC30)</f>
        <v>88.945775402476272</v>
      </c>
      <c r="AG30" s="592"/>
      <c r="AH30" s="592"/>
      <c r="AI30" s="592">
        <v>2</v>
      </c>
      <c r="AJ30" s="600">
        <f>V6</f>
        <v>215.03426840578405</v>
      </c>
      <c r="AK30" s="600">
        <f>V12</f>
        <v>191.95888884397181</v>
      </c>
      <c r="AL30" s="600">
        <f>V18</f>
        <v>193.51374526400613</v>
      </c>
      <c r="AM30" s="600">
        <f>V24</f>
        <v>193.39930857647215</v>
      </c>
      <c r="AN30" s="600">
        <f>V30</f>
        <v>193.40767869819001</v>
      </c>
      <c r="AO30" s="600">
        <f>V36</f>
        <v>193.4070662110816</v>
      </c>
      <c r="AP30" s="600">
        <f>V42</f>
        <v>193.40712236573154</v>
      </c>
      <c r="AQ30" s="600">
        <f>V48</f>
        <v>193.40712236573154</v>
      </c>
      <c r="AR30" s="600">
        <f>V54</f>
        <v>193.40712236573154</v>
      </c>
      <c r="AS30" s="590"/>
      <c r="AT30" s="590"/>
      <c r="AU30" s="590"/>
      <c r="AV30" s="590"/>
      <c r="AW30" s="590"/>
      <c r="AX30" s="590"/>
      <c r="AY30" s="590"/>
      <c r="AZ30" s="590"/>
      <c r="BA30" s="590"/>
      <c r="BB30" s="590"/>
      <c r="BC30" s="590"/>
      <c r="BD30" s="590"/>
      <c r="BE30" s="590"/>
      <c r="BF30" s="590"/>
      <c r="BG30" s="590"/>
      <c r="BH30" s="590"/>
      <c r="BI30" s="590"/>
      <c r="BJ30" s="590"/>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row>
    <row r="31" spans="1:84">
      <c r="A31" s="590"/>
      <c r="B31" s="592"/>
      <c r="C31" s="629"/>
      <c r="D31" s="629"/>
      <c r="E31" s="669"/>
      <c r="F31" s="630"/>
      <c r="G31" s="631"/>
      <c r="H31" s="632"/>
      <c r="I31" s="631"/>
      <c r="J31" s="592"/>
      <c r="K31" s="592"/>
      <c r="L31" s="592"/>
      <c r="M31" s="592"/>
      <c r="N31" s="592"/>
      <c r="O31" s="592"/>
      <c r="P31" s="592"/>
      <c r="Q31" s="592"/>
      <c r="R31" s="592"/>
      <c r="S31" s="592"/>
      <c r="T31" s="592"/>
      <c r="U31" s="592"/>
      <c r="V31" s="600">
        <f>100*(+AD25/$E$9)</f>
        <v>193.12468652307243</v>
      </c>
      <c r="W31" s="610">
        <f>EXP(5.6985-(0.68367*LN(V31)))</f>
        <v>8.1671095673694669</v>
      </c>
      <c r="X31" s="601">
        <f>(+W31*V31)/100</f>
        <v>15.772704749978141</v>
      </c>
      <c r="Y31" s="600">
        <f>100*((((X31/100)-((X31/100)-0.03574)*$E$21)-0.03574-0.00619)/0.344)</f>
        <v>21.60507306681853</v>
      </c>
      <c r="Z31" s="592">
        <f>$E$20</f>
        <v>0.25</v>
      </c>
      <c r="AA31" s="600">
        <f>Y31+Z31</f>
        <v>21.85507306681853</v>
      </c>
      <c r="AB31" s="600">
        <f>100*($E$17*$E$19+($E$18*(AA31/100))/(1-$E$21))</f>
        <v>21.096753348209326</v>
      </c>
      <c r="AC31" s="601">
        <f>AB31/V31</f>
        <v>0.10923902960323467</v>
      </c>
      <c r="AD31" s="599">
        <f>$E$8/(1-AC31)</f>
        <v>3272988.5285531436</v>
      </c>
      <c r="AE31" s="592" t="str">
        <f>IF(AD31=AD25,"yes","not yet")</f>
        <v>not yet</v>
      </c>
      <c r="AF31" s="600">
        <f>100*(1-AC31)</f>
        <v>89.07609703967654</v>
      </c>
      <c r="AG31" s="592"/>
      <c r="AH31" s="592"/>
      <c r="AI31" s="592">
        <v>3</v>
      </c>
      <c r="AJ31" s="600">
        <f>V7</f>
        <v>215.03426840578405</v>
      </c>
      <c r="AK31" s="600">
        <f>V13</f>
        <v>191.68094202401119</v>
      </c>
      <c r="AL31" s="600">
        <f>V19</f>
        <v>193.22877507854633</v>
      </c>
      <c r="AM31" s="600">
        <f>V25</f>
        <v>193.11660845674535</v>
      </c>
      <c r="AN31" s="600">
        <f>V31</f>
        <v>193.12468652307243</v>
      </c>
      <c r="AO31" s="600">
        <f>V37</f>
        <v>193.12410449236708</v>
      </c>
      <c r="AP31" s="600">
        <f>V43</f>
        <v>193.12413231029285</v>
      </c>
      <c r="AQ31" s="600">
        <f>V49</f>
        <v>193.12413231029285</v>
      </c>
      <c r="AR31" s="600">
        <f>V55</f>
        <v>193.12413231029285</v>
      </c>
      <c r="AS31" s="590"/>
      <c r="AT31" s="590"/>
      <c r="AU31" s="590"/>
      <c r="AV31" s="590"/>
      <c r="AW31" s="590"/>
      <c r="AX31" s="590"/>
      <c r="AY31" s="590"/>
      <c r="AZ31" s="590"/>
      <c r="BA31" s="590"/>
      <c r="BB31" s="590"/>
      <c r="BC31" s="590"/>
      <c r="BD31" s="590"/>
      <c r="BE31" s="590"/>
      <c r="BF31" s="590"/>
      <c r="BG31" s="590"/>
      <c r="BH31" s="590"/>
      <c r="BI31" s="590"/>
      <c r="BJ31" s="590"/>
      <c r="BK31" s="591"/>
      <c r="BL31" s="591"/>
      <c r="BM31" s="591"/>
      <c r="BN31" s="591"/>
      <c r="BO31" s="591"/>
      <c r="BP31" s="591"/>
      <c r="BQ31" s="591"/>
      <c r="BR31" s="591"/>
      <c r="BS31" s="591"/>
      <c r="BT31" s="591"/>
      <c r="BU31" s="591"/>
      <c r="BV31" s="591"/>
      <c r="BW31" s="591"/>
      <c r="BX31" s="591"/>
      <c r="BY31" s="591"/>
      <c r="BZ31" s="591"/>
      <c r="CA31" s="591"/>
      <c r="CB31" s="591"/>
      <c r="CC31" s="591"/>
      <c r="CD31" s="591"/>
      <c r="CE31" s="591"/>
      <c r="CF31" s="591"/>
    </row>
    <row r="32" spans="1:84">
      <c r="A32" s="590"/>
      <c r="B32" s="592"/>
      <c r="C32" s="629"/>
      <c r="D32" s="633"/>
      <c r="E32" s="670"/>
      <c r="F32" s="630"/>
      <c r="G32" s="599"/>
      <c r="H32" s="592"/>
      <c r="I32" s="592"/>
      <c r="J32" s="592"/>
      <c r="K32" s="592"/>
      <c r="L32" s="592"/>
      <c r="M32" s="592"/>
      <c r="N32" s="592"/>
      <c r="O32" s="592"/>
      <c r="P32" s="592"/>
      <c r="Q32" s="592"/>
      <c r="R32" s="592"/>
      <c r="S32" s="592"/>
      <c r="T32" s="592"/>
      <c r="U32" s="592"/>
      <c r="V32" s="600">
        <f>100*(+AD26/$E$9)</f>
        <v>192.94379599186402</v>
      </c>
      <c r="W32" s="610">
        <f>EXP(5.6922-(0.68367*LN(V32)))</f>
        <v>8.1210196648660222</v>
      </c>
      <c r="X32" s="601">
        <f>(+W32*V32)/100</f>
        <v>15.669003614638257</v>
      </c>
      <c r="Y32" s="600">
        <f>100*((((X32/100)-((X32/100)-0.03574)*$E$21)-0.03574-0.00619)/0.344)</f>
        <v>21.406111586224565</v>
      </c>
      <c r="Z32" s="592">
        <f>$E$20</f>
        <v>0.25</v>
      </c>
      <c r="AA32" s="600">
        <f>Y32+Z32</f>
        <v>21.656111586224565</v>
      </c>
      <c r="AB32" s="600">
        <f>100*($E$17*$E$19+($E$18*(AA32/100))/(1-$E$21))</f>
        <v>20.915879274942085</v>
      </c>
      <c r="AC32" s="601">
        <f>AB32/V32</f>
        <v>0.10840400007380417</v>
      </c>
      <c r="AD32" s="599">
        <f>$E$8/(1-AC32)</f>
        <v>3269923.1917065722</v>
      </c>
      <c r="AE32" s="592" t="str">
        <f>IF(AD32=AD26,"yes","not yet")</f>
        <v>not yet</v>
      </c>
      <c r="AF32" s="600">
        <f>100*(1-AC32)</f>
        <v>89.15959999261959</v>
      </c>
      <c r="AG32" s="592"/>
      <c r="AH32" s="592"/>
      <c r="AI32" s="592">
        <v>4</v>
      </c>
      <c r="AJ32" s="600">
        <f>V8</f>
        <v>215.03426840578405</v>
      </c>
      <c r="AK32" s="600">
        <f>V14</f>
        <v>191.50356973258681</v>
      </c>
      <c r="AL32" s="600">
        <f>V20</f>
        <v>193.04660457807975</v>
      </c>
      <c r="AM32" s="600">
        <f>V26</f>
        <v>192.93590293116924</v>
      </c>
      <c r="AN32" s="600">
        <f>V32</f>
        <v>192.94379599186402</v>
      </c>
      <c r="AO32" s="600">
        <f>V38</f>
        <v>192.94323296522998</v>
      </c>
      <c r="AP32" s="600">
        <f>V44</f>
        <v>192.9432806589335</v>
      </c>
      <c r="AQ32" s="600">
        <f>V50</f>
        <v>192.9432806589335</v>
      </c>
      <c r="AR32" s="600">
        <f>V56</f>
        <v>192.9432806589335</v>
      </c>
      <c r="AS32" s="590"/>
      <c r="AT32" s="590"/>
      <c r="AU32" s="590"/>
      <c r="AV32" s="590"/>
      <c r="AW32" s="590"/>
      <c r="AX32" s="590"/>
      <c r="AY32" s="590"/>
      <c r="AZ32" s="590"/>
      <c r="BA32" s="590"/>
      <c r="BB32" s="590"/>
      <c r="BC32" s="590"/>
      <c r="BD32" s="590"/>
      <c r="BE32" s="590"/>
      <c r="BF32" s="590"/>
      <c r="BG32" s="590"/>
      <c r="BH32" s="590"/>
      <c r="BI32" s="590"/>
      <c r="BJ32" s="590"/>
      <c r="BK32" s="591"/>
      <c r="BL32" s="591"/>
      <c r="BM32" s="591"/>
      <c r="BN32" s="591"/>
      <c r="BO32" s="591"/>
      <c r="BP32" s="591"/>
      <c r="BQ32" s="591"/>
      <c r="BR32" s="591"/>
      <c r="BS32" s="591"/>
      <c r="BT32" s="591"/>
      <c r="BU32" s="591"/>
      <c r="BV32" s="591"/>
      <c r="BW32" s="591"/>
      <c r="BX32" s="591"/>
      <c r="BY32" s="591"/>
      <c r="BZ32" s="591"/>
      <c r="CA32" s="591"/>
      <c r="CB32" s="591"/>
      <c r="CC32" s="591"/>
      <c r="CD32" s="591"/>
      <c r="CE32" s="591"/>
      <c r="CF32" s="591"/>
    </row>
    <row r="33" spans="1:84">
      <c r="A33" s="590"/>
      <c r="B33" s="592"/>
      <c r="C33" s="629"/>
      <c r="D33" s="629"/>
      <c r="E33" s="671"/>
      <c r="F33" s="630"/>
      <c r="G33" s="598"/>
      <c r="H33" s="592"/>
      <c r="I33" s="598"/>
      <c r="J33" s="592"/>
      <c r="K33" s="592"/>
      <c r="L33" s="592"/>
      <c r="M33" s="592"/>
      <c r="N33" s="592"/>
      <c r="O33" s="592"/>
      <c r="P33" s="592"/>
      <c r="Q33" s="592"/>
      <c r="R33" s="592"/>
      <c r="S33" s="592"/>
      <c r="T33" s="592"/>
      <c r="U33" s="592"/>
      <c r="V33" s="592"/>
      <c r="W33" s="592"/>
      <c r="X33" s="592"/>
      <c r="Y33" s="592"/>
      <c r="Z33" s="592"/>
      <c r="AA33" s="600"/>
      <c r="AB33" s="592"/>
      <c r="AC33" s="592"/>
      <c r="AD33" s="592"/>
      <c r="AE33" s="592"/>
      <c r="AF33" s="592"/>
      <c r="AG33" s="592"/>
      <c r="AH33" s="592"/>
      <c r="AI33" s="592"/>
      <c r="AJ33" s="592"/>
      <c r="AK33" s="592"/>
      <c r="AL33" s="592"/>
      <c r="AM33" s="592"/>
      <c r="AN33" s="592"/>
      <c r="AO33" s="592"/>
      <c r="AP33" s="592"/>
      <c r="AQ33" s="592"/>
      <c r="AR33" s="592"/>
      <c r="AS33" s="590"/>
      <c r="AT33" s="590"/>
      <c r="AU33" s="590"/>
      <c r="AV33" s="590"/>
      <c r="AW33" s="590"/>
      <c r="AX33" s="590"/>
      <c r="AY33" s="590"/>
      <c r="AZ33" s="590"/>
      <c r="BA33" s="590"/>
      <c r="BB33" s="590"/>
      <c r="BC33" s="590"/>
      <c r="BD33" s="590"/>
      <c r="BE33" s="590"/>
      <c r="BF33" s="590"/>
      <c r="BG33" s="590"/>
      <c r="BH33" s="590"/>
      <c r="BI33" s="590"/>
      <c r="BJ33" s="590"/>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row>
    <row r="34" spans="1:84">
      <c r="A34" s="590"/>
      <c r="B34" s="592"/>
      <c r="C34" s="629"/>
      <c r="D34" s="629"/>
      <c r="E34" s="668"/>
      <c r="F34" s="630"/>
      <c r="G34" s="592"/>
      <c r="H34" s="592"/>
      <c r="I34" s="592"/>
      <c r="J34" s="592"/>
      <c r="K34" s="592"/>
      <c r="L34" s="592"/>
      <c r="M34" s="592"/>
      <c r="N34" s="592"/>
      <c r="O34" s="592"/>
      <c r="P34" s="592"/>
      <c r="Q34" s="592"/>
      <c r="R34" s="592"/>
      <c r="S34" s="592"/>
      <c r="T34" s="592"/>
      <c r="U34" s="592"/>
      <c r="V34" s="597" t="s">
        <v>392</v>
      </c>
      <c r="W34" s="609" t="s">
        <v>331</v>
      </c>
      <c r="X34" s="609" t="s">
        <v>341</v>
      </c>
      <c r="Y34" s="609" t="s">
        <v>342</v>
      </c>
      <c r="Z34" s="592"/>
      <c r="AA34" s="600"/>
      <c r="AB34" s="592"/>
      <c r="AC34" s="592"/>
      <c r="AD34" s="592"/>
      <c r="AE34" s="592"/>
      <c r="AF34" s="592"/>
      <c r="AG34" s="592"/>
      <c r="AH34" s="592"/>
      <c r="AI34" s="592"/>
      <c r="AJ34" s="592" t="s">
        <v>390</v>
      </c>
      <c r="AK34" s="592"/>
      <c r="AL34" s="592"/>
      <c r="AM34" s="592"/>
      <c r="AN34" s="592"/>
      <c r="AO34" s="592"/>
      <c r="AP34" s="592"/>
      <c r="AQ34" s="592"/>
      <c r="AR34" s="592"/>
      <c r="AS34" s="590"/>
      <c r="AT34" s="590"/>
      <c r="AU34" s="590"/>
      <c r="AV34" s="590"/>
      <c r="AW34" s="590"/>
      <c r="AX34" s="590"/>
      <c r="AY34" s="590"/>
      <c r="AZ34" s="590"/>
      <c r="BA34" s="590"/>
      <c r="BB34" s="590"/>
      <c r="BC34" s="590"/>
      <c r="BD34" s="590"/>
      <c r="BE34" s="590"/>
      <c r="BF34" s="590"/>
      <c r="BG34" s="590"/>
      <c r="BH34" s="590"/>
      <c r="BI34" s="590"/>
      <c r="BJ34" s="590"/>
      <c r="BK34" s="591"/>
      <c r="BL34" s="591"/>
      <c r="BM34" s="591"/>
      <c r="BN34" s="591"/>
      <c r="BO34" s="591"/>
      <c r="BP34" s="591"/>
      <c r="BQ34" s="591"/>
      <c r="BR34" s="591"/>
      <c r="BS34" s="591"/>
      <c r="BT34" s="591"/>
      <c r="BU34" s="591"/>
      <c r="BV34" s="591"/>
      <c r="BW34" s="591"/>
      <c r="BX34" s="591"/>
      <c r="BY34" s="591"/>
      <c r="BZ34" s="591"/>
      <c r="CA34" s="591"/>
      <c r="CB34" s="591"/>
      <c r="CC34" s="591"/>
      <c r="CD34" s="591"/>
      <c r="CE34" s="591"/>
      <c r="CF34" s="591"/>
    </row>
    <row r="35" spans="1:84">
      <c r="A35" s="590"/>
      <c r="B35" s="592"/>
      <c r="C35" s="629"/>
      <c r="D35" s="629"/>
      <c r="E35" s="672"/>
      <c r="F35" s="630"/>
      <c r="G35" s="630"/>
      <c r="H35" s="592"/>
      <c r="I35" s="592"/>
      <c r="J35" s="592"/>
      <c r="K35" s="592"/>
      <c r="L35" s="592"/>
      <c r="M35" s="592"/>
      <c r="N35" s="592"/>
      <c r="O35" s="592"/>
      <c r="P35" s="592"/>
      <c r="Q35" s="592"/>
      <c r="R35" s="592"/>
      <c r="S35" s="592"/>
      <c r="T35" s="592"/>
      <c r="U35" s="592"/>
      <c r="V35" s="600">
        <f>100*(+AD29/$E$9)</f>
        <v>193.82758764769866</v>
      </c>
      <c r="W35" s="610">
        <f>EXP(5.7226-(0.68367*LN(+V35)))</f>
        <v>8.3455734797794339</v>
      </c>
      <c r="X35" s="601">
        <f>(+W35*V35)/100</f>
        <v>16.17602375122258</v>
      </c>
      <c r="Y35" s="600">
        <f>100*((((X35/100)-((X35/100)-0.03574)*$E$21)-0.03574-0.00619)/0.344)</f>
        <v>22.378882778508441</v>
      </c>
      <c r="Z35" s="592">
        <f>$E$20</f>
        <v>0.25</v>
      </c>
      <c r="AA35" s="600">
        <f>Y35+Z35</f>
        <v>22.628882778508441</v>
      </c>
      <c r="AB35" s="600">
        <f>100*($E$17*$E$19+($E$18*(AA35/100))/(1-$E$21))</f>
        <v>21.800216722472882</v>
      </c>
      <c r="AC35" s="601">
        <f>AB35/V35</f>
        <v>0.11247220783708556</v>
      </c>
      <c r="AD35" s="599">
        <f>ROUND($E$8/(1-AC35),0)</f>
        <v>3284912</v>
      </c>
      <c r="AE35" s="592" t="str">
        <f>IF(AD35=AD29,"yes","not yet")</f>
        <v>not yet</v>
      </c>
      <c r="AF35" s="600">
        <f>100*(1-AC35)</f>
        <v>88.752779216291444</v>
      </c>
      <c r="AG35" s="592"/>
      <c r="AH35" s="592"/>
      <c r="AI35" s="592"/>
      <c r="AJ35" s="600">
        <f>HLOOKUP($AJ$34,$AJ$28:$AR$32,($E$12)+1)</f>
        <v>193.12413231029285</v>
      </c>
      <c r="AK35" s="592"/>
      <c r="AL35" s="592"/>
      <c r="AM35" s="592"/>
      <c r="AN35" s="592"/>
      <c r="AO35" s="592"/>
      <c r="AP35" s="592"/>
      <c r="AQ35" s="592"/>
      <c r="AR35" s="592"/>
      <c r="AS35" s="590"/>
      <c r="AT35" s="590"/>
      <c r="AU35" s="590"/>
      <c r="AV35" s="590"/>
      <c r="AW35" s="590"/>
      <c r="AX35" s="590"/>
      <c r="AY35" s="590"/>
      <c r="AZ35" s="590"/>
      <c r="BA35" s="590"/>
      <c r="BB35" s="590"/>
      <c r="BC35" s="590"/>
      <c r="BD35" s="590"/>
      <c r="BE35" s="590"/>
      <c r="BF35" s="590"/>
      <c r="BG35" s="590"/>
      <c r="BH35" s="590"/>
      <c r="BI35" s="590"/>
      <c r="BJ35" s="590"/>
      <c r="BK35" s="591"/>
      <c r="BL35" s="591"/>
      <c r="BM35" s="591"/>
      <c r="BN35" s="591"/>
      <c r="BO35" s="591"/>
      <c r="BP35" s="591"/>
      <c r="BQ35" s="591"/>
      <c r="BR35" s="591"/>
      <c r="BS35" s="591"/>
      <c r="BT35" s="591"/>
      <c r="BU35" s="591"/>
      <c r="BV35" s="591"/>
      <c r="BW35" s="591"/>
      <c r="BX35" s="591"/>
      <c r="BY35" s="591"/>
      <c r="BZ35" s="591"/>
      <c r="CA35" s="591"/>
      <c r="CB35" s="591"/>
      <c r="CC35" s="591"/>
      <c r="CD35" s="591"/>
      <c r="CE35" s="591"/>
      <c r="CF35" s="591"/>
    </row>
    <row r="36" spans="1:84" ht="15.75">
      <c r="A36" s="590"/>
      <c r="B36" s="592"/>
      <c r="C36" s="629"/>
      <c r="D36" s="629"/>
      <c r="E36" s="673"/>
      <c r="F36" s="592"/>
      <c r="G36" s="592"/>
      <c r="H36" s="592"/>
      <c r="I36" s="592"/>
      <c r="J36" s="592"/>
      <c r="K36" s="592"/>
      <c r="L36" s="592"/>
      <c r="M36" s="592"/>
      <c r="N36" s="592"/>
      <c r="O36" s="592"/>
      <c r="P36" s="592"/>
      <c r="Q36" s="592"/>
      <c r="R36" s="592"/>
      <c r="S36" s="592"/>
      <c r="T36" s="592"/>
      <c r="U36" s="592"/>
      <c r="V36" s="600">
        <f>100*(+AD30/$E$9)</f>
        <v>193.4070662110816</v>
      </c>
      <c r="W36" s="610">
        <f>EXP(5.70827-(0.68367*LN(+V36)))</f>
        <v>8.2390591252322594</v>
      </c>
      <c r="X36" s="601">
        <f>(+W36*V36)/100</f>
        <v>15.934922537508116</v>
      </c>
      <c r="Y36" s="600">
        <f>100*((((X36/100)-((X36/100)-0.03574)*$E$21)-0.03574-0.00619)/0.344)</f>
        <v>21.916304868474874</v>
      </c>
      <c r="Z36" s="592">
        <f>$E$20</f>
        <v>0.25</v>
      </c>
      <c r="AA36" s="600">
        <f>Y36+Z36</f>
        <v>22.166304868474874</v>
      </c>
      <c r="AB36" s="600">
        <f>100*($E$17*$E$19+($E$18*(AA36/100))/(1-$E$21))</f>
        <v>21.379691349715095</v>
      </c>
      <c r="AC36" s="601">
        <f>AB36/V36</f>
        <v>0.11054245208591096</v>
      </c>
      <c r="AD36" s="599">
        <f>ROUND($E$8/(1-AC36),0)</f>
        <v>3277785</v>
      </c>
      <c r="AE36" s="592" t="str">
        <f>IF(AD36=AD30,"yes","not yet")</f>
        <v>not yet</v>
      </c>
      <c r="AF36" s="600">
        <f>100*(1-AC36)</f>
        <v>88.945754791408902</v>
      </c>
      <c r="AG36" s="592"/>
      <c r="AH36" s="592"/>
      <c r="AI36" s="592"/>
      <c r="AJ36" s="592"/>
      <c r="AK36" s="592"/>
      <c r="AL36" s="592"/>
      <c r="AM36" s="592"/>
      <c r="AN36" s="592"/>
      <c r="AO36" s="592"/>
      <c r="AP36" s="592"/>
      <c r="AQ36" s="592"/>
      <c r="AR36" s="592"/>
      <c r="AS36" s="590"/>
      <c r="AT36" s="590"/>
      <c r="AU36" s="590"/>
      <c r="AV36" s="590"/>
      <c r="AW36" s="590"/>
      <c r="AX36" s="590"/>
      <c r="AY36" s="590"/>
      <c r="AZ36" s="590"/>
      <c r="BA36" s="590"/>
      <c r="BB36" s="590"/>
      <c r="BC36" s="590"/>
      <c r="BD36" s="590"/>
      <c r="BE36" s="590"/>
      <c r="BF36" s="590"/>
      <c r="BG36" s="590"/>
      <c r="BH36" s="590"/>
      <c r="BI36" s="590"/>
      <c r="BJ36" s="590"/>
      <c r="BK36" s="591"/>
      <c r="BL36" s="591"/>
      <c r="BM36" s="591"/>
      <c r="BN36" s="591"/>
      <c r="BO36" s="591"/>
      <c r="BP36" s="591"/>
      <c r="BQ36" s="591"/>
      <c r="BR36" s="591"/>
      <c r="BS36" s="591"/>
      <c r="BT36" s="591"/>
      <c r="BU36" s="591"/>
      <c r="BV36" s="591"/>
      <c r="BW36" s="591"/>
      <c r="BX36" s="591"/>
      <c r="BY36" s="591"/>
      <c r="BZ36" s="591"/>
      <c r="CA36" s="591"/>
      <c r="CB36" s="591"/>
      <c r="CC36" s="591"/>
      <c r="CD36" s="591"/>
      <c r="CE36" s="591"/>
      <c r="CF36" s="591"/>
    </row>
    <row r="37" spans="1:84">
      <c r="A37" s="590"/>
      <c r="B37" s="592"/>
      <c r="C37" s="629"/>
      <c r="D37" s="629"/>
      <c r="E37" s="611"/>
      <c r="F37" s="592"/>
      <c r="G37" s="630"/>
      <c r="H37" s="592"/>
      <c r="I37" s="592"/>
      <c r="J37" s="592"/>
      <c r="K37" s="592"/>
      <c r="L37" s="592"/>
      <c r="M37" s="592"/>
      <c r="N37" s="592"/>
      <c r="O37" s="592"/>
      <c r="P37" s="592"/>
      <c r="Q37" s="592"/>
      <c r="R37" s="592"/>
      <c r="S37" s="592"/>
      <c r="T37" s="592"/>
      <c r="U37" s="592"/>
      <c r="V37" s="600">
        <f>100*(+AD31/$E$9)</f>
        <v>193.12410449236708</v>
      </c>
      <c r="W37" s="610">
        <f>EXP(5.6985-(0.68367*LN(V37)))</f>
        <v>8.1671263950443205</v>
      </c>
      <c r="X37" s="601">
        <f>(+W37*V37)/100</f>
        <v>15.772689713189086</v>
      </c>
      <c r="Y37" s="600">
        <f>100*((((X37/100)-((X37/100)-0.03574)*$E$21)-0.03574-0.00619)/0.344)</f>
        <v>21.605044217165105</v>
      </c>
      <c r="Z37" s="592">
        <f>$E$20</f>
        <v>0.25</v>
      </c>
      <c r="AA37" s="600">
        <f>Y37+Z37</f>
        <v>21.855044217165105</v>
      </c>
      <c r="AB37" s="600">
        <f>100*($E$17*$E$19+($E$18*(AA37/100))/(1-$E$21))</f>
        <v>21.096727121251664</v>
      </c>
      <c r="AC37" s="601">
        <f>AB37/V37</f>
        <v>0.10923922302037381</v>
      </c>
      <c r="AD37" s="599">
        <f>ROUND($E$8/(1-AC37),0)</f>
        <v>3272989</v>
      </c>
      <c r="AE37" s="592" t="str">
        <f>IF(AD37=AD31,"yes","not yet")</f>
        <v>not yet</v>
      </c>
      <c r="AF37" s="600">
        <f>100*(1-AC37)</f>
        <v>89.076077697962617</v>
      </c>
      <c r="AG37" s="592"/>
      <c r="AH37" s="592"/>
      <c r="AI37" s="592"/>
      <c r="AJ37" s="592" t="str">
        <f>HLOOKUP(1,$AJ$13:$AR$17,($E$12)+1)</f>
        <v>not yet</v>
      </c>
      <c r="AK37" s="592" t="str">
        <f>HLOOKUP(2,$AJ$13:$AR$17,($E$12)+1)</f>
        <v>not yet</v>
      </c>
      <c r="AL37" s="592" t="str">
        <f>HLOOKUP(3,$AJ$13:$AR$17,($E$12)+1)</f>
        <v>not yet</v>
      </c>
      <c r="AM37" s="592" t="str">
        <f>HLOOKUP(4,$AJ$13:$AR$17,($E$12)+1)</f>
        <v>not yet</v>
      </c>
      <c r="AN37" s="592" t="str">
        <f>HLOOKUP(5,$AJ$13:$AR$17,($E$12)+1)</f>
        <v>not yet</v>
      </c>
      <c r="AO37" s="592" t="str">
        <f>HLOOKUP(6,$AJ$13:$AR$17,($E$12)+1)</f>
        <v>not yet</v>
      </c>
      <c r="AP37" s="592" t="str">
        <f>HLOOKUP(7,$AJ$13:$AR$17,($E$12)+1)</f>
        <v>yes</v>
      </c>
      <c r="AQ37" s="592" t="str">
        <f>HLOOKUP(8,$AJ$13:$AR$17,($E$12)+1)</f>
        <v>yes</v>
      </c>
      <c r="AR37" s="592" t="str">
        <f>HLOOKUP(9,$AJ$13:$AR$17,($E$12)+1)</f>
        <v>yes</v>
      </c>
      <c r="AS37" s="590"/>
      <c r="AT37" s="590"/>
      <c r="AU37" s="590"/>
      <c r="AV37" s="590"/>
      <c r="AW37" s="590"/>
      <c r="AX37" s="590"/>
      <c r="AY37" s="590"/>
      <c r="AZ37" s="590"/>
      <c r="BA37" s="590"/>
      <c r="BB37" s="590"/>
      <c r="BC37" s="590"/>
      <c r="BD37" s="590"/>
      <c r="BE37" s="590"/>
      <c r="BF37" s="590"/>
      <c r="BG37" s="590"/>
      <c r="BH37" s="590"/>
      <c r="BI37" s="590"/>
      <c r="BJ37" s="590"/>
      <c r="BK37" s="591"/>
      <c r="BL37" s="591"/>
      <c r="BM37" s="591"/>
      <c r="BN37" s="591"/>
      <c r="BO37" s="591"/>
      <c r="BP37" s="591"/>
      <c r="BQ37" s="591"/>
      <c r="BR37" s="591"/>
      <c r="BS37" s="591"/>
      <c r="BT37" s="591"/>
      <c r="BU37" s="591"/>
      <c r="BV37" s="591"/>
      <c r="BW37" s="591"/>
      <c r="BX37" s="591"/>
      <c r="BY37" s="591"/>
      <c r="BZ37" s="591"/>
      <c r="CA37" s="591"/>
      <c r="CB37" s="591"/>
      <c r="CC37" s="591"/>
      <c r="CD37" s="591"/>
      <c r="CE37" s="591"/>
      <c r="CF37" s="591"/>
    </row>
    <row r="38" spans="1:84">
      <c r="A38" s="590"/>
      <c r="B38" s="592"/>
      <c r="C38" s="629"/>
      <c r="D38" s="629"/>
      <c r="E38" s="672"/>
      <c r="F38" s="592"/>
      <c r="G38" s="592"/>
      <c r="H38" s="592"/>
      <c r="I38" s="592"/>
      <c r="J38" s="592"/>
      <c r="K38" s="592"/>
      <c r="L38" s="592"/>
      <c r="M38" s="592"/>
      <c r="N38" s="592"/>
      <c r="O38" s="592"/>
      <c r="P38" s="592"/>
      <c r="Q38" s="592"/>
      <c r="R38" s="592"/>
      <c r="S38" s="592"/>
      <c r="T38" s="592"/>
      <c r="U38" s="592"/>
      <c r="V38" s="600">
        <f>100*(+AD32/$E$9)</f>
        <v>192.94323296522998</v>
      </c>
      <c r="W38" s="610">
        <f>EXP(5.6922-(0.68367*LN(V38)))</f>
        <v>8.1210358664051139</v>
      </c>
      <c r="X38" s="601">
        <f>(+W38*V38)/100</f>
        <v>15.668989150907903</v>
      </c>
      <c r="Y38" s="600">
        <f>100*((((X38/100)-((X38/100)-0.03574)*$E$21)-0.03574-0.00619)/0.344)</f>
        <v>21.406083836044228</v>
      </c>
      <c r="Z38" s="592">
        <f>$E$20</f>
        <v>0.25</v>
      </c>
      <c r="AA38" s="600">
        <f>Y38+Z38</f>
        <v>21.656083836044228</v>
      </c>
      <c r="AB38" s="600">
        <f>100*($E$17*$E$19+($E$18*(AA38/100))/(1-$E$21))</f>
        <v>20.915854047505412</v>
      </c>
      <c r="AC38" s="601">
        <f>AB38/V38</f>
        <v>0.1084041856563823</v>
      </c>
      <c r="AD38" s="599">
        <f>ROUND($E$8/(1-AC38),0)</f>
        <v>3269924</v>
      </c>
      <c r="AE38" s="592" t="str">
        <f>IF(AD38=AD32,"yes","not yet")</f>
        <v>not yet</v>
      </c>
      <c r="AF38" s="600">
        <f>100*(1-AC38)</f>
        <v>89.159581434361769</v>
      </c>
      <c r="AG38" s="592"/>
      <c r="AH38" s="592"/>
      <c r="AI38" s="592">
        <v>1</v>
      </c>
      <c r="AJ38" s="599">
        <f>AD5</f>
        <v>3260259.064657745</v>
      </c>
      <c r="AK38" s="599">
        <f>AD11</f>
        <v>3286768.440658778</v>
      </c>
      <c r="AL38" s="599">
        <f>AD17</f>
        <v>3284772.7477757302</v>
      </c>
      <c r="AM38" s="599">
        <f>AD23</f>
        <v>3284922.0487549747</v>
      </c>
      <c r="AN38" s="599">
        <f>AD29</f>
        <v>3284910.8740494903</v>
      </c>
      <c r="AO38" s="599">
        <f>AD35</f>
        <v>3284912</v>
      </c>
      <c r="AP38" s="599">
        <f>AD41</f>
        <v>3284912</v>
      </c>
      <c r="AQ38" s="599">
        <f>AD47</f>
        <v>3284912</v>
      </c>
      <c r="AR38" s="599">
        <f>AD53</f>
        <v>3284912</v>
      </c>
      <c r="AS38" s="590"/>
      <c r="AT38" s="590"/>
      <c r="AU38" s="590"/>
      <c r="AV38" s="590"/>
      <c r="AW38" s="590"/>
      <c r="AX38" s="590"/>
      <c r="AY38" s="590"/>
      <c r="AZ38" s="590"/>
      <c r="BA38" s="590"/>
      <c r="BB38" s="590"/>
      <c r="BC38" s="590"/>
      <c r="BD38" s="590"/>
      <c r="BE38" s="590"/>
      <c r="BF38" s="590"/>
      <c r="BG38" s="590"/>
      <c r="BH38" s="590"/>
      <c r="BI38" s="590"/>
      <c r="BJ38" s="590"/>
      <c r="BK38" s="591"/>
      <c r="BL38" s="591"/>
      <c r="BM38" s="591"/>
      <c r="BN38" s="591"/>
      <c r="BO38" s="591"/>
      <c r="BP38" s="591"/>
      <c r="BQ38" s="591"/>
      <c r="BR38" s="591"/>
      <c r="BS38" s="591"/>
      <c r="BT38" s="591"/>
      <c r="BU38" s="591"/>
      <c r="BV38" s="591"/>
      <c r="BW38" s="591"/>
      <c r="BX38" s="591"/>
      <c r="BY38" s="591"/>
      <c r="BZ38" s="591"/>
      <c r="CA38" s="591"/>
      <c r="CB38" s="591"/>
      <c r="CC38" s="591"/>
      <c r="CD38" s="591"/>
      <c r="CE38" s="591"/>
      <c r="CF38" s="591"/>
    </row>
    <row r="39" spans="1:84" ht="15.75">
      <c r="A39" s="590"/>
      <c r="B39" s="592"/>
      <c r="C39" s="629"/>
      <c r="D39" s="629"/>
      <c r="E39" s="674"/>
      <c r="F39" s="592"/>
      <c r="G39" s="592"/>
      <c r="H39" s="592"/>
      <c r="I39" s="592"/>
      <c r="J39" s="592"/>
      <c r="K39" s="592"/>
      <c r="L39" s="592"/>
      <c r="M39" s="592"/>
      <c r="N39" s="592"/>
      <c r="O39" s="592"/>
      <c r="P39" s="592"/>
      <c r="Q39" s="592"/>
      <c r="R39" s="592"/>
      <c r="S39" s="592"/>
      <c r="T39" s="592"/>
      <c r="U39" s="592"/>
      <c r="V39" s="592"/>
      <c r="W39" s="592"/>
      <c r="X39" s="592"/>
      <c r="Y39" s="592"/>
      <c r="Z39" s="592"/>
      <c r="AA39" s="600"/>
      <c r="AB39" s="592"/>
      <c r="AC39" s="592"/>
      <c r="AD39" s="592"/>
      <c r="AE39" s="592"/>
      <c r="AF39" s="592"/>
      <c r="AG39" s="592"/>
      <c r="AH39" s="592"/>
      <c r="AI39" s="592">
        <v>2</v>
      </c>
      <c r="AJ39" s="599">
        <f>AD6</f>
        <v>3253240.9291506098</v>
      </c>
      <c r="AK39" s="599">
        <f>AD12</f>
        <v>3279592.0013779541</v>
      </c>
      <c r="AL39" s="599">
        <f>AD18</f>
        <v>3277652.5750876479</v>
      </c>
      <c r="AM39" s="599">
        <f>AD24</f>
        <v>3277794.4284955231</v>
      </c>
      <c r="AN39" s="599">
        <f>AD30</f>
        <v>3277784.0483139036</v>
      </c>
      <c r="AO39" s="599">
        <f>AD36</f>
        <v>3277785</v>
      </c>
      <c r="AP39" s="599">
        <f>AD42</f>
        <v>3277785</v>
      </c>
      <c r="AQ39" s="599">
        <f>AD48</f>
        <v>3277785</v>
      </c>
      <c r="AR39" s="599">
        <f>AD54</f>
        <v>3277785</v>
      </c>
      <c r="AS39" s="590"/>
      <c r="AT39" s="590"/>
      <c r="AU39" s="590"/>
      <c r="AV39" s="590"/>
      <c r="AW39" s="590"/>
      <c r="AX39" s="590"/>
      <c r="AY39" s="590"/>
      <c r="AZ39" s="590"/>
      <c r="BA39" s="590"/>
      <c r="BB39" s="590"/>
      <c r="BC39" s="590"/>
      <c r="BD39" s="590"/>
      <c r="BE39" s="590"/>
      <c r="BF39" s="590"/>
      <c r="BG39" s="590"/>
      <c r="BH39" s="590"/>
      <c r="BI39" s="590"/>
      <c r="BJ39" s="590"/>
      <c r="BK39" s="591"/>
      <c r="BL39" s="591"/>
      <c r="BM39" s="591"/>
      <c r="BN39" s="591"/>
      <c r="BO39" s="591"/>
      <c r="BP39" s="591"/>
      <c r="BQ39" s="591"/>
      <c r="BR39" s="591"/>
      <c r="BS39" s="591"/>
      <c r="BT39" s="591"/>
      <c r="BU39" s="591"/>
      <c r="BV39" s="591"/>
      <c r="BW39" s="591"/>
      <c r="BX39" s="591"/>
      <c r="BY39" s="591"/>
      <c r="BZ39" s="591"/>
      <c r="CA39" s="591"/>
      <c r="CB39" s="591"/>
      <c r="CC39" s="591"/>
      <c r="CD39" s="591"/>
      <c r="CE39" s="591"/>
      <c r="CF39" s="591"/>
    </row>
    <row r="40" spans="1:84">
      <c r="A40" s="590"/>
      <c r="B40" s="592"/>
      <c r="C40" s="629"/>
      <c r="D40" s="629"/>
      <c r="E40" s="672"/>
      <c r="F40" s="592"/>
      <c r="G40" s="592"/>
      <c r="H40" s="592"/>
      <c r="I40" s="592"/>
      <c r="J40" s="592"/>
      <c r="K40" s="592"/>
      <c r="L40" s="592"/>
      <c r="M40" s="592"/>
      <c r="N40" s="592"/>
      <c r="O40" s="592"/>
      <c r="P40" s="592"/>
      <c r="Q40" s="592"/>
      <c r="R40" s="592"/>
      <c r="S40" s="592"/>
      <c r="T40" s="592"/>
      <c r="U40" s="592"/>
      <c r="V40" s="597" t="s">
        <v>393</v>
      </c>
      <c r="W40" s="609" t="s">
        <v>331</v>
      </c>
      <c r="X40" s="609" t="s">
        <v>341</v>
      </c>
      <c r="Y40" s="609" t="s">
        <v>342</v>
      </c>
      <c r="Z40" s="592"/>
      <c r="AA40" s="600"/>
      <c r="AB40" s="592"/>
      <c r="AC40" s="592"/>
      <c r="AD40" s="592"/>
      <c r="AE40" s="592"/>
      <c r="AF40" s="592"/>
      <c r="AG40" s="592"/>
      <c r="AH40" s="592"/>
      <c r="AI40" s="592">
        <v>3</v>
      </c>
      <c r="AJ40" s="599">
        <f>AD7</f>
        <v>3248530.3998478581</v>
      </c>
      <c r="AK40" s="599">
        <f>AD13</f>
        <v>3274762.4429422468</v>
      </c>
      <c r="AL40" s="599">
        <f>AD19</f>
        <v>3272861.4887997992</v>
      </c>
      <c r="AM40" s="599">
        <f>AD25</f>
        <v>3272998.39257207</v>
      </c>
      <c r="AN40" s="599">
        <f>AD31</f>
        <v>3272988.5285531436</v>
      </c>
      <c r="AO40" s="599">
        <f>AD37</f>
        <v>3272989</v>
      </c>
      <c r="AP40" s="599">
        <f>AD43</f>
        <v>3272989</v>
      </c>
      <c r="AQ40" s="599">
        <f>AD49</f>
        <v>3272989</v>
      </c>
      <c r="AR40" s="599">
        <f>AD55</f>
        <v>3272989</v>
      </c>
      <c r="AS40" s="590"/>
      <c r="AT40" s="590"/>
      <c r="AU40" s="590"/>
      <c r="AV40" s="590"/>
      <c r="AW40" s="590"/>
      <c r="AX40" s="590"/>
      <c r="AY40" s="590"/>
      <c r="AZ40" s="590"/>
      <c r="BA40" s="590"/>
      <c r="BB40" s="590"/>
      <c r="BC40" s="590"/>
      <c r="BD40" s="590"/>
      <c r="BE40" s="590"/>
      <c r="BF40" s="590"/>
      <c r="BG40" s="590"/>
      <c r="BH40" s="590"/>
      <c r="BI40" s="590"/>
      <c r="BJ40" s="590"/>
      <c r="BK40" s="591"/>
      <c r="BL40" s="591"/>
      <c r="BM40" s="591"/>
      <c r="BN40" s="591"/>
      <c r="BO40" s="591"/>
      <c r="BP40" s="591"/>
      <c r="BQ40" s="591"/>
      <c r="BR40" s="591"/>
      <c r="BS40" s="591"/>
      <c r="BT40" s="591"/>
      <c r="BU40" s="591"/>
      <c r="BV40" s="591"/>
      <c r="BW40" s="591"/>
      <c r="BX40" s="591"/>
      <c r="BY40" s="591"/>
      <c r="BZ40" s="591"/>
      <c r="CA40" s="591"/>
      <c r="CB40" s="591"/>
      <c r="CC40" s="591"/>
      <c r="CD40" s="591"/>
      <c r="CE40" s="591"/>
      <c r="CF40" s="591"/>
    </row>
    <row r="41" spans="1:84">
      <c r="A41" s="590"/>
      <c r="B41" s="592"/>
      <c r="C41" s="592"/>
      <c r="D41" s="592"/>
      <c r="E41" s="596"/>
      <c r="F41" s="592"/>
      <c r="G41" s="592"/>
      <c r="H41" s="592"/>
      <c r="I41" s="592"/>
      <c r="J41" s="592"/>
      <c r="K41" s="592"/>
      <c r="L41" s="592"/>
      <c r="M41" s="592"/>
      <c r="N41" s="592"/>
      <c r="O41" s="592"/>
      <c r="P41" s="592"/>
      <c r="Q41" s="592"/>
      <c r="R41" s="592"/>
      <c r="S41" s="592"/>
      <c r="T41" s="592"/>
      <c r="U41" s="592"/>
      <c r="V41" s="600">
        <f>100*(+AD35/$E$9)</f>
        <v>193.8276540848957</v>
      </c>
      <c r="W41" s="610">
        <f>EXP(5.7226-(0.68367*LN(+V41)))</f>
        <v>8.3455715240971866</v>
      </c>
      <c r="X41" s="601">
        <f>(+W41*V41)/100</f>
        <v>16.176025505134653</v>
      </c>
      <c r="Y41" s="600">
        <f>100*((((X41/100)-((X41/100)-0.03574)*$E$21)-0.03574-0.00619)/0.344)</f>
        <v>22.378886143572306</v>
      </c>
      <c r="Z41" s="592">
        <f>$E$20</f>
        <v>0.25</v>
      </c>
      <c r="AA41" s="600">
        <f>Y41+Z41</f>
        <v>22.628886143572306</v>
      </c>
      <c r="AB41" s="600">
        <f>100*($E$17*$E$19+($E$18*(AA41/100))/(1-$E$21))</f>
        <v>21.800219781621845</v>
      </c>
      <c r="AC41" s="601">
        <f>AB41/V41</f>
        <v>0.11247218506846005</v>
      </c>
      <c r="AD41" s="599">
        <f>ROUND($E$8/(1-AC41),0)</f>
        <v>3284912</v>
      </c>
      <c r="AE41" s="592" t="str">
        <f>IF(OR(OR(AD41=AD35,AD41=(AD35+1)),AD41=(AD27-1)),"yes","not yet")</f>
        <v>yes</v>
      </c>
      <c r="AF41" s="600">
        <f>100*(1-AC41)</f>
        <v>88.752781493154004</v>
      </c>
      <c r="AG41" s="592"/>
      <c r="AH41" s="592"/>
      <c r="AI41" s="592">
        <v>4</v>
      </c>
      <c r="AJ41" s="599">
        <f>AD8</f>
        <v>3245524.3666204624</v>
      </c>
      <c r="AK41" s="599">
        <f>AD14</f>
        <v>3271675.0916256658</v>
      </c>
      <c r="AL41" s="599">
        <f>AD20</f>
        <v>3269798.965279955</v>
      </c>
      <c r="AM41" s="599">
        <f>AD26</f>
        <v>3269932.7336522513</v>
      </c>
      <c r="AN41" s="599">
        <f>AD32</f>
        <v>3269923.1917065722</v>
      </c>
      <c r="AO41" s="599">
        <f>AD38</f>
        <v>3269924</v>
      </c>
      <c r="AP41" s="599">
        <f>AD44</f>
        <v>3269924</v>
      </c>
      <c r="AQ41" s="599">
        <f>AD50</f>
        <v>3269924</v>
      </c>
      <c r="AR41" s="599">
        <f>AD56</f>
        <v>3269924</v>
      </c>
      <c r="AS41" s="590"/>
      <c r="AT41" s="590"/>
      <c r="AU41" s="590"/>
      <c r="AV41" s="590"/>
      <c r="AW41" s="590"/>
      <c r="AX41" s="590"/>
      <c r="AY41" s="590"/>
      <c r="AZ41" s="590"/>
      <c r="BA41" s="590"/>
      <c r="BB41" s="590"/>
      <c r="BC41" s="590"/>
      <c r="BD41" s="590"/>
      <c r="BE41" s="590"/>
      <c r="BF41" s="590"/>
      <c r="BG41" s="590"/>
      <c r="BH41" s="590"/>
      <c r="BI41" s="590"/>
      <c r="BJ41" s="590"/>
      <c r="BK41" s="591"/>
      <c r="BL41" s="591"/>
      <c r="BM41" s="591"/>
      <c r="BN41" s="591"/>
      <c r="BO41" s="591"/>
      <c r="BP41" s="591"/>
      <c r="BQ41" s="591"/>
      <c r="BR41" s="591"/>
      <c r="BS41" s="591"/>
      <c r="BT41" s="591"/>
      <c r="BU41" s="591"/>
      <c r="BV41" s="591"/>
      <c r="BW41" s="591"/>
      <c r="BX41" s="591"/>
      <c r="BY41" s="591"/>
      <c r="BZ41" s="591"/>
      <c r="CA41" s="591"/>
      <c r="CB41" s="591"/>
      <c r="CC41" s="591"/>
      <c r="CD41" s="591"/>
      <c r="CE41" s="591"/>
      <c r="CF41" s="591"/>
    </row>
    <row r="42" spans="1:84">
      <c r="A42" s="590"/>
      <c r="B42" s="592"/>
      <c r="C42" s="592"/>
      <c r="D42" s="592"/>
      <c r="E42" s="595"/>
      <c r="F42" s="592"/>
      <c r="G42" s="592"/>
      <c r="H42" s="592"/>
      <c r="I42" s="592"/>
      <c r="J42" s="592"/>
      <c r="K42" s="592"/>
      <c r="L42" s="592"/>
      <c r="M42" s="592"/>
      <c r="N42" s="592"/>
      <c r="O42" s="592"/>
      <c r="P42" s="592"/>
      <c r="Q42" s="592"/>
      <c r="R42" s="592"/>
      <c r="S42" s="592"/>
      <c r="T42" s="592"/>
      <c r="U42" s="592"/>
      <c r="V42" s="600">
        <f>100*(+AD36/$E$9)</f>
        <v>193.40712236573154</v>
      </c>
      <c r="W42" s="610">
        <f>EXP(5.70827-(0.68367*LN(+V42)))</f>
        <v>8.2390574897816844</v>
      </c>
      <c r="X42" s="601">
        <f>(+W42*V42)/100</f>
        <v>15.934924001045031</v>
      </c>
      <c r="Y42" s="600">
        <f>100*((((X42/100)-((X42/100)-0.03574)*$E$21)-0.03574-0.00619)/0.344)</f>
        <v>21.916307676423607</v>
      </c>
      <c r="Z42" s="592">
        <f>$E$20</f>
        <v>0.25</v>
      </c>
      <c r="AA42" s="600">
        <f>Y42+Z42</f>
        <v>22.166307676423607</v>
      </c>
      <c r="AB42" s="600">
        <f>100*($E$17*$E$19+($E$18*(AA42/100))/(1-$E$21))</f>
        <v>21.379693902395761</v>
      </c>
      <c r="AC42" s="601">
        <f>AB42/V42</f>
        <v>0.11054243318902655</v>
      </c>
      <c r="AD42" s="599">
        <f>ROUND($E$8/(1-AC42),0)</f>
        <v>3277785</v>
      </c>
      <c r="AE42" s="592" t="str">
        <f>IF(OR(OR(AD42=AD36,AD42=(AD36+5)),AD42=(AD28-5)),"yes","not yet")</f>
        <v>yes</v>
      </c>
      <c r="AF42" s="600">
        <f>100*(1-AC42)</f>
        <v>88.94575668109735</v>
      </c>
      <c r="AG42" s="592"/>
      <c r="AH42" s="592"/>
      <c r="AI42" s="592"/>
      <c r="AJ42" s="592"/>
      <c r="AK42" s="592"/>
      <c r="AL42" s="592"/>
      <c r="AM42" s="592"/>
      <c r="AN42" s="592"/>
      <c r="AO42" s="592"/>
      <c r="AP42" s="592"/>
      <c r="AQ42" s="592"/>
      <c r="AR42" s="592"/>
      <c r="AS42" s="590"/>
      <c r="AT42" s="590"/>
      <c r="AU42" s="590"/>
      <c r="AV42" s="590"/>
      <c r="AW42" s="590"/>
      <c r="AX42" s="590"/>
      <c r="AY42" s="590"/>
      <c r="AZ42" s="590"/>
      <c r="BA42" s="590"/>
      <c r="BB42" s="590"/>
      <c r="BC42" s="590"/>
      <c r="BD42" s="590"/>
      <c r="BE42" s="590"/>
      <c r="BF42" s="590"/>
      <c r="BG42" s="590"/>
      <c r="BH42" s="590"/>
      <c r="BI42" s="590"/>
      <c r="BJ42" s="590"/>
      <c r="BK42" s="591"/>
      <c r="BL42" s="591"/>
      <c r="BM42" s="591"/>
      <c r="BN42" s="591"/>
      <c r="BO42" s="591"/>
      <c r="BP42" s="591"/>
      <c r="BQ42" s="591"/>
      <c r="BR42" s="591"/>
      <c r="BS42" s="591"/>
      <c r="BT42" s="591"/>
      <c r="BU42" s="591"/>
      <c r="BV42" s="591"/>
      <c r="BW42" s="591"/>
      <c r="BX42" s="591"/>
      <c r="BY42" s="591"/>
      <c r="BZ42" s="591"/>
      <c r="CA42" s="591"/>
      <c r="CB42" s="591"/>
      <c r="CC42" s="591"/>
      <c r="CD42" s="591"/>
      <c r="CE42" s="591"/>
      <c r="CF42" s="591"/>
    </row>
    <row r="43" spans="1:84">
      <c r="A43" s="590"/>
      <c r="B43" s="592"/>
      <c r="C43" s="592"/>
      <c r="D43" s="592"/>
      <c r="E43" s="596"/>
      <c r="F43" s="592"/>
      <c r="G43" s="592"/>
      <c r="H43" s="592"/>
      <c r="I43" s="592"/>
      <c r="J43" s="592"/>
      <c r="K43" s="592"/>
      <c r="L43" s="592"/>
      <c r="M43" s="592"/>
      <c r="N43" s="592"/>
      <c r="O43" s="592"/>
      <c r="P43" s="592"/>
      <c r="Q43" s="592"/>
      <c r="R43" s="592"/>
      <c r="S43" s="592"/>
      <c r="T43" s="592"/>
      <c r="U43" s="592"/>
      <c r="V43" s="600">
        <f>100*(+AD37/$E$9)</f>
        <v>193.12413231029285</v>
      </c>
      <c r="W43" s="610">
        <f>EXP(5.6985-(0.68367*LN(V43)))</f>
        <v>8.1671255907703593</v>
      </c>
      <c r="X43" s="601">
        <f>(+W43*V43)/100</f>
        <v>15.772690431867137</v>
      </c>
      <c r="Y43" s="600">
        <f>100*((((X43/100)-((X43/100)-0.03574)*$E$21)-0.03574-0.00619)/0.344)</f>
        <v>21.605045596024159</v>
      </c>
      <c r="Z43" s="592">
        <f>$E$20</f>
        <v>0.25</v>
      </c>
      <c r="AA43" s="600">
        <f>Y43+Z43</f>
        <v>21.855045596024159</v>
      </c>
      <c r="AB43" s="600">
        <f>100*($E$17*$E$19+($E$18*(AA43/100))/(1-$E$21))</f>
        <v>21.096728374759898</v>
      </c>
      <c r="AC43" s="601">
        <f>AB43/V43</f>
        <v>0.10923921377605855</v>
      </c>
      <c r="AD43" s="599">
        <f>ROUND($E$8/(1-AC43),0)</f>
        <v>3272989</v>
      </c>
      <c r="AE43" s="592" t="str">
        <f>IF(OR(OR(AD43=AD37,AD43=(AD37+5)),AD43=(AD29-5)),"yes","not yet")</f>
        <v>yes</v>
      </c>
      <c r="AF43" s="600">
        <f>100*(1-AC43)</f>
        <v>89.076078622394149</v>
      </c>
      <c r="AG43" s="592"/>
      <c r="AH43" s="592"/>
      <c r="AI43" s="592"/>
      <c r="AJ43" s="592" t="s">
        <v>390</v>
      </c>
      <c r="AK43" s="592"/>
      <c r="AL43" s="592"/>
      <c r="AM43" s="592"/>
      <c r="AN43" s="592"/>
      <c r="AO43" s="592"/>
      <c r="AP43" s="592"/>
      <c r="AQ43" s="592"/>
      <c r="AR43" s="592"/>
      <c r="AS43" s="590"/>
      <c r="AT43" s="590"/>
      <c r="AU43" s="590"/>
      <c r="AV43" s="590"/>
      <c r="AW43" s="590"/>
      <c r="AX43" s="590"/>
      <c r="AY43" s="590"/>
      <c r="AZ43" s="590"/>
      <c r="BA43" s="590"/>
      <c r="BB43" s="590"/>
      <c r="BC43" s="590"/>
      <c r="BD43" s="590"/>
      <c r="BE43" s="590"/>
      <c r="BF43" s="590"/>
      <c r="BG43" s="590"/>
      <c r="BH43" s="590"/>
      <c r="BI43" s="590"/>
      <c r="BJ43" s="590"/>
      <c r="BK43" s="591"/>
      <c r="BL43" s="591"/>
      <c r="BM43" s="591"/>
      <c r="BN43" s="591"/>
      <c r="BO43" s="591"/>
      <c r="BP43" s="591"/>
      <c r="BQ43" s="591"/>
      <c r="BR43" s="591"/>
      <c r="BS43" s="591"/>
      <c r="BT43" s="591"/>
      <c r="BU43" s="591"/>
      <c r="BV43" s="591"/>
      <c r="BW43" s="591"/>
      <c r="BX43" s="591"/>
      <c r="BY43" s="591"/>
      <c r="BZ43" s="591"/>
      <c r="CA43" s="591"/>
      <c r="CB43" s="591"/>
      <c r="CC43" s="591"/>
      <c r="CD43" s="591"/>
      <c r="CE43" s="591"/>
      <c r="CF43" s="591"/>
    </row>
    <row r="44" spans="1:84">
      <c r="A44" s="590"/>
      <c r="B44" s="592"/>
      <c r="C44" s="592"/>
      <c r="D44" s="592"/>
      <c r="E44" s="630"/>
      <c r="F44" s="592"/>
      <c r="G44" s="592"/>
      <c r="H44" s="592"/>
      <c r="I44" s="592"/>
      <c r="J44" s="592"/>
      <c r="K44" s="592"/>
      <c r="L44" s="592"/>
      <c r="M44" s="592"/>
      <c r="N44" s="592"/>
      <c r="O44" s="592"/>
      <c r="P44" s="592"/>
      <c r="Q44" s="592"/>
      <c r="R44" s="592"/>
      <c r="S44" s="592"/>
      <c r="T44" s="592"/>
      <c r="U44" s="592"/>
      <c r="V44" s="600">
        <f>100*(+AD38/$E$9)</f>
        <v>192.9432806589335</v>
      </c>
      <c r="W44" s="610">
        <f>EXP(5.6922-(0.68367*LN(V44)))</f>
        <v>8.1210344939777848</v>
      </c>
      <c r="X44" s="601">
        <f>(+W44*V44)/100</f>
        <v>15.668990376124357</v>
      </c>
      <c r="Y44" s="600">
        <f>100*((((X44/100)-((X44/100)-0.03574)*$E$21)-0.03574-0.00619)/0.344)</f>
        <v>21.406086186750223</v>
      </c>
      <c r="Z44" s="592">
        <f>$E$20</f>
        <v>0.25</v>
      </c>
      <c r="AA44" s="600">
        <f>Y44+Z44</f>
        <v>21.656086186750223</v>
      </c>
      <c r="AB44" s="600">
        <f>100*($E$17*$E$19+($E$18*(AA44/100))/(1-$E$21))</f>
        <v>20.915856184510865</v>
      </c>
      <c r="AC44" s="601">
        <f>AB44/V44</f>
        <v>0.10840416993574342</v>
      </c>
      <c r="AD44" s="599">
        <f>ROUND($E$8/(1-AC44),0)</f>
        <v>3269924</v>
      </c>
      <c r="AE44" s="592" t="str">
        <f>IF(OR(OR(AD44=AD38,AD44=(AD38+5)),AD44=(AD30-5)),"yes","not yet")</f>
        <v>yes</v>
      </c>
      <c r="AF44" s="600">
        <f>100*(1-AC44)</f>
        <v>89.159583006425663</v>
      </c>
      <c r="AG44" s="592"/>
      <c r="AH44" s="592"/>
      <c r="AI44" s="592"/>
      <c r="AJ44" s="599">
        <f>HLOOKUP($AJ$34,$AJ$37:$AR$41,($E$12)+1)</f>
        <v>3272989</v>
      </c>
      <c r="AK44" s="592"/>
      <c r="AL44" s="592"/>
      <c r="AM44" s="592"/>
      <c r="AN44" s="592"/>
      <c r="AO44" s="592"/>
      <c r="AP44" s="592"/>
      <c r="AQ44" s="592"/>
      <c r="AR44" s="592"/>
      <c r="AS44" s="590"/>
      <c r="AT44" s="590"/>
      <c r="AU44" s="590"/>
      <c r="AV44" s="590"/>
      <c r="AW44" s="590"/>
      <c r="AX44" s="590"/>
      <c r="AY44" s="590"/>
      <c r="AZ44" s="590"/>
      <c r="BA44" s="590"/>
      <c r="BB44" s="590"/>
      <c r="BC44" s="590"/>
      <c r="BD44" s="590"/>
      <c r="BE44" s="590"/>
      <c r="BF44" s="590"/>
      <c r="BG44" s="590"/>
      <c r="BH44" s="590"/>
      <c r="BI44" s="590"/>
      <c r="BJ44" s="590"/>
      <c r="BK44" s="591"/>
      <c r="BL44" s="591"/>
      <c r="BM44" s="591"/>
      <c r="BN44" s="591"/>
      <c r="BO44" s="591"/>
      <c r="BP44" s="591"/>
      <c r="BQ44" s="591"/>
      <c r="BR44" s="591"/>
      <c r="BS44" s="591"/>
      <c r="BT44" s="591"/>
      <c r="BU44" s="591"/>
      <c r="BV44" s="591"/>
      <c r="BW44" s="591"/>
      <c r="BX44" s="591"/>
      <c r="BY44" s="591"/>
      <c r="BZ44" s="591"/>
      <c r="CA44" s="591"/>
      <c r="CB44" s="591"/>
      <c r="CC44" s="591"/>
      <c r="CD44" s="591"/>
      <c r="CE44" s="591"/>
      <c r="CF44" s="591"/>
    </row>
    <row r="45" spans="1:84">
      <c r="A45" s="590"/>
      <c r="B45" s="592"/>
      <c r="C45" s="592"/>
      <c r="D45" s="592"/>
      <c r="E45" s="592"/>
      <c r="F45" s="592"/>
      <c r="G45" s="592"/>
      <c r="H45" s="592"/>
      <c r="I45" s="592"/>
      <c r="J45" s="592"/>
      <c r="K45" s="592"/>
      <c r="L45" s="592"/>
      <c r="M45" s="592"/>
      <c r="N45" s="592"/>
      <c r="O45" s="592"/>
      <c r="P45" s="592"/>
      <c r="Q45" s="592"/>
      <c r="R45" s="592"/>
      <c r="S45" s="592"/>
      <c r="T45" s="592"/>
      <c r="U45" s="592"/>
      <c r="V45" s="592"/>
      <c r="W45" s="592"/>
      <c r="X45" s="592"/>
      <c r="Y45" s="592"/>
      <c r="Z45" s="592"/>
      <c r="AA45" s="600"/>
      <c r="AB45" s="592"/>
      <c r="AC45" s="592"/>
      <c r="AD45" s="592"/>
      <c r="AE45" s="592"/>
      <c r="AF45" s="592"/>
      <c r="AG45" s="592"/>
      <c r="AH45" s="592"/>
      <c r="AI45" s="592"/>
      <c r="AJ45" s="592"/>
      <c r="AK45" s="592"/>
      <c r="AL45" s="592"/>
      <c r="AM45" s="592"/>
      <c r="AN45" s="592"/>
      <c r="AO45" s="592"/>
      <c r="AP45" s="592"/>
      <c r="AQ45" s="592"/>
      <c r="AR45" s="592"/>
      <c r="AS45" s="590"/>
      <c r="AT45" s="590"/>
      <c r="AU45" s="590"/>
      <c r="AV45" s="590"/>
      <c r="AW45" s="590"/>
      <c r="AX45" s="590"/>
      <c r="AY45" s="590"/>
      <c r="AZ45" s="590"/>
      <c r="BA45" s="590"/>
      <c r="BB45" s="590"/>
      <c r="BC45" s="590"/>
      <c r="BD45" s="590"/>
      <c r="BE45" s="590"/>
      <c r="BF45" s="590"/>
      <c r="BG45" s="590"/>
      <c r="BH45" s="590"/>
      <c r="BI45" s="590"/>
      <c r="BJ45" s="590"/>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row>
    <row r="46" spans="1:84">
      <c r="A46" s="590"/>
      <c r="B46" s="592"/>
      <c r="C46" s="592"/>
      <c r="D46" s="599"/>
      <c r="E46" s="599"/>
      <c r="F46" s="599"/>
      <c r="G46" s="592"/>
      <c r="H46" s="592"/>
      <c r="I46" s="592"/>
      <c r="J46" s="592"/>
      <c r="K46" s="592"/>
      <c r="L46" s="592"/>
      <c r="M46" s="592"/>
      <c r="N46" s="592"/>
      <c r="O46" s="592"/>
      <c r="P46" s="592"/>
      <c r="Q46" s="592"/>
      <c r="R46" s="592"/>
      <c r="S46" s="592"/>
      <c r="T46" s="592"/>
      <c r="U46" s="592"/>
      <c r="V46" s="597" t="s">
        <v>394</v>
      </c>
      <c r="W46" s="609" t="s">
        <v>331</v>
      </c>
      <c r="X46" s="609" t="s">
        <v>341</v>
      </c>
      <c r="Y46" s="609" t="s">
        <v>342</v>
      </c>
      <c r="Z46" s="592"/>
      <c r="AA46" s="600"/>
      <c r="AB46" s="592"/>
      <c r="AC46" s="592"/>
      <c r="AD46" s="592"/>
      <c r="AE46" s="592"/>
      <c r="AF46" s="592"/>
      <c r="AG46" s="592"/>
      <c r="AH46" s="592"/>
      <c r="AI46" s="592"/>
      <c r="AJ46" s="592"/>
      <c r="AK46" s="592"/>
      <c r="AL46" s="592"/>
      <c r="AM46" s="592"/>
      <c r="AN46" s="592"/>
      <c r="AO46" s="592"/>
      <c r="AP46" s="592"/>
      <c r="AQ46" s="592"/>
      <c r="AR46" s="592"/>
      <c r="AS46" s="590"/>
      <c r="AT46" s="590"/>
      <c r="AU46" s="590"/>
      <c r="AV46" s="590"/>
      <c r="AW46" s="590"/>
      <c r="AX46" s="590"/>
      <c r="AY46" s="590"/>
      <c r="AZ46" s="590"/>
      <c r="BA46" s="590"/>
      <c r="BB46" s="590"/>
      <c r="BC46" s="590"/>
      <c r="BD46" s="590"/>
      <c r="BE46" s="590"/>
      <c r="BF46" s="590"/>
      <c r="BG46" s="590"/>
      <c r="BH46" s="590"/>
      <c r="BI46" s="590"/>
      <c r="BJ46" s="590"/>
      <c r="BK46" s="591"/>
      <c r="BL46" s="591"/>
      <c r="BM46" s="591"/>
      <c r="BN46" s="591"/>
      <c r="BO46" s="591"/>
      <c r="BP46" s="591"/>
      <c r="BQ46" s="591"/>
      <c r="BR46" s="591"/>
      <c r="BS46" s="591"/>
      <c r="BT46" s="591"/>
      <c r="BU46" s="591"/>
      <c r="BV46" s="591"/>
      <c r="BW46" s="591"/>
      <c r="BX46" s="591"/>
      <c r="BY46" s="591"/>
      <c r="BZ46" s="591"/>
      <c r="CA46" s="591"/>
      <c r="CB46" s="591"/>
      <c r="CC46" s="591"/>
      <c r="CD46" s="591"/>
      <c r="CE46" s="591"/>
      <c r="CF46" s="591"/>
    </row>
    <row r="47" spans="1:84">
      <c r="A47" s="590"/>
      <c r="B47" s="592"/>
      <c r="C47" s="592"/>
      <c r="D47" s="599"/>
      <c r="E47" s="599"/>
      <c r="F47" s="599"/>
      <c r="G47" s="592"/>
      <c r="H47" s="592"/>
      <c r="I47" s="592"/>
      <c r="J47" s="592"/>
      <c r="K47" s="592"/>
      <c r="L47" s="592"/>
      <c r="M47" s="592"/>
      <c r="N47" s="592"/>
      <c r="O47" s="592"/>
      <c r="P47" s="592"/>
      <c r="Q47" s="592"/>
      <c r="R47" s="592"/>
      <c r="S47" s="592"/>
      <c r="T47" s="592"/>
      <c r="U47" s="592"/>
      <c r="V47" s="600">
        <f>100*(+AD41/$E$9)</f>
        <v>193.8276540848957</v>
      </c>
      <c r="W47" s="610">
        <f>EXP(5.7226-(0.68367*LN(+V47)))</f>
        <v>8.3455715240971866</v>
      </c>
      <c r="X47" s="601">
        <f>(+W47*V47)/100</f>
        <v>16.176025505134653</v>
      </c>
      <c r="Y47" s="600">
        <f>100*((((X47/100)-((X47/100)-0.03574)*$E$21)-0.03574-0.00619)/0.344)</f>
        <v>22.378886143572306</v>
      </c>
      <c r="Z47" s="592">
        <f>$E$20</f>
        <v>0.25</v>
      </c>
      <c r="AA47" s="600">
        <f>Y47+Z47</f>
        <v>22.628886143572306</v>
      </c>
      <c r="AB47" s="600">
        <f>100*($E$17*$E$19+($E$18*(AA47/100))/(1-$E$21))</f>
        <v>21.800219781621845</v>
      </c>
      <c r="AC47" s="601">
        <f>AB47/V47</f>
        <v>0.11247218506846005</v>
      </c>
      <c r="AD47" s="599">
        <f>ROUND($E$8/(1-AC47),0)</f>
        <v>3284912</v>
      </c>
      <c r="AE47" s="592" t="str">
        <f>IF(OR(OR(AD47=AD41,AD47=(AD41+1)),AD47=(AD33-1)),"yes","not yet")</f>
        <v>yes</v>
      </c>
      <c r="AF47" s="600">
        <f>100*(1-AC47)</f>
        <v>88.752781493154004</v>
      </c>
      <c r="AG47" s="592"/>
      <c r="AH47" s="592"/>
      <c r="AI47" s="592"/>
      <c r="AJ47" s="592"/>
      <c r="AK47" s="592"/>
      <c r="AL47" s="592"/>
      <c r="AM47" s="592"/>
      <c r="AN47" s="592"/>
      <c r="AO47" s="592"/>
      <c r="AP47" s="592"/>
      <c r="AQ47" s="592"/>
      <c r="AR47" s="592"/>
      <c r="AS47" s="590"/>
      <c r="AT47" s="590"/>
      <c r="AU47" s="590"/>
      <c r="AV47" s="590"/>
      <c r="AW47" s="590"/>
      <c r="AX47" s="590"/>
      <c r="AY47" s="590"/>
      <c r="AZ47" s="590"/>
      <c r="BA47" s="590"/>
      <c r="BB47" s="590"/>
      <c r="BC47" s="590"/>
      <c r="BD47" s="590"/>
      <c r="BE47" s="590"/>
      <c r="BF47" s="590"/>
      <c r="BG47" s="590"/>
      <c r="BH47" s="590"/>
      <c r="BI47" s="590"/>
      <c r="BJ47" s="590"/>
      <c r="BK47" s="591"/>
      <c r="BL47" s="591"/>
      <c r="BM47" s="591"/>
      <c r="BN47" s="591"/>
      <c r="BO47" s="591"/>
      <c r="BP47" s="591"/>
      <c r="BQ47" s="591"/>
      <c r="BR47" s="591"/>
      <c r="BS47" s="591"/>
      <c r="BT47" s="591"/>
      <c r="BU47" s="591"/>
      <c r="BV47" s="591"/>
      <c r="BW47" s="591"/>
      <c r="BX47" s="591"/>
      <c r="BY47" s="591"/>
      <c r="BZ47" s="591"/>
      <c r="CA47" s="591"/>
      <c r="CB47" s="591"/>
      <c r="CC47" s="591"/>
      <c r="CD47" s="591"/>
      <c r="CE47" s="591"/>
      <c r="CF47" s="591"/>
    </row>
    <row r="48" spans="1:84">
      <c r="A48" s="590"/>
      <c r="B48" s="592"/>
      <c r="C48" s="592"/>
      <c r="D48" s="592"/>
      <c r="E48" s="595"/>
      <c r="F48" s="592"/>
      <c r="G48" s="592"/>
      <c r="H48" s="592"/>
      <c r="I48" s="592"/>
      <c r="J48" s="592"/>
      <c r="K48" s="592"/>
      <c r="L48" s="592"/>
      <c r="M48" s="592"/>
      <c r="N48" s="592"/>
      <c r="O48" s="592"/>
      <c r="P48" s="592"/>
      <c r="Q48" s="592"/>
      <c r="R48" s="592"/>
      <c r="S48" s="592"/>
      <c r="T48" s="592"/>
      <c r="U48" s="592"/>
      <c r="V48" s="600">
        <f>100*(+AD42/$E$9)</f>
        <v>193.40712236573154</v>
      </c>
      <c r="W48" s="610">
        <f>EXP(5.70827-(0.68367*LN(+V48)))</f>
        <v>8.2390574897816844</v>
      </c>
      <c r="X48" s="601">
        <f>(+W48*V48)/100</f>
        <v>15.934924001045031</v>
      </c>
      <c r="Y48" s="600">
        <f>100*((((X48/100)-((X48/100)-0.03574)*$E$21)-0.03574-0.00619)/0.344)</f>
        <v>21.916307676423607</v>
      </c>
      <c r="Z48" s="592">
        <f>$E$20</f>
        <v>0.25</v>
      </c>
      <c r="AA48" s="600">
        <f>Y48+Z48</f>
        <v>22.166307676423607</v>
      </c>
      <c r="AB48" s="600">
        <f>100*($E$17*$E$19+($E$18*(AA48/100))/(1-$E$21))</f>
        <v>21.379693902395761</v>
      </c>
      <c r="AC48" s="601">
        <f>AB48/V48</f>
        <v>0.11054243318902655</v>
      </c>
      <c r="AD48" s="599">
        <f>ROUND($E$8/(1-AC48),0)</f>
        <v>3277785</v>
      </c>
      <c r="AE48" s="592" t="str">
        <f>IF(OR(OR(AD48=AD42,AD48=(AD42+1)),AD48=(AD42-1)),"yes","not yet")</f>
        <v>yes</v>
      </c>
      <c r="AF48" s="600">
        <f>100*(1-AC48)</f>
        <v>88.94575668109735</v>
      </c>
      <c r="AG48" s="592"/>
      <c r="AH48" s="592"/>
      <c r="AI48" s="592"/>
      <c r="AJ48" s="592"/>
      <c r="AK48" s="592"/>
      <c r="AL48" s="592"/>
      <c r="AM48" s="592"/>
      <c r="AN48" s="592"/>
      <c r="AO48" s="592"/>
      <c r="AP48" s="592"/>
      <c r="AQ48" s="592"/>
      <c r="AR48" s="592"/>
      <c r="AS48" s="590"/>
      <c r="AT48" s="590"/>
      <c r="AU48" s="590"/>
      <c r="AV48" s="590"/>
      <c r="AW48" s="590"/>
      <c r="AX48" s="590"/>
      <c r="AY48" s="590"/>
      <c r="AZ48" s="590"/>
      <c r="BA48" s="590"/>
      <c r="BB48" s="590"/>
      <c r="BC48" s="590"/>
      <c r="BD48" s="590"/>
      <c r="BE48" s="590"/>
      <c r="BF48" s="590"/>
      <c r="BG48" s="590"/>
      <c r="BH48" s="590"/>
      <c r="BI48" s="590"/>
      <c r="BJ48" s="590"/>
      <c r="BK48" s="591"/>
      <c r="BL48" s="591"/>
      <c r="BM48" s="591"/>
      <c r="BN48" s="591"/>
      <c r="BO48" s="591"/>
      <c r="BP48" s="591"/>
      <c r="BQ48" s="591"/>
      <c r="BR48" s="591"/>
      <c r="BS48" s="591"/>
      <c r="BT48" s="591"/>
      <c r="BU48" s="591"/>
      <c r="BV48" s="591"/>
      <c r="BW48" s="591"/>
      <c r="BX48" s="591"/>
      <c r="BY48" s="591"/>
      <c r="BZ48" s="591"/>
      <c r="CA48" s="591"/>
      <c r="CB48" s="591"/>
      <c r="CC48" s="591"/>
      <c r="CD48" s="591"/>
      <c r="CE48" s="591"/>
      <c r="CF48" s="591"/>
    </row>
    <row r="49" spans="1:84">
      <c r="A49" s="590"/>
      <c r="B49" s="592"/>
      <c r="C49" s="592"/>
      <c r="D49" s="592"/>
      <c r="E49" s="595"/>
      <c r="F49" s="592"/>
      <c r="G49" s="592"/>
      <c r="H49" s="592"/>
      <c r="I49" s="592"/>
      <c r="J49" s="592"/>
      <c r="K49" s="592"/>
      <c r="L49" s="592"/>
      <c r="M49" s="592"/>
      <c r="N49" s="592"/>
      <c r="O49" s="592"/>
      <c r="P49" s="592"/>
      <c r="Q49" s="592"/>
      <c r="R49" s="592"/>
      <c r="S49" s="592"/>
      <c r="T49" s="592"/>
      <c r="U49" s="592"/>
      <c r="V49" s="600">
        <f>100*(+AD43/$E$9)</f>
        <v>193.12413231029285</v>
      </c>
      <c r="W49" s="610">
        <f>EXP(5.6985-(0.68367*LN(V49)))</f>
        <v>8.1671255907703593</v>
      </c>
      <c r="X49" s="601">
        <f>(+W49*V49)/100</f>
        <v>15.772690431867137</v>
      </c>
      <c r="Y49" s="600">
        <f>100*((((X49/100)-((X49/100)-0.03574)*$E$21)-0.03574-0.00619)/0.344)</f>
        <v>21.605045596024159</v>
      </c>
      <c r="Z49" s="592">
        <f>$E$20</f>
        <v>0.25</v>
      </c>
      <c r="AA49" s="600">
        <f>Y49+Z49</f>
        <v>21.855045596024159</v>
      </c>
      <c r="AB49" s="600">
        <f>100*($E$17*$E$19+($E$18*(AA49/100))/(1-$E$21))</f>
        <v>21.096728374759898</v>
      </c>
      <c r="AC49" s="601">
        <f>AB49/V49</f>
        <v>0.10923921377605855</v>
      </c>
      <c r="AD49" s="599">
        <f>ROUND($E$8/(1-AC49),0)</f>
        <v>3272989</v>
      </c>
      <c r="AE49" s="592" t="str">
        <f>IF(OR(OR(AD49=AD43,AD49=(AD43+1)),AD49=(AD43-1)),"yes","not yet")</f>
        <v>yes</v>
      </c>
      <c r="AF49" s="600">
        <f>100*(1-AC49)</f>
        <v>89.076078622394149</v>
      </c>
      <c r="AG49" s="592"/>
      <c r="AH49" s="592"/>
      <c r="AI49" s="592"/>
      <c r="AJ49" s="592"/>
      <c r="AK49" s="592"/>
      <c r="AL49" s="592"/>
      <c r="AM49" s="592"/>
      <c r="AN49" s="592"/>
      <c r="AO49" s="592"/>
      <c r="AP49" s="592"/>
      <c r="AQ49" s="592"/>
      <c r="AR49" s="592"/>
      <c r="AS49" s="590"/>
      <c r="AT49" s="590"/>
      <c r="AU49" s="590"/>
      <c r="AV49" s="590"/>
      <c r="AW49" s="590"/>
      <c r="AX49" s="590"/>
      <c r="AY49" s="590"/>
      <c r="AZ49" s="590"/>
      <c r="BA49" s="590"/>
      <c r="BB49" s="590"/>
      <c r="BC49" s="590"/>
      <c r="BD49" s="590"/>
      <c r="BE49" s="590"/>
      <c r="BF49" s="590"/>
      <c r="BG49" s="590"/>
      <c r="BH49" s="590"/>
      <c r="BI49" s="590"/>
      <c r="BJ49" s="590"/>
      <c r="BK49" s="591"/>
      <c r="BL49" s="591"/>
      <c r="BM49" s="591"/>
      <c r="BN49" s="591"/>
      <c r="BO49" s="591"/>
      <c r="BP49" s="591"/>
      <c r="BQ49" s="591"/>
      <c r="BR49" s="591"/>
      <c r="BS49" s="591"/>
      <c r="BT49" s="591"/>
      <c r="BU49" s="591"/>
      <c r="BV49" s="591"/>
      <c r="BW49" s="591"/>
      <c r="BX49" s="591"/>
      <c r="BY49" s="591"/>
      <c r="BZ49" s="591"/>
      <c r="CA49" s="591"/>
      <c r="CB49" s="591"/>
      <c r="CC49" s="591"/>
      <c r="CD49" s="591"/>
      <c r="CE49" s="591"/>
      <c r="CF49" s="591"/>
    </row>
    <row r="50" spans="1:84">
      <c r="A50" s="590"/>
      <c r="B50" s="592"/>
      <c r="C50" s="592"/>
      <c r="D50" s="592"/>
      <c r="E50" s="595"/>
      <c r="F50" s="592"/>
      <c r="G50" s="592"/>
      <c r="H50" s="592"/>
      <c r="I50" s="592"/>
      <c r="J50" s="592"/>
      <c r="K50" s="592"/>
      <c r="L50" s="592"/>
      <c r="M50" s="592"/>
      <c r="N50" s="592"/>
      <c r="O50" s="592"/>
      <c r="P50" s="592"/>
      <c r="Q50" s="592"/>
      <c r="R50" s="592"/>
      <c r="S50" s="592"/>
      <c r="T50" s="592"/>
      <c r="U50" s="592"/>
      <c r="V50" s="600">
        <f>100*(+AD44/$E$9)</f>
        <v>192.9432806589335</v>
      </c>
      <c r="W50" s="610">
        <f>EXP(5.6922-(0.68367*LN(V50)))</f>
        <v>8.1210344939777848</v>
      </c>
      <c r="X50" s="601">
        <f>(+W50*V50)/100</f>
        <v>15.668990376124357</v>
      </c>
      <c r="Y50" s="600">
        <f>100*((((X50/100)-((X50/100)-0.03574)*$E$21)-0.03574-0.00619)/0.344)</f>
        <v>21.406086186750223</v>
      </c>
      <c r="Z50" s="592">
        <f>$E$20</f>
        <v>0.25</v>
      </c>
      <c r="AA50" s="600">
        <f>Y50+Z50</f>
        <v>21.656086186750223</v>
      </c>
      <c r="AB50" s="600">
        <f>100*($E$17*$E$19+($E$18*(AA50/100))/(1-$E$21))</f>
        <v>20.915856184510865</v>
      </c>
      <c r="AC50" s="601">
        <f>AB50/V50</f>
        <v>0.10840416993574342</v>
      </c>
      <c r="AD50" s="599">
        <f>ROUND($E$8/(1-AC50),0)</f>
        <v>3269924</v>
      </c>
      <c r="AE50" s="592" t="str">
        <f>IF(OR(OR(AD50=AD44,AD50=(AD44+1)),AD50=(AD44-1)),"yes","not yet")</f>
        <v>yes</v>
      </c>
      <c r="AF50" s="600">
        <f>100*(1-AC50)</f>
        <v>89.159583006425663</v>
      </c>
      <c r="AG50" s="592"/>
      <c r="AH50" s="592"/>
      <c r="AI50" s="592"/>
      <c r="AJ50" s="592"/>
      <c r="AK50" s="592"/>
      <c r="AL50" s="592"/>
      <c r="AM50" s="592"/>
      <c r="AN50" s="592"/>
      <c r="AO50" s="592"/>
      <c r="AP50" s="592"/>
      <c r="AQ50" s="592"/>
      <c r="AR50" s="592"/>
      <c r="AS50" s="590"/>
      <c r="AT50" s="590"/>
      <c r="AU50" s="590"/>
      <c r="AV50" s="590"/>
      <c r="AW50" s="590"/>
      <c r="AX50" s="590"/>
      <c r="AY50" s="590"/>
      <c r="AZ50" s="590"/>
      <c r="BA50" s="590"/>
      <c r="BB50" s="590"/>
      <c r="BC50" s="590"/>
      <c r="BD50" s="590"/>
      <c r="BE50" s="590"/>
      <c r="BF50" s="590"/>
      <c r="BG50" s="590"/>
      <c r="BH50" s="590"/>
      <c r="BI50" s="590"/>
      <c r="BJ50" s="590"/>
      <c r="BK50" s="591"/>
      <c r="BL50" s="591"/>
      <c r="BM50" s="591"/>
      <c r="BN50" s="591"/>
      <c r="BO50" s="591"/>
      <c r="BP50" s="591"/>
      <c r="BQ50" s="591"/>
      <c r="BR50" s="591"/>
      <c r="BS50" s="591"/>
      <c r="BT50" s="591"/>
      <c r="BU50" s="591"/>
      <c r="BV50" s="591"/>
      <c r="BW50" s="591"/>
      <c r="BX50" s="591"/>
      <c r="BY50" s="591"/>
      <c r="BZ50" s="591"/>
      <c r="CA50" s="591"/>
      <c r="CB50" s="591"/>
      <c r="CC50" s="591"/>
      <c r="CD50" s="591"/>
      <c r="CE50" s="591"/>
      <c r="CF50" s="591"/>
    </row>
    <row r="51" spans="1:84">
      <c r="A51" s="590"/>
      <c r="B51" s="592"/>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600"/>
      <c r="AB51" s="592"/>
      <c r="AC51" s="592"/>
      <c r="AD51" s="592"/>
      <c r="AE51" s="592"/>
      <c r="AF51" s="592"/>
      <c r="AG51" s="592"/>
      <c r="AH51" s="592"/>
      <c r="AI51" s="592"/>
      <c r="AJ51" s="592"/>
      <c r="AK51" s="592"/>
      <c r="AL51" s="592"/>
      <c r="AM51" s="592"/>
      <c r="AN51" s="592"/>
      <c r="AO51" s="592"/>
      <c r="AP51" s="592"/>
      <c r="AQ51" s="592"/>
      <c r="AR51" s="592"/>
      <c r="AS51" s="590"/>
      <c r="AT51" s="590"/>
      <c r="AU51" s="590"/>
      <c r="AV51" s="590"/>
      <c r="AW51" s="590"/>
      <c r="AX51" s="590"/>
      <c r="AY51" s="590"/>
      <c r="AZ51" s="590"/>
      <c r="BA51" s="590"/>
      <c r="BB51" s="590"/>
      <c r="BC51" s="590"/>
      <c r="BD51" s="590"/>
      <c r="BE51" s="590"/>
      <c r="BF51" s="590"/>
      <c r="BG51" s="590"/>
      <c r="BH51" s="590"/>
      <c r="BI51" s="590"/>
      <c r="BJ51" s="590"/>
      <c r="BK51" s="591"/>
      <c r="BL51" s="591"/>
      <c r="BM51" s="591"/>
      <c r="BN51" s="591"/>
      <c r="BO51" s="591"/>
      <c r="BP51" s="591"/>
      <c r="BQ51" s="591"/>
      <c r="BR51" s="591"/>
      <c r="BS51" s="591"/>
      <c r="BT51" s="591"/>
      <c r="BU51" s="591"/>
      <c r="BV51" s="591"/>
      <c r="BW51" s="591"/>
      <c r="BX51" s="591"/>
      <c r="BY51" s="591"/>
      <c r="BZ51" s="591"/>
      <c r="CA51" s="591"/>
      <c r="CB51" s="591"/>
      <c r="CC51" s="591"/>
      <c r="CD51" s="591"/>
      <c r="CE51" s="591"/>
      <c r="CF51" s="591"/>
    </row>
    <row r="52" spans="1:84">
      <c r="A52" s="590"/>
      <c r="B52" s="592"/>
      <c r="C52" s="592"/>
      <c r="D52" s="592"/>
      <c r="E52" s="592"/>
      <c r="F52" s="592"/>
      <c r="G52" s="592"/>
      <c r="H52" s="592"/>
      <c r="I52" s="592"/>
      <c r="J52" s="592"/>
      <c r="K52" s="592"/>
      <c r="L52" s="592"/>
      <c r="M52" s="592"/>
      <c r="N52" s="592"/>
      <c r="O52" s="592"/>
      <c r="P52" s="592"/>
      <c r="Q52" s="592"/>
      <c r="R52" s="592"/>
      <c r="S52" s="592"/>
      <c r="T52" s="592"/>
      <c r="U52" s="592"/>
      <c r="V52" s="597" t="s">
        <v>395</v>
      </c>
      <c r="W52" s="609" t="s">
        <v>331</v>
      </c>
      <c r="X52" s="609" t="s">
        <v>341</v>
      </c>
      <c r="Y52" s="609" t="s">
        <v>342</v>
      </c>
      <c r="Z52" s="592"/>
      <c r="AA52" s="600"/>
      <c r="AB52" s="592"/>
      <c r="AC52" s="592"/>
      <c r="AD52" s="592"/>
      <c r="AE52" s="592"/>
      <c r="AF52" s="592"/>
      <c r="AG52" s="592"/>
      <c r="AH52" s="592"/>
      <c r="AI52" s="592"/>
      <c r="AJ52" s="592"/>
      <c r="AK52" s="592"/>
      <c r="AL52" s="592"/>
      <c r="AM52" s="592"/>
      <c r="AN52" s="592"/>
      <c r="AO52" s="592"/>
      <c r="AP52" s="592"/>
      <c r="AQ52" s="592"/>
      <c r="AR52" s="592"/>
      <c r="AS52" s="590"/>
      <c r="AT52" s="590"/>
      <c r="AU52" s="590"/>
      <c r="AV52" s="590"/>
      <c r="AW52" s="590"/>
      <c r="AX52" s="590"/>
      <c r="AY52" s="590"/>
      <c r="AZ52" s="590"/>
      <c r="BA52" s="590"/>
      <c r="BB52" s="590"/>
      <c r="BC52" s="590"/>
      <c r="BD52" s="590"/>
      <c r="BE52" s="590"/>
      <c r="BF52" s="590"/>
      <c r="BG52" s="590"/>
      <c r="BH52" s="590"/>
      <c r="BI52" s="590"/>
      <c r="BJ52" s="590"/>
      <c r="BK52" s="591"/>
      <c r="BL52" s="591"/>
      <c r="BM52" s="591"/>
      <c r="BN52" s="591"/>
      <c r="BO52" s="591"/>
      <c r="BP52" s="591"/>
      <c r="BQ52" s="591"/>
      <c r="BR52" s="591"/>
      <c r="BS52" s="591"/>
      <c r="BT52" s="591"/>
      <c r="BU52" s="591"/>
      <c r="BV52" s="591"/>
      <c r="BW52" s="591"/>
      <c r="BX52" s="591"/>
      <c r="BY52" s="591"/>
      <c r="BZ52" s="591"/>
      <c r="CA52" s="591"/>
      <c r="CB52" s="591"/>
      <c r="CC52" s="591"/>
      <c r="CD52" s="591"/>
      <c r="CE52" s="591"/>
      <c r="CF52" s="591"/>
    </row>
    <row r="53" spans="1:84">
      <c r="A53" s="590"/>
      <c r="B53" s="592"/>
      <c r="C53" s="592"/>
      <c r="D53" s="592"/>
      <c r="E53" s="592"/>
      <c r="F53" s="592"/>
      <c r="G53" s="592"/>
      <c r="H53" s="592"/>
      <c r="I53" s="592"/>
      <c r="J53" s="592"/>
      <c r="K53" s="592"/>
      <c r="L53" s="592"/>
      <c r="M53" s="592"/>
      <c r="N53" s="592"/>
      <c r="O53" s="592"/>
      <c r="P53" s="592"/>
      <c r="Q53" s="592"/>
      <c r="R53" s="592"/>
      <c r="S53" s="592"/>
      <c r="T53" s="592"/>
      <c r="U53" s="592"/>
      <c r="V53" s="600">
        <f>100*(+AD47/$E$9)</f>
        <v>193.8276540848957</v>
      </c>
      <c r="W53" s="610">
        <f>EXP(5.7226-(0.68367*LN(+V53)))</f>
        <v>8.3455715240971866</v>
      </c>
      <c r="X53" s="601">
        <f>(+W53*V53)/100</f>
        <v>16.176025505134653</v>
      </c>
      <c r="Y53" s="600">
        <f>100*((((X53/100)-((X53/100)-0.03574)*$E$21)-0.03574-0.00619)/0.344)</f>
        <v>22.378886143572306</v>
      </c>
      <c r="Z53" s="592">
        <f>$E$20</f>
        <v>0.25</v>
      </c>
      <c r="AA53" s="600">
        <f>Y53+Z53</f>
        <v>22.628886143572306</v>
      </c>
      <c r="AB53" s="600">
        <f>100*($E$17*$E$19+($E$18*(AA53/100))/(1-$E$21))</f>
        <v>21.800219781621845</v>
      </c>
      <c r="AC53" s="601">
        <f>AB53/V53</f>
        <v>0.11247218506846005</v>
      </c>
      <c r="AD53" s="599">
        <f>ROUND($E$8/(1-AC53),0)</f>
        <v>3284912</v>
      </c>
      <c r="AE53" s="592" t="str">
        <f>IF(OR(OR(AD53=AD47,AD53=(AD47+1)),AD53=(AD39-1)),"yes","not yet")</f>
        <v>yes</v>
      </c>
      <c r="AF53" s="600">
        <f>100*(1-AC53)</f>
        <v>88.752781493154004</v>
      </c>
      <c r="AG53" s="592"/>
      <c r="AH53" s="592"/>
      <c r="AI53" s="592"/>
      <c r="AJ53" s="592"/>
      <c r="AK53" s="592"/>
      <c r="AL53" s="592"/>
      <c r="AM53" s="592"/>
      <c r="AN53" s="592"/>
      <c r="AO53" s="592"/>
      <c r="AP53" s="592"/>
      <c r="AQ53" s="592"/>
      <c r="AR53" s="592"/>
      <c r="AS53" s="590"/>
      <c r="AT53" s="590"/>
      <c r="AU53" s="590"/>
      <c r="AV53" s="590"/>
      <c r="AW53" s="590"/>
      <c r="AX53" s="590"/>
      <c r="AY53" s="590"/>
      <c r="AZ53" s="590"/>
      <c r="BA53" s="590"/>
      <c r="BB53" s="590"/>
      <c r="BC53" s="590"/>
      <c r="BD53" s="590"/>
      <c r="BE53" s="590"/>
      <c r="BF53" s="590"/>
      <c r="BG53" s="590"/>
      <c r="BH53" s="590"/>
      <c r="BI53" s="590"/>
      <c r="BJ53" s="590"/>
      <c r="BK53" s="591"/>
      <c r="BL53" s="591"/>
      <c r="BM53" s="591"/>
      <c r="BN53" s="591"/>
      <c r="BO53" s="591"/>
      <c r="BP53" s="591"/>
      <c r="BQ53" s="591"/>
      <c r="BR53" s="591"/>
      <c r="BS53" s="591"/>
      <c r="BT53" s="591"/>
      <c r="BU53" s="591"/>
      <c r="BV53" s="591"/>
      <c r="BW53" s="591"/>
      <c r="BX53" s="591"/>
      <c r="BY53" s="591"/>
      <c r="BZ53" s="591"/>
      <c r="CA53" s="591"/>
      <c r="CB53" s="591"/>
      <c r="CC53" s="591"/>
      <c r="CD53" s="591"/>
      <c r="CE53" s="591"/>
      <c r="CF53" s="591"/>
    </row>
    <row r="54" spans="1:84">
      <c r="A54" s="590"/>
      <c r="B54" s="592"/>
      <c r="C54" s="592"/>
      <c r="D54" s="592"/>
      <c r="E54" s="592"/>
      <c r="F54" s="592"/>
      <c r="G54" s="592"/>
      <c r="H54" s="592"/>
      <c r="I54" s="592"/>
      <c r="J54" s="592"/>
      <c r="K54" s="592"/>
      <c r="L54" s="592"/>
      <c r="M54" s="592"/>
      <c r="N54" s="592"/>
      <c r="O54" s="592"/>
      <c r="P54" s="592"/>
      <c r="Q54" s="592"/>
      <c r="R54" s="592"/>
      <c r="S54" s="592"/>
      <c r="T54" s="592"/>
      <c r="U54" s="592"/>
      <c r="V54" s="600">
        <f>100*(+AD48/$E$9)</f>
        <v>193.40712236573154</v>
      </c>
      <c r="W54" s="610">
        <f>EXP(5.70827-(0.68367*LN(+V54)))</f>
        <v>8.2390574897816844</v>
      </c>
      <c r="X54" s="601">
        <f>(+W54*V54)/100</f>
        <v>15.934924001045031</v>
      </c>
      <c r="Y54" s="600">
        <f>100*((((X54/100)-((X54/100)-0.03574)*$E$21)-0.03574-0.00619)/0.344)</f>
        <v>21.916307676423607</v>
      </c>
      <c r="Z54" s="592">
        <f>$E$20</f>
        <v>0.25</v>
      </c>
      <c r="AA54" s="600">
        <f>Y54+Z54</f>
        <v>22.166307676423607</v>
      </c>
      <c r="AB54" s="600">
        <f>100*($E$17*$E$19+($E$18*(AA54/100))/(1-$E$21))</f>
        <v>21.379693902395761</v>
      </c>
      <c r="AC54" s="601">
        <f>AB54/V54</f>
        <v>0.11054243318902655</v>
      </c>
      <c r="AD54" s="599">
        <f>ROUND($E$8/(1-AC54),0)</f>
        <v>3277785</v>
      </c>
      <c r="AE54" s="592" t="str">
        <f>IF(OR(OR(AD54=AD48,AD54=(AD48+1)),AD54=(AD48-1)),"yes","not yet")</f>
        <v>yes</v>
      </c>
      <c r="AF54" s="600">
        <f>100*(1-AC54)</f>
        <v>88.94575668109735</v>
      </c>
      <c r="AG54" s="592"/>
      <c r="AH54" s="592"/>
      <c r="AI54" s="592"/>
      <c r="AJ54" s="592"/>
      <c r="AK54" s="592"/>
      <c r="AL54" s="592"/>
      <c r="AM54" s="592"/>
      <c r="AN54" s="592"/>
      <c r="AO54" s="592"/>
      <c r="AP54" s="592"/>
      <c r="AQ54" s="592"/>
      <c r="AR54" s="592"/>
      <c r="AS54" s="590"/>
      <c r="AT54" s="590"/>
      <c r="AU54" s="590"/>
      <c r="AV54" s="590"/>
      <c r="AW54" s="590"/>
      <c r="AX54" s="590"/>
      <c r="AY54" s="590"/>
      <c r="AZ54" s="590"/>
      <c r="BA54" s="590"/>
      <c r="BB54" s="590"/>
      <c r="BC54" s="590"/>
      <c r="BD54" s="590"/>
      <c r="BE54" s="590"/>
      <c r="BF54" s="590"/>
      <c r="BG54" s="590"/>
      <c r="BH54" s="590"/>
      <c r="BI54" s="590"/>
      <c r="BJ54" s="590"/>
      <c r="BK54" s="591"/>
      <c r="BL54" s="591"/>
      <c r="BM54" s="591"/>
      <c r="BN54" s="591"/>
      <c r="BO54" s="591"/>
      <c r="BP54" s="591"/>
      <c r="BQ54" s="591"/>
      <c r="BR54" s="591"/>
      <c r="BS54" s="591"/>
      <c r="BT54" s="591"/>
      <c r="BU54" s="591"/>
      <c r="BV54" s="591"/>
      <c r="BW54" s="591"/>
      <c r="BX54" s="591"/>
      <c r="BY54" s="591"/>
      <c r="BZ54" s="591"/>
      <c r="CA54" s="591"/>
      <c r="CB54" s="591"/>
      <c r="CC54" s="591"/>
      <c r="CD54" s="591"/>
      <c r="CE54" s="591"/>
      <c r="CF54" s="591"/>
    </row>
    <row r="55" spans="1:84">
      <c r="A55" s="590"/>
      <c r="B55" s="592"/>
      <c r="C55" s="592"/>
      <c r="D55" s="592"/>
      <c r="E55" s="592"/>
      <c r="F55" s="592"/>
      <c r="G55" s="592"/>
      <c r="H55" s="592"/>
      <c r="I55" s="592"/>
      <c r="J55" s="592"/>
      <c r="K55" s="592"/>
      <c r="L55" s="592"/>
      <c r="M55" s="592"/>
      <c r="N55" s="592"/>
      <c r="O55" s="592"/>
      <c r="P55" s="592"/>
      <c r="Q55" s="592"/>
      <c r="R55" s="592"/>
      <c r="S55" s="592"/>
      <c r="T55" s="592"/>
      <c r="U55" s="592"/>
      <c r="V55" s="600">
        <f>100*(+AD49/$E$9)</f>
        <v>193.12413231029285</v>
      </c>
      <c r="W55" s="610">
        <f>EXP(5.6985-(0.68367*LN(V55)))</f>
        <v>8.1671255907703593</v>
      </c>
      <c r="X55" s="601">
        <f>(+W55*V55)/100</f>
        <v>15.772690431867137</v>
      </c>
      <c r="Y55" s="600">
        <f>100*((((X55/100)-((X55/100)-0.03574)*$E$21)-0.03574-0.00619)/0.344)</f>
        <v>21.605045596024159</v>
      </c>
      <c r="Z55" s="592">
        <f>$E$20</f>
        <v>0.25</v>
      </c>
      <c r="AA55" s="600">
        <f>Y55+Z55</f>
        <v>21.855045596024159</v>
      </c>
      <c r="AB55" s="600">
        <f>100*($E$17*$E$19+($E$18*(AA55/100))/(1-$E$21))</f>
        <v>21.096728374759898</v>
      </c>
      <c r="AC55" s="601">
        <f>AB55/V55</f>
        <v>0.10923921377605855</v>
      </c>
      <c r="AD55" s="599">
        <f>ROUND($E$8/(1-AC55),0)</f>
        <v>3272989</v>
      </c>
      <c r="AE55" s="592" t="str">
        <f>IF(OR(OR(AD55=AD49,AD55=(AD49+1)),AD55=(AD49-1)),"yes","not yet")</f>
        <v>yes</v>
      </c>
      <c r="AF55" s="600">
        <f>100*(1-AC55)</f>
        <v>89.076078622394149</v>
      </c>
      <c r="AG55" s="592"/>
      <c r="AH55" s="592"/>
      <c r="AI55" s="592"/>
      <c r="AJ55" s="592"/>
      <c r="AK55" s="592"/>
      <c r="AL55" s="592"/>
      <c r="AM55" s="592"/>
      <c r="AN55" s="592"/>
      <c r="AO55" s="592"/>
      <c r="AP55" s="592"/>
      <c r="AQ55" s="592"/>
      <c r="AR55" s="592"/>
      <c r="AS55" s="590"/>
      <c r="AT55" s="590"/>
      <c r="AU55" s="590"/>
      <c r="AV55" s="590"/>
      <c r="AW55" s="590"/>
      <c r="AX55" s="590"/>
      <c r="AY55" s="590"/>
      <c r="AZ55" s="590"/>
      <c r="BA55" s="590"/>
      <c r="BB55" s="590"/>
      <c r="BC55" s="590"/>
      <c r="BD55" s="590"/>
      <c r="BE55" s="590"/>
      <c r="BF55" s="590"/>
      <c r="BG55" s="590"/>
      <c r="BH55" s="590"/>
      <c r="BI55" s="590"/>
      <c r="BJ55" s="590"/>
      <c r="BK55" s="591"/>
      <c r="BL55" s="591"/>
      <c r="BM55" s="591"/>
      <c r="BN55" s="591"/>
      <c r="BO55" s="591"/>
      <c r="BP55" s="591"/>
      <c r="BQ55" s="591"/>
      <c r="BR55" s="591"/>
      <c r="BS55" s="591"/>
      <c r="BT55" s="591"/>
      <c r="BU55" s="591"/>
      <c r="BV55" s="591"/>
      <c r="BW55" s="591"/>
      <c r="BX55" s="591"/>
      <c r="BY55" s="591"/>
      <c r="BZ55" s="591"/>
      <c r="CA55" s="591"/>
      <c r="CB55" s="591"/>
      <c r="CC55" s="591"/>
      <c r="CD55" s="591"/>
      <c r="CE55" s="591"/>
      <c r="CF55" s="591"/>
    </row>
    <row r="56" spans="1:84">
      <c r="A56" s="590"/>
      <c r="B56" s="592"/>
      <c r="C56" s="592"/>
      <c r="D56" s="592"/>
      <c r="E56" s="592"/>
      <c r="F56" s="592"/>
      <c r="G56" s="592"/>
      <c r="H56" s="592"/>
      <c r="I56" s="592"/>
      <c r="J56" s="592"/>
      <c r="K56" s="592"/>
      <c r="L56" s="592"/>
      <c r="M56" s="592"/>
      <c r="N56" s="592"/>
      <c r="O56" s="592"/>
      <c r="P56" s="592"/>
      <c r="Q56" s="592"/>
      <c r="R56" s="592"/>
      <c r="S56" s="592"/>
      <c r="T56" s="592"/>
      <c r="U56" s="592"/>
      <c r="V56" s="600">
        <f>100*(+AD50/$E$9)</f>
        <v>192.9432806589335</v>
      </c>
      <c r="W56" s="610">
        <f>EXP(5.6922-(0.68367*LN(V56)))</f>
        <v>8.1210344939777848</v>
      </c>
      <c r="X56" s="601">
        <f>(+W56*V56)/100</f>
        <v>15.668990376124357</v>
      </c>
      <c r="Y56" s="600">
        <f>100*((((X56/100)-((X56/100)-0.03574)*$E$21)-0.03574-0.00619)/0.344)</f>
        <v>21.406086186750223</v>
      </c>
      <c r="Z56" s="592">
        <f>$E$20</f>
        <v>0.25</v>
      </c>
      <c r="AA56" s="600">
        <f>Y56+Z56</f>
        <v>21.656086186750223</v>
      </c>
      <c r="AB56" s="600">
        <f>100*($E$17*$E$19+($E$18*(AA56/100))/(1-$E$21))</f>
        <v>20.915856184510865</v>
      </c>
      <c r="AC56" s="601">
        <f>AB56/V56</f>
        <v>0.10840416993574342</v>
      </c>
      <c r="AD56" s="599">
        <f>ROUND($E$8/(1-AC56),0)</f>
        <v>3269924</v>
      </c>
      <c r="AE56" s="592" t="str">
        <f>IF(OR(OR(AD56=AD50,AD56=(AD50+1)),AD56=(AD50-1)),"yes","not yet")</f>
        <v>yes</v>
      </c>
      <c r="AF56" s="600">
        <f>100*(1-AC56)</f>
        <v>89.159583006425663</v>
      </c>
      <c r="AG56" s="592"/>
      <c r="AH56" s="592"/>
      <c r="AI56" s="592"/>
      <c r="AJ56" s="592"/>
      <c r="AK56" s="592"/>
      <c r="AL56" s="592"/>
      <c r="AM56" s="592"/>
      <c r="AN56" s="592"/>
      <c r="AO56" s="592"/>
      <c r="AP56" s="592"/>
      <c r="AQ56" s="592"/>
      <c r="AR56" s="592"/>
      <c r="AS56" s="590"/>
      <c r="AT56" s="590"/>
      <c r="AU56" s="590"/>
      <c r="AV56" s="590"/>
      <c r="AW56" s="590"/>
      <c r="AX56" s="590"/>
      <c r="AY56" s="590"/>
      <c r="AZ56" s="590"/>
      <c r="BA56" s="590"/>
      <c r="BB56" s="590"/>
      <c r="BC56" s="590"/>
      <c r="BD56" s="590"/>
      <c r="BE56" s="590"/>
      <c r="BF56" s="590"/>
      <c r="BG56" s="590"/>
      <c r="BH56" s="590"/>
      <c r="BI56" s="590"/>
      <c r="BJ56" s="590"/>
      <c r="BK56" s="591"/>
      <c r="BL56" s="591"/>
      <c r="BM56" s="591"/>
      <c r="BN56" s="591"/>
      <c r="BO56" s="591"/>
      <c r="BP56" s="591"/>
      <c r="BQ56" s="591"/>
      <c r="BR56" s="591"/>
      <c r="BS56" s="591"/>
      <c r="BT56" s="591"/>
      <c r="BU56" s="591"/>
      <c r="BV56" s="591"/>
      <c r="BW56" s="591"/>
      <c r="BX56" s="591"/>
      <c r="BY56" s="591"/>
      <c r="BZ56" s="591"/>
      <c r="CA56" s="591"/>
      <c r="CB56" s="591"/>
      <c r="CC56" s="591"/>
      <c r="CD56" s="591"/>
      <c r="CE56" s="591"/>
      <c r="CF56" s="591"/>
    </row>
    <row r="57" spans="1:84">
      <c r="A57" s="590"/>
      <c r="B57" s="592"/>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600"/>
      <c r="AB57" s="592"/>
      <c r="AC57" s="592"/>
      <c r="AD57" s="592"/>
      <c r="AE57" s="592"/>
      <c r="AF57" s="592"/>
      <c r="AG57" s="592"/>
      <c r="AH57" s="592"/>
      <c r="AI57" s="592"/>
      <c r="AJ57" s="592"/>
      <c r="AK57" s="592"/>
      <c r="AL57" s="592"/>
      <c r="AM57" s="592"/>
      <c r="AN57" s="592"/>
      <c r="AO57" s="592"/>
      <c r="AP57" s="592"/>
      <c r="AQ57" s="592"/>
      <c r="AR57" s="592"/>
      <c r="AS57" s="590"/>
      <c r="AT57" s="590"/>
      <c r="AU57" s="590"/>
      <c r="AV57" s="590"/>
      <c r="AW57" s="590"/>
      <c r="AX57" s="590"/>
      <c r="AY57" s="590"/>
      <c r="AZ57" s="590"/>
      <c r="BA57" s="590"/>
      <c r="BB57" s="590"/>
      <c r="BC57" s="590"/>
      <c r="BD57" s="590"/>
      <c r="BE57" s="590"/>
      <c r="BF57" s="590"/>
      <c r="BG57" s="590"/>
      <c r="BH57" s="590"/>
      <c r="BI57" s="590"/>
      <c r="BJ57" s="590"/>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row>
    <row r="58" spans="1:84">
      <c r="A58" s="590"/>
      <c r="B58" s="590"/>
      <c r="C58" s="590"/>
      <c r="D58" s="590"/>
      <c r="E58" s="590"/>
      <c r="F58" s="590"/>
      <c r="G58" s="590"/>
      <c r="H58" s="590"/>
      <c r="I58" s="590"/>
      <c r="J58" s="590"/>
      <c r="K58" s="590"/>
      <c r="L58" s="590"/>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0"/>
      <c r="AP58" s="590"/>
      <c r="AQ58" s="590"/>
      <c r="AR58" s="590"/>
      <c r="AS58" s="590"/>
      <c r="AT58" s="590"/>
      <c r="AU58" s="590"/>
      <c r="AV58" s="590"/>
      <c r="AW58" s="590"/>
      <c r="AX58" s="590"/>
      <c r="AY58" s="590"/>
      <c r="AZ58" s="590"/>
      <c r="BA58" s="590"/>
      <c r="BB58" s="590"/>
      <c r="BC58" s="590"/>
      <c r="BD58" s="590"/>
      <c r="BE58" s="590"/>
      <c r="BF58" s="590"/>
      <c r="BG58" s="590"/>
      <c r="BH58" s="590"/>
      <c r="BI58" s="590"/>
      <c r="BJ58" s="590"/>
      <c r="BK58" s="591"/>
      <c r="BL58" s="591"/>
      <c r="BM58" s="591"/>
      <c r="BN58" s="591"/>
      <c r="BO58" s="591"/>
      <c r="BP58" s="591"/>
      <c r="BQ58" s="591"/>
      <c r="BR58" s="591"/>
      <c r="BS58" s="591"/>
      <c r="BT58" s="591"/>
      <c r="BU58" s="591"/>
      <c r="BV58" s="591"/>
      <c r="BW58" s="591"/>
      <c r="BX58" s="591"/>
      <c r="BY58" s="591"/>
      <c r="BZ58" s="591"/>
      <c r="CA58" s="591"/>
      <c r="CB58" s="591"/>
      <c r="CC58" s="591"/>
      <c r="CD58" s="591"/>
      <c r="CE58" s="591"/>
      <c r="CF58" s="591"/>
    </row>
    <row r="59" spans="1:84">
      <c r="A59" s="590"/>
      <c r="B59" s="590"/>
      <c r="C59" s="590"/>
      <c r="D59" s="590"/>
      <c r="E59" s="590"/>
      <c r="F59" s="590"/>
      <c r="G59" s="590"/>
      <c r="H59" s="590"/>
      <c r="I59" s="590"/>
      <c r="J59" s="590"/>
      <c r="K59" s="590"/>
      <c r="L59" s="590"/>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0"/>
      <c r="AP59" s="590"/>
      <c r="AQ59" s="590"/>
      <c r="AR59" s="590"/>
      <c r="AS59" s="590"/>
      <c r="AT59" s="590"/>
      <c r="AU59" s="590"/>
      <c r="AV59" s="590"/>
      <c r="AW59" s="590"/>
      <c r="AX59" s="590"/>
      <c r="AY59" s="590"/>
      <c r="AZ59" s="590"/>
      <c r="BA59" s="590"/>
      <c r="BB59" s="590"/>
      <c r="BC59" s="590"/>
      <c r="BD59" s="590"/>
      <c r="BE59" s="590"/>
      <c r="BF59" s="590"/>
      <c r="BG59" s="590"/>
      <c r="BH59" s="590"/>
      <c r="BI59" s="590"/>
      <c r="BJ59" s="590"/>
      <c r="BK59" s="591"/>
      <c r="BL59" s="591"/>
      <c r="BM59" s="591"/>
      <c r="BN59" s="591"/>
      <c r="BO59" s="591"/>
      <c r="BP59" s="591"/>
      <c r="BQ59" s="591"/>
      <c r="BR59" s="591"/>
      <c r="BS59" s="591"/>
      <c r="BT59" s="591"/>
      <c r="BU59" s="591"/>
      <c r="BV59" s="591"/>
      <c r="BW59" s="591"/>
      <c r="BX59" s="591"/>
      <c r="BY59" s="591"/>
      <c r="BZ59" s="591"/>
      <c r="CA59" s="591"/>
      <c r="CB59" s="591"/>
      <c r="CC59" s="591"/>
      <c r="CD59" s="591"/>
      <c r="CE59" s="591"/>
      <c r="CF59" s="591"/>
    </row>
    <row r="60" spans="1:84">
      <c r="A60" s="59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590"/>
      <c r="AY60" s="590"/>
      <c r="AZ60" s="590"/>
      <c r="BA60" s="590"/>
      <c r="BB60" s="590"/>
      <c r="BC60" s="590"/>
      <c r="BD60" s="590"/>
      <c r="BE60" s="590"/>
      <c r="BF60" s="590"/>
      <c r="BG60" s="590"/>
      <c r="BH60" s="590"/>
      <c r="BI60" s="590"/>
      <c r="BJ60" s="590"/>
      <c r="BK60" s="591"/>
      <c r="BL60" s="591"/>
      <c r="BM60" s="591"/>
      <c r="BN60" s="591"/>
      <c r="BO60" s="591"/>
      <c r="BP60" s="591"/>
      <c r="BQ60" s="591"/>
      <c r="BR60" s="591"/>
      <c r="BS60" s="591"/>
      <c r="BT60" s="591"/>
      <c r="BU60" s="591"/>
      <c r="BV60" s="591"/>
      <c r="BW60" s="591"/>
      <c r="BX60" s="591"/>
      <c r="BY60" s="591"/>
      <c r="BZ60" s="591"/>
      <c r="CA60" s="591"/>
      <c r="CB60" s="591"/>
      <c r="CC60" s="591"/>
      <c r="CD60" s="591"/>
      <c r="CE60" s="591"/>
      <c r="CF60" s="591"/>
    </row>
    <row r="61" spans="1:84">
      <c r="A61" s="590"/>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0"/>
      <c r="AQ61" s="590"/>
      <c r="AR61" s="590"/>
      <c r="AS61" s="590"/>
      <c r="AT61" s="590"/>
      <c r="AU61" s="590"/>
      <c r="AV61" s="590"/>
      <c r="AW61" s="590"/>
      <c r="AX61" s="590"/>
      <c r="AY61" s="590"/>
      <c r="AZ61" s="590"/>
      <c r="BA61" s="590"/>
      <c r="BB61" s="590"/>
      <c r="BC61" s="590"/>
      <c r="BD61" s="590"/>
      <c r="BE61" s="590"/>
      <c r="BF61" s="590"/>
      <c r="BG61" s="590"/>
      <c r="BH61" s="590"/>
      <c r="BI61" s="590"/>
      <c r="BJ61" s="590"/>
      <c r="BK61" s="591"/>
      <c r="BL61" s="591"/>
      <c r="BM61" s="591"/>
      <c r="BN61" s="591"/>
      <c r="BO61" s="591"/>
      <c r="BP61" s="591"/>
      <c r="BQ61" s="591"/>
      <c r="BR61" s="591"/>
      <c r="BS61" s="591"/>
      <c r="BT61" s="591"/>
      <c r="BU61" s="591"/>
      <c r="BV61" s="591"/>
      <c r="BW61" s="591"/>
      <c r="BX61" s="591"/>
      <c r="BY61" s="591"/>
      <c r="BZ61" s="591"/>
      <c r="CA61" s="591"/>
      <c r="CB61" s="591"/>
      <c r="CC61" s="591"/>
      <c r="CD61" s="591"/>
      <c r="CE61" s="591"/>
      <c r="CF61" s="591"/>
    </row>
    <row r="62" spans="1:84">
      <c r="A62" s="590"/>
      <c r="B62" s="590"/>
      <c r="C62" s="590"/>
      <c r="D62" s="590"/>
      <c r="E62" s="590"/>
      <c r="F62" s="590"/>
      <c r="G62" s="590"/>
      <c r="H62" s="590"/>
      <c r="I62" s="590"/>
      <c r="J62" s="590"/>
      <c r="K62" s="590"/>
      <c r="L62" s="590"/>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90"/>
      <c r="AZ62" s="590"/>
      <c r="BA62" s="590"/>
      <c r="BB62" s="590"/>
      <c r="BC62" s="590"/>
      <c r="BD62" s="590"/>
      <c r="BE62" s="590"/>
      <c r="BF62" s="590"/>
      <c r="BG62" s="590"/>
      <c r="BH62" s="590"/>
      <c r="BI62" s="590"/>
      <c r="BJ62" s="590"/>
      <c r="BK62" s="591"/>
      <c r="BL62" s="591"/>
      <c r="BM62" s="591"/>
      <c r="BN62" s="591"/>
      <c r="BO62" s="591"/>
      <c r="BP62" s="591"/>
      <c r="BQ62" s="591"/>
      <c r="BR62" s="591"/>
      <c r="BS62" s="591"/>
      <c r="BT62" s="591"/>
      <c r="BU62" s="591"/>
      <c r="BV62" s="591"/>
      <c r="BW62" s="591"/>
      <c r="BX62" s="591"/>
      <c r="BY62" s="591"/>
      <c r="BZ62" s="591"/>
      <c r="CA62" s="591"/>
      <c r="CB62" s="591"/>
      <c r="CC62" s="591"/>
      <c r="CD62" s="591"/>
      <c r="CE62" s="591"/>
      <c r="CF62" s="591"/>
    </row>
    <row r="63" spans="1:84">
      <c r="A63" s="590"/>
      <c r="B63" s="590"/>
      <c r="C63" s="590"/>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1"/>
      <c r="BL63" s="591"/>
      <c r="BM63" s="591"/>
      <c r="BN63" s="591"/>
      <c r="BO63" s="591"/>
      <c r="BP63" s="591"/>
      <c r="BQ63" s="591"/>
      <c r="BR63" s="591"/>
      <c r="BS63" s="591"/>
      <c r="BT63" s="591"/>
      <c r="BU63" s="591"/>
      <c r="BV63" s="591"/>
      <c r="BW63" s="591"/>
      <c r="BX63" s="591"/>
      <c r="BY63" s="591"/>
      <c r="BZ63" s="591"/>
      <c r="CA63" s="591"/>
      <c r="CB63" s="591"/>
      <c r="CC63" s="591"/>
      <c r="CD63" s="591"/>
      <c r="CE63" s="591"/>
      <c r="CF63" s="591"/>
    </row>
    <row r="64" spans="1:84">
      <c r="A64" s="590"/>
      <c r="B64" s="590"/>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90"/>
      <c r="AZ64" s="590"/>
      <c r="BA64" s="590"/>
      <c r="BB64" s="590"/>
      <c r="BC64" s="590"/>
      <c r="BD64" s="590"/>
      <c r="BE64" s="590"/>
      <c r="BF64" s="590"/>
      <c r="BG64" s="590"/>
      <c r="BH64" s="590"/>
      <c r="BI64" s="590"/>
      <c r="BJ64" s="590"/>
      <c r="BK64" s="591"/>
      <c r="BL64" s="591"/>
      <c r="BM64" s="591"/>
      <c r="BN64" s="591"/>
      <c r="BO64" s="591"/>
      <c r="BP64" s="591"/>
      <c r="BQ64" s="591"/>
      <c r="BR64" s="591"/>
      <c r="BS64" s="591"/>
      <c r="BT64" s="591"/>
      <c r="BU64" s="591"/>
      <c r="BV64" s="591"/>
      <c r="BW64" s="591"/>
      <c r="BX64" s="591"/>
      <c r="BY64" s="591"/>
      <c r="BZ64" s="591"/>
      <c r="CA64" s="591"/>
      <c r="CB64" s="591"/>
      <c r="CC64" s="591"/>
      <c r="CD64" s="591"/>
      <c r="CE64" s="591"/>
      <c r="CF64" s="591"/>
    </row>
    <row r="65" spans="1:84">
      <c r="A65" s="590"/>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90"/>
      <c r="AZ65" s="590"/>
      <c r="BA65" s="590"/>
      <c r="BB65" s="590"/>
      <c r="BC65" s="590"/>
      <c r="BD65" s="590"/>
      <c r="BE65" s="590"/>
      <c r="BF65" s="590"/>
      <c r="BG65" s="590"/>
      <c r="BH65" s="590"/>
      <c r="BI65" s="590"/>
      <c r="BJ65" s="590"/>
      <c r="BK65" s="591"/>
      <c r="BL65" s="591"/>
      <c r="BM65" s="591"/>
      <c r="BN65" s="591"/>
      <c r="BO65" s="591"/>
      <c r="BP65" s="591"/>
      <c r="BQ65" s="591"/>
      <c r="BR65" s="591"/>
      <c r="BS65" s="591"/>
      <c r="BT65" s="591"/>
      <c r="BU65" s="591"/>
      <c r="BV65" s="591"/>
      <c r="BW65" s="591"/>
      <c r="BX65" s="591"/>
      <c r="BY65" s="591"/>
      <c r="BZ65" s="591"/>
      <c r="CA65" s="591"/>
      <c r="CB65" s="591"/>
      <c r="CC65" s="591"/>
      <c r="CD65" s="591"/>
      <c r="CE65" s="591"/>
      <c r="CF65" s="591"/>
    </row>
    <row r="66" spans="1:84">
      <c r="A66" s="590"/>
      <c r="B66" s="590"/>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c r="BF66" s="590"/>
      <c r="BG66" s="590"/>
      <c r="BH66" s="590"/>
      <c r="BI66" s="590"/>
      <c r="BJ66" s="590"/>
      <c r="BK66" s="591"/>
      <c r="BL66" s="591"/>
      <c r="BM66" s="591"/>
      <c r="BN66" s="591"/>
      <c r="BO66" s="591"/>
      <c r="BP66" s="591"/>
      <c r="BQ66" s="591"/>
      <c r="BR66" s="591"/>
      <c r="BS66" s="591"/>
      <c r="BT66" s="591"/>
      <c r="BU66" s="591"/>
      <c r="BV66" s="591"/>
      <c r="BW66" s="591"/>
      <c r="BX66" s="591"/>
      <c r="BY66" s="591"/>
      <c r="BZ66" s="591"/>
      <c r="CA66" s="591"/>
      <c r="CB66" s="591"/>
      <c r="CC66" s="591"/>
      <c r="CD66" s="591"/>
      <c r="CE66" s="591"/>
      <c r="CF66" s="591"/>
    </row>
    <row r="67" spans="1:84">
      <c r="A67" s="590"/>
      <c r="B67" s="590"/>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1"/>
      <c r="BL67" s="591"/>
      <c r="BM67" s="591"/>
      <c r="BN67" s="591"/>
      <c r="BO67" s="591"/>
      <c r="BP67" s="591"/>
      <c r="BQ67" s="591"/>
      <c r="BR67" s="591"/>
      <c r="BS67" s="591"/>
      <c r="BT67" s="591"/>
      <c r="BU67" s="591"/>
      <c r="BV67" s="591"/>
      <c r="BW67" s="591"/>
      <c r="BX67" s="591"/>
      <c r="BY67" s="591"/>
      <c r="BZ67" s="591"/>
      <c r="CA67" s="591"/>
      <c r="CB67" s="591"/>
      <c r="CC67" s="591"/>
      <c r="CD67" s="591"/>
      <c r="CE67" s="591"/>
      <c r="CF67" s="591"/>
    </row>
    <row r="68" spans="1:84">
      <c r="A68" s="590"/>
      <c r="B68" s="590"/>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1"/>
      <c r="BL68" s="591"/>
      <c r="BM68" s="591"/>
      <c r="BN68" s="591"/>
      <c r="BO68" s="591"/>
      <c r="BP68" s="591"/>
      <c r="BQ68" s="591"/>
      <c r="BR68" s="591"/>
      <c r="BS68" s="591"/>
      <c r="BT68" s="591"/>
      <c r="BU68" s="591"/>
      <c r="BV68" s="591"/>
      <c r="BW68" s="591"/>
      <c r="BX68" s="591"/>
      <c r="BY68" s="591"/>
      <c r="BZ68" s="591"/>
      <c r="CA68" s="591"/>
      <c r="CB68" s="591"/>
      <c r="CC68" s="591"/>
      <c r="CD68" s="591"/>
      <c r="CE68" s="591"/>
      <c r="CF68" s="591"/>
    </row>
    <row r="69" spans="1:84">
      <c r="A69" s="590"/>
      <c r="B69" s="590"/>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1"/>
      <c r="BL69" s="591"/>
      <c r="BM69" s="591"/>
      <c r="BN69" s="591"/>
      <c r="BO69" s="591"/>
      <c r="BP69" s="591"/>
      <c r="BQ69" s="591"/>
      <c r="BR69" s="591"/>
      <c r="BS69" s="591"/>
      <c r="BT69" s="591"/>
      <c r="BU69" s="591"/>
      <c r="BV69" s="591"/>
      <c r="BW69" s="591"/>
      <c r="BX69" s="591"/>
      <c r="BY69" s="591"/>
      <c r="BZ69" s="591"/>
      <c r="CA69" s="591"/>
      <c r="CB69" s="591"/>
      <c r="CC69" s="591"/>
      <c r="CD69" s="591"/>
      <c r="CE69" s="591"/>
      <c r="CF69" s="591"/>
    </row>
    <row r="70" spans="1:84">
      <c r="A70" s="590"/>
      <c r="B70" s="590"/>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590"/>
      <c r="BH70" s="590"/>
      <c r="BI70" s="590"/>
      <c r="BJ70" s="590"/>
      <c r="BK70" s="591"/>
      <c r="BL70" s="591"/>
      <c r="BM70" s="591"/>
      <c r="BN70" s="591"/>
      <c r="BO70" s="591"/>
      <c r="BP70" s="591"/>
      <c r="BQ70" s="591"/>
      <c r="BR70" s="591"/>
      <c r="BS70" s="591"/>
      <c r="BT70" s="591"/>
      <c r="BU70" s="591"/>
      <c r="BV70" s="591"/>
      <c r="BW70" s="591"/>
      <c r="BX70" s="591"/>
      <c r="BY70" s="591"/>
      <c r="BZ70" s="591"/>
      <c r="CA70" s="591"/>
      <c r="CB70" s="591"/>
      <c r="CC70" s="591"/>
      <c r="CD70" s="591"/>
      <c r="CE70" s="591"/>
      <c r="CF70" s="591"/>
    </row>
    <row r="71" spans="1:84">
      <c r="A71" s="590"/>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1"/>
      <c r="BL71" s="591"/>
      <c r="BM71" s="591"/>
      <c r="BN71" s="591"/>
      <c r="BO71" s="591"/>
      <c r="BP71" s="591"/>
      <c r="BQ71" s="591"/>
      <c r="BR71" s="591"/>
      <c r="BS71" s="591"/>
      <c r="BT71" s="591"/>
      <c r="BU71" s="591"/>
      <c r="BV71" s="591"/>
      <c r="BW71" s="591"/>
      <c r="BX71" s="591"/>
      <c r="BY71" s="591"/>
      <c r="BZ71" s="591"/>
      <c r="CA71" s="591"/>
      <c r="CB71" s="591"/>
      <c r="CC71" s="591"/>
      <c r="CD71" s="591"/>
      <c r="CE71" s="591"/>
      <c r="CF71" s="591"/>
    </row>
    <row r="72" spans="1:84">
      <c r="A72" s="590"/>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1"/>
      <c r="BL72" s="591"/>
      <c r="BM72" s="591"/>
      <c r="BN72" s="591"/>
      <c r="BO72" s="591"/>
      <c r="BP72" s="591"/>
      <c r="BQ72" s="591"/>
      <c r="BR72" s="591"/>
      <c r="BS72" s="591"/>
      <c r="BT72" s="591"/>
      <c r="BU72" s="591"/>
      <c r="BV72" s="591"/>
      <c r="BW72" s="591"/>
      <c r="BX72" s="591"/>
      <c r="BY72" s="591"/>
      <c r="BZ72" s="591"/>
      <c r="CA72" s="591"/>
      <c r="CB72" s="591"/>
      <c r="CC72" s="591"/>
      <c r="CD72" s="591"/>
      <c r="CE72" s="591"/>
      <c r="CF72" s="591"/>
    </row>
    <row r="73" spans="1:84">
      <c r="A73" s="590"/>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590"/>
      <c r="BH73" s="590"/>
      <c r="BI73" s="590"/>
      <c r="BJ73" s="590"/>
      <c r="BK73" s="591"/>
      <c r="BL73" s="591"/>
      <c r="BM73" s="591"/>
      <c r="BN73" s="591"/>
      <c r="BO73" s="591"/>
      <c r="BP73" s="591"/>
      <c r="BQ73" s="591"/>
      <c r="BR73" s="591"/>
      <c r="BS73" s="591"/>
      <c r="BT73" s="591"/>
      <c r="BU73" s="591"/>
      <c r="BV73" s="591"/>
      <c r="BW73" s="591"/>
      <c r="BX73" s="591"/>
      <c r="BY73" s="591"/>
      <c r="BZ73" s="591"/>
      <c r="CA73" s="591"/>
      <c r="CB73" s="591"/>
      <c r="CC73" s="591"/>
      <c r="CD73" s="591"/>
      <c r="CE73" s="591"/>
      <c r="CF73" s="591"/>
    </row>
    <row r="74" spans="1:84">
      <c r="A74" s="590"/>
      <c r="B74" s="590"/>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1"/>
      <c r="BL74" s="591"/>
      <c r="BM74" s="591"/>
      <c r="BN74" s="591"/>
      <c r="BO74" s="591"/>
      <c r="BP74" s="591"/>
      <c r="BQ74" s="591"/>
      <c r="BR74" s="591"/>
      <c r="BS74" s="591"/>
      <c r="BT74" s="591"/>
      <c r="BU74" s="591"/>
      <c r="BV74" s="591"/>
      <c r="BW74" s="591"/>
      <c r="BX74" s="591"/>
      <c r="BY74" s="591"/>
      <c r="BZ74" s="591"/>
      <c r="CA74" s="591"/>
      <c r="CB74" s="591"/>
      <c r="CC74" s="591"/>
      <c r="CD74" s="591"/>
      <c r="CE74" s="591"/>
      <c r="CF74" s="591"/>
    </row>
    <row r="75" spans="1:84">
      <c r="A75" s="590"/>
      <c r="B75" s="590"/>
      <c r="C75" s="590"/>
      <c r="D75" s="590"/>
      <c r="E75" s="590"/>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0"/>
      <c r="AP75" s="590"/>
      <c r="AQ75" s="590"/>
      <c r="AR75" s="590"/>
      <c r="AS75" s="590"/>
      <c r="AT75" s="590"/>
      <c r="AU75" s="590"/>
      <c r="AV75" s="590"/>
      <c r="AW75" s="590"/>
      <c r="AX75" s="590"/>
      <c r="AY75" s="590"/>
      <c r="AZ75" s="590"/>
      <c r="BA75" s="590"/>
      <c r="BB75" s="590"/>
      <c r="BC75" s="590"/>
      <c r="BD75" s="590"/>
      <c r="BE75" s="590"/>
      <c r="BF75" s="590"/>
      <c r="BG75" s="590"/>
      <c r="BH75" s="590"/>
      <c r="BI75" s="590"/>
      <c r="BJ75" s="590"/>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row>
    <row r="76" spans="1:84">
      <c r="A76" s="590"/>
      <c r="B76" s="590"/>
      <c r="C76" s="590"/>
      <c r="D76" s="590"/>
      <c r="E76" s="590"/>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590"/>
      <c r="BH76" s="590"/>
      <c r="BI76" s="590"/>
      <c r="BJ76" s="590"/>
      <c r="BK76" s="591"/>
      <c r="BL76" s="591"/>
      <c r="BM76" s="591"/>
      <c r="BN76" s="591"/>
      <c r="BO76" s="591"/>
      <c r="BP76" s="591"/>
      <c r="BQ76" s="591"/>
      <c r="BR76" s="591"/>
      <c r="BS76" s="591"/>
      <c r="BT76" s="591"/>
      <c r="BU76" s="591"/>
      <c r="BV76" s="591"/>
      <c r="BW76" s="591"/>
      <c r="BX76" s="591"/>
      <c r="BY76" s="591"/>
      <c r="BZ76" s="591"/>
      <c r="CA76" s="591"/>
      <c r="CB76" s="591"/>
      <c r="CC76" s="591"/>
      <c r="CD76" s="591"/>
      <c r="CE76" s="591"/>
      <c r="CF76" s="591"/>
    </row>
    <row r="77" spans="1:84">
      <c r="A77" s="590"/>
      <c r="B77" s="590"/>
      <c r="C77" s="590"/>
      <c r="D77" s="590"/>
      <c r="E77" s="590"/>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0"/>
      <c r="AP77" s="590"/>
      <c r="AQ77" s="590"/>
      <c r="AR77" s="590"/>
      <c r="AS77" s="590"/>
      <c r="AT77" s="590"/>
      <c r="AU77" s="590"/>
      <c r="AV77" s="590"/>
      <c r="AW77" s="590"/>
      <c r="AX77" s="590"/>
      <c r="AY77" s="590"/>
      <c r="AZ77" s="590"/>
      <c r="BA77" s="590"/>
      <c r="BB77" s="590"/>
      <c r="BC77" s="590"/>
      <c r="BD77" s="590"/>
      <c r="BE77" s="590"/>
      <c r="BF77" s="590"/>
      <c r="BG77" s="590"/>
      <c r="BH77" s="590"/>
      <c r="BI77" s="590"/>
      <c r="BJ77" s="590"/>
      <c r="BK77" s="591"/>
      <c r="BL77" s="591"/>
      <c r="BM77" s="591"/>
      <c r="BN77" s="591"/>
      <c r="BO77" s="591"/>
      <c r="BP77" s="591"/>
      <c r="BQ77" s="591"/>
      <c r="BR77" s="591"/>
      <c r="BS77" s="591"/>
      <c r="BT77" s="591"/>
      <c r="BU77" s="591"/>
      <c r="BV77" s="591"/>
      <c r="BW77" s="591"/>
      <c r="BX77" s="591"/>
      <c r="BY77" s="591"/>
      <c r="BZ77" s="591"/>
      <c r="CA77" s="591"/>
      <c r="CB77" s="591"/>
      <c r="CC77" s="591"/>
      <c r="CD77" s="591"/>
      <c r="CE77" s="591"/>
      <c r="CF77" s="591"/>
    </row>
    <row r="78" spans="1:84">
      <c r="A78" s="590"/>
      <c r="B78" s="590"/>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0"/>
      <c r="AP78" s="590"/>
      <c r="AQ78" s="590"/>
      <c r="AR78" s="590"/>
      <c r="AS78" s="590"/>
      <c r="AT78" s="590"/>
      <c r="AU78" s="590"/>
      <c r="AV78" s="590"/>
      <c r="AW78" s="590"/>
      <c r="AX78" s="590"/>
      <c r="AY78" s="590"/>
      <c r="AZ78" s="590"/>
      <c r="BA78" s="590"/>
      <c r="BB78" s="590"/>
      <c r="BC78" s="590"/>
      <c r="BD78" s="590"/>
      <c r="BE78" s="590"/>
      <c r="BF78" s="590"/>
      <c r="BG78" s="590"/>
      <c r="BH78" s="590"/>
      <c r="BI78" s="590"/>
      <c r="BJ78" s="590"/>
      <c r="BK78" s="591"/>
      <c r="BL78" s="591"/>
      <c r="BM78" s="591"/>
      <c r="BN78" s="591"/>
      <c r="BO78" s="591"/>
      <c r="BP78" s="591"/>
      <c r="BQ78" s="591"/>
      <c r="BR78" s="591"/>
      <c r="BS78" s="591"/>
      <c r="BT78" s="591"/>
      <c r="BU78" s="591"/>
      <c r="BV78" s="591"/>
      <c r="BW78" s="591"/>
      <c r="BX78" s="591"/>
      <c r="BY78" s="591"/>
      <c r="BZ78" s="591"/>
      <c r="CA78" s="591"/>
      <c r="CB78" s="591"/>
      <c r="CC78" s="591"/>
      <c r="CD78" s="591"/>
      <c r="CE78" s="591"/>
      <c r="CF78" s="591"/>
    </row>
    <row r="79" spans="1:84">
      <c r="A79" s="590"/>
      <c r="B79" s="590"/>
      <c r="C79" s="590"/>
      <c r="D79" s="590"/>
      <c r="E79" s="590"/>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0"/>
      <c r="AP79" s="590"/>
      <c r="AQ79" s="590"/>
      <c r="AR79" s="590"/>
      <c r="AS79" s="590"/>
      <c r="AT79" s="590"/>
      <c r="AU79" s="590"/>
      <c r="AV79" s="590"/>
      <c r="AW79" s="590"/>
      <c r="AX79" s="590"/>
      <c r="AY79" s="590"/>
      <c r="AZ79" s="590"/>
      <c r="BA79" s="590"/>
      <c r="BB79" s="590"/>
      <c r="BC79" s="590"/>
      <c r="BD79" s="590"/>
      <c r="BE79" s="590"/>
      <c r="BF79" s="590"/>
      <c r="BG79" s="590"/>
      <c r="BH79" s="590"/>
      <c r="BI79" s="590"/>
      <c r="BJ79" s="590"/>
      <c r="BK79" s="591"/>
      <c r="BL79" s="591"/>
      <c r="BM79" s="591"/>
      <c r="BN79" s="591"/>
      <c r="BO79" s="591"/>
      <c r="BP79" s="591"/>
      <c r="BQ79" s="591"/>
      <c r="BR79" s="591"/>
      <c r="BS79" s="591"/>
      <c r="BT79" s="591"/>
      <c r="BU79" s="591"/>
      <c r="BV79" s="591"/>
      <c r="BW79" s="591"/>
      <c r="BX79" s="591"/>
      <c r="BY79" s="591"/>
      <c r="BZ79" s="591"/>
      <c r="CA79" s="591"/>
      <c r="CB79" s="591"/>
      <c r="CC79" s="591"/>
      <c r="CD79" s="591"/>
      <c r="CE79" s="591"/>
      <c r="CF79" s="591"/>
    </row>
    <row r="80" spans="1:84">
      <c r="A80" s="590"/>
      <c r="B80" s="590"/>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0"/>
      <c r="AP80" s="590"/>
      <c r="AQ80" s="590"/>
      <c r="AR80" s="590"/>
      <c r="AS80" s="590"/>
      <c r="AT80" s="590"/>
      <c r="AU80" s="590"/>
      <c r="AV80" s="590"/>
      <c r="AW80" s="590"/>
      <c r="AX80" s="590"/>
      <c r="AY80" s="590"/>
      <c r="AZ80" s="590"/>
      <c r="BA80" s="590"/>
      <c r="BB80" s="590"/>
      <c r="BC80" s="590"/>
      <c r="BD80" s="590"/>
      <c r="BE80" s="590"/>
      <c r="BF80" s="590"/>
      <c r="BG80" s="590"/>
      <c r="BH80" s="590"/>
      <c r="BI80" s="590"/>
      <c r="BJ80" s="590"/>
      <c r="BK80" s="591"/>
      <c r="BL80" s="591"/>
      <c r="BM80" s="591"/>
      <c r="BN80" s="591"/>
      <c r="BO80" s="591"/>
      <c r="BP80" s="591"/>
      <c r="BQ80" s="591"/>
      <c r="BR80" s="591"/>
      <c r="BS80" s="591"/>
      <c r="BT80" s="591"/>
      <c r="BU80" s="591"/>
      <c r="BV80" s="591"/>
      <c r="BW80" s="591"/>
      <c r="BX80" s="591"/>
      <c r="BY80" s="591"/>
      <c r="BZ80" s="591"/>
      <c r="CA80" s="591"/>
      <c r="CB80" s="591"/>
      <c r="CC80" s="591"/>
      <c r="CD80" s="591"/>
      <c r="CE80" s="591"/>
      <c r="CF80" s="591"/>
    </row>
    <row r="81" spans="1:84">
      <c r="A81" s="590"/>
      <c r="B81" s="590"/>
      <c r="C81" s="590"/>
      <c r="D81" s="590"/>
      <c r="E81" s="590"/>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0"/>
      <c r="AP81" s="590"/>
      <c r="AQ81" s="590"/>
      <c r="AR81" s="590"/>
      <c r="AS81" s="590"/>
      <c r="AT81" s="590"/>
      <c r="AU81" s="590"/>
      <c r="AV81" s="590"/>
      <c r="AW81" s="590"/>
      <c r="AX81" s="590"/>
      <c r="AY81" s="590"/>
      <c r="AZ81" s="590"/>
      <c r="BA81" s="590"/>
      <c r="BB81" s="590"/>
      <c r="BC81" s="590"/>
      <c r="BD81" s="590"/>
      <c r="BE81" s="590"/>
      <c r="BF81" s="590"/>
      <c r="BG81" s="590"/>
      <c r="BH81" s="590"/>
      <c r="BI81" s="590"/>
      <c r="BJ81" s="590"/>
      <c r="BK81" s="591"/>
      <c r="BL81" s="591"/>
      <c r="BM81" s="591"/>
      <c r="BN81" s="591"/>
      <c r="BO81" s="591"/>
      <c r="BP81" s="591"/>
      <c r="BQ81" s="591"/>
      <c r="BR81" s="591"/>
      <c r="BS81" s="591"/>
      <c r="BT81" s="591"/>
      <c r="BU81" s="591"/>
      <c r="BV81" s="591"/>
      <c r="BW81" s="591"/>
      <c r="BX81" s="591"/>
      <c r="BY81" s="591"/>
      <c r="BZ81" s="591"/>
      <c r="CA81" s="591"/>
      <c r="CB81" s="591"/>
      <c r="CC81" s="591"/>
      <c r="CD81" s="591"/>
      <c r="CE81" s="591"/>
      <c r="CF81" s="591"/>
    </row>
    <row r="82" spans="1:84">
      <c r="A82" s="590"/>
      <c r="B82" s="590"/>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0"/>
      <c r="AP82" s="590"/>
      <c r="AQ82" s="590"/>
      <c r="AR82" s="590"/>
      <c r="AS82" s="590"/>
      <c r="AT82" s="590"/>
      <c r="AU82" s="590"/>
      <c r="AV82" s="590"/>
      <c r="AW82" s="590"/>
      <c r="AX82" s="590"/>
      <c r="AY82" s="590"/>
      <c r="AZ82" s="590"/>
      <c r="BA82" s="590"/>
      <c r="BB82" s="590"/>
      <c r="BC82" s="590"/>
      <c r="BD82" s="590"/>
      <c r="BE82" s="590"/>
      <c r="BF82" s="590"/>
      <c r="BG82" s="590"/>
      <c r="BH82" s="590"/>
      <c r="BI82" s="590"/>
      <c r="BJ82" s="590"/>
      <c r="BK82" s="591"/>
      <c r="BL82" s="591"/>
      <c r="BM82" s="591"/>
      <c r="BN82" s="591"/>
      <c r="BO82" s="591"/>
      <c r="BP82" s="591"/>
      <c r="BQ82" s="591"/>
      <c r="BR82" s="591"/>
      <c r="BS82" s="591"/>
      <c r="BT82" s="591"/>
      <c r="BU82" s="591"/>
      <c r="BV82" s="591"/>
      <c r="BW82" s="591"/>
      <c r="BX82" s="591"/>
      <c r="BY82" s="591"/>
      <c r="BZ82" s="591"/>
      <c r="CA82" s="591"/>
      <c r="CB82" s="591"/>
      <c r="CC82" s="591"/>
      <c r="CD82" s="591"/>
      <c r="CE82" s="591"/>
      <c r="CF82" s="591"/>
    </row>
    <row r="83" spans="1:84">
      <c r="A83" s="590"/>
      <c r="B83" s="590"/>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0"/>
      <c r="AP83" s="590"/>
      <c r="AQ83" s="590"/>
      <c r="AR83" s="590"/>
      <c r="AS83" s="590"/>
      <c r="AT83" s="590"/>
      <c r="AU83" s="590"/>
      <c r="AV83" s="590"/>
      <c r="AW83" s="590"/>
      <c r="AX83" s="590"/>
      <c r="AY83" s="590"/>
      <c r="AZ83" s="590"/>
      <c r="BA83" s="590"/>
      <c r="BB83" s="590"/>
      <c r="BC83" s="590"/>
      <c r="BD83" s="590"/>
      <c r="BE83" s="590"/>
      <c r="BF83" s="590"/>
      <c r="BG83" s="590"/>
      <c r="BH83" s="590"/>
      <c r="BI83" s="590"/>
      <c r="BJ83" s="590"/>
      <c r="BK83" s="591"/>
      <c r="BL83" s="591"/>
      <c r="BM83" s="591"/>
      <c r="BN83" s="591"/>
      <c r="BO83" s="591"/>
      <c r="BP83" s="591"/>
      <c r="BQ83" s="591"/>
      <c r="BR83" s="591"/>
      <c r="BS83" s="591"/>
      <c r="BT83" s="591"/>
      <c r="BU83" s="591"/>
      <c r="BV83" s="591"/>
      <c r="BW83" s="591"/>
      <c r="BX83" s="591"/>
      <c r="BY83" s="591"/>
      <c r="BZ83" s="591"/>
      <c r="CA83" s="591"/>
      <c r="CB83" s="591"/>
      <c r="CC83" s="591"/>
      <c r="CD83" s="591"/>
      <c r="CE83" s="591"/>
      <c r="CF83" s="591"/>
    </row>
    <row r="84" spans="1:84">
      <c r="A84" s="590"/>
      <c r="B84" s="590"/>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0"/>
      <c r="AP84" s="590"/>
      <c r="AQ84" s="590"/>
      <c r="AR84" s="590"/>
      <c r="AS84" s="590"/>
      <c r="AT84" s="590"/>
      <c r="AU84" s="590"/>
      <c r="AV84" s="590"/>
      <c r="AW84" s="590"/>
      <c r="AX84" s="590"/>
      <c r="AY84" s="590"/>
      <c r="AZ84" s="590"/>
      <c r="BA84" s="590"/>
      <c r="BB84" s="590"/>
      <c r="BC84" s="590"/>
      <c r="BD84" s="590"/>
      <c r="BE84" s="590"/>
      <c r="BF84" s="590"/>
      <c r="BG84" s="590"/>
      <c r="BH84" s="590"/>
      <c r="BI84" s="590"/>
      <c r="BJ84" s="590"/>
      <c r="BK84" s="591"/>
      <c r="BL84" s="591"/>
      <c r="BM84" s="591"/>
      <c r="BN84" s="591"/>
      <c r="BO84" s="591"/>
      <c r="BP84" s="591"/>
      <c r="BQ84" s="591"/>
      <c r="BR84" s="591"/>
      <c r="BS84" s="591"/>
      <c r="BT84" s="591"/>
      <c r="BU84" s="591"/>
      <c r="BV84" s="591"/>
      <c r="BW84" s="591"/>
      <c r="BX84" s="591"/>
      <c r="BY84" s="591"/>
      <c r="BZ84" s="591"/>
      <c r="CA84" s="591"/>
      <c r="CB84" s="591"/>
      <c r="CC84" s="591"/>
      <c r="CD84" s="591"/>
      <c r="CE84" s="591"/>
      <c r="CF84" s="591"/>
    </row>
    <row r="85" spans="1:84">
      <c r="A85" s="590"/>
      <c r="B85" s="590"/>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0"/>
      <c r="AP85" s="590"/>
      <c r="AQ85" s="590"/>
      <c r="AR85" s="590"/>
      <c r="AS85" s="590"/>
      <c r="AT85" s="590"/>
      <c r="AU85" s="590"/>
      <c r="AV85" s="590"/>
      <c r="AW85" s="590"/>
      <c r="AX85" s="590"/>
      <c r="AY85" s="590"/>
      <c r="AZ85" s="590"/>
      <c r="BA85" s="590"/>
      <c r="BB85" s="590"/>
      <c r="BC85" s="590"/>
      <c r="BD85" s="590"/>
      <c r="BE85" s="590"/>
      <c r="BF85" s="590"/>
      <c r="BG85" s="590"/>
      <c r="BH85" s="590"/>
      <c r="BI85" s="590"/>
      <c r="BJ85" s="590"/>
      <c r="BK85" s="591"/>
      <c r="BL85" s="591"/>
      <c r="BM85" s="591"/>
      <c r="BN85" s="591"/>
      <c r="BO85" s="591"/>
      <c r="BP85" s="591"/>
      <c r="BQ85" s="591"/>
      <c r="BR85" s="591"/>
      <c r="BS85" s="591"/>
      <c r="BT85" s="591"/>
      <c r="BU85" s="591"/>
      <c r="BV85" s="591"/>
      <c r="BW85" s="591"/>
      <c r="BX85" s="591"/>
      <c r="BY85" s="591"/>
      <c r="BZ85" s="591"/>
      <c r="CA85" s="591"/>
      <c r="CB85" s="591"/>
      <c r="CC85" s="591"/>
      <c r="CD85" s="591"/>
      <c r="CE85" s="591"/>
      <c r="CF85" s="591"/>
    </row>
    <row r="86" spans="1:84">
      <c r="A86" s="590"/>
      <c r="B86" s="590"/>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0"/>
      <c r="AP86" s="590"/>
      <c r="AQ86" s="590"/>
      <c r="AR86" s="590"/>
      <c r="AS86" s="590"/>
      <c r="AT86" s="590"/>
      <c r="AU86" s="590"/>
      <c r="AV86" s="590"/>
      <c r="AW86" s="590"/>
      <c r="AX86" s="590"/>
      <c r="AY86" s="590"/>
      <c r="AZ86" s="590"/>
      <c r="BA86" s="590"/>
      <c r="BB86" s="590"/>
      <c r="BC86" s="590"/>
      <c r="BD86" s="590"/>
      <c r="BE86" s="590"/>
      <c r="BF86" s="590"/>
      <c r="BG86" s="590"/>
      <c r="BH86" s="590"/>
      <c r="BI86" s="590"/>
      <c r="BJ86" s="590"/>
      <c r="BK86" s="591"/>
      <c r="BL86" s="591"/>
      <c r="BM86" s="591"/>
      <c r="BN86" s="591"/>
      <c r="BO86" s="591"/>
      <c r="BP86" s="591"/>
      <c r="BQ86" s="591"/>
      <c r="BR86" s="591"/>
      <c r="BS86" s="591"/>
      <c r="BT86" s="591"/>
      <c r="BU86" s="591"/>
      <c r="BV86" s="591"/>
      <c r="BW86" s="591"/>
      <c r="BX86" s="591"/>
      <c r="BY86" s="591"/>
      <c r="BZ86" s="591"/>
      <c r="CA86" s="591"/>
      <c r="CB86" s="591"/>
      <c r="CC86" s="591"/>
      <c r="CD86" s="591"/>
      <c r="CE86" s="591"/>
      <c r="CF86" s="591"/>
    </row>
    <row r="87" spans="1:84">
      <c r="A87" s="590"/>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0"/>
      <c r="AP87" s="590"/>
      <c r="AQ87" s="590"/>
      <c r="AR87" s="590"/>
      <c r="AS87" s="590"/>
      <c r="AT87" s="590"/>
      <c r="AU87" s="590"/>
      <c r="AV87" s="590"/>
      <c r="AW87" s="590"/>
      <c r="AX87" s="590"/>
      <c r="AY87" s="590"/>
      <c r="AZ87" s="590"/>
      <c r="BA87" s="590"/>
      <c r="BB87" s="590"/>
      <c r="BC87" s="590"/>
      <c r="BD87" s="590"/>
      <c r="BE87" s="590"/>
      <c r="BF87" s="590"/>
      <c r="BG87" s="590"/>
      <c r="BH87" s="590"/>
      <c r="BI87" s="590"/>
      <c r="BJ87" s="590"/>
      <c r="BK87" s="591"/>
      <c r="BL87" s="591"/>
      <c r="BM87" s="591"/>
      <c r="BN87" s="591"/>
      <c r="BO87" s="591"/>
      <c r="BP87" s="591"/>
      <c r="BQ87" s="591"/>
      <c r="BR87" s="591"/>
      <c r="BS87" s="591"/>
      <c r="BT87" s="591"/>
      <c r="BU87" s="591"/>
      <c r="BV87" s="591"/>
      <c r="BW87" s="591"/>
      <c r="BX87" s="591"/>
      <c r="BY87" s="591"/>
      <c r="BZ87" s="591"/>
      <c r="CA87" s="591"/>
      <c r="CB87" s="591"/>
      <c r="CC87" s="591"/>
      <c r="CD87" s="591"/>
      <c r="CE87" s="591"/>
      <c r="CF87" s="591"/>
    </row>
    <row r="88" spans="1:84">
      <c r="A88" s="590"/>
      <c r="B88" s="590"/>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1"/>
      <c r="BL88" s="591"/>
      <c r="BM88" s="591"/>
      <c r="BN88" s="591"/>
      <c r="BO88" s="591"/>
      <c r="BP88" s="591"/>
      <c r="BQ88" s="591"/>
      <c r="BR88" s="591"/>
      <c r="BS88" s="591"/>
      <c r="BT88" s="591"/>
      <c r="BU88" s="591"/>
      <c r="BV88" s="591"/>
      <c r="BW88" s="591"/>
      <c r="BX88" s="591"/>
      <c r="BY88" s="591"/>
      <c r="BZ88" s="591"/>
      <c r="CA88" s="591"/>
      <c r="CB88" s="591"/>
      <c r="CC88" s="591"/>
      <c r="CD88" s="591"/>
      <c r="CE88" s="591"/>
      <c r="CF88" s="591"/>
    </row>
    <row r="89" spans="1:84">
      <c r="A89" s="590"/>
      <c r="B89" s="590"/>
      <c r="C89" s="590"/>
      <c r="D89" s="590"/>
      <c r="E89" s="590"/>
      <c r="F89" s="590"/>
      <c r="G89" s="590"/>
      <c r="H89" s="590"/>
      <c r="I89" s="590"/>
      <c r="J89" s="590"/>
      <c r="K89" s="590"/>
      <c r="L89" s="590"/>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0"/>
      <c r="AP89" s="590"/>
      <c r="AQ89" s="590"/>
      <c r="AR89" s="590"/>
      <c r="AS89" s="590"/>
      <c r="AT89" s="590"/>
      <c r="AU89" s="590"/>
      <c r="AV89" s="590"/>
      <c r="AW89" s="590"/>
      <c r="AX89" s="590"/>
      <c r="AY89" s="590"/>
      <c r="AZ89" s="590"/>
      <c r="BA89" s="590"/>
      <c r="BB89" s="590"/>
      <c r="BC89" s="590"/>
      <c r="BD89" s="590"/>
      <c r="BE89" s="590"/>
      <c r="BF89" s="590"/>
      <c r="BG89" s="590"/>
      <c r="BH89" s="590"/>
      <c r="BI89" s="590"/>
      <c r="BJ89" s="590"/>
      <c r="BK89" s="591"/>
      <c r="BL89" s="591"/>
      <c r="BM89" s="591"/>
      <c r="BN89" s="591"/>
      <c r="BO89" s="591"/>
      <c r="BP89" s="591"/>
      <c r="BQ89" s="591"/>
      <c r="BR89" s="591"/>
      <c r="BS89" s="591"/>
      <c r="BT89" s="591"/>
      <c r="BU89" s="591"/>
      <c r="BV89" s="591"/>
      <c r="BW89" s="591"/>
      <c r="BX89" s="591"/>
      <c r="BY89" s="591"/>
      <c r="BZ89" s="591"/>
      <c r="CA89" s="591"/>
      <c r="CB89" s="591"/>
      <c r="CC89" s="591"/>
      <c r="CD89" s="591"/>
      <c r="CE89" s="591"/>
      <c r="CF89" s="591"/>
    </row>
    <row r="90" spans="1:84">
      <c r="A90" s="590"/>
      <c r="B90" s="590"/>
      <c r="C90" s="590"/>
      <c r="D90" s="590"/>
      <c r="E90" s="590"/>
      <c r="F90" s="590"/>
      <c r="G90" s="590"/>
      <c r="H90" s="590"/>
      <c r="I90" s="590"/>
      <c r="J90" s="590"/>
      <c r="K90" s="590"/>
      <c r="L90" s="590"/>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0"/>
      <c r="AP90" s="590"/>
      <c r="AQ90" s="590"/>
      <c r="AR90" s="590"/>
      <c r="AS90" s="590"/>
      <c r="AT90" s="590"/>
      <c r="AU90" s="590"/>
      <c r="AV90" s="590"/>
      <c r="AW90" s="590"/>
      <c r="AX90" s="590"/>
      <c r="AY90" s="590"/>
      <c r="AZ90" s="590"/>
      <c r="BA90" s="590"/>
      <c r="BB90" s="590"/>
      <c r="BC90" s="590"/>
      <c r="BD90" s="590"/>
      <c r="BE90" s="590"/>
      <c r="BF90" s="590"/>
      <c r="BG90" s="590"/>
      <c r="BH90" s="590"/>
      <c r="BI90" s="590"/>
      <c r="BJ90" s="590"/>
      <c r="BK90" s="591"/>
      <c r="BL90" s="591"/>
      <c r="BM90" s="591"/>
      <c r="BN90" s="591"/>
      <c r="BO90" s="591"/>
      <c r="BP90" s="591"/>
      <c r="BQ90" s="591"/>
      <c r="BR90" s="591"/>
      <c r="BS90" s="591"/>
      <c r="BT90" s="591"/>
      <c r="BU90" s="591"/>
      <c r="BV90" s="591"/>
      <c r="BW90" s="591"/>
      <c r="BX90" s="591"/>
      <c r="BY90" s="591"/>
      <c r="BZ90" s="591"/>
      <c r="CA90" s="591"/>
      <c r="CB90" s="591"/>
      <c r="CC90" s="591"/>
      <c r="CD90" s="591"/>
      <c r="CE90" s="591"/>
      <c r="CF90" s="591"/>
    </row>
    <row r="91" spans="1:84">
      <c r="A91" s="590"/>
      <c r="B91" s="590"/>
      <c r="C91" s="590"/>
      <c r="D91" s="590"/>
      <c r="E91" s="590"/>
      <c r="F91" s="590"/>
      <c r="G91" s="590"/>
      <c r="H91" s="590"/>
      <c r="I91" s="590"/>
      <c r="J91" s="590"/>
      <c r="K91" s="590"/>
      <c r="L91" s="590"/>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0"/>
      <c r="AP91" s="590"/>
      <c r="AQ91" s="590"/>
      <c r="AR91" s="590"/>
      <c r="AS91" s="590"/>
      <c r="AT91" s="590"/>
      <c r="AU91" s="590"/>
      <c r="AV91" s="590"/>
      <c r="AW91" s="590"/>
      <c r="AX91" s="590"/>
      <c r="AY91" s="590"/>
      <c r="AZ91" s="590"/>
      <c r="BA91" s="590"/>
      <c r="BB91" s="590"/>
      <c r="BC91" s="590"/>
      <c r="BD91" s="590"/>
      <c r="BE91" s="590"/>
      <c r="BF91" s="590"/>
      <c r="BG91" s="590"/>
      <c r="BH91" s="590"/>
      <c r="BI91" s="590"/>
      <c r="BJ91" s="590"/>
      <c r="BK91" s="591"/>
      <c r="BL91" s="591"/>
      <c r="BM91" s="591"/>
      <c r="BN91" s="591"/>
      <c r="BO91" s="591"/>
      <c r="BP91" s="591"/>
      <c r="BQ91" s="591"/>
      <c r="BR91" s="591"/>
      <c r="BS91" s="591"/>
      <c r="BT91" s="591"/>
      <c r="BU91" s="591"/>
      <c r="BV91" s="591"/>
      <c r="BW91" s="591"/>
      <c r="BX91" s="591"/>
      <c r="BY91" s="591"/>
      <c r="BZ91" s="591"/>
      <c r="CA91" s="591"/>
      <c r="CB91" s="591"/>
      <c r="CC91" s="591"/>
      <c r="CD91" s="591"/>
      <c r="CE91" s="591"/>
      <c r="CF91" s="591"/>
    </row>
    <row r="92" spans="1:84">
      <c r="A92" s="590"/>
      <c r="B92" s="590"/>
      <c r="C92" s="590"/>
      <c r="D92" s="590"/>
      <c r="E92" s="590"/>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0"/>
      <c r="AP92" s="590"/>
      <c r="AQ92" s="590"/>
      <c r="AR92" s="590"/>
      <c r="AS92" s="590"/>
      <c r="AT92" s="590"/>
      <c r="AU92" s="590"/>
      <c r="AV92" s="590"/>
      <c r="AW92" s="590"/>
      <c r="AX92" s="590"/>
      <c r="AY92" s="590"/>
      <c r="AZ92" s="590"/>
      <c r="BA92" s="590"/>
      <c r="BB92" s="590"/>
      <c r="BC92" s="590"/>
      <c r="BD92" s="590"/>
      <c r="BE92" s="590"/>
      <c r="BF92" s="590"/>
      <c r="BG92" s="590"/>
      <c r="BH92" s="590"/>
      <c r="BI92" s="590"/>
      <c r="BJ92" s="590"/>
      <c r="BK92" s="591"/>
      <c r="BL92" s="591"/>
      <c r="BM92" s="591"/>
      <c r="BN92" s="591"/>
      <c r="BO92" s="591"/>
      <c r="BP92" s="591"/>
      <c r="BQ92" s="591"/>
      <c r="BR92" s="591"/>
      <c r="BS92" s="591"/>
      <c r="BT92" s="591"/>
      <c r="BU92" s="591"/>
      <c r="BV92" s="591"/>
      <c r="BW92" s="591"/>
      <c r="BX92" s="591"/>
      <c r="BY92" s="591"/>
      <c r="BZ92" s="591"/>
      <c r="CA92" s="591"/>
      <c r="CB92" s="591"/>
      <c r="CC92" s="591"/>
      <c r="CD92" s="591"/>
      <c r="CE92" s="591"/>
      <c r="CF92" s="591"/>
    </row>
    <row r="93" spans="1:84">
      <c r="A93" s="590"/>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0"/>
      <c r="AP93" s="590"/>
      <c r="AQ93" s="590"/>
      <c r="AR93" s="590"/>
      <c r="AS93" s="590"/>
      <c r="AT93" s="590"/>
      <c r="AU93" s="590"/>
      <c r="AV93" s="590"/>
      <c r="AW93" s="590"/>
      <c r="AX93" s="590"/>
      <c r="AY93" s="590"/>
      <c r="AZ93" s="590"/>
      <c r="BA93" s="590"/>
      <c r="BB93" s="590"/>
      <c r="BC93" s="590"/>
      <c r="BD93" s="590"/>
      <c r="BE93" s="590"/>
      <c r="BF93" s="590"/>
      <c r="BG93" s="590"/>
      <c r="BH93" s="590"/>
      <c r="BI93" s="590"/>
      <c r="BJ93" s="590"/>
      <c r="BK93" s="591"/>
      <c r="BL93" s="591"/>
      <c r="BM93" s="591"/>
      <c r="BN93" s="591"/>
      <c r="BO93" s="591"/>
      <c r="BP93" s="591"/>
      <c r="BQ93" s="591"/>
      <c r="BR93" s="591"/>
      <c r="BS93" s="591"/>
      <c r="BT93" s="591"/>
      <c r="BU93" s="591"/>
      <c r="BV93" s="591"/>
      <c r="BW93" s="591"/>
      <c r="BX93" s="591"/>
      <c r="BY93" s="591"/>
      <c r="BZ93" s="591"/>
      <c r="CA93" s="591"/>
      <c r="CB93" s="591"/>
      <c r="CC93" s="591"/>
      <c r="CD93" s="591"/>
      <c r="CE93" s="591"/>
      <c r="CF93" s="591"/>
    </row>
    <row r="94" spans="1:84">
      <c r="A94" s="590"/>
      <c r="B94" s="590"/>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0"/>
      <c r="AP94" s="590"/>
      <c r="AQ94" s="590"/>
      <c r="AR94" s="590"/>
      <c r="AS94" s="590"/>
      <c r="AT94" s="590"/>
      <c r="AU94" s="590"/>
      <c r="AV94" s="590"/>
      <c r="AW94" s="590"/>
      <c r="AX94" s="590"/>
      <c r="AY94" s="590"/>
      <c r="AZ94" s="590"/>
      <c r="BA94" s="590"/>
      <c r="BB94" s="590"/>
      <c r="BC94" s="590"/>
      <c r="BD94" s="590"/>
      <c r="BE94" s="590"/>
      <c r="BF94" s="590"/>
      <c r="BG94" s="590"/>
      <c r="BH94" s="590"/>
      <c r="BI94" s="590"/>
      <c r="BJ94" s="590"/>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row>
    <row r="95" spans="1:84">
      <c r="A95" s="590"/>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0"/>
      <c r="AP95" s="590"/>
      <c r="AQ95" s="590"/>
      <c r="AR95" s="590"/>
      <c r="AS95" s="590"/>
      <c r="AT95" s="590"/>
      <c r="AU95" s="590"/>
      <c r="AV95" s="590"/>
      <c r="AW95" s="590"/>
      <c r="AX95" s="590"/>
      <c r="AY95" s="590"/>
      <c r="AZ95" s="590"/>
      <c r="BA95" s="590"/>
      <c r="BB95" s="590"/>
      <c r="BC95" s="590"/>
      <c r="BD95" s="590"/>
      <c r="BE95" s="590"/>
      <c r="BF95" s="590"/>
      <c r="BG95" s="590"/>
      <c r="BH95" s="590"/>
      <c r="BI95" s="590"/>
      <c r="BJ95" s="590"/>
      <c r="BK95" s="591"/>
      <c r="BL95" s="591"/>
      <c r="BM95" s="591"/>
      <c r="BN95" s="591"/>
      <c r="BO95" s="591"/>
      <c r="BP95" s="591"/>
      <c r="BQ95" s="591"/>
      <c r="BR95" s="591"/>
      <c r="BS95" s="591"/>
      <c r="BT95" s="591"/>
      <c r="BU95" s="591"/>
      <c r="BV95" s="591"/>
      <c r="BW95" s="591"/>
      <c r="BX95" s="591"/>
      <c r="BY95" s="591"/>
      <c r="BZ95" s="591"/>
      <c r="CA95" s="591"/>
      <c r="CB95" s="591"/>
      <c r="CC95" s="591"/>
      <c r="CD95" s="591"/>
      <c r="CE95" s="591"/>
      <c r="CF95" s="591"/>
    </row>
    <row r="96" spans="1:84">
      <c r="A96" s="590"/>
      <c r="B96" s="590"/>
      <c r="C96" s="590"/>
      <c r="D96" s="590"/>
      <c r="E96" s="590"/>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0"/>
      <c r="AP96" s="590"/>
      <c r="AQ96" s="590"/>
      <c r="AR96" s="590"/>
      <c r="AS96" s="590"/>
      <c r="AT96" s="590"/>
      <c r="AU96" s="590"/>
      <c r="AV96" s="590"/>
      <c r="AW96" s="590"/>
      <c r="AX96" s="590"/>
      <c r="AY96" s="590"/>
      <c r="AZ96" s="590"/>
      <c r="BA96" s="590"/>
      <c r="BB96" s="590"/>
      <c r="BC96" s="590"/>
      <c r="BD96" s="590"/>
      <c r="BE96" s="590"/>
      <c r="BF96" s="590"/>
      <c r="BG96" s="590"/>
      <c r="BH96" s="590"/>
      <c r="BI96" s="590"/>
      <c r="BJ96" s="590"/>
      <c r="BK96" s="591"/>
      <c r="BL96" s="591"/>
      <c r="BM96" s="591"/>
      <c r="BN96" s="591"/>
      <c r="BO96" s="591"/>
      <c r="BP96" s="591"/>
      <c r="BQ96" s="591"/>
      <c r="BR96" s="591"/>
      <c r="BS96" s="591"/>
      <c r="BT96" s="591"/>
      <c r="BU96" s="591"/>
      <c r="BV96" s="591"/>
      <c r="BW96" s="591"/>
      <c r="BX96" s="591"/>
      <c r="BY96" s="591"/>
      <c r="BZ96" s="591"/>
      <c r="CA96" s="591"/>
      <c r="CB96" s="591"/>
      <c r="CC96" s="591"/>
      <c r="CD96" s="591"/>
      <c r="CE96" s="591"/>
      <c r="CF96" s="591"/>
    </row>
    <row r="97" spans="1:84">
      <c r="A97" s="590"/>
      <c r="B97" s="590"/>
      <c r="C97" s="590"/>
      <c r="D97" s="590"/>
      <c r="E97" s="590"/>
      <c r="F97" s="590"/>
      <c r="G97" s="590"/>
      <c r="H97" s="590"/>
      <c r="I97" s="590"/>
      <c r="J97" s="590"/>
      <c r="K97" s="590"/>
      <c r="L97" s="590"/>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0"/>
      <c r="AP97" s="590"/>
      <c r="AQ97" s="590"/>
      <c r="AR97" s="590"/>
      <c r="AS97" s="590"/>
      <c r="AT97" s="590"/>
      <c r="AU97" s="590"/>
      <c r="AV97" s="590"/>
      <c r="AW97" s="590"/>
      <c r="AX97" s="590"/>
      <c r="AY97" s="590"/>
      <c r="AZ97" s="590"/>
      <c r="BA97" s="590"/>
      <c r="BB97" s="590"/>
      <c r="BC97" s="590"/>
      <c r="BD97" s="590"/>
      <c r="BE97" s="590"/>
      <c r="BF97" s="590"/>
      <c r="BG97" s="590"/>
      <c r="BH97" s="590"/>
      <c r="BI97" s="590"/>
      <c r="BJ97" s="590"/>
      <c r="BK97" s="591"/>
      <c r="BL97" s="591"/>
      <c r="BM97" s="591"/>
      <c r="BN97" s="591"/>
      <c r="BO97" s="591"/>
      <c r="BP97" s="591"/>
      <c r="BQ97" s="591"/>
      <c r="BR97" s="591"/>
      <c r="BS97" s="591"/>
      <c r="BT97" s="591"/>
      <c r="BU97" s="591"/>
      <c r="BV97" s="591"/>
      <c r="BW97" s="591"/>
      <c r="BX97" s="591"/>
      <c r="BY97" s="591"/>
      <c r="BZ97" s="591"/>
      <c r="CA97" s="591"/>
      <c r="CB97" s="591"/>
      <c r="CC97" s="591"/>
      <c r="CD97" s="591"/>
      <c r="CE97" s="591"/>
      <c r="CF97" s="591"/>
    </row>
    <row r="98" spans="1:84">
      <c r="A98" s="590"/>
      <c r="B98" s="590"/>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0"/>
      <c r="AP98" s="590"/>
      <c r="AQ98" s="590"/>
      <c r="AR98" s="590"/>
      <c r="AS98" s="590"/>
      <c r="AT98" s="590"/>
      <c r="AU98" s="590"/>
      <c r="AV98" s="590"/>
      <c r="AW98" s="590"/>
      <c r="AX98" s="590"/>
      <c r="AY98" s="590"/>
      <c r="AZ98" s="590"/>
      <c r="BA98" s="590"/>
      <c r="BB98" s="590"/>
      <c r="BC98" s="590"/>
      <c r="BD98" s="590"/>
      <c r="BE98" s="590"/>
      <c r="BF98" s="590"/>
      <c r="BG98" s="590"/>
      <c r="BH98" s="590"/>
      <c r="BI98" s="590"/>
      <c r="BJ98" s="590"/>
      <c r="BK98" s="591"/>
      <c r="BL98" s="591"/>
      <c r="BM98" s="591"/>
      <c r="BN98" s="591"/>
      <c r="BO98" s="591"/>
      <c r="BP98" s="591"/>
      <c r="BQ98" s="591"/>
      <c r="BR98" s="591"/>
      <c r="BS98" s="591"/>
      <c r="BT98" s="591"/>
      <c r="BU98" s="591"/>
      <c r="BV98" s="591"/>
      <c r="BW98" s="591"/>
      <c r="BX98" s="591"/>
      <c r="BY98" s="591"/>
      <c r="BZ98" s="591"/>
      <c r="CA98" s="591"/>
      <c r="CB98" s="591"/>
      <c r="CC98" s="591"/>
      <c r="CD98" s="591"/>
      <c r="CE98" s="591"/>
      <c r="CF98" s="591"/>
    </row>
    <row r="99" spans="1:84">
      <c r="A99" s="590"/>
      <c r="B99" s="590"/>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1"/>
      <c r="BL99" s="591"/>
      <c r="BM99" s="591"/>
      <c r="BN99" s="591"/>
      <c r="BO99" s="591"/>
      <c r="BP99" s="591"/>
      <c r="BQ99" s="591"/>
      <c r="BR99" s="591"/>
      <c r="BS99" s="591"/>
      <c r="BT99" s="591"/>
      <c r="BU99" s="591"/>
      <c r="BV99" s="591"/>
      <c r="BW99" s="591"/>
      <c r="BX99" s="591"/>
      <c r="BY99" s="591"/>
      <c r="BZ99" s="591"/>
      <c r="CA99" s="591"/>
      <c r="CB99" s="591"/>
      <c r="CC99" s="591"/>
      <c r="CD99" s="591"/>
      <c r="CE99" s="591"/>
      <c r="CF99" s="591"/>
    </row>
    <row r="100" spans="1:84">
      <c r="A100" s="590"/>
      <c r="B100" s="590"/>
      <c r="C100" s="590"/>
      <c r="D100" s="590"/>
      <c r="E100" s="590"/>
      <c r="F100" s="590"/>
      <c r="G100" s="590"/>
      <c r="H100" s="590"/>
      <c r="I100" s="590"/>
      <c r="J100" s="590"/>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0"/>
      <c r="AP100" s="590"/>
      <c r="AQ100" s="590"/>
      <c r="AR100" s="590"/>
      <c r="AS100" s="590"/>
      <c r="AT100" s="590"/>
      <c r="AU100" s="590"/>
      <c r="AV100" s="590"/>
      <c r="AW100" s="590"/>
      <c r="AX100" s="590"/>
      <c r="AY100" s="590"/>
      <c r="AZ100" s="590"/>
      <c r="BA100" s="590"/>
      <c r="BB100" s="590"/>
      <c r="BC100" s="590"/>
      <c r="BD100" s="590"/>
      <c r="BE100" s="590"/>
      <c r="BF100" s="590"/>
      <c r="BG100" s="590"/>
      <c r="BH100" s="590"/>
      <c r="BI100" s="590"/>
      <c r="BJ100" s="590"/>
      <c r="BK100" s="591"/>
      <c r="BL100" s="591"/>
      <c r="BM100" s="591"/>
      <c r="BN100" s="591"/>
      <c r="BO100" s="591"/>
      <c r="BP100" s="591"/>
      <c r="BQ100" s="591"/>
      <c r="BR100" s="591"/>
      <c r="BS100" s="591"/>
      <c r="BT100" s="591"/>
      <c r="BU100" s="591"/>
      <c r="BV100" s="591"/>
      <c r="BW100" s="591"/>
      <c r="BX100" s="591"/>
      <c r="BY100" s="591"/>
      <c r="BZ100" s="591"/>
      <c r="CA100" s="591"/>
      <c r="CB100" s="591"/>
      <c r="CC100" s="591"/>
      <c r="CD100" s="591"/>
      <c r="CE100" s="591"/>
      <c r="CF100" s="591"/>
    </row>
    <row r="101" spans="1:84">
      <c r="A101" s="590"/>
      <c r="B101" s="590"/>
      <c r="C101" s="590"/>
      <c r="D101" s="590"/>
      <c r="E101" s="590"/>
      <c r="F101" s="590"/>
      <c r="G101" s="590"/>
      <c r="H101" s="590"/>
      <c r="I101" s="590"/>
      <c r="J101" s="590"/>
      <c r="K101" s="590"/>
      <c r="L101" s="590"/>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0"/>
      <c r="AP101" s="590"/>
      <c r="AQ101" s="590"/>
      <c r="AR101" s="590"/>
      <c r="AS101" s="590"/>
      <c r="AT101" s="590"/>
      <c r="AU101" s="590"/>
      <c r="AV101" s="590"/>
      <c r="AW101" s="590"/>
      <c r="AX101" s="590"/>
      <c r="AY101" s="590"/>
      <c r="AZ101" s="590"/>
      <c r="BA101" s="590"/>
      <c r="BB101" s="590"/>
      <c r="BC101" s="590"/>
      <c r="BD101" s="590"/>
      <c r="BE101" s="590"/>
      <c r="BF101" s="590"/>
      <c r="BG101" s="590"/>
      <c r="BH101" s="590"/>
      <c r="BI101" s="590"/>
      <c r="BJ101" s="590"/>
      <c r="BK101" s="591"/>
      <c r="BL101" s="591"/>
      <c r="BM101" s="591"/>
      <c r="BN101" s="591"/>
      <c r="BO101" s="591"/>
      <c r="BP101" s="591"/>
      <c r="BQ101" s="591"/>
      <c r="BR101" s="591"/>
      <c r="BS101" s="591"/>
      <c r="BT101" s="591"/>
      <c r="BU101" s="591"/>
      <c r="BV101" s="591"/>
      <c r="BW101" s="591"/>
      <c r="BX101" s="591"/>
      <c r="BY101" s="591"/>
      <c r="BZ101" s="591"/>
      <c r="CA101" s="591"/>
      <c r="CB101" s="591"/>
      <c r="CC101" s="591"/>
      <c r="CD101" s="591"/>
      <c r="CE101" s="591"/>
      <c r="CF101" s="591"/>
    </row>
    <row r="102" spans="1:84">
      <c r="A102" s="590"/>
      <c r="B102" s="590"/>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0"/>
      <c r="AP102" s="590"/>
      <c r="AQ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1"/>
      <c r="BL102" s="591"/>
      <c r="BM102" s="591"/>
      <c r="BN102" s="591"/>
      <c r="BO102" s="591"/>
      <c r="BP102" s="591"/>
      <c r="BQ102" s="591"/>
      <c r="BR102" s="591"/>
      <c r="BS102" s="591"/>
      <c r="BT102" s="591"/>
      <c r="BU102" s="591"/>
      <c r="BV102" s="591"/>
      <c r="BW102" s="591"/>
      <c r="BX102" s="591"/>
      <c r="BY102" s="591"/>
      <c r="BZ102" s="591"/>
      <c r="CA102" s="591"/>
      <c r="CB102" s="591"/>
      <c r="CC102" s="591"/>
      <c r="CD102" s="591"/>
      <c r="CE102" s="591"/>
      <c r="CF102" s="591"/>
    </row>
    <row r="103" spans="1:84">
      <c r="A103" s="590"/>
      <c r="B103" s="590"/>
      <c r="C103" s="590"/>
      <c r="D103" s="590"/>
      <c r="E103" s="590"/>
      <c r="F103" s="590"/>
      <c r="G103" s="590"/>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1"/>
      <c r="BL103" s="591"/>
      <c r="BM103" s="591"/>
      <c r="BN103" s="591"/>
      <c r="BO103" s="591"/>
      <c r="BP103" s="591"/>
      <c r="BQ103" s="591"/>
      <c r="BR103" s="591"/>
      <c r="BS103" s="591"/>
      <c r="BT103" s="591"/>
      <c r="BU103" s="591"/>
      <c r="BV103" s="591"/>
      <c r="BW103" s="591"/>
      <c r="BX103" s="591"/>
      <c r="BY103" s="591"/>
      <c r="BZ103" s="591"/>
      <c r="CA103" s="591"/>
      <c r="CB103" s="591"/>
      <c r="CC103" s="591"/>
      <c r="CD103" s="591"/>
      <c r="CE103" s="591"/>
      <c r="CF103" s="591"/>
    </row>
    <row r="104" spans="1:84">
      <c r="A104" s="590"/>
      <c r="B104" s="590"/>
      <c r="C104" s="590"/>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0"/>
      <c r="AP104" s="590"/>
      <c r="AQ104" s="590"/>
      <c r="AR104" s="590"/>
      <c r="AS104" s="590"/>
      <c r="AT104" s="590"/>
      <c r="AU104" s="590"/>
      <c r="AV104" s="590"/>
      <c r="AW104" s="590"/>
      <c r="AX104" s="590"/>
      <c r="AY104" s="590"/>
      <c r="AZ104" s="590"/>
      <c r="BA104" s="590"/>
      <c r="BB104" s="590"/>
      <c r="BC104" s="590"/>
      <c r="BD104" s="590"/>
      <c r="BE104" s="590"/>
      <c r="BF104" s="590"/>
      <c r="BG104" s="590"/>
      <c r="BH104" s="590"/>
      <c r="BI104" s="590"/>
      <c r="BJ104" s="590"/>
      <c r="BK104" s="591"/>
      <c r="BL104" s="591"/>
      <c r="BM104" s="591"/>
      <c r="BN104" s="591"/>
      <c r="BO104" s="591"/>
      <c r="BP104" s="591"/>
      <c r="BQ104" s="591"/>
      <c r="BR104" s="591"/>
      <c r="BS104" s="591"/>
      <c r="BT104" s="591"/>
      <c r="BU104" s="591"/>
      <c r="BV104" s="591"/>
      <c r="BW104" s="591"/>
      <c r="BX104" s="591"/>
      <c r="BY104" s="591"/>
      <c r="BZ104" s="591"/>
      <c r="CA104" s="591"/>
      <c r="CB104" s="591"/>
      <c r="CC104" s="591"/>
      <c r="CD104" s="591"/>
      <c r="CE104" s="591"/>
      <c r="CF104" s="591"/>
    </row>
    <row r="105" spans="1:84">
      <c r="A105" s="590"/>
      <c r="B105" s="590"/>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0"/>
      <c r="AP105" s="590"/>
      <c r="AQ105" s="590"/>
      <c r="AR105" s="590"/>
      <c r="AS105" s="590"/>
      <c r="AT105" s="590"/>
      <c r="AU105" s="590"/>
      <c r="AV105" s="590"/>
      <c r="AW105" s="590"/>
      <c r="AX105" s="590"/>
      <c r="AY105" s="590"/>
      <c r="AZ105" s="590"/>
      <c r="BA105" s="590"/>
      <c r="BB105" s="590"/>
      <c r="BC105" s="590"/>
      <c r="BD105" s="590"/>
      <c r="BE105" s="590"/>
      <c r="BF105" s="590"/>
      <c r="BG105" s="590"/>
      <c r="BH105" s="590"/>
      <c r="BI105" s="590"/>
      <c r="BJ105" s="590"/>
      <c r="BK105" s="591"/>
      <c r="BL105" s="591"/>
      <c r="BM105" s="591"/>
      <c r="BN105" s="591"/>
      <c r="BO105" s="591"/>
      <c r="BP105" s="591"/>
      <c r="BQ105" s="591"/>
      <c r="BR105" s="591"/>
      <c r="BS105" s="591"/>
      <c r="BT105" s="591"/>
      <c r="BU105" s="591"/>
      <c r="BV105" s="591"/>
      <c r="BW105" s="591"/>
      <c r="BX105" s="591"/>
      <c r="BY105" s="591"/>
      <c r="BZ105" s="591"/>
      <c r="CA105" s="591"/>
      <c r="CB105" s="591"/>
      <c r="CC105" s="591"/>
      <c r="CD105" s="591"/>
      <c r="CE105" s="591"/>
      <c r="CF105" s="591"/>
    </row>
    <row r="106" spans="1:84">
      <c r="A106" s="590"/>
      <c r="B106" s="590"/>
      <c r="C106" s="590"/>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0"/>
      <c r="AP106" s="590"/>
      <c r="AQ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1"/>
      <c r="BL106" s="591"/>
      <c r="BM106" s="591"/>
      <c r="BN106" s="591"/>
      <c r="BO106" s="591"/>
      <c r="BP106" s="591"/>
      <c r="BQ106" s="591"/>
      <c r="BR106" s="591"/>
      <c r="BS106" s="591"/>
      <c r="BT106" s="591"/>
      <c r="BU106" s="591"/>
      <c r="BV106" s="591"/>
      <c r="BW106" s="591"/>
      <c r="BX106" s="591"/>
      <c r="BY106" s="591"/>
      <c r="BZ106" s="591"/>
      <c r="CA106" s="591"/>
      <c r="CB106" s="591"/>
      <c r="CC106" s="591"/>
      <c r="CD106" s="591"/>
      <c r="CE106" s="591"/>
      <c r="CF106" s="591"/>
    </row>
    <row r="107" spans="1:84">
      <c r="A107" s="590"/>
      <c r="B107" s="590"/>
      <c r="C107" s="590"/>
      <c r="D107" s="590"/>
      <c r="E107" s="590"/>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0"/>
      <c r="AP107" s="590"/>
      <c r="AQ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1"/>
      <c r="BL107" s="591"/>
      <c r="BM107" s="591"/>
      <c r="BN107" s="591"/>
      <c r="BO107" s="591"/>
      <c r="BP107" s="591"/>
      <c r="BQ107" s="591"/>
      <c r="BR107" s="591"/>
      <c r="BS107" s="591"/>
      <c r="BT107" s="591"/>
      <c r="BU107" s="591"/>
      <c r="BV107" s="591"/>
      <c r="BW107" s="591"/>
      <c r="BX107" s="591"/>
      <c r="BY107" s="591"/>
      <c r="BZ107" s="591"/>
      <c r="CA107" s="591"/>
      <c r="CB107" s="591"/>
      <c r="CC107" s="591"/>
      <c r="CD107" s="591"/>
      <c r="CE107" s="591"/>
      <c r="CF107" s="591"/>
    </row>
    <row r="108" spans="1:84">
      <c r="A108" s="590"/>
      <c r="B108" s="590"/>
      <c r="C108" s="590"/>
      <c r="D108" s="590"/>
      <c r="E108" s="590"/>
      <c r="F108" s="590"/>
      <c r="G108" s="590"/>
      <c r="H108" s="590"/>
      <c r="I108" s="590"/>
      <c r="J108" s="590"/>
      <c r="K108" s="590"/>
      <c r="L108" s="590"/>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0"/>
      <c r="AP108" s="590"/>
      <c r="AQ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1"/>
      <c r="BL108" s="591"/>
      <c r="BM108" s="591"/>
      <c r="BN108" s="591"/>
      <c r="BO108" s="591"/>
      <c r="BP108" s="591"/>
      <c r="BQ108" s="591"/>
      <c r="BR108" s="591"/>
      <c r="BS108" s="591"/>
      <c r="BT108" s="591"/>
      <c r="BU108" s="591"/>
      <c r="BV108" s="591"/>
      <c r="BW108" s="591"/>
      <c r="BX108" s="591"/>
      <c r="BY108" s="591"/>
      <c r="BZ108" s="591"/>
      <c r="CA108" s="591"/>
      <c r="CB108" s="591"/>
      <c r="CC108" s="591"/>
      <c r="CD108" s="591"/>
      <c r="CE108" s="591"/>
      <c r="CF108" s="591"/>
    </row>
    <row r="109" spans="1:84">
      <c r="A109" s="590"/>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0"/>
      <c r="AP109" s="590"/>
      <c r="AQ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1"/>
      <c r="BL109" s="591"/>
      <c r="BM109" s="591"/>
      <c r="BN109" s="591"/>
      <c r="BO109" s="591"/>
      <c r="BP109" s="591"/>
      <c r="BQ109" s="591"/>
      <c r="BR109" s="591"/>
      <c r="BS109" s="591"/>
      <c r="BT109" s="591"/>
      <c r="BU109" s="591"/>
      <c r="BV109" s="591"/>
      <c r="BW109" s="591"/>
      <c r="BX109" s="591"/>
      <c r="BY109" s="591"/>
      <c r="BZ109" s="591"/>
      <c r="CA109" s="591"/>
      <c r="CB109" s="591"/>
      <c r="CC109" s="591"/>
      <c r="CD109" s="591"/>
      <c r="CE109" s="591"/>
      <c r="CF109" s="591"/>
    </row>
    <row r="110" spans="1:84">
      <c r="A110" s="590"/>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0"/>
      <c r="AP110" s="590"/>
      <c r="AQ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1"/>
      <c r="BL110" s="591"/>
      <c r="BM110" s="591"/>
      <c r="BN110" s="591"/>
      <c r="BO110" s="591"/>
      <c r="BP110" s="591"/>
      <c r="BQ110" s="591"/>
      <c r="BR110" s="591"/>
      <c r="BS110" s="591"/>
      <c r="BT110" s="591"/>
      <c r="BU110" s="591"/>
      <c r="BV110" s="591"/>
      <c r="BW110" s="591"/>
      <c r="BX110" s="591"/>
      <c r="BY110" s="591"/>
      <c r="BZ110" s="591"/>
      <c r="CA110" s="591"/>
      <c r="CB110" s="591"/>
      <c r="CC110" s="591"/>
      <c r="CD110" s="591"/>
      <c r="CE110" s="591"/>
      <c r="CF110" s="591"/>
    </row>
    <row r="111" spans="1:84">
      <c r="A111" s="590"/>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0"/>
      <c r="AP111" s="590"/>
      <c r="AQ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1"/>
      <c r="BL111" s="591"/>
      <c r="BM111" s="591"/>
      <c r="BN111" s="591"/>
      <c r="BO111" s="591"/>
      <c r="BP111" s="591"/>
      <c r="BQ111" s="591"/>
      <c r="BR111" s="591"/>
      <c r="BS111" s="591"/>
      <c r="BT111" s="591"/>
      <c r="BU111" s="591"/>
      <c r="BV111" s="591"/>
      <c r="BW111" s="591"/>
      <c r="BX111" s="591"/>
      <c r="BY111" s="591"/>
      <c r="BZ111" s="591"/>
      <c r="CA111" s="591"/>
      <c r="CB111" s="591"/>
      <c r="CC111" s="591"/>
      <c r="CD111" s="591"/>
      <c r="CE111" s="591"/>
      <c r="CF111" s="591"/>
    </row>
    <row r="112" spans="1:84">
      <c r="A112" s="590"/>
      <c r="B112" s="590"/>
      <c r="C112" s="590"/>
      <c r="D112" s="590"/>
      <c r="E112" s="590"/>
      <c r="F112" s="590"/>
      <c r="G112" s="590"/>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1"/>
      <c r="BL112" s="591"/>
      <c r="BM112" s="591"/>
      <c r="BN112" s="591"/>
      <c r="BO112" s="591"/>
      <c r="BP112" s="591"/>
      <c r="BQ112" s="591"/>
      <c r="BR112" s="591"/>
      <c r="BS112" s="591"/>
      <c r="BT112" s="591"/>
      <c r="BU112" s="591"/>
      <c r="BV112" s="591"/>
      <c r="BW112" s="591"/>
      <c r="BX112" s="591"/>
      <c r="BY112" s="591"/>
      <c r="BZ112" s="591"/>
      <c r="CA112" s="591"/>
      <c r="CB112" s="591"/>
      <c r="CC112" s="591"/>
      <c r="CD112" s="591"/>
      <c r="CE112" s="591"/>
      <c r="CF112" s="591"/>
    </row>
    <row r="113" spans="1:84">
      <c r="A113" s="590"/>
      <c r="B113" s="590"/>
      <c r="C113" s="590"/>
      <c r="D113" s="590"/>
      <c r="E113" s="590"/>
      <c r="F113" s="590"/>
      <c r="G113" s="590"/>
      <c r="H113" s="590"/>
      <c r="I113" s="590"/>
      <c r="J113" s="590"/>
      <c r="K113" s="590"/>
      <c r="L113" s="590"/>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0"/>
      <c r="AP113" s="590"/>
      <c r="AQ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1"/>
      <c r="BL113" s="591"/>
      <c r="BM113" s="591"/>
      <c r="BN113" s="591"/>
      <c r="BO113" s="591"/>
      <c r="BP113" s="591"/>
      <c r="BQ113" s="591"/>
      <c r="BR113" s="591"/>
      <c r="BS113" s="591"/>
      <c r="BT113" s="591"/>
      <c r="BU113" s="591"/>
      <c r="BV113" s="591"/>
      <c r="BW113" s="591"/>
      <c r="BX113" s="591"/>
      <c r="BY113" s="591"/>
      <c r="BZ113" s="591"/>
      <c r="CA113" s="591"/>
      <c r="CB113" s="591"/>
      <c r="CC113" s="591"/>
      <c r="CD113" s="591"/>
      <c r="CE113" s="591"/>
      <c r="CF113" s="591"/>
    </row>
    <row r="114" spans="1:84">
      <c r="A114" s="590"/>
      <c r="B114" s="590"/>
      <c r="C114" s="590"/>
      <c r="D114" s="590"/>
      <c r="E114" s="590"/>
      <c r="F114" s="590"/>
      <c r="G114" s="590"/>
      <c r="H114" s="590"/>
      <c r="I114" s="590"/>
      <c r="J114" s="590"/>
      <c r="K114" s="590"/>
      <c r="L114" s="590"/>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0"/>
      <c r="AP114" s="590"/>
      <c r="AQ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1"/>
      <c r="BL114" s="591"/>
      <c r="BM114" s="591"/>
      <c r="BN114" s="591"/>
      <c r="BO114" s="591"/>
      <c r="BP114" s="591"/>
      <c r="BQ114" s="591"/>
      <c r="BR114" s="591"/>
      <c r="BS114" s="591"/>
      <c r="BT114" s="591"/>
      <c r="BU114" s="591"/>
      <c r="BV114" s="591"/>
      <c r="BW114" s="591"/>
      <c r="BX114" s="591"/>
      <c r="BY114" s="591"/>
      <c r="BZ114" s="591"/>
      <c r="CA114" s="591"/>
      <c r="CB114" s="591"/>
      <c r="CC114" s="591"/>
      <c r="CD114" s="591"/>
      <c r="CE114" s="591"/>
      <c r="CF114" s="591"/>
    </row>
    <row r="115" spans="1:84">
      <c r="A115" s="590"/>
      <c r="B115" s="590"/>
      <c r="C115" s="590"/>
      <c r="D115" s="590"/>
      <c r="E115" s="590"/>
      <c r="F115" s="590"/>
      <c r="G115" s="590"/>
      <c r="H115" s="590"/>
      <c r="I115" s="590"/>
      <c r="J115" s="590"/>
      <c r="K115" s="590"/>
      <c r="L115" s="590"/>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0"/>
      <c r="AP115" s="590"/>
      <c r="AQ115" s="590"/>
      <c r="AR115" s="590"/>
      <c r="AS115" s="590"/>
      <c r="AT115" s="590"/>
      <c r="AU115" s="590"/>
      <c r="AV115" s="590"/>
      <c r="AW115" s="590"/>
      <c r="AX115" s="590"/>
      <c r="AY115" s="590"/>
      <c r="AZ115" s="590"/>
      <c r="BA115" s="590"/>
      <c r="BB115" s="590"/>
      <c r="BC115" s="590"/>
      <c r="BD115" s="590"/>
      <c r="BE115" s="590"/>
      <c r="BF115" s="590"/>
      <c r="BG115" s="590"/>
      <c r="BH115" s="590"/>
      <c r="BI115" s="590"/>
      <c r="BJ115" s="590"/>
      <c r="BK115" s="591"/>
      <c r="BL115" s="591"/>
      <c r="BM115" s="591"/>
      <c r="BN115" s="591"/>
      <c r="BO115" s="591"/>
      <c r="BP115" s="591"/>
      <c r="BQ115" s="591"/>
      <c r="BR115" s="591"/>
      <c r="BS115" s="591"/>
      <c r="BT115" s="591"/>
      <c r="BU115" s="591"/>
      <c r="BV115" s="591"/>
      <c r="BW115" s="591"/>
      <c r="BX115" s="591"/>
      <c r="BY115" s="591"/>
      <c r="BZ115" s="591"/>
      <c r="CA115" s="591"/>
      <c r="CB115" s="591"/>
      <c r="CC115" s="591"/>
      <c r="CD115" s="591"/>
      <c r="CE115" s="591"/>
      <c r="CF115" s="591"/>
    </row>
    <row r="116" spans="1:84">
      <c r="A116" s="590"/>
      <c r="B116" s="590"/>
      <c r="C116" s="590"/>
      <c r="D116" s="590"/>
      <c r="E116" s="590"/>
      <c r="F116" s="590"/>
      <c r="G116" s="590"/>
      <c r="H116" s="590"/>
      <c r="I116" s="590"/>
      <c r="J116" s="590"/>
      <c r="K116" s="590"/>
      <c r="L116" s="590"/>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0"/>
      <c r="AP116" s="590"/>
      <c r="AQ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1"/>
      <c r="BL116" s="591"/>
      <c r="BM116" s="591"/>
      <c r="BN116" s="591"/>
      <c r="BO116" s="591"/>
      <c r="BP116" s="591"/>
      <c r="BQ116" s="591"/>
      <c r="BR116" s="591"/>
      <c r="BS116" s="591"/>
      <c r="BT116" s="591"/>
      <c r="BU116" s="591"/>
      <c r="BV116" s="591"/>
      <c r="BW116" s="591"/>
      <c r="BX116" s="591"/>
      <c r="BY116" s="591"/>
      <c r="BZ116" s="591"/>
      <c r="CA116" s="591"/>
      <c r="CB116" s="591"/>
      <c r="CC116" s="591"/>
      <c r="CD116" s="591"/>
      <c r="CE116" s="591"/>
      <c r="CF116" s="591"/>
    </row>
    <row r="117" spans="1:84">
      <c r="A117" s="590"/>
      <c r="B117" s="590"/>
      <c r="C117" s="590"/>
      <c r="D117" s="590"/>
      <c r="E117" s="590"/>
      <c r="F117" s="590"/>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0"/>
      <c r="AP117" s="590"/>
      <c r="AQ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1"/>
      <c r="BL117" s="591"/>
      <c r="BM117" s="591"/>
      <c r="BN117" s="591"/>
      <c r="BO117" s="591"/>
      <c r="BP117" s="591"/>
      <c r="BQ117" s="591"/>
      <c r="BR117" s="591"/>
      <c r="BS117" s="591"/>
      <c r="BT117" s="591"/>
      <c r="BU117" s="591"/>
      <c r="BV117" s="591"/>
      <c r="BW117" s="591"/>
      <c r="BX117" s="591"/>
      <c r="BY117" s="591"/>
      <c r="BZ117" s="591"/>
      <c r="CA117" s="591"/>
      <c r="CB117" s="591"/>
      <c r="CC117" s="591"/>
      <c r="CD117" s="591"/>
      <c r="CE117" s="591"/>
      <c r="CF117" s="591"/>
    </row>
    <row r="118" spans="1:84">
      <c r="A118" s="590"/>
      <c r="B118" s="590"/>
      <c r="C118" s="590"/>
      <c r="D118" s="590"/>
      <c r="E118" s="590"/>
      <c r="F118" s="590"/>
      <c r="G118" s="590"/>
      <c r="H118" s="590"/>
      <c r="I118" s="590"/>
      <c r="J118" s="590"/>
      <c r="K118" s="590"/>
      <c r="L118" s="590"/>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0"/>
      <c r="AP118" s="590"/>
      <c r="AQ118" s="590"/>
      <c r="AR118" s="590"/>
      <c r="AS118" s="590"/>
      <c r="AT118" s="590"/>
      <c r="AU118" s="590"/>
      <c r="AV118" s="590"/>
      <c r="AW118" s="590"/>
      <c r="AX118" s="590"/>
      <c r="AY118" s="590"/>
      <c r="AZ118" s="590"/>
      <c r="BA118" s="590"/>
      <c r="BB118" s="590"/>
      <c r="BC118" s="590"/>
      <c r="BD118" s="590"/>
      <c r="BE118" s="590"/>
      <c r="BF118" s="590"/>
      <c r="BG118" s="590"/>
      <c r="BH118" s="590"/>
      <c r="BI118" s="590"/>
      <c r="BJ118" s="590"/>
      <c r="BK118" s="591"/>
      <c r="BL118" s="591"/>
      <c r="BM118" s="591"/>
      <c r="BN118" s="591"/>
      <c r="BO118" s="591"/>
      <c r="BP118" s="591"/>
      <c r="BQ118" s="591"/>
      <c r="BR118" s="591"/>
      <c r="BS118" s="591"/>
      <c r="BT118" s="591"/>
      <c r="BU118" s="591"/>
      <c r="BV118" s="591"/>
      <c r="BW118" s="591"/>
      <c r="BX118" s="591"/>
      <c r="BY118" s="591"/>
      <c r="BZ118" s="591"/>
      <c r="CA118" s="591"/>
      <c r="CB118" s="591"/>
      <c r="CC118" s="591"/>
      <c r="CD118" s="591"/>
      <c r="CE118" s="591"/>
      <c r="CF118" s="591"/>
    </row>
    <row r="119" spans="1:84">
      <c r="A119" s="590"/>
      <c r="B119" s="590"/>
      <c r="C119" s="590"/>
      <c r="D119" s="590"/>
      <c r="E119" s="590"/>
      <c r="F119" s="590"/>
      <c r="G119" s="590"/>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1"/>
      <c r="BL119" s="591"/>
      <c r="BM119" s="591"/>
      <c r="BN119" s="591"/>
      <c r="BO119" s="591"/>
      <c r="BP119" s="591"/>
      <c r="BQ119" s="591"/>
      <c r="BR119" s="591"/>
      <c r="BS119" s="591"/>
      <c r="BT119" s="591"/>
      <c r="BU119" s="591"/>
      <c r="BV119" s="591"/>
      <c r="BW119" s="591"/>
      <c r="BX119" s="591"/>
      <c r="BY119" s="591"/>
      <c r="BZ119" s="591"/>
      <c r="CA119" s="591"/>
      <c r="CB119" s="591"/>
      <c r="CC119" s="591"/>
      <c r="CD119" s="591"/>
      <c r="CE119" s="591"/>
      <c r="CF119" s="591"/>
    </row>
    <row r="120" spans="1:84">
      <c r="A120" s="590"/>
      <c r="B120" s="590"/>
      <c r="C120" s="590"/>
      <c r="D120" s="590"/>
      <c r="E120" s="590"/>
      <c r="F120" s="590"/>
      <c r="G120" s="590"/>
      <c r="H120" s="590"/>
      <c r="I120" s="590"/>
      <c r="J120" s="590"/>
      <c r="K120" s="590"/>
      <c r="L120" s="590"/>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1"/>
      <c r="BL120" s="591"/>
      <c r="BM120" s="591"/>
      <c r="BN120" s="591"/>
      <c r="BO120" s="591"/>
      <c r="BP120" s="591"/>
      <c r="BQ120" s="591"/>
      <c r="BR120" s="591"/>
      <c r="BS120" s="591"/>
      <c r="BT120" s="591"/>
      <c r="BU120" s="591"/>
      <c r="BV120" s="591"/>
      <c r="BW120" s="591"/>
      <c r="BX120" s="591"/>
      <c r="BY120" s="591"/>
      <c r="BZ120" s="591"/>
      <c r="CA120" s="591"/>
      <c r="CB120" s="591"/>
      <c r="CC120" s="591"/>
      <c r="CD120" s="591"/>
      <c r="CE120" s="591"/>
      <c r="CF120" s="591"/>
    </row>
    <row r="121" spans="1:84">
      <c r="A121" s="590"/>
      <c r="B121" s="590"/>
      <c r="C121" s="590"/>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1"/>
      <c r="BL121" s="591"/>
      <c r="BM121" s="591"/>
      <c r="BN121" s="591"/>
      <c r="BO121" s="591"/>
      <c r="BP121" s="591"/>
      <c r="BQ121" s="591"/>
      <c r="BR121" s="591"/>
      <c r="BS121" s="591"/>
      <c r="BT121" s="591"/>
      <c r="BU121" s="591"/>
      <c r="BV121" s="591"/>
      <c r="BW121" s="591"/>
      <c r="BX121" s="591"/>
      <c r="BY121" s="591"/>
      <c r="BZ121" s="591"/>
      <c r="CA121" s="591"/>
      <c r="CB121" s="591"/>
      <c r="CC121" s="591"/>
      <c r="CD121" s="591"/>
      <c r="CE121" s="591"/>
      <c r="CF121" s="591"/>
    </row>
    <row r="122" spans="1:84">
      <c r="A122" s="590"/>
      <c r="B122" s="590"/>
      <c r="C122" s="590"/>
      <c r="D122" s="590"/>
      <c r="E122" s="590"/>
      <c r="F122" s="590"/>
      <c r="G122" s="590"/>
      <c r="H122" s="590"/>
      <c r="I122" s="590"/>
      <c r="J122" s="590"/>
      <c r="K122" s="590"/>
      <c r="L122" s="590"/>
      <c r="M122" s="590"/>
      <c r="N122" s="590"/>
      <c r="O122" s="590"/>
      <c r="P122" s="590"/>
      <c r="Q122" s="590"/>
      <c r="R122" s="590"/>
      <c r="S122" s="590"/>
      <c r="T122" s="590"/>
      <c r="U122" s="590"/>
      <c r="V122" s="590"/>
      <c r="W122" s="590"/>
      <c r="X122" s="590"/>
      <c r="Y122" s="590"/>
      <c r="Z122" s="590"/>
      <c r="AA122" s="590"/>
      <c r="AB122" s="590"/>
      <c r="AC122" s="590"/>
      <c r="AD122" s="590"/>
      <c r="AE122" s="590"/>
      <c r="AF122" s="590"/>
      <c r="AG122" s="590"/>
      <c r="AH122" s="590"/>
      <c r="AI122" s="590"/>
      <c r="AJ122" s="590"/>
      <c r="AK122" s="590"/>
      <c r="AL122" s="590"/>
      <c r="AM122" s="590"/>
      <c r="AN122" s="590"/>
      <c r="AO122" s="590"/>
      <c r="AP122" s="590"/>
      <c r="AQ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1"/>
      <c r="BL122" s="591"/>
      <c r="BM122" s="591"/>
      <c r="BN122" s="591"/>
      <c r="BO122" s="591"/>
      <c r="BP122" s="591"/>
      <c r="BQ122" s="591"/>
      <c r="BR122" s="591"/>
      <c r="BS122" s="591"/>
      <c r="BT122" s="591"/>
      <c r="BU122" s="591"/>
      <c r="BV122" s="591"/>
      <c r="BW122" s="591"/>
      <c r="BX122" s="591"/>
      <c r="BY122" s="591"/>
      <c r="BZ122" s="591"/>
      <c r="CA122" s="591"/>
      <c r="CB122" s="591"/>
      <c r="CC122" s="591"/>
      <c r="CD122" s="591"/>
      <c r="CE122" s="591"/>
      <c r="CF122" s="591"/>
    </row>
    <row r="123" spans="1:84">
      <c r="A123" s="590"/>
      <c r="B123" s="590"/>
      <c r="C123" s="590"/>
      <c r="D123" s="590"/>
      <c r="E123" s="590"/>
      <c r="F123" s="590"/>
      <c r="G123" s="590"/>
      <c r="H123" s="590"/>
      <c r="I123" s="590"/>
      <c r="J123" s="590"/>
      <c r="K123" s="590"/>
      <c r="L123" s="590"/>
      <c r="M123" s="590"/>
      <c r="N123" s="590"/>
      <c r="O123" s="590"/>
      <c r="P123" s="590"/>
      <c r="Q123" s="590"/>
      <c r="R123" s="590"/>
      <c r="S123" s="590"/>
      <c r="T123" s="590"/>
      <c r="U123" s="590"/>
      <c r="V123" s="590"/>
      <c r="W123" s="590"/>
      <c r="X123" s="590"/>
      <c r="Y123" s="590"/>
      <c r="Z123" s="590"/>
      <c r="AA123" s="590"/>
      <c r="AB123" s="590"/>
      <c r="AC123" s="590"/>
      <c r="AD123" s="590"/>
      <c r="AE123" s="590"/>
      <c r="AF123" s="590"/>
      <c r="AG123" s="590"/>
      <c r="AH123" s="590"/>
      <c r="AI123" s="590"/>
      <c r="AJ123" s="590"/>
      <c r="AK123" s="590"/>
      <c r="AL123" s="590"/>
      <c r="AM123" s="590"/>
      <c r="AN123" s="590"/>
      <c r="AO123" s="590"/>
      <c r="AP123" s="590"/>
      <c r="AQ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1"/>
      <c r="BL123" s="591"/>
      <c r="BM123" s="591"/>
      <c r="BN123" s="591"/>
      <c r="BO123" s="591"/>
      <c r="BP123" s="591"/>
      <c r="BQ123" s="591"/>
      <c r="BR123" s="591"/>
      <c r="BS123" s="591"/>
      <c r="BT123" s="591"/>
      <c r="BU123" s="591"/>
      <c r="BV123" s="591"/>
      <c r="BW123" s="591"/>
      <c r="BX123" s="591"/>
      <c r="BY123" s="591"/>
      <c r="BZ123" s="591"/>
      <c r="CA123" s="591"/>
      <c r="CB123" s="591"/>
      <c r="CC123" s="591"/>
      <c r="CD123" s="591"/>
      <c r="CE123" s="591"/>
      <c r="CF123" s="591"/>
    </row>
    <row r="124" spans="1:84">
      <c r="A124" s="590"/>
      <c r="B124" s="590"/>
      <c r="C124" s="590"/>
      <c r="D124" s="590"/>
      <c r="E124" s="590"/>
      <c r="F124" s="590"/>
      <c r="G124" s="590"/>
      <c r="H124" s="590"/>
      <c r="I124" s="590"/>
      <c r="J124" s="590"/>
      <c r="K124" s="590"/>
      <c r="L124" s="590"/>
      <c r="M124" s="590"/>
      <c r="N124" s="590"/>
      <c r="O124" s="590"/>
      <c r="P124" s="590"/>
      <c r="Q124" s="590"/>
      <c r="R124" s="590"/>
      <c r="S124" s="590"/>
      <c r="T124" s="590"/>
      <c r="U124" s="590"/>
      <c r="V124" s="590"/>
      <c r="W124" s="590"/>
      <c r="X124" s="590"/>
      <c r="Y124" s="590"/>
      <c r="Z124" s="590"/>
      <c r="AA124" s="590"/>
      <c r="AB124" s="590"/>
      <c r="AC124" s="590"/>
      <c r="AD124" s="590"/>
      <c r="AE124" s="590"/>
      <c r="AF124" s="590"/>
      <c r="AG124" s="590"/>
      <c r="AH124" s="590"/>
      <c r="AI124" s="590"/>
      <c r="AJ124" s="590"/>
      <c r="AK124" s="590"/>
      <c r="AL124" s="590"/>
      <c r="AM124" s="590"/>
      <c r="AN124" s="590"/>
      <c r="AO124" s="590"/>
      <c r="AP124" s="590"/>
      <c r="AQ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1"/>
      <c r="BL124" s="591"/>
      <c r="BM124" s="591"/>
      <c r="BN124" s="591"/>
      <c r="BO124" s="591"/>
      <c r="BP124" s="591"/>
      <c r="BQ124" s="591"/>
      <c r="BR124" s="591"/>
      <c r="BS124" s="591"/>
      <c r="BT124" s="591"/>
      <c r="BU124" s="591"/>
      <c r="BV124" s="591"/>
      <c r="BW124" s="591"/>
      <c r="BX124" s="591"/>
      <c r="BY124" s="591"/>
      <c r="BZ124" s="591"/>
      <c r="CA124" s="591"/>
      <c r="CB124" s="591"/>
      <c r="CC124" s="591"/>
      <c r="CD124" s="591"/>
      <c r="CE124" s="591"/>
      <c r="CF124" s="591"/>
    </row>
    <row r="125" spans="1:84">
      <c r="A125" s="590"/>
      <c r="B125" s="590"/>
      <c r="C125" s="590"/>
      <c r="D125" s="590"/>
      <c r="E125" s="590"/>
      <c r="F125" s="590"/>
      <c r="G125" s="590"/>
      <c r="H125" s="590"/>
      <c r="I125" s="590"/>
      <c r="J125" s="590"/>
      <c r="K125" s="590"/>
      <c r="L125" s="590"/>
      <c r="M125" s="590"/>
      <c r="N125" s="590"/>
      <c r="O125" s="590"/>
      <c r="P125" s="590"/>
      <c r="Q125" s="590"/>
      <c r="R125" s="590"/>
      <c r="S125" s="590"/>
      <c r="T125" s="590"/>
      <c r="U125" s="590"/>
      <c r="V125" s="590"/>
      <c r="W125" s="590"/>
      <c r="X125" s="590"/>
      <c r="Y125" s="590"/>
      <c r="Z125" s="590"/>
      <c r="AA125" s="590"/>
      <c r="AB125" s="590"/>
      <c r="AC125" s="590"/>
      <c r="AD125" s="590"/>
      <c r="AE125" s="590"/>
      <c r="AF125" s="590"/>
      <c r="AG125" s="590"/>
      <c r="AH125" s="590"/>
      <c r="AI125" s="590"/>
      <c r="AJ125" s="590"/>
      <c r="AK125" s="590"/>
      <c r="AL125" s="590"/>
      <c r="AM125" s="590"/>
      <c r="AN125" s="590"/>
      <c r="AO125" s="590"/>
      <c r="AP125" s="590"/>
      <c r="AQ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1"/>
      <c r="BL125" s="591"/>
      <c r="BM125" s="591"/>
      <c r="BN125" s="591"/>
      <c r="BO125" s="591"/>
      <c r="BP125" s="591"/>
      <c r="BQ125" s="591"/>
      <c r="BR125" s="591"/>
      <c r="BS125" s="591"/>
      <c r="BT125" s="591"/>
      <c r="BU125" s="591"/>
      <c r="BV125" s="591"/>
      <c r="BW125" s="591"/>
      <c r="BX125" s="591"/>
      <c r="BY125" s="591"/>
      <c r="BZ125" s="591"/>
      <c r="CA125" s="591"/>
      <c r="CB125" s="591"/>
      <c r="CC125" s="591"/>
      <c r="CD125" s="591"/>
      <c r="CE125" s="591"/>
      <c r="CF125" s="591"/>
    </row>
    <row r="126" spans="1:84">
      <c r="A126" s="590"/>
      <c r="B126" s="590"/>
      <c r="C126" s="590"/>
      <c r="D126" s="590"/>
      <c r="E126" s="590"/>
      <c r="F126" s="590"/>
      <c r="G126" s="590"/>
      <c r="H126" s="590"/>
      <c r="I126" s="590"/>
      <c r="J126" s="590"/>
      <c r="K126" s="590"/>
      <c r="L126" s="590"/>
      <c r="M126" s="590"/>
      <c r="N126" s="590"/>
      <c r="O126" s="590"/>
      <c r="P126" s="590"/>
      <c r="Q126" s="590"/>
      <c r="R126" s="590"/>
      <c r="S126" s="590"/>
      <c r="T126" s="590"/>
      <c r="U126" s="590"/>
      <c r="V126" s="590"/>
      <c r="W126" s="590"/>
      <c r="X126" s="590"/>
      <c r="Y126" s="590"/>
      <c r="Z126" s="590"/>
      <c r="AA126" s="590"/>
      <c r="AB126" s="590"/>
      <c r="AC126" s="590"/>
      <c r="AD126" s="590"/>
      <c r="AE126" s="590"/>
      <c r="AF126" s="590"/>
      <c r="AG126" s="590"/>
      <c r="AH126" s="590"/>
      <c r="AI126" s="590"/>
      <c r="AJ126" s="590"/>
      <c r="AK126" s="590"/>
      <c r="AL126" s="590"/>
      <c r="AM126" s="590"/>
      <c r="AN126" s="590"/>
      <c r="AO126" s="590"/>
      <c r="AP126" s="590"/>
      <c r="AQ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1"/>
      <c r="BL126" s="591"/>
      <c r="BM126" s="591"/>
      <c r="BN126" s="591"/>
      <c r="BO126" s="591"/>
      <c r="BP126" s="591"/>
      <c r="BQ126" s="591"/>
      <c r="BR126" s="591"/>
      <c r="BS126" s="591"/>
      <c r="BT126" s="591"/>
      <c r="BU126" s="591"/>
      <c r="BV126" s="591"/>
      <c r="BW126" s="591"/>
      <c r="BX126" s="591"/>
      <c r="BY126" s="591"/>
      <c r="BZ126" s="591"/>
      <c r="CA126" s="591"/>
      <c r="CB126" s="591"/>
      <c r="CC126" s="591"/>
      <c r="CD126" s="591"/>
      <c r="CE126" s="591"/>
      <c r="CF126" s="591"/>
    </row>
    <row r="127" spans="1:84">
      <c r="A127" s="590"/>
      <c r="B127" s="590"/>
      <c r="C127" s="590"/>
      <c r="D127" s="590"/>
      <c r="E127" s="590"/>
      <c r="F127" s="590"/>
      <c r="G127" s="590"/>
      <c r="H127" s="590"/>
      <c r="I127" s="590"/>
      <c r="J127" s="590"/>
      <c r="K127" s="590"/>
      <c r="L127" s="590"/>
      <c r="M127" s="590"/>
      <c r="N127" s="590"/>
      <c r="O127" s="590"/>
      <c r="P127" s="590"/>
      <c r="Q127" s="590"/>
      <c r="R127" s="590"/>
      <c r="S127" s="590"/>
      <c r="T127" s="590"/>
      <c r="U127" s="590"/>
      <c r="V127" s="590"/>
      <c r="W127" s="590"/>
      <c r="X127" s="590"/>
      <c r="Y127" s="590"/>
      <c r="Z127" s="590"/>
      <c r="AA127" s="590"/>
      <c r="AB127" s="590"/>
      <c r="AC127" s="590"/>
      <c r="AD127" s="590"/>
      <c r="AE127" s="590"/>
      <c r="AF127" s="590"/>
      <c r="AG127" s="590"/>
      <c r="AH127" s="590"/>
      <c r="AI127" s="590"/>
      <c r="AJ127" s="590"/>
      <c r="AK127" s="590"/>
      <c r="AL127" s="590"/>
      <c r="AM127" s="590"/>
      <c r="AN127" s="590"/>
      <c r="AO127" s="590"/>
      <c r="AP127" s="590"/>
      <c r="AQ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1"/>
      <c r="BL127" s="591"/>
      <c r="BM127" s="591"/>
      <c r="BN127" s="591"/>
      <c r="BO127" s="591"/>
      <c r="BP127" s="591"/>
      <c r="BQ127" s="591"/>
      <c r="BR127" s="591"/>
      <c r="BS127" s="591"/>
      <c r="BT127" s="591"/>
      <c r="BU127" s="591"/>
      <c r="BV127" s="591"/>
      <c r="BW127" s="591"/>
      <c r="BX127" s="591"/>
      <c r="BY127" s="591"/>
      <c r="BZ127" s="591"/>
      <c r="CA127" s="591"/>
      <c r="CB127" s="591"/>
      <c r="CC127" s="591"/>
      <c r="CD127" s="591"/>
      <c r="CE127" s="591"/>
      <c r="CF127" s="591"/>
    </row>
    <row r="128" spans="1:84">
      <c r="A128" s="590"/>
      <c r="B128" s="590"/>
      <c r="C128" s="590"/>
      <c r="D128" s="590"/>
      <c r="E128" s="590"/>
      <c r="F128" s="590"/>
      <c r="G128" s="590"/>
      <c r="H128" s="590"/>
      <c r="I128" s="590"/>
      <c r="J128" s="590"/>
      <c r="K128" s="590"/>
      <c r="L128" s="590"/>
      <c r="M128" s="590"/>
      <c r="N128" s="590"/>
      <c r="O128" s="590"/>
      <c r="P128" s="590"/>
      <c r="Q128" s="590"/>
      <c r="R128" s="590"/>
      <c r="S128" s="590"/>
      <c r="T128" s="590"/>
      <c r="U128" s="590"/>
      <c r="V128" s="590"/>
      <c r="W128" s="590"/>
      <c r="X128" s="590"/>
      <c r="Y128" s="590"/>
      <c r="Z128" s="590"/>
      <c r="AA128" s="590"/>
      <c r="AB128" s="590"/>
      <c r="AC128" s="590"/>
      <c r="AD128" s="590"/>
      <c r="AE128" s="590"/>
      <c r="AF128" s="590"/>
      <c r="AG128" s="590"/>
      <c r="AH128" s="590"/>
      <c r="AI128" s="590"/>
      <c r="AJ128" s="590"/>
      <c r="AK128" s="590"/>
      <c r="AL128" s="590"/>
      <c r="AM128" s="590"/>
      <c r="AN128" s="590"/>
      <c r="AO128" s="590"/>
      <c r="AP128" s="590"/>
      <c r="AQ128" s="590"/>
      <c r="AR128" s="590"/>
      <c r="AS128" s="590"/>
      <c r="AT128" s="590"/>
      <c r="AU128" s="590"/>
      <c r="AV128" s="590"/>
      <c r="AW128" s="590"/>
      <c r="AX128" s="590"/>
      <c r="AY128" s="590"/>
      <c r="AZ128" s="590"/>
      <c r="BA128" s="590"/>
      <c r="BB128" s="590"/>
      <c r="BC128" s="590"/>
      <c r="BD128" s="590"/>
      <c r="BE128" s="590"/>
      <c r="BF128" s="590"/>
      <c r="BG128" s="590"/>
      <c r="BH128" s="590"/>
      <c r="BI128" s="590"/>
      <c r="BJ128" s="590"/>
      <c r="BK128" s="591"/>
      <c r="BL128" s="591"/>
      <c r="BM128" s="591"/>
      <c r="BN128" s="591"/>
      <c r="BO128" s="591"/>
      <c r="BP128" s="591"/>
      <c r="BQ128" s="591"/>
      <c r="BR128" s="591"/>
      <c r="BS128" s="591"/>
      <c r="BT128" s="591"/>
      <c r="BU128" s="591"/>
      <c r="BV128" s="591"/>
      <c r="BW128" s="591"/>
      <c r="BX128" s="591"/>
      <c r="BY128" s="591"/>
      <c r="BZ128" s="591"/>
      <c r="CA128" s="591"/>
      <c r="CB128" s="591"/>
      <c r="CC128" s="591"/>
      <c r="CD128" s="591"/>
      <c r="CE128" s="591"/>
      <c r="CF128" s="591"/>
    </row>
    <row r="129" spans="1:84">
      <c r="A129" s="590"/>
      <c r="B129" s="590"/>
      <c r="C129" s="590"/>
      <c r="D129" s="590"/>
      <c r="E129" s="590"/>
      <c r="F129" s="590"/>
      <c r="G129" s="590"/>
      <c r="H129" s="590"/>
      <c r="I129" s="590"/>
      <c r="J129" s="590"/>
      <c r="K129" s="590"/>
      <c r="L129" s="590"/>
      <c r="M129" s="590"/>
      <c r="N129" s="590"/>
      <c r="O129" s="590"/>
      <c r="P129" s="590"/>
      <c r="Q129" s="590"/>
      <c r="R129" s="590"/>
      <c r="S129" s="590"/>
      <c r="T129" s="590"/>
      <c r="U129" s="590"/>
      <c r="V129" s="590"/>
      <c r="W129" s="590"/>
      <c r="X129" s="590"/>
      <c r="Y129" s="590"/>
      <c r="Z129" s="590"/>
      <c r="AA129" s="590"/>
      <c r="AB129" s="590"/>
      <c r="AC129" s="590"/>
      <c r="AD129" s="590"/>
      <c r="AE129" s="590"/>
      <c r="AF129" s="590"/>
      <c r="AG129" s="590"/>
      <c r="AH129" s="590"/>
      <c r="AI129" s="590"/>
      <c r="AJ129" s="590"/>
      <c r="AK129" s="590"/>
      <c r="AL129" s="590"/>
      <c r="AM129" s="590"/>
      <c r="AN129" s="590"/>
      <c r="AO129" s="590"/>
      <c r="AP129" s="590"/>
      <c r="AQ129" s="590"/>
      <c r="AR129" s="590"/>
      <c r="AS129" s="590"/>
      <c r="AT129" s="590"/>
      <c r="AU129" s="590"/>
      <c r="AV129" s="590"/>
      <c r="AW129" s="590"/>
      <c r="AX129" s="590"/>
      <c r="AY129" s="590"/>
      <c r="AZ129" s="590"/>
      <c r="BA129" s="590"/>
      <c r="BB129" s="590"/>
      <c r="BC129" s="590"/>
      <c r="BD129" s="590"/>
      <c r="BE129" s="590"/>
      <c r="BF129" s="590"/>
      <c r="BG129" s="590"/>
      <c r="BH129" s="590"/>
      <c r="BI129" s="590"/>
      <c r="BJ129" s="590"/>
      <c r="BK129" s="591"/>
      <c r="BL129" s="591"/>
      <c r="BM129" s="591"/>
      <c r="BN129" s="591"/>
      <c r="BO129" s="591"/>
      <c r="BP129" s="591"/>
      <c r="BQ129" s="591"/>
      <c r="BR129" s="591"/>
      <c r="BS129" s="591"/>
      <c r="BT129" s="591"/>
      <c r="BU129" s="591"/>
      <c r="BV129" s="591"/>
      <c r="BW129" s="591"/>
      <c r="BX129" s="591"/>
      <c r="BY129" s="591"/>
      <c r="BZ129" s="591"/>
      <c r="CA129" s="591"/>
      <c r="CB129" s="591"/>
      <c r="CC129" s="591"/>
      <c r="CD129" s="591"/>
      <c r="CE129" s="591"/>
      <c r="CF129" s="591"/>
    </row>
    <row r="130" spans="1:84">
      <c r="A130" s="590"/>
      <c r="B130" s="590"/>
      <c r="C130" s="590"/>
      <c r="D130" s="590"/>
      <c r="E130" s="590"/>
      <c r="F130" s="590"/>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0"/>
      <c r="AQ130" s="590"/>
      <c r="AR130" s="590"/>
      <c r="AS130" s="590"/>
      <c r="AT130" s="590"/>
      <c r="AU130" s="590"/>
      <c r="AV130" s="590"/>
      <c r="AW130" s="590"/>
      <c r="AX130" s="590"/>
      <c r="AY130" s="590"/>
      <c r="AZ130" s="590"/>
      <c r="BA130" s="590"/>
      <c r="BB130" s="590"/>
      <c r="BC130" s="590"/>
      <c r="BD130" s="590"/>
      <c r="BE130" s="590"/>
      <c r="BF130" s="590"/>
      <c r="BG130" s="590"/>
      <c r="BH130" s="590"/>
      <c r="BI130" s="590"/>
      <c r="BJ130" s="590"/>
      <c r="BK130" s="591"/>
      <c r="BL130" s="591"/>
      <c r="BM130" s="591"/>
      <c r="BN130" s="591"/>
      <c r="BO130" s="591"/>
      <c r="BP130" s="591"/>
      <c r="BQ130" s="591"/>
      <c r="BR130" s="591"/>
      <c r="BS130" s="591"/>
      <c r="BT130" s="591"/>
      <c r="BU130" s="591"/>
      <c r="BV130" s="591"/>
      <c r="BW130" s="591"/>
      <c r="BX130" s="591"/>
      <c r="BY130" s="591"/>
      <c r="BZ130" s="591"/>
      <c r="CA130" s="591"/>
      <c r="CB130" s="591"/>
      <c r="CC130" s="591"/>
      <c r="CD130" s="591"/>
      <c r="CE130" s="591"/>
      <c r="CF130" s="591"/>
    </row>
    <row r="131" spans="1:84">
      <c r="A131" s="590"/>
      <c r="B131" s="590"/>
      <c r="C131" s="590"/>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1"/>
      <c r="BL131" s="591"/>
      <c r="BM131" s="591"/>
      <c r="BN131" s="591"/>
      <c r="BO131" s="591"/>
      <c r="BP131" s="591"/>
      <c r="BQ131" s="591"/>
      <c r="BR131" s="591"/>
      <c r="BS131" s="591"/>
      <c r="BT131" s="591"/>
      <c r="BU131" s="591"/>
      <c r="BV131" s="591"/>
      <c r="BW131" s="591"/>
      <c r="BX131" s="591"/>
      <c r="BY131" s="591"/>
      <c r="BZ131" s="591"/>
      <c r="CA131" s="591"/>
      <c r="CB131" s="591"/>
      <c r="CC131" s="591"/>
      <c r="CD131" s="591"/>
      <c r="CE131" s="591"/>
      <c r="CF131" s="591"/>
    </row>
    <row r="132" spans="1:84">
      <c r="A132" s="590"/>
      <c r="B132" s="590"/>
      <c r="C132" s="590"/>
      <c r="D132" s="590"/>
      <c r="E132" s="590"/>
      <c r="F132" s="590"/>
      <c r="G132" s="590"/>
      <c r="H132" s="590"/>
      <c r="I132" s="590"/>
      <c r="J132" s="590"/>
      <c r="K132" s="590"/>
      <c r="L132" s="590"/>
      <c r="M132" s="590"/>
      <c r="N132" s="590"/>
      <c r="O132" s="590"/>
      <c r="P132" s="590"/>
      <c r="Q132" s="590"/>
      <c r="R132" s="590"/>
      <c r="S132" s="590"/>
      <c r="T132" s="590"/>
      <c r="U132" s="590"/>
      <c r="V132" s="590"/>
      <c r="W132" s="590"/>
      <c r="X132" s="590"/>
      <c r="Y132" s="590"/>
      <c r="Z132" s="590"/>
      <c r="AA132" s="590"/>
      <c r="AB132" s="590"/>
      <c r="AC132" s="590"/>
      <c r="AD132" s="590"/>
      <c r="AE132" s="590"/>
      <c r="AF132" s="590"/>
      <c r="AG132" s="590"/>
      <c r="AH132" s="590"/>
      <c r="AI132" s="590"/>
      <c r="AJ132" s="590"/>
      <c r="AK132" s="590"/>
      <c r="AL132" s="590"/>
      <c r="AM132" s="590"/>
      <c r="AN132" s="590"/>
      <c r="AO132" s="590"/>
      <c r="AP132" s="590"/>
      <c r="AQ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1"/>
      <c r="BL132" s="591"/>
      <c r="BM132" s="591"/>
      <c r="BN132" s="591"/>
      <c r="BO132" s="591"/>
      <c r="BP132" s="591"/>
      <c r="BQ132" s="591"/>
      <c r="BR132" s="591"/>
      <c r="BS132" s="591"/>
      <c r="BT132" s="591"/>
      <c r="BU132" s="591"/>
      <c r="BV132" s="591"/>
      <c r="BW132" s="591"/>
      <c r="BX132" s="591"/>
      <c r="BY132" s="591"/>
      <c r="BZ132" s="591"/>
      <c r="CA132" s="591"/>
      <c r="CB132" s="591"/>
      <c r="CC132" s="591"/>
      <c r="CD132" s="591"/>
      <c r="CE132" s="591"/>
      <c r="CF132" s="591"/>
    </row>
    <row r="133" spans="1:84">
      <c r="A133" s="590"/>
      <c r="B133" s="590"/>
      <c r="C133" s="590"/>
      <c r="D133" s="590"/>
      <c r="E133" s="590"/>
      <c r="F133" s="590"/>
      <c r="G133" s="590"/>
      <c r="H133" s="590"/>
      <c r="I133" s="590"/>
      <c r="J133" s="590"/>
      <c r="K133" s="590"/>
      <c r="L133" s="590"/>
      <c r="M133" s="590"/>
      <c r="N133" s="590"/>
      <c r="O133" s="590"/>
      <c r="P133" s="590"/>
      <c r="Q133" s="590"/>
      <c r="R133" s="590"/>
      <c r="S133" s="590"/>
      <c r="T133" s="590"/>
      <c r="U133" s="590"/>
      <c r="V133" s="590"/>
      <c r="W133" s="590"/>
      <c r="X133" s="590"/>
      <c r="Y133" s="590"/>
      <c r="Z133" s="590"/>
      <c r="AA133" s="590"/>
      <c r="AB133" s="590"/>
      <c r="AC133" s="590"/>
      <c r="AD133" s="590"/>
      <c r="AE133" s="590"/>
      <c r="AF133" s="590"/>
      <c r="AG133" s="590"/>
      <c r="AH133" s="590"/>
      <c r="AI133" s="590"/>
      <c r="AJ133" s="590"/>
      <c r="AK133" s="590"/>
      <c r="AL133" s="590"/>
      <c r="AM133" s="590"/>
      <c r="AN133" s="590"/>
      <c r="AO133" s="590"/>
      <c r="AP133" s="590"/>
      <c r="AQ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1"/>
      <c r="BL133" s="591"/>
      <c r="BM133" s="591"/>
      <c r="BN133" s="591"/>
      <c r="BO133" s="591"/>
      <c r="BP133" s="591"/>
      <c r="BQ133" s="591"/>
      <c r="BR133" s="591"/>
      <c r="BS133" s="591"/>
      <c r="BT133" s="591"/>
      <c r="BU133" s="591"/>
      <c r="BV133" s="591"/>
      <c r="BW133" s="591"/>
      <c r="BX133" s="591"/>
      <c r="BY133" s="591"/>
      <c r="BZ133" s="591"/>
      <c r="CA133" s="591"/>
      <c r="CB133" s="591"/>
      <c r="CC133" s="591"/>
      <c r="CD133" s="591"/>
      <c r="CE133" s="591"/>
      <c r="CF133" s="591"/>
    </row>
    <row r="134" spans="1:84">
      <c r="A134" s="590"/>
      <c r="B134" s="590"/>
      <c r="C134" s="590"/>
      <c r="D134" s="590"/>
      <c r="E134" s="590"/>
      <c r="F134" s="590"/>
      <c r="G134" s="590"/>
      <c r="H134" s="590"/>
      <c r="I134" s="590"/>
      <c r="J134" s="590"/>
      <c r="K134" s="590"/>
      <c r="L134" s="590"/>
      <c r="M134" s="590"/>
      <c r="N134" s="590"/>
      <c r="O134" s="590"/>
      <c r="P134" s="590"/>
      <c r="Q134" s="590"/>
      <c r="R134" s="590"/>
      <c r="S134" s="590"/>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0"/>
      <c r="AQ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1"/>
      <c r="BL134" s="591"/>
      <c r="BM134" s="591"/>
      <c r="BN134" s="591"/>
      <c r="BO134" s="591"/>
      <c r="BP134" s="591"/>
      <c r="BQ134" s="591"/>
      <c r="BR134" s="591"/>
      <c r="BS134" s="591"/>
      <c r="BT134" s="591"/>
      <c r="BU134" s="591"/>
      <c r="BV134" s="591"/>
      <c r="BW134" s="591"/>
      <c r="BX134" s="591"/>
      <c r="BY134" s="591"/>
      <c r="BZ134" s="591"/>
      <c r="CA134" s="591"/>
      <c r="CB134" s="591"/>
      <c r="CC134" s="591"/>
      <c r="CD134" s="591"/>
      <c r="CE134" s="591"/>
      <c r="CF134" s="591"/>
    </row>
    <row r="135" spans="1:84">
      <c r="A135" s="590"/>
      <c r="B135" s="590"/>
      <c r="C135" s="590"/>
      <c r="D135" s="590"/>
      <c r="E135" s="590"/>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1"/>
      <c r="BL135" s="591"/>
      <c r="BM135" s="591"/>
      <c r="BN135" s="591"/>
      <c r="BO135" s="591"/>
      <c r="BP135" s="591"/>
      <c r="BQ135" s="591"/>
      <c r="BR135" s="591"/>
      <c r="BS135" s="591"/>
      <c r="BT135" s="591"/>
      <c r="BU135" s="591"/>
      <c r="BV135" s="591"/>
      <c r="BW135" s="591"/>
      <c r="BX135" s="591"/>
      <c r="BY135" s="591"/>
      <c r="BZ135" s="591"/>
      <c r="CA135" s="591"/>
      <c r="CB135" s="591"/>
      <c r="CC135" s="591"/>
      <c r="CD135" s="591"/>
      <c r="CE135" s="591"/>
      <c r="CF135" s="591"/>
    </row>
    <row r="136" spans="1:84">
      <c r="A136" s="590"/>
      <c r="B136" s="590"/>
      <c r="C136" s="590"/>
      <c r="D136" s="590"/>
      <c r="E136" s="590"/>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0"/>
      <c r="AQ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1"/>
      <c r="BL136" s="591"/>
      <c r="BM136" s="591"/>
      <c r="BN136" s="591"/>
      <c r="BO136" s="591"/>
      <c r="BP136" s="591"/>
      <c r="BQ136" s="591"/>
      <c r="BR136" s="591"/>
      <c r="BS136" s="591"/>
      <c r="BT136" s="591"/>
      <c r="BU136" s="591"/>
      <c r="BV136" s="591"/>
      <c r="BW136" s="591"/>
      <c r="BX136" s="591"/>
      <c r="BY136" s="591"/>
      <c r="BZ136" s="591"/>
      <c r="CA136" s="591"/>
      <c r="CB136" s="591"/>
      <c r="CC136" s="591"/>
      <c r="CD136" s="591"/>
      <c r="CE136" s="591"/>
      <c r="CF136" s="591"/>
    </row>
    <row r="137" spans="1:84">
      <c r="A137" s="590"/>
      <c r="B137" s="590"/>
      <c r="C137" s="590"/>
      <c r="D137" s="590"/>
      <c r="E137" s="590"/>
      <c r="F137" s="590"/>
      <c r="G137" s="590"/>
      <c r="H137" s="590"/>
      <c r="I137" s="590"/>
      <c r="J137" s="590"/>
      <c r="K137" s="590"/>
      <c r="L137" s="590"/>
      <c r="M137" s="590"/>
      <c r="N137" s="590"/>
      <c r="O137" s="590"/>
      <c r="P137" s="590"/>
      <c r="Q137" s="590"/>
      <c r="R137" s="590"/>
      <c r="S137" s="590"/>
      <c r="T137" s="590"/>
      <c r="U137" s="590"/>
      <c r="V137" s="590"/>
      <c r="W137" s="590"/>
      <c r="X137" s="590"/>
      <c r="Y137" s="590"/>
      <c r="Z137" s="590"/>
      <c r="AA137" s="590"/>
      <c r="AB137" s="590"/>
      <c r="AC137" s="590"/>
      <c r="AD137" s="590"/>
      <c r="AE137" s="590"/>
      <c r="AF137" s="590"/>
      <c r="AG137" s="590"/>
      <c r="AH137" s="590"/>
      <c r="AI137" s="590"/>
      <c r="AJ137" s="590"/>
      <c r="AK137" s="590"/>
      <c r="AL137" s="590"/>
      <c r="AM137" s="590"/>
      <c r="AN137" s="590"/>
      <c r="AO137" s="590"/>
      <c r="AP137" s="590"/>
      <c r="AQ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1"/>
      <c r="BL137" s="591"/>
      <c r="BM137" s="591"/>
      <c r="BN137" s="591"/>
      <c r="BO137" s="591"/>
      <c r="BP137" s="591"/>
      <c r="BQ137" s="591"/>
      <c r="BR137" s="591"/>
      <c r="BS137" s="591"/>
      <c r="BT137" s="591"/>
      <c r="BU137" s="591"/>
      <c r="BV137" s="591"/>
      <c r="BW137" s="591"/>
      <c r="BX137" s="591"/>
      <c r="BY137" s="591"/>
      <c r="BZ137" s="591"/>
      <c r="CA137" s="591"/>
      <c r="CB137" s="591"/>
      <c r="CC137" s="591"/>
      <c r="CD137" s="591"/>
      <c r="CE137" s="591"/>
      <c r="CF137" s="591"/>
    </row>
    <row r="138" spans="1:84">
      <c r="A138" s="590"/>
      <c r="B138" s="590"/>
      <c r="C138" s="590"/>
      <c r="D138" s="590"/>
      <c r="E138" s="590"/>
      <c r="F138" s="590"/>
      <c r="G138" s="590"/>
      <c r="H138" s="590"/>
      <c r="I138" s="590"/>
      <c r="J138" s="590"/>
      <c r="K138" s="590"/>
      <c r="L138" s="590"/>
      <c r="M138" s="590"/>
      <c r="N138" s="590"/>
      <c r="O138" s="590"/>
      <c r="P138" s="590"/>
      <c r="Q138" s="590"/>
      <c r="R138" s="590"/>
      <c r="S138" s="590"/>
      <c r="T138" s="590"/>
      <c r="U138" s="590"/>
      <c r="V138" s="590"/>
      <c r="W138" s="590"/>
      <c r="X138" s="590"/>
      <c r="Y138" s="590"/>
      <c r="Z138" s="590"/>
      <c r="AA138" s="590"/>
      <c r="AB138" s="590"/>
      <c r="AC138" s="590"/>
      <c r="AD138" s="590"/>
      <c r="AE138" s="590"/>
      <c r="AF138" s="590"/>
      <c r="AG138" s="590"/>
      <c r="AH138" s="590"/>
      <c r="AI138" s="590"/>
      <c r="AJ138" s="590"/>
      <c r="AK138" s="590"/>
      <c r="AL138" s="590"/>
      <c r="AM138" s="590"/>
      <c r="AN138" s="590"/>
      <c r="AO138" s="590"/>
      <c r="AP138" s="590"/>
      <c r="AQ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1"/>
      <c r="BL138" s="591"/>
      <c r="BM138" s="591"/>
      <c r="BN138" s="591"/>
      <c r="BO138" s="591"/>
      <c r="BP138" s="591"/>
      <c r="BQ138" s="591"/>
      <c r="BR138" s="591"/>
      <c r="BS138" s="591"/>
      <c r="BT138" s="591"/>
      <c r="BU138" s="591"/>
      <c r="BV138" s="591"/>
      <c r="BW138" s="591"/>
      <c r="BX138" s="591"/>
      <c r="BY138" s="591"/>
      <c r="BZ138" s="591"/>
      <c r="CA138" s="591"/>
      <c r="CB138" s="591"/>
      <c r="CC138" s="591"/>
      <c r="CD138" s="591"/>
      <c r="CE138" s="591"/>
      <c r="CF138" s="591"/>
    </row>
    <row r="139" spans="1:84">
      <c r="A139" s="590"/>
      <c r="B139" s="590"/>
      <c r="C139" s="590"/>
      <c r="D139" s="590"/>
      <c r="E139" s="590"/>
      <c r="F139" s="590"/>
      <c r="G139" s="590"/>
      <c r="H139" s="590"/>
      <c r="I139" s="590"/>
      <c r="J139" s="590"/>
      <c r="K139" s="590"/>
      <c r="L139" s="590"/>
      <c r="M139" s="590"/>
      <c r="N139" s="590"/>
      <c r="O139" s="590"/>
      <c r="P139" s="590"/>
      <c r="Q139" s="590"/>
      <c r="R139" s="590"/>
      <c r="S139" s="590"/>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0"/>
      <c r="AQ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1"/>
      <c r="BL139" s="591"/>
      <c r="BM139" s="591"/>
      <c r="BN139" s="591"/>
      <c r="BO139" s="591"/>
      <c r="BP139" s="591"/>
      <c r="BQ139" s="591"/>
      <c r="BR139" s="591"/>
      <c r="BS139" s="591"/>
      <c r="BT139" s="591"/>
      <c r="BU139" s="591"/>
      <c r="BV139" s="591"/>
      <c r="BW139" s="591"/>
      <c r="BX139" s="591"/>
      <c r="BY139" s="591"/>
      <c r="BZ139" s="591"/>
      <c r="CA139" s="591"/>
      <c r="CB139" s="591"/>
      <c r="CC139" s="591"/>
      <c r="CD139" s="591"/>
      <c r="CE139" s="591"/>
      <c r="CF139" s="591"/>
    </row>
    <row r="140" spans="1:84">
      <c r="A140" s="590"/>
      <c r="B140" s="590"/>
      <c r="C140" s="590"/>
      <c r="D140" s="590"/>
      <c r="E140" s="590"/>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0"/>
      <c r="AK140" s="590"/>
      <c r="AL140" s="590"/>
      <c r="AM140" s="590"/>
      <c r="AN140" s="590"/>
      <c r="AO140" s="590"/>
      <c r="AP140" s="590"/>
      <c r="AQ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1"/>
      <c r="BL140" s="591"/>
      <c r="BM140" s="591"/>
      <c r="BN140" s="591"/>
      <c r="BO140" s="591"/>
      <c r="BP140" s="591"/>
      <c r="BQ140" s="591"/>
      <c r="BR140" s="591"/>
      <c r="BS140" s="591"/>
      <c r="BT140" s="591"/>
      <c r="BU140" s="591"/>
      <c r="BV140" s="591"/>
      <c r="BW140" s="591"/>
      <c r="BX140" s="591"/>
      <c r="BY140" s="591"/>
      <c r="BZ140" s="591"/>
      <c r="CA140" s="591"/>
      <c r="CB140" s="591"/>
      <c r="CC140" s="591"/>
      <c r="CD140" s="591"/>
      <c r="CE140" s="591"/>
      <c r="CF140" s="591"/>
    </row>
    <row r="141" spans="1:84">
      <c r="A141" s="590"/>
      <c r="B141" s="590"/>
      <c r="C141" s="590"/>
      <c r="D141" s="590"/>
      <c r="E141" s="590"/>
      <c r="F141" s="590"/>
      <c r="G141" s="590"/>
      <c r="H141" s="590"/>
      <c r="I141" s="590"/>
      <c r="J141" s="590"/>
      <c r="K141" s="590"/>
      <c r="L141" s="590"/>
      <c r="M141" s="590"/>
      <c r="N141" s="590"/>
      <c r="O141" s="590"/>
      <c r="P141" s="590"/>
      <c r="Q141" s="590"/>
      <c r="R141" s="590"/>
      <c r="S141" s="590"/>
      <c r="T141" s="590"/>
      <c r="U141" s="590"/>
      <c r="V141" s="590"/>
      <c r="W141" s="590"/>
      <c r="X141" s="590"/>
      <c r="Y141" s="590"/>
      <c r="Z141" s="590"/>
      <c r="AA141" s="590"/>
      <c r="AB141" s="590"/>
      <c r="AC141" s="590"/>
      <c r="AD141" s="590"/>
      <c r="AE141" s="590"/>
      <c r="AF141" s="590"/>
      <c r="AG141" s="590"/>
      <c r="AH141" s="590"/>
      <c r="AI141" s="590"/>
      <c r="AJ141" s="590"/>
      <c r="AK141" s="590"/>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1"/>
      <c r="BL141" s="591"/>
      <c r="BM141" s="591"/>
      <c r="BN141" s="591"/>
      <c r="BO141" s="591"/>
      <c r="BP141" s="591"/>
      <c r="BQ141" s="591"/>
      <c r="BR141" s="591"/>
      <c r="BS141" s="591"/>
      <c r="BT141" s="591"/>
      <c r="BU141" s="591"/>
      <c r="BV141" s="591"/>
      <c r="BW141" s="591"/>
      <c r="BX141" s="591"/>
      <c r="BY141" s="591"/>
      <c r="BZ141" s="591"/>
      <c r="CA141" s="591"/>
      <c r="CB141" s="591"/>
      <c r="CC141" s="591"/>
      <c r="CD141" s="591"/>
      <c r="CE141" s="591"/>
      <c r="CF141" s="591"/>
    </row>
    <row r="142" spans="1:84">
      <c r="A142" s="590"/>
      <c r="B142" s="590"/>
      <c r="C142" s="590"/>
      <c r="D142" s="590"/>
      <c r="E142" s="590"/>
      <c r="F142" s="590"/>
      <c r="G142" s="590"/>
      <c r="H142" s="590"/>
      <c r="I142" s="590"/>
      <c r="J142" s="590"/>
      <c r="K142" s="590"/>
      <c r="L142" s="590"/>
      <c r="M142" s="590"/>
      <c r="N142" s="590"/>
      <c r="O142" s="590"/>
      <c r="P142" s="590"/>
      <c r="Q142" s="590"/>
      <c r="R142" s="590"/>
      <c r="S142" s="590"/>
      <c r="T142" s="590"/>
      <c r="U142" s="590"/>
      <c r="V142" s="590"/>
      <c r="W142" s="590"/>
      <c r="X142" s="590"/>
      <c r="Y142" s="590"/>
      <c r="Z142" s="590"/>
      <c r="AA142" s="590"/>
      <c r="AB142" s="590"/>
      <c r="AC142" s="590"/>
      <c r="AD142" s="590"/>
      <c r="AE142" s="590"/>
      <c r="AF142" s="590"/>
      <c r="AG142" s="590"/>
      <c r="AH142" s="590"/>
      <c r="AI142" s="590"/>
      <c r="AJ142" s="590"/>
      <c r="AK142" s="590"/>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1"/>
      <c r="BL142" s="591"/>
      <c r="BM142" s="591"/>
      <c r="BN142" s="591"/>
      <c r="BO142" s="591"/>
      <c r="BP142" s="591"/>
      <c r="BQ142" s="591"/>
      <c r="BR142" s="591"/>
      <c r="BS142" s="591"/>
      <c r="BT142" s="591"/>
      <c r="BU142" s="591"/>
      <c r="BV142" s="591"/>
      <c r="BW142" s="591"/>
      <c r="BX142" s="591"/>
      <c r="BY142" s="591"/>
      <c r="BZ142" s="591"/>
      <c r="CA142" s="591"/>
      <c r="CB142" s="591"/>
      <c r="CC142" s="591"/>
      <c r="CD142" s="591"/>
      <c r="CE142" s="591"/>
      <c r="CF142" s="591"/>
    </row>
    <row r="143" spans="1:84">
      <c r="A143" s="590"/>
      <c r="B143" s="590"/>
      <c r="C143" s="590"/>
      <c r="D143" s="590"/>
      <c r="E143" s="590"/>
      <c r="F143" s="590"/>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c r="AJ143" s="590"/>
      <c r="AK143" s="590"/>
      <c r="AL143" s="590"/>
      <c r="AM143" s="590"/>
      <c r="AN143" s="590"/>
      <c r="AO143" s="590"/>
      <c r="AP143" s="590"/>
      <c r="AQ143" s="590"/>
      <c r="AR143" s="590"/>
      <c r="AS143" s="590"/>
      <c r="AT143" s="590"/>
      <c r="AU143" s="590"/>
      <c r="AV143" s="590"/>
      <c r="AW143" s="590"/>
      <c r="AX143" s="590"/>
      <c r="AY143" s="590"/>
      <c r="AZ143" s="590"/>
      <c r="BA143" s="590"/>
      <c r="BB143" s="590"/>
      <c r="BC143" s="590"/>
      <c r="BD143" s="590"/>
      <c r="BE143" s="590"/>
      <c r="BF143" s="590"/>
      <c r="BG143" s="590"/>
      <c r="BH143" s="590"/>
      <c r="BI143" s="590"/>
      <c r="BJ143" s="590"/>
      <c r="BK143" s="591"/>
      <c r="BL143" s="591"/>
      <c r="BM143" s="591"/>
      <c r="BN143" s="591"/>
      <c r="BO143" s="591"/>
      <c r="BP143" s="591"/>
      <c r="BQ143" s="591"/>
      <c r="BR143" s="591"/>
      <c r="BS143" s="591"/>
      <c r="BT143" s="591"/>
      <c r="BU143" s="591"/>
      <c r="BV143" s="591"/>
      <c r="BW143" s="591"/>
      <c r="BX143" s="591"/>
      <c r="BY143" s="591"/>
      <c r="BZ143" s="591"/>
      <c r="CA143" s="591"/>
      <c r="CB143" s="591"/>
      <c r="CC143" s="591"/>
      <c r="CD143" s="591"/>
      <c r="CE143" s="591"/>
      <c r="CF143" s="591"/>
    </row>
    <row r="144" spans="1:84">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c r="AJ144" s="590"/>
      <c r="AK144" s="590"/>
      <c r="AL144" s="590"/>
      <c r="AM144" s="590"/>
      <c r="AN144" s="590"/>
      <c r="AO144" s="590"/>
      <c r="AP144" s="590"/>
      <c r="AQ144" s="590"/>
      <c r="AR144" s="590"/>
      <c r="AS144" s="590"/>
      <c r="AT144" s="590"/>
      <c r="AU144" s="590"/>
      <c r="AV144" s="590"/>
      <c r="AW144" s="590"/>
      <c r="AX144" s="590"/>
      <c r="AY144" s="590"/>
      <c r="AZ144" s="590"/>
      <c r="BA144" s="590"/>
      <c r="BB144" s="590"/>
      <c r="BC144" s="590"/>
      <c r="BD144" s="590"/>
      <c r="BE144" s="590"/>
      <c r="BF144" s="590"/>
      <c r="BG144" s="590"/>
      <c r="BH144" s="590"/>
      <c r="BI144" s="590"/>
      <c r="BJ144" s="590"/>
      <c r="BK144" s="591"/>
      <c r="BL144" s="591"/>
      <c r="BM144" s="591"/>
      <c r="BN144" s="591"/>
      <c r="BO144" s="591"/>
      <c r="BP144" s="591"/>
      <c r="BQ144" s="591"/>
      <c r="BR144" s="591"/>
      <c r="BS144" s="591"/>
      <c r="BT144" s="591"/>
      <c r="BU144" s="591"/>
      <c r="BV144" s="591"/>
      <c r="BW144" s="591"/>
      <c r="BX144" s="591"/>
      <c r="BY144" s="591"/>
      <c r="BZ144" s="591"/>
      <c r="CA144" s="591"/>
      <c r="CB144" s="591"/>
      <c r="CC144" s="591"/>
      <c r="CD144" s="591"/>
      <c r="CE144" s="591"/>
      <c r="CF144" s="591"/>
    </row>
    <row r="145" spans="1:84">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c r="AJ145" s="590"/>
      <c r="AK145" s="590"/>
      <c r="AL145" s="590"/>
      <c r="AM145" s="590"/>
      <c r="AN145" s="590"/>
      <c r="AO145" s="590"/>
      <c r="AP145" s="590"/>
      <c r="AQ145" s="590"/>
      <c r="AR145" s="590"/>
      <c r="AS145" s="590"/>
      <c r="AT145" s="590"/>
      <c r="AU145" s="590"/>
      <c r="AV145" s="590"/>
      <c r="AW145" s="590"/>
      <c r="AX145" s="590"/>
      <c r="AY145" s="590"/>
      <c r="AZ145" s="590"/>
      <c r="BA145" s="590"/>
      <c r="BB145" s="590"/>
      <c r="BC145" s="590"/>
      <c r="BD145" s="590"/>
      <c r="BE145" s="590"/>
      <c r="BF145" s="590"/>
      <c r="BG145" s="590"/>
      <c r="BH145" s="590"/>
      <c r="BI145" s="590"/>
      <c r="BJ145" s="590"/>
      <c r="BK145" s="591"/>
      <c r="BL145" s="591"/>
      <c r="BM145" s="591"/>
      <c r="BN145" s="591"/>
      <c r="BO145" s="591"/>
      <c r="BP145" s="591"/>
      <c r="BQ145" s="591"/>
      <c r="BR145" s="591"/>
      <c r="BS145" s="591"/>
      <c r="BT145" s="591"/>
      <c r="BU145" s="591"/>
      <c r="BV145" s="591"/>
      <c r="BW145" s="591"/>
      <c r="BX145" s="591"/>
      <c r="BY145" s="591"/>
      <c r="BZ145" s="591"/>
      <c r="CA145" s="591"/>
      <c r="CB145" s="591"/>
      <c r="CC145" s="591"/>
      <c r="CD145" s="591"/>
      <c r="CE145" s="591"/>
      <c r="CF145" s="591"/>
    </row>
    <row r="146" spans="1:84">
      <c r="A146" s="590"/>
      <c r="B146" s="590"/>
      <c r="C146" s="590"/>
      <c r="D146" s="590"/>
      <c r="E146" s="590"/>
      <c r="F146" s="590"/>
      <c r="G146" s="590"/>
      <c r="H146" s="590"/>
      <c r="I146" s="590"/>
      <c r="J146" s="590"/>
      <c r="K146" s="590"/>
      <c r="L146" s="590"/>
      <c r="M146" s="590"/>
      <c r="N146" s="590"/>
      <c r="O146" s="590"/>
      <c r="P146" s="590"/>
      <c r="Q146" s="590"/>
      <c r="R146" s="590"/>
      <c r="S146" s="590"/>
      <c r="T146" s="590"/>
      <c r="U146" s="590"/>
      <c r="V146" s="590"/>
      <c r="W146" s="590"/>
      <c r="X146" s="590"/>
      <c r="Y146" s="590"/>
      <c r="Z146" s="590"/>
      <c r="AA146" s="590"/>
      <c r="AB146" s="590"/>
      <c r="AC146" s="590"/>
      <c r="AD146" s="590"/>
      <c r="AE146" s="590"/>
      <c r="AF146" s="590"/>
      <c r="AG146" s="590"/>
      <c r="AH146" s="590"/>
      <c r="AI146" s="590"/>
      <c r="AJ146" s="590"/>
      <c r="AK146" s="590"/>
      <c r="AL146" s="590"/>
      <c r="AM146" s="590"/>
      <c r="AN146" s="590"/>
      <c r="AO146" s="590"/>
      <c r="AP146" s="590"/>
      <c r="AQ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1"/>
      <c r="BL146" s="591"/>
      <c r="BM146" s="591"/>
      <c r="BN146" s="591"/>
      <c r="BO146" s="591"/>
      <c r="BP146" s="591"/>
      <c r="BQ146" s="591"/>
      <c r="BR146" s="591"/>
      <c r="BS146" s="591"/>
      <c r="BT146" s="591"/>
      <c r="BU146" s="591"/>
      <c r="BV146" s="591"/>
      <c r="BW146" s="591"/>
      <c r="BX146" s="591"/>
      <c r="BY146" s="591"/>
      <c r="BZ146" s="591"/>
      <c r="CA146" s="591"/>
      <c r="CB146" s="591"/>
      <c r="CC146" s="591"/>
      <c r="CD146" s="591"/>
      <c r="CE146" s="591"/>
      <c r="CF146" s="591"/>
    </row>
    <row r="147" spans="1:84">
      <c r="A147" s="590"/>
      <c r="B147" s="590"/>
      <c r="C147" s="590"/>
      <c r="D147" s="590"/>
      <c r="E147" s="590"/>
      <c r="F147" s="590"/>
      <c r="G147" s="590"/>
      <c r="H147" s="590"/>
      <c r="I147" s="590"/>
      <c r="J147" s="590"/>
      <c r="K147" s="590"/>
      <c r="L147" s="590"/>
      <c r="M147" s="590"/>
      <c r="N147" s="590"/>
      <c r="O147" s="590"/>
      <c r="P147" s="590"/>
      <c r="Q147" s="590"/>
      <c r="R147" s="590"/>
      <c r="S147" s="590"/>
      <c r="T147" s="590"/>
      <c r="U147" s="590"/>
      <c r="V147" s="590"/>
      <c r="W147" s="590"/>
      <c r="X147" s="590"/>
      <c r="Y147" s="590"/>
      <c r="Z147" s="590"/>
      <c r="AA147" s="590"/>
      <c r="AB147" s="590"/>
      <c r="AC147" s="590"/>
      <c r="AD147" s="590"/>
      <c r="AE147" s="590"/>
      <c r="AF147" s="590"/>
      <c r="AG147" s="590"/>
      <c r="AH147" s="590"/>
      <c r="AI147" s="590"/>
      <c r="AJ147" s="590"/>
      <c r="AK147" s="590"/>
      <c r="AL147" s="590"/>
      <c r="AM147" s="590"/>
      <c r="AN147" s="590"/>
      <c r="AO147" s="590"/>
      <c r="AP147" s="590"/>
      <c r="AQ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1"/>
      <c r="BL147" s="591"/>
      <c r="BM147" s="591"/>
      <c r="BN147" s="591"/>
      <c r="BO147" s="591"/>
      <c r="BP147" s="591"/>
      <c r="BQ147" s="591"/>
      <c r="BR147" s="591"/>
      <c r="BS147" s="591"/>
      <c r="BT147" s="591"/>
      <c r="BU147" s="591"/>
      <c r="BV147" s="591"/>
      <c r="BW147" s="591"/>
      <c r="BX147" s="591"/>
      <c r="BY147" s="591"/>
      <c r="BZ147" s="591"/>
      <c r="CA147" s="591"/>
      <c r="CB147" s="591"/>
      <c r="CC147" s="591"/>
      <c r="CD147" s="591"/>
      <c r="CE147" s="591"/>
      <c r="CF147" s="591"/>
    </row>
    <row r="148" spans="1:84">
      <c r="A148" s="590"/>
      <c r="B148" s="590"/>
      <c r="C148" s="590"/>
      <c r="D148" s="590"/>
      <c r="E148" s="590"/>
      <c r="F148" s="590"/>
      <c r="G148" s="590"/>
      <c r="H148" s="590"/>
      <c r="I148" s="590"/>
      <c r="J148" s="590"/>
      <c r="K148" s="590"/>
      <c r="L148" s="590"/>
      <c r="M148" s="590"/>
      <c r="N148" s="590"/>
      <c r="O148" s="590"/>
      <c r="P148" s="590"/>
      <c r="Q148" s="590"/>
      <c r="R148" s="590"/>
      <c r="S148" s="590"/>
      <c r="T148" s="590"/>
      <c r="U148" s="590"/>
      <c r="V148" s="590"/>
      <c r="W148" s="590"/>
      <c r="X148" s="590"/>
      <c r="Y148" s="590"/>
      <c r="Z148" s="590"/>
      <c r="AA148" s="590"/>
      <c r="AB148" s="590"/>
      <c r="AC148" s="590"/>
      <c r="AD148" s="590"/>
      <c r="AE148" s="590"/>
      <c r="AF148" s="590"/>
      <c r="AG148" s="590"/>
      <c r="AH148" s="590"/>
      <c r="AI148" s="590"/>
      <c r="AJ148" s="590"/>
      <c r="AK148" s="590"/>
      <c r="AL148" s="590"/>
      <c r="AM148" s="590"/>
      <c r="AN148" s="590"/>
      <c r="AO148" s="590"/>
      <c r="AP148" s="590"/>
      <c r="AQ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1"/>
      <c r="BL148" s="591"/>
      <c r="BM148" s="591"/>
      <c r="BN148" s="591"/>
      <c r="BO148" s="591"/>
      <c r="BP148" s="591"/>
      <c r="BQ148" s="591"/>
      <c r="BR148" s="591"/>
      <c r="BS148" s="591"/>
      <c r="BT148" s="591"/>
      <c r="BU148" s="591"/>
      <c r="BV148" s="591"/>
      <c r="BW148" s="591"/>
      <c r="BX148" s="591"/>
      <c r="BY148" s="591"/>
      <c r="BZ148" s="591"/>
      <c r="CA148" s="591"/>
      <c r="CB148" s="591"/>
      <c r="CC148" s="591"/>
      <c r="CD148" s="591"/>
      <c r="CE148" s="591"/>
      <c r="CF148" s="591"/>
    </row>
    <row r="149" spans="1:84">
      <c r="A149" s="590"/>
      <c r="B149" s="590"/>
      <c r="C149" s="590"/>
      <c r="D149" s="590"/>
      <c r="E149" s="590"/>
      <c r="F149" s="590"/>
      <c r="G149" s="590"/>
      <c r="H149" s="590"/>
      <c r="I149" s="590"/>
      <c r="J149" s="590"/>
      <c r="K149" s="590"/>
      <c r="L149" s="590"/>
      <c r="M149" s="590"/>
      <c r="N149" s="590"/>
      <c r="O149" s="590"/>
      <c r="P149" s="590"/>
      <c r="Q149" s="590"/>
      <c r="R149" s="590"/>
      <c r="S149" s="590"/>
      <c r="T149" s="590"/>
      <c r="U149" s="590"/>
      <c r="V149" s="590"/>
      <c r="W149" s="590"/>
      <c r="X149" s="590"/>
      <c r="Y149" s="590"/>
      <c r="Z149" s="590"/>
      <c r="AA149" s="590"/>
      <c r="AB149" s="590"/>
      <c r="AC149" s="590"/>
      <c r="AD149" s="590"/>
      <c r="AE149" s="590"/>
      <c r="AF149" s="590"/>
      <c r="AG149" s="590"/>
      <c r="AH149" s="590"/>
      <c r="AI149" s="590"/>
      <c r="AJ149" s="590"/>
      <c r="AK149" s="590"/>
      <c r="AL149" s="590"/>
      <c r="AM149" s="590"/>
      <c r="AN149" s="590"/>
      <c r="AO149" s="590"/>
      <c r="AP149" s="590"/>
      <c r="AQ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1"/>
      <c r="BL149" s="591"/>
      <c r="BM149" s="591"/>
      <c r="BN149" s="591"/>
      <c r="BO149" s="591"/>
      <c r="BP149" s="591"/>
      <c r="BQ149" s="591"/>
      <c r="BR149" s="591"/>
      <c r="BS149" s="591"/>
      <c r="BT149" s="591"/>
      <c r="BU149" s="591"/>
      <c r="BV149" s="591"/>
      <c r="BW149" s="591"/>
      <c r="BX149" s="591"/>
      <c r="BY149" s="591"/>
      <c r="BZ149" s="591"/>
      <c r="CA149" s="591"/>
      <c r="CB149" s="591"/>
      <c r="CC149" s="591"/>
      <c r="CD149" s="591"/>
      <c r="CE149" s="591"/>
      <c r="CF149" s="591"/>
    </row>
    <row r="150" spans="1:84">
      <c r="A150" s="590"/>
      <c r="B150" s="590"/>
      <c r="C150" s="590"/>
      <c r="D150" s="590"/>
      <c r="E150" s="590"/>
      <c r="F150" s="590"/>
      <c r="G150" s="590"/>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1"/>
      <c r="BL150" s="591"/>
      <c r="BM150" s="591"/>
      <c r="BN150" s="591"/>
      <c r="BO150" s="591"/>
      <c r="BP150" s="591"/>
      <c r="BQ150" s="591"/>
      <c r="BR150" s="591"/>
      <c r="BS150" s="591"/>
      <c r="BT150" s="591"/>
      <c r="BU150" s="591"/>
      <c r="BV150" s="591"/>
      <c r="BW150" s="591"/>
      <c r="BX150" s="591"/>
      <c r="BY150" s="591"/>
      <c r="BZ150" s="591"/>
      <c r="CA150" s="591"/>
      <c r="CB150" s="591"/>
      <c r="CC150" s="591"/>
      <c r="CD150" s="591"/>
      <c r="CE150" s="591"/>
      <c r="CF150" s="591"/>
    </row>
    <row r="151" spans="1:84">
      <c r="A151" s="590"/>
      <c r="B151" s="590"/>
      <c r="C151" s="590"/>
      <c r="D151" s="590"/>
      <c r="E151" s="590"/>
      <c r="F151" s="590"/>
      <c r="G151" s="590"/>
      <c r="H151" s="590"/>
      <c r="I151" s="590"/>
      <c r="J151" s="590"/>
      <c r="K151" s="590"/>
      <c r="L151" s="590"/>
      <c r="M151" s="590"/>
      <c r="N151" s="590"/>
      <c r="O151" s="590"/>
      <c r="P151" s="590"/>
      <c r="Q151" s="590"/>
      <c r="R151" s="590"/>
      <c r="S151" s="590"/>
      <c r="T151" s="590"/>
      <c r="U151" s="590"/>
      <c r="V151" s="590"/>
      <c r="W151" s="590"/>
      <c r="X151" s="590"/>
      <c r="Y151" s="590"/>
      <c r="Z151" s="590"/>
      <c r="AA151" s="590"/>
      <c r="AB151" s="590"/>
      <c r="AC151" s="590"/>
      <c r="AD151" s="590"/>
      <c r="AE151" s="590"/>
      <c r="AF151" s="590"/>
      <c r="AG151" s="590"/>
      <c r="AH151" s="590"/>
      <c r="AI151" s="590"/>
      <c r="AJ151" s="590"/>
      <c r="AK151" s="590"/>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1"/>
      <c r="BL151" s="591"/>
      <c r="BM151" s="591"/>
      <c r="BN151" s="591"/>
      <c r="BO151" s="591"/>
      <c r="BP151" s="591"/>
      <c r="BQ151" s="591"/>
      <c r="BR151" s="591"/>
      <c r="BS151" s="591"/>
      <c r="BT151" s="591"/>
      <c r="BU151" s="591"/>
      <c r="BV151" s="591"/>
      <c r="BW151" s="591"/>
      <c r="BX151" s="591"/>
      <c r="BY151" s="591"/>
      <c r="BZ151" s="591"/>
      <c r="CA151" s="591"/>
      <c r="CB151" s="591"/>
      <c r="CC151" s="591"/>
      <c r="CD151" s="591"/>
      <c r="CE151" s="591"/>
      <c r="CF151" s="591"/>
    </row>
    <row r="152" spans="1:84">
      <c r="A152" s="590"/>
      <c r="B152" s="590"/>
      <c r="C152" s="590"/>
      <c r="D152" s="590"/>
      <c r="E152" s="590"/>
      <c r="F152" s="590"/>
      <c r="G152" s="590"/>
      <c r="H152" s="590"/>
      <c r="I152" s="590"/>
      <c r="J152" s="590"/>
      <c r="K152" s="590"/>
      <c r="L152" s="590"/>
      <c r="M152" s="590"/>
      <c r="N152" s="590"/>
      <c r="O152" s="590"/>
      <c r="P152" s="590"/>
      <c r="Q152" s="590"/>
      <c r="R152" s="590"/>
      <c r="S152" s="590"/>
      <c r="T152" s="590"/>
      <c r="U152" s="590"/>
      <c r="V152" s="590"/>
      <c r="W152" s="590"/>
      <c r="X152" s="590"/>
      <c r="Y152" s="590"/>
      <c r="Z152" s="590"/>
      <c r="AA152" s="590"/>
      <c r="AB152" s="590"/>
      <c r="AC152" s="590"/>
      <c r="AD152" s="590"/>
      <c r="AE152" s="590"/>
      <c r="AF152" s="590"/>
      <c r="AG152" s="590"/>
      <c r="AH152" s="590"/>
      <c r="AI152" s="590"/>
      <c r="AJ152" s="590"/>
      <c r="AK152" s="590"/>
      <c r="AL152" s="590"/>
      <c r="AM152" s="590"/>
      <c r="AN152" s="590"/>
      <c r="AO152" s="590"/>
      <c r="AP152" s="590"/>
      <c r="AQ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1"/>
      <c r="BL152" s="591"/>
      <c r="BM152" s="591"/>
      <c r="BN152" s="591"/>
      <c r="BO152" s="591"/>
      <c r="BP152" s="591"/>
      <c r="BQ152" s="591"/>
      <c r="BR152" s="591"/>
      <c r="BS152" s="591"/>
      <c r="BT152" s="591"/>
      <c r="BU152" s="591"/>
      <c r="BV152" s="591"/>
      <c r="BW152" s="591"/>
      <c r="BX152" s="591"/>
      <c r="BY152" s="591"/>
      <c r="BZ152" s="591"/>
      <c r="CA152" s="591"/>
      <c r="CB152" s="591"/>
      <c r="CC152" s="591"/>
      <c r="CD152" s="591"/>
      <c r="CE152" s="591"/>
      <c r="CF152" s="591"/>
    </row>
    <row r="153" spans="1:84">
      <c r="A153" s="590"/>
      <c r="B153" s="590"/>
      <c r="C153" s="590"/>
      <c r="D153" s="590"/>
      <c r="E153" s="590"/>
      <c r="F153" s="590"/>
      <c r="G153" s="590"/>
      <c r="H153" s="590"/>
      <c r="I153" s="590"/>
      <c r="J153" s="590"/>
      <c r="K153" s="590"/>
      <c r="L153" s="590"/>
      <c r="M153" s="590"/>
      <c r="N153" s="590"/>
      <c r="O153" s="590"/>
      <c r="P153" s="590"/>
      <c r="Q153" s="590"/>
      <c r="R153" s="590"/>
      <c r="S153" s="590"/>
      <c r="T153" s="590"/>
      <c r="U153" s="590"/>
      <c r="V153" s="590"/>
      <c r="W153" s="590"/>
      <c r="X153" s="590"/>
      <c r="Y153" s="590"/>
      <c r="Z153" s="590"/>
      <c r="AA153" s="590"/>
      <c r="AB153" s="590"/>
      <c r="AC153" s="590"/>
      <c r="AD153" s="590"/>
      <c r="AE153" s="590"/>
      <c r="AF153" s="590"/>
      <c r="AG153" s="590"/>
      <c r="AH153" s="590"/>
      <c r="AI153" s="590"/>
      <c r="AJ153" s="590"/>
      <c r="AK153" s="590"/>
      <c r="AL153" s="590"/>
      <c r="AM153" s="590"/>
      <c r="AN153" s="590"/>
      <c r="AO153" s="590"/>
      <c r="AP153" s="590"/>
      <c r="AQ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1"/>
      <c r="BL153" s="591"/>
      <c r="BM153" s="591"/>
      <c r="BN153" s="591"/>
      <c r="BO153" s="591"/>
      <c r="BP153" s="591"/>
      <c r="BQ153" s="591"/>
      <c r="BR153" s="591"/>
      <c r="BS153" s="591"/>
      <c r="BT153" s="591"/>
      <c r="BU153" s="591"/>
      <c r="BV153" s="591"/>
      <c r="BW153" s="591"/>
      <c r="BX153" s="591"/>
      <c r="BY153" s="591"/>
      <c r="BZ153" s="591"/>
      <c r="CA153" s="591"/>
      <c r="CB153" s="591"/>
      <c r="CC153" s="591"/>
      <c r="CD153" s="591"/>
      <c r="CE153" s="591"/>
      <c r="CF153" s="591"/>
    </row>
    <row r="154" spans="1:84">
      <c r="A154" s="590"/>
      <c r="B154" s="590"/>
      <c r="C154" s="590"/>
      <c r="D154" s="590"/>
      <c r="E154" s="590"/>
      <c r="F154" s="590"/>
      <c r="G154" s="590"/>
      <c r="H154" s="590"/>
      <c r="I154" s="590"/>
      <c r="J154" s="590"/>
      <c r="K154" s="590"/>
      <c r="L154" s="590"/>
      <c r="M154" s="590"/>
      <c r="N154" s="590"/>
      <c r="O154" s="590"/>
      <c r="P154" s="590"/>
      <c r="Q154" s="590"/>
      <c r="R154" s="590"/>
      <c r="S154" s="590"/>
      <c r="T154" s="590"/>
      <c r="U154" s="590"/>
      <c r="V154" s="590"/>
      <c r="W154" s="590"/>
      <c r="X154" s="590"/>
      <c r="Y154" s="590"/>
      <c r="Z154" s="590"/>
      <c r="AA154" s="590"/>
      <c r="AB154" s="590"/>
      <c r="AC154" s="590"/>
      <c r="AD154" s="590"/>
      <c r="AE154" s="590"/>
      <c r="AF154" s="590"/>
      <c r="AG154" s="590"/>
      <c r="AH154" s="590"/>
      <c r="AI154" s="590"/>
      <c r="AJ154" s="590"/>
      <c r="AK154" s="590"/>
      <c r="AL154" s="590"/>
      <c r="AM154" s="590"/>
      <c r="AN154" s="590"/>
      <c r="AO154" s="590"/>
      <c r="AP154" s="590"/>
      <c r="AQ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1"/>
      <c r="BL154" s="591"/>
      <c r="BM154" s="591"/>
      <c r="BN154" s="591"/>
      <c r="BO154" s="591"/>
      <c r="BP154" s="591"/>
      <c r="BQ154" s="591"/>
      <c r="BR154" s="591"/>
      <c r="BS154" s="591"/>
      <c r="BT154" s="591"/>
      <c r="BU154" s="591"/>
      <c r="BV154" s="591"/>
      <c r="BW154" s="591"/>
      <c r="BX154" s="591"/>
      <c r="BY154" s="591"/>
      <c r="BZ154" s="591"/>
      <c r="CA154" s="591"/>
      <c r="CB154" s="591"/>
      <c r="CC154" s="591"/>
      <c r="CD154" s="591"/>
      <c r="CE154" s="591"/>
      <c r="CF154" s="591"/>
    </row>
    <row r="155" spans="1:84">
      <c r="A155" s="590"/>
      <c r="B155" s="590"/>
      <c r="C155" s="590"/>
      <c r="D155" s="590"/>
      <c r="E155" s="590"/>
      <c r="F155" s="590"/>
      <c r="G155" s="590"/>
      <c r="H155" s="590"/>
      <c r="I155" s="590"/>
      <c r="J155" s="590"/>
      <c r="K155" s="590"/>
      <c r="L155" s="590"/>
      <c r="M155" s="590"/>
      <c r="N155" s="590"/>
      <c r="O155" s="590"/>
      <c r="P155" s="590"/>
      <c r="Q155" s="590"/>
      <c r="R155" s="590"/>
      <c r="S155" s="590"/>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1"/>
      <c r="BL155" s="591"/>
      <c r="BM155" s="591"/>
      <c r="BN155" s="591"/>
      <c r="BO155" s="591"/>
      <c r="BP155" s="591"/>
      <c r="BQ155" s="591"/>
      <c r="BR155" s="591"/>
      <c r="BS155" s="591"/>
      <c r="BT155" s="591"/>
      <c r="BU155" s="591"/>
      <c r="BV155" s="591"/>
      <c r="BW155" s="591"/>
      <c r="BX155" s="591"/>
      <c r="BY155" s="591"/>
      <c r="BZ155" s="591"/>
      <c r="CA155" s="591"/>
      <c r="CB155" s="591"/>
      <c r="CC155" s="591"/>
      <c r="CD155" s="591"/>
      <c r="CE155" s="591"/>
      <c r="CF155" s="591"/>
    </row>
    <row r="156" spans="1:84">
      <c r="A156" s="590"/>
      <c r="B156" s="590"/>
      <c r="C156" s="590"/>
      <c r="D156" s="590"/>
      <c r="E156" s="590"/>
      <c r="F156" s="590"/>
      <c r="G156" s="590"/>
      <c r="H156" s="590"/>
      <c r="I156" s="590"/>
      <c r="J156" s="590"/>
      <c r="K156" s="590"/>
      <c r="L156" s="590"/>
      <c r="M156" s="590"/>
      <c r="N156" s="590"/>
      <c r="O156" s="590"/>
      <c r="P156" s="590"/>
      <c r="Q156" s="590"/>
      <c r="R156" s="590"/>
      <c r="S156" s="590"/>
      <c r="T156" s="590"/>
      <c r="U156" s="590"/>
      <c r="V156" s="590"/>
      <c r="W156" s="590"/>
      <c r="X156" s="590"/>
      <c r="Y156" s="590"/>
      <c r="Z156" s="590"/>
      <c r="AA156" s="590"/>
      <c r="AB156" s="590"/>
      <c r="AC156" s="590"/>
      <c r="AD156" s="590"/>
      <c r="AE156" s="590"/>
      <c r="AF156" s="590"/>
      <c r="AG156" s="590"/>
      <c r="AH156" s="590"/>
      <c r="AI156" s="590"/>
      <c r="AJ156" s="590"/>
      <c r="AK156" s="590"/>
      <c r="AL156" s="590"/>
      <c r="AM156" s="590"/>
      <c r="AN156" s="590"/>
      <c r="AO156" s="590"/>
      <c r="AP156" s="590"/>
      <c r="AQ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1"/>
      <c r="BL156" s="591"/>
      <c r="BM156" s="591"/>
      <c r="BN156" s="591"/>
      <c r="BO156" s="591"/>
      <c r="BP156" s="591"/>
      <c r="BQ156" s="591"/>
      <c r="BR156" s="591"/>
      <c r="BS156" s="591"/>
      <c r="BT156" s="591"/>
      <c r="BU156" s="591"/>
      <c r="BV156" s="591"/>
      <c r="BW156" s="591"/>
      <c r="BX156" s="591"/>
      <c r="BY156" s="591"/>
      <c r="BZ156" s="591"/>
      <c r="CA156" s="591"/>
      <c r="CB156" s="591"/>
      <c r="CC156" s="591"/>
      <c r="CD156" s="591"/>
      <c r="CE156" s="591"/>
      <c r="CF156" s="591"/>
    </row>
    <row r="157" spans="1:84">
      <c r="A157" s="590"/>
      <c r="B157" s="590"/>
      <c r="C157" s="590"/>
      <c r="D157" s="590"/>
      <c r="E157" s="590"/>
      <c r="F157" s="590"/>
      <c r="G157" s="590"/>
      <c r="H157" s="590"/>
      <c r="I157" s="590"/>
      <c r="J157" s="590"/>
      <c r="K157" s="590"/>
      <c r="L157" s="590"/>
      <c r="M157" s="590"/>
      <c r="N157" s="590"/>
      <c r="O157" s="590"/>
      <c r="P157" s="590"/>
      <c r="Q157" s="590"/>
      <c r="R157" s="590"/>
      <c r="S157" s="590"/>
      <c r="T157" s="590"/>
      <c r="U157" s="590"/>
      <c r="V157" s="590"/>
      <c r="W157" s="590"/>
      <c r="X157" s="590"/>
      <c r="Y157" s="590"/>
      <c r="Z157" s="590"/>
      <c r="AA157" s="590"/>
      <c r="AB157" s="590"/>
      <c r="AC157" s="590"/>
      <c r="AD157" s="590"/>
      <c r="AE157" s="590"/>
      <c r="AF157" s="590"/>
      <c r="AG157" s="590"/>
      <c r="AH157" s="590"/>
      <c r="AI157" s="590"/>
      <c r="AJ157" s="590"/>
      <c r="AK157" s="590"/>
      <c r="AL157" s="590"/>
      <c r="AM157" s="590"/>
      <c r="AN157" s="590"/>
      <c r="AO157" s="590"/>
      <c r="AP157" s="590"/>
      <c r="AQ157" s="590"/>
      <c r="AR157" s="590"/>
      <c r="AS157" s="590"/>
      <c r="AT157" s="590"/>
      <c r="AU157" s="590"/>
      <c r="AV157" s="590"/>
      <c r="AW157" s="590"/>
      <c r="AX157" s="590"/>
      <c r="AY157" s="590"/>
      <c r="AZ157" s="590"/>
      <c r="BA157" s="590"/>
      <c r="BB157" s="590"/>
      <c r="BC157" s="590"/>
      <c r="BD157" s="590"/>
      <c r="BE157" s="590"/>
      <c r="BF157" s="590"/>
      <c r="BG157" s="590"/>
      <c r="BH157" s="590"/>
      <c r="BI157" s="590"/>
      <c r="BJ157" s="590"/>
      <c r="BK157" s="591"/>
      <c r="BL157" s="591"/>
      <c r="BM157" s="591"/>
      <c r="BN157" s="591"/>
      <c r="BO157" s="591"/>
      <c r="BP157" s="591"/>
      <c r="BQ157" s="591"/>
      <c r="BR157" s="591"/>
      <c r="BS157" s="591"/>
      <c r="BT157" s="591"/>
      <c r="BU157" s="591"/>
      <c r="BV157" s="591"/>
      <c r="BW157" s="591"/>
      <c r="BX157" s="591"/>
      <c r="BY157" s="591"/>
      <c r="BZ157" s="591"/>
      <c r="CA157" s="591"/>
      <c r="CB157" s="591"/>
      <c r="CC157" s="591"/>
      <c r="CD157" s="591"/>
      <c r="CE157" s="591"/>
      <c r="CF157" s="591"/>
    </row>
    <row r="158" spans="1:84">
      <c r="A158" s="590"/>
      <c r="B158" s="590"/>
      <c r="C158" s="590"/>
      <c r="D158" s="590"/>
      <c r="E158" s="590"/>
      <c r="F158" s="590"/>
      <c r="G158" s="590"/>
      <c r="H158" s="590"/>
      <c r="I158" s="590"/>
      <c r="J158" s="590"/>
      <c r="K158" s="590"/>
      <c r="L158" s="590"/>
      <c r="M158" s="590"/>
      <c r="N158" s="590"/>
      <c r="O158" s="590"/>
      <c r="P158" s="590"/>
      <c r="Q158" s="590"/>
      <c r="R158" s="590"/>
      <c r="S158" s="590"/>
      <c r="T158" s="590"/>
      <c r="U158" s="590"/>
      <c r="V158" s="590"/>
      <c r="W158" s="590"/>
      <c r="X158" s="590"/>
      <c r="Y158" s="590"/>
      <c r="Z158" s="590"/>
      <c r="AA158" s="590"/>
      <c r="AB158" s="590"/>
      <c r="AC158" s="590"/>
      <c r="AD158" s="590"/>
      <c r="AE158" s="590"/>
      <c r="AF158" s="590"/>
      <c r="AG158" s="590"/>
      <c r="AH158" s="590"/>
      <c r="AI158" s="590"/>
      <c r="AJ158" s="590"/>
      <c r="AK158" s="590"/>
      <c r="AL158" s="590"/>
      <c r="AM158" s="590"/>
      <c r="AN158" s="590"/>
      <c r="AO158" s="590"/>
      <c r="AP158" s="590"/>
      <c r="AQ158" s="590"/>
      <c r="AR158" s="590"/>
      <c r="AS158" s="590"/>
      <c r="AT158" s="590"/>
      <c r="AU158" s="590"/>
      <c r="AV158" s="590"/>
      <c r="AW158" s="590"/>
      <c r="AX158" s="590"/>
      <c r="AY158" s="590"/>
      <c r="AZ158" s="590"/>
      <c r="BA158" s="590"/>
      <c r="BB158" s="590"/>
      <c r="BC158" s="590"/>
      <c r="BD158" s="590"/>
      <c r="BE158" s="590"/>
      <c r="BF158" s="590"/>
      <c r="BG158" s="590"/>
      <c r="BH158" s="590"/>
      <c r="BI158" s="590"/>
      <c r="BJ158" s="590"/>
      <c r="BK158" s="591"/>
      <c r="BL158" s="591"/>
      <c r="BM158" s="591"/>
      <c r="BN158" s="591"/>
      <c r="BO158" s="591"/>
      <c r="BP158" s="591"/>
      <c r="BQ158" s="591"/>
      <c r="BR158" s="591"/>
      <c r="BS158" s="591"/>
      <c r="BT158" s="591"/>
      <c r="BU158" s="591"/>
      <c r="BV158" s="591"/>
      <c r="BW158" s="591"/>
      <c r="BX158" s="591"/>
      <c r="BY158" s="591"/>
      <c r="BZ158" s="591"/>
      <c r="CA158" s="591"/>
      <c r="CB158" s="591"/>
      <c r="CC158" s="591"/>
      <c r="CD158" s="591"/>
      <c r="CE158" s="591"/>
      <c r="CF158" s="591"/>
    </row>
    <row r="159" spans="1:84">
      <c r="A159" s="590"/>
      <c r="B159" s="590"/>
      <c r="C159" s="590"/>
      <c r="D159" s="590"/>
      <c r="E159" s="590"/>
      <c r="F159" s="590"/>
      <c r="G159" s="590"/>
      <c r="H159" s="590"/>
      <c r="I159" s="590"/>
      <c r="J159" s="590"/>
      <c r="K159" s="590"/>
      <c r="L159" s="590"/>
      <c r="M159" s="590"/>
      <c r="N159" s="590"/>
      <c r="O159" s="590"/>
      <c r="P159" s="590"/>
      <c r="Q159" s="590"/>
      <c r="R159" s="590"/>
      <c r="S159" s="590"/>
      <c r="T159" s="590"/>
      <c r="U159" s="590"/>
      <c r="V159" s="590"/>
      <c r="W159" s="590"/>
      <c r="X159" s="590"/>
      <c r="Y159" s="590"/>
      <c r="Z159" s="590"/>
      <c r="AA159" s="590"/>
      <c r="AB159" s="590"/>
      <c r="AC159" s="590"/>
      <c r="AD159" s="590"/>
      <c r="AE159" s="590"/>
      <c r="AF159" s="590"/>
      <c r="AG159" s="590"/>
      <c r="AH159" s="590"/>
      <c r="AI159" s="590"/>
      <c r="AJ159" s="590"/>
      <c r="AK159" s="590"/>
      <c r="AL159" s="590"/>
      <c r="AM159" s="590"/>
      <c r="AN159" s="590"/>
      <c r="AO159" s="590"/>
      <c r="AP159" s="590"/>
      <c r="AQ159" s="590"/>
      <c r="AR159" s="590"/>
      <c r="AS159" s="590"/>
      <c r="AT159" s="590"/>
      <c r="AU159" s="590"/>
      <c r="AV159" s="590"/>
      <c r="AW159" s="590"/>
      <c r="AX159" s="590"/>
      <c r="AY159" s="590"/>
      <c r="AZ159" s="590"/>
      <c r="BA159" s="590"/>
      <c r="BB159" s="590"/>
      <c r="BC159" s="590"/>
      <c r="BD159" s="590"/>
      <c r="BE159" s="590"/>
      <c r="BF159" s="590"/>
      <c r="BG159" s="590"/>
      <c r="BH159" s="590"/>
      <c r="BI159" s="590"/>
      <c r="BJ159" s="590"/>
      <c r="BK159" s="591"/>
      <c r="BL159" s="591"/>
      <c r="BM159" s="591"/>
      <c r="BN159" s="591"/>
      <c r="BO159" s="591"/>
      <c r="BP159" s="591"/>
      <c r="BQ159" s="591"/>
      <c r="BR159" s="591"/>
      <c r="BS159" s="591"/>
      <c r="BT159" s="591"/>
      <c r="BU159" s="591"/>
      <c r="BV159" s="591"/>
      <c r="BW159" s="591"/>
      <c r="BX159" s="591"/>
      <c r="BY159" s="591"/>
      <c r="BZ159" s="591"/>
      <c r="CA159" s="591"/>
      <c r="CB159" s="591"/>
      <c r="CC159" s="591"/>
      <c r="CD159" s="591"/>
      <c r="CE159" s="591"/>
      <c r="CF159" s="591"/>
    </row>
    <row r="160" spans="1:84">
      <c r="A160" s="590"/>
      <c r="B160" s="590"/>
      <c r="C160" s="590"/>
      <c r="D160" s="590"/>
      <c r="E160" s="590"/>
      <c r="F160" s="590"/>
      <c r="G160" s="590"/>
      <c r="H160" s="590"/>
      <c r="I160" s="590"/>
      <c r="J160" s="590"/>
      <c r="K160" s="590"/>
      <c r="L160" s="590"/>
      <c r="M160" s="590"/>
      <c r="N160" s="590"/>
      <c r="O160" s="590"/>
      <c r="P160" s="590"/>
      <c r="Q160" s="590"/>
      <c r="R160" s="590"/>
      <c r="S160" s="590"/>
      <c r="T160" s="590"/>
      <c r="U160" s="590"/>
      <c r="V160" s="590"/>
      <c r="W160" s="590"/>
      <c r="X160" s="590"/>
      <c r="Y160" s="590"/>
      <c r="Z160" s="590"/>
      <c r="AA160" s="590"/>
      <c r="AB160" s="590"/>
      <c r="AC160" s="590"/>
      <c r="AD160" s="590"/>
      <c r="AE160" s="590"/>
      <c r="AF160" s="590"/>
      <c r="AG160" s="590"/>
      <c r="AH160" s="590"/>
      <c r="AI160" s="590"/>
      <c r="AJ160" s="590"/>
      <c r="AK160" s="590"/>
      <c r="AL160" s="590"/>
      <c r="AM160" s="590"/>
      <c r="AN160" s="590"/>
      <c r="AO160" s="590"/>
      <c r="AP160" s="590"/>
      <c r="AQ160" s="590"/>
      <c r="AR160" s="590"/>
      <c r="AS160" s="590"/>
      <c r="AT160" s="590"/>
      <c r="AU160" s="590"/>
      <c r="AV160" s="590"/>
      <c r="AW160" s="590"/>
      <c r="AX160" s="590"/>
      <c r="AY160" s="590"/>
      <c r="AZ160" s="590"/>
      <c r="BA160" s="590"/>
      <c r="BB160" s="590"/>
      <c r="BC160" s="590"/>
      <c r="BD160" s="590"/>
      <c r="BE160" s="590"/>
      <c r="BF160" s="590"/>
      <c r="BG160" s="590"/>
      <c r="BH160" s="590"/>
      <c r="BI160" s="590"/>
      <c r="BJ160" s="590"/>
      <c r="BK160" s="591"/>
      <c r="BL160" s="591"/>
      <c r="BM160" s="591"/>
      <c r="BN160" s="591"/>
      <c r="BO160" s="591"/>
      <c r="BP160" s="591"/>
      <c r="BQ160" s="591"/>
      <c r="BR160" s="591"/>
      <c r="BS160" s="591"/>
      <c r="BT160" s="591"/>
      <c r="BU160" s="591"/>
      <c r="BV160" s="591"/>
      <c r="BW160" s="591"/>
      <c r="BX160" s="591"/>
      <c r="BY160" s="591"/>
      <c r="BZ160" s="591"/>
      <c r="CA160" s="591"/>
      <c r="CB160" s="591"/>
      <c r="CC160" s="591"/>
      <c r="CD160" s="591"/>
      <c r="CE160" s="591"/>
      <c r="CF160" s="591"/>
    </row>
    <row r="161" spans="1:84">
      <c r="A161" s="590"/>
      <c r="B161" s="590"/>
      <c r="C161" s="590"/>
      <c r="D161" s="590"/>
      <c r="E161" s="590"/>
      <c r="F161" s="590"/>
      <c r="G161" s="590"/>
      <c r="H161" s="590"/>
      <c r="I161" s="590"/>
      <c r="J161" s="590"/>
      <c r="K161" s="590"/>
      <c r="L161" s="590"/>
      <c r="M161" s="590"/>
      <c r="N161" s="590"/>
      <c r="O161" s="590"/>
      <c r="P161" s="590"/>
      <c r="Q161" s="590"/>
      <c r="R161" s="590"/>
      <c r="S161" s="590"/>
      <c r="T161" s="590"/>
      <c r="U161" s="590"/>
      <c r="V161" s="590"/>
      <c r="W161" s="590"/>
      <c r="X161" s="590"/>
      <c r="Y161" s="590"/>
      <c r="Z161" s="590"/>
      <c r="AA161" s="590"/>
      <c r="AB161" s="590"/>
      <c r="AC161" s="590"/>
      <c r="AD161" s="590"/>
      <c r="AE161" s="590"/>
      <c r="AF161" s="590"/>
      <c r="AG161" s="590"/>
      <c r="AH161" s="590"/>
      <c r="AI161" s="590"/>
      <c r="AJ161" s="590"/>
      <c r="AK161" s="590"/>
      <c r="AL161" s="590"/>
      <c r="AM161" s="590"/>
      <c r="AN161" s="590"/>
      <c r="AO161" s="590"/>
      <c r="AP161" s="590"/>
      <c r="AQ161" s="590"/>
      <c r="AR161" s="590"/>
      <c r="AS161" s="590"/>
      <c r="AT161" s="590"/>
      <c r="AU161" s="590"/>
      <c r="AV161" s="590"/>
      <c r="AW161" s="590"/>
      <c r="AX161" s="590"/>
      <c r="AY161" s="590"/>
      <c r="AZ161" s="590"/>
      <c r="BA161" s="590"/>
      <c r="BB161" s="590"/>
      <c r="BC161" s="590"/>
      <c r="BD161" s="590"/>
      <c r="BE161" s="590"/>
      <c r="BF161" s="590"/>
      <c r="BG161" s="590"/>
      <c r="BH161" s="590"/>
      <c r="BI161" s="590"/>
      <c r="BJ161" s="590"/>
      <c r="BK161" s="591"/>
      <c r="BL161" s="591"/>
      <c r="BM161" s="591"/>
      <c r="BN161" s="591"/>
      <c r="BO161" s="591"/>
      <c r="BP161" s="591"/>
      <c r="BQ161" s="591"/>
      <c r="BR161" s="591"/>
      <c r="BS161" s="591"/>
      <c r="BT161" s="591"/>
      <c r="BU161" s="591"/>
      <c r="BV161" s="591"/>
      <c r="BW161" s="591"/>
      <c r="BX161" s="591"/>
      <c r="BY161" s="591"/>
      <c r="BZ161" s="591"/>
      <c r="CA161" s="591"/>
      <c r="CB161" s="591"/>
      <c r="CC161" s="591"/>
      <c r="CD161" s="591"/>
      <c r="CE161" s="591"/>
      <c r="CF161" s="591"/>
    </row>
    <row r="162" spans="1:84">
      <c r="A162" s="590"/>
      <c r="B162" s="590"/>
      <c r="C162" s="590"/>
      <c r="D162" s="590"/>
      <c r="E162" s="590"/>
      <c r="F162" s="590"/>
      <c r="G162" s="590"/>
      <c r="H162" s="590"/>
      <c r="I162" s="590"/>
      <c r="J162" s="590"/>
      <c r="K162" s="590"/>
      <c r="L162" s="590"/>
      <c r="M162" s="590"/>
      <c r="N162" s="590"/>
      <c r="O162" s="590"/>
      <c r="P162" s="590"/>
      <c r="Q162" s="590"/>
      <c r="R162" s="590"/>
      <c r="S162" s="590"/>
      <c r="T162" s="590"/>
      <c r="U162" s="590"/>
      <c r="V162" s="590"/>
      <c r="W162" s="590"/>
      <c r="X162" s="590"/>
      <c r="Y162" s="590"/>
      <c r="Z162" s="590"/>
      <c r="AA162" s="590"/>
      <c r="AB162" s="590"/>
      <c r="AC162" s="590"/>
      <c r="AD162" s="590"/>
      <c r="AE162" s="590"/>
      <c r="AF162" s="590"/>
      <c r="AG162" s="590"/>
      <c r="AH162" s="590"/>
      <c r="AI162" s="590"/>
      <c r="AJ162" s="590"/>
      <c r="AK162" s="590"/>
      <c r="AL162" s="590"/>
      <c r="AM162" s="590"/>
      <c r="AN162" s="590"/>
      <c r="AO162" s="590"/>
      <c r="AP162" s="590"/>
      <c r="AQ162" s="590"/>
      <c r="AR162" s="590"/>
      <c r="AS162" s="590"/>
      <c r="AT162" s="590"/>
      <c r="AU162" s="590"/>
      <c r="AV162" s="590"/>
      <c r="AW162" s="590"/>
      <c r="AX162" s="590"/>
      <c r="AY162" s="590"/>
      <c r="AZ162" s="590"/>
      <c r="BA162" s="590"/>
      <c r="BB162" s="590"/>
      <c r="BC162" s="590"/>
      <c r="BD162" s="590"/>
      <c r="BE162" s="590"/>
      <c r="BF162" s="590"/>
      <c r="BG162" s="590"/>
      <c r="BH162" s="590"/>
      <c r="BI162" s="590"/>
      <c r="BJ162" s="590"/>
      <c r="BK162" s="591"/>
      <c r="BL162" s="591"/>
      <c r="BM162" s="591"/>
      <c r="BN162" s="591"/>
      <c r="BO162" s="591"/>
      <c r="BP162" s="591"/>
      <c r="BQ162" s="591"/>
      <c r="BR162" s="591"/>
      <c r="BS162" s="591"/>
      <c r="BT162" s="591"/>
      <c r="BU162" s="591"/>
      <c r="BV162" s="591"/>
      <c r="BW162" s="591"/>
      <c r="BX162" s="591"/>
      <c r="BY162" s="591"/>
      <c r="BZ162" s="591"/>
      <c r="CA162" s="591"/>
      <c r="CB162" s="591"/>
      <c r="CC162" s="591"/>
      <c r="CD162" s="591"/>
      <c r="CE162" s="591"/>
      <c r="CF162" s="591"/>
    </row>
    <row r="163" spans="1:84">
      <c r="A163" s="590"/>
      <c r="B163" s="590"/>
      <c r="C163" s="590"/>
      <c r="D163" s="590"/>
      <c r="E163" s="590"/>
      <c r="F163" s="590"/>
      <c r="G163" s="590"/>
      <c r="H163" s="590"/>
      <c r="I163" s="590"/>
      <c r="J163" s="590"/>
      <c r="K163" s="590"/>
      <c r="L163" s="590"/>
      <c r="M163" s="590"/>
      <c r="N163" s="590"/>
      <c r="O163" s="590"/>
      <c r="P163" s="590"/>
      <c r="Q163" s="590"/>
      <c r="R163" s="590"/>
      <c r="S163" s="590"/>
      <c r="T163" s="590"/>
      <c r="U163" s="590"/>
      <c r="V163" s="590"/>
      <c r="W163" s="590"/>
      <c r="X163" s="590"/>
      <c r="Y163" s="590"/>
      <c r="Z163" s="590"/>
      <c r="AA163" s="590"/>
      <c r="AB163" s="590"/>
      <c r="AC163" s="590"/>
      <c r="AD163" s="590"/>
      <c r="AE163" s="590"/>
      <c r="AF163" s="590"/>
      <c r="AG163" s="590"/>
      <c r="AH163" s="590"/>
      <c r="AI163" s="590"/>
      <c r="AJ163" s="590"/>
      <c r="AK163" s="590"/>
      <c r="AL163" s="590"/>
      <c r="AM163" s="590"/>
      <c r="AN163" s="590"/>
      <c r="AO163" s="590"/>
      <c r="AP163" s="590"/>
      <c r="AQ163" s="590"/>
      <c r="AR163" s="590"/>
      <c r="AS163" s="590"/>
      <c r="AT163" s="590"/>
      <c r="AU163" s="590"/>
      <c r="AV163" s="590"/>
      <c r="AW163" s="590"/>
      <c r="AX163" s="590"/>
      <c r="AY163" s="590"/>
      <c r="AZ163" s="590"/>
      <c r="BA163" s="590"/>
      <c r="BB163" s="590"/>
      <c r="BC163" s="590"/>
      <c r="BD163" s="590"/>
      <c r="BE163" s="590"/>
      <c r="BF163" s="590"/>
      <c r="BG163" s="590"/>
      <c r="BH163" s="590"/>
      <c r="BI163" s="590"/>
      <c r="BJ163" s="590"/>
      <c r="BK163" s="591"/>
      <c r="BL163" s="591"/>
      <c r="BM163" s="591"/>
      <c r="BN163" s="591"/>
      <c r="BO163" s="591"/>
      <c r="BP163" s="591"/>
      <c r="BQ163" s="591"/>
      <c r="BR163" s="591"/>
      <c r="BS163" s="591"/>
      <c r="BT163" s="591"/>
      <c r="BU163" s="591"/>
      <c r="BV163" s="591"/>
      <c r="BW163" s="591"/>
      <c r="BX163" s="591"/>
      <c r="BY163" s="591"/>
      <c r="BZ163" s="591"/>
      <c r="CA163" s="591"/>
      <c r="CB163" s="591"/>
      <c r="CC163" s="591"/>
      <c r="CD163" s="591"/>
      <c r="CE163" s="591"/>
      <c r="CF163" s="591"/>
    </row>
    <row r="164" spans="1:84">
      <c r="A164" s="590"/>
      <c r="B164" s="590"/>
      <c r="C164" s="590"/>
      <c r="D164" s="590"/>
      <c r="E164" s="590"/>
      <c r="F164" s="590"/>
      <c r="G164" s="590"/>
      <c r="H164" s="590"/>
      <c r="I164" s="590"/>
      <c r="J164" s="590"/>
      <c r="K164" s="590"/>
      <c r="L164" s="590"/>
      <c r="M164" s="590"/>
      <c r="N164" s="590"/>
      <c r="O164" s="590"/>
      <c r="P164" s="590"/>
      <c r="Q164" s="590"/>
      <c r="R164" s="590"/>
      <c r="S164" s="590"/>
      <c r="T164" s="590"/>
      <c r="U164" s="590"/>
      <c r="V164" s="590"/>
      <c r="W164" s="590"/>
      <c r="X164" s="590"/>
      <c r="Y164" s="590"/>
      <c r="Z164" s="590"/>
      <c r="AA164" s="590"/>
      <c r="AB164" s="590"/>
      <c r="AC164" s="590"/>
      <c r="AD164" s="590"/>
      <c r="AE164" s="590"/>
      <c r="AF164" s="590"/>
      <c r="AG164" s="590"/>
      <c r="AH164" s="590"/>
      <c r="AI164" s="590"/>
      <c r="AJ164" s="590"/>
      <c r="AK164" s="590"/>
      <c r="AL164" s="590"/>
      <c r="AM164" s="590"/>
      <c r="AN164" s="590"/>
      <c r="AO164" s="590"/>
      <c r="AP164" s="590"/>
      <c r="AQ164" s="590"/>
      <c r="AR164" s="590"/>
      <c r="AS164" s="590"/>
      <c r="AT164" s="590"/>
      <c r="AU164" s="590"/>
      <c r="AV164" s="590"/>
      <c r="AW164" s="590"/>
      <c r="AX164" s="590"/>
      <c r="AY164" s="590"/>
      <c r="AZ164" s="590"/>
      <c r="BA164" s="590"/>
      <c r="BB164" s="590"/>
      <c r="BC164" s="590"/>
      <c r="BD164" s="590"/>
      <c r="BE164" s="590"/>
      <c r="BF164" s="590"/>
      <c r="BG164" s="590"/>
      <c r="BH164" s="590"/>
      <c r="BI164" s="590"/>
      <c r="BJ164" s="590"/>
      <c r="BK164" s="591"/>
      <c r="BL164" s="591"/>
      <c r="BM164" s="591"/>
      <c r="BN164" s="591"/>
      <c r="BO164" s="591"/>
      <c r="BP164" s="591"/>
      <c r="BQ164" s="591"/>
      <c r="BR164" s="591"/>
      <c r="BS164" s="591"/>
      <c r="BT164" s="591"/>
      <c r="BU164" s="591"/>
      <c r="BV164" s="591"/>
      <c r="BW164" s="591"/>
      <c r="BX164" s="591"/>
      <c r="BY164" s="591"/>
      <c r="BZ164" s="591"/>
      <c r="CA164" s="591"/>
      <c r="CB164" s="591"/>
      <c r="CC164" s="591"/>
      <c r="CD164" s="591"/>
      <c r="CE164" s="591"/>
      <c r="CF164" s="591"/>
    </row>
    <row r="165" spans="1:84">
      <c r="A165" s="590"/>
      <c r="B165" s="590"/>
      <c r="C165" s="590"/>
      <c r="D165" s="590"/>
      <c r="E165" s="590"/>
      <c r="F165" s="590"/>
      <c r="G165" s="590"/>
      <c r="H165" s="590"/>
      <c r="I165" s="590"/>
      <c r="J165" s="590"/>
      <c r="K165" s="590"/>
      <c r="L165" s="590"/>
      <c r="M165" s="590"/>
      <c r="N165" s="590"/>
      <c r="O165" s="590"/>
      <c r="P165" s="590"/>
      <c r="Q165" s="590"/>
      <c r="R165" s="590"/>
      <c r="S165" s="590"/>
      <c r="T165" s="590"/>
      <c r="U165" s="590"/>
      <c r="V165" s="590"/>
      <c r="W165" s="590"/>
      <c r="X165" s="590"/>
      <c r="Y165" s="590"/>
      <c r="Z165" s="590"/>
      <c r="AA165" s="590"/>
      <c r="AB165" s="590"/>
      <c r="AC165" s="590"/>
      <c r="AD165" s="590"/>
      <c r="AE165" s="590"/>
      <c r="AF165" s="590"/>
      <c r="AG165" s="590"/>
      <c r="AH165" s="590"/>
      <c r="AI165" s="590"/>
      <c r="AJ165" s="590"/>
      <c r="AK165" s="590"/>
      <c r="AL165" s="590"/>
      <c r="AM165" s="590"/>
      <c r="AN165" s="590"/>
      <c r="AO165" s="590"/>
      <c r="AP165" s="590"/>
      <c r="AQ165" s="590"/>
      <c r="AR165" s="590"/>
      <c r="AS165" s="590"/>
      <c r="AT165" s="590"/>
      <c r="AU165" s="590"/>
      <c r="AV165" s="590"/>
      <c r="AW165" s="590"/>
      <c r="AX165" s="590"/>
      <c r="AY165" s="590"/>
      <c r="AZ165" s="590"/>
      <c r="BA165" s="590"/>
      <c r="BB165" s="590"/>
      <c r="BC165" s="590"/>
      <c r="BD165" s="590"/>
      <c r="BE165" s="590"/>
      <c r="BF165" s="590"/>
      <c r="BG165" s="590"/>
      <c r="BH165" s="590"/>
      <c r="BI165" s="590"/>
      <c r="BJ165" s="590"/>
      <c r="BK165" s="591"/>
      <c r="BL165" s="591"/>
      <c r="BM165" s="591"/>
      <c r="BN165" s="591"/>
      <c r="BO165" s="591"/>
      <c r="BP165" s="591"/>
      <c r="BQ165" s="591"/>
      <c r="BR165" s="591"/>
      <c r="BS165" s="591"/>
      <c r="BT165" s="591"/>
      <c r="BU165" s="591"/>
      <c r="BV165" s="591"/>
      <c r="BW165" s="591"/>
      <c r="BX165" s="591"/>
      <c r="BY165" s="591"/>
      <c r="BZ165" s="591"/>
      <c r="CA165" s="591"/>
      <c r="CB165" s="591"/>
      <c r="CC165" s="591"/>
      <c r="CD165" s="591"/>
      <c r="CE165" s="591"/>
      <c r="CF165" s="591"/>
    </row>
    <row r="166" spans="1:84">
      <c r="A166" s="590"/>
      <c r="B166" s="590"/>
      <c r="C166" s="590"/>
      <c r="D166" s="590"/>
      <c r="E166" s="590"/>
      <c r="F166" s="590"/>
      <c r="G166" s="590"/>
      <c r="H166" s="590"/>
      <c r="I166" s="590"/>
      <c r="J166" s="590"/>
      <c r="K166" s="590"/>
      <c r="L166" s="590"/>
      <c r="M166" s="590"/>
      <c r="N166" s="590"/>
      <c r="O166" s="590"/>
      <c r="P166" s="590"/>
      <c r="Q166" s="590"/>
      <c r="R166" s="590"/>
      <c r="S166" s="590"/>
      <c r="T166" s="590"/>
      <c r="U166" s="590"/>
      <c r="V166" s="590"/>
      <c r="W166" s="590"/>
      <c r="X166" s="590"/>
      <c r="Y166" s="590"/>
      <c r="Z166" s="590"/>
      <c r="AA166" s="590"/>
      <c r="AB166" s="590"/>
      <c r="AC166" s="590"/>
      <c r="AD166" s="590"/>
      <c r="AE166" s="590"/>
      <c r="AF166" s="590"/>
      <c r="AG166" s="590"/>
      <c r="AH166" s="590"/>
      <c r="AI166" s="590"/>
      <c r="AJ166" s="590"/>
      <c r="AK166" s="590"/>
      <c r="AL166" s="590"/>
      <c r="AM166" s="590"/>
      <c r="AN166" s="590"/>
      <c r="AO166" s="590"/>
      <c r="AP166" s="590"/>
      <c r="AQ166" s="590"/>
      <c r="AR166" s="590"/>
      <c r="AS166" s="590"/>
      <c r="AT166" s="590"/>
      <c r="AU166" s="590"/>
      <c r="AV166" s="590"/>
      <c r="AW166" s="590"/>
      <c r="AX166" s="590"/>
      <c r="AY166" s="590"/>
      <c r="AZ166" s="590"/>
      <c r="BA166" s="590"/>
      <c r="BB166" s="590"/>
      <c r="BC166" s="590"/>
      <c r="BD166" s="590"/>
      <c r="BE166" s="590"/>
      <c r="BF166" s="590"/>
      <c r="BG166" s="590"/>
      <c r="BH166" s="590"/>
      <c r="BI166" s="590"/>
      <c r="BJ166" s="590"/>
      <c r="BK166" s="591"/>
      <c r="BL166" s="591"/>
      <c r="BM166" s="591"/>
      <c r="BN166" s="591"/>
      <c r="BO166" s="591"/>
      <c r="BP166" s="591"/>
      <c r="BQ166" s="591"/>
      <c r="BR166" s="591"/>
      <c r="BS166" s="591"/>
      <c r="BT166" s="591"/>
      <c r="BU166" s="591"/>
      <c r="BV166" s="591"/>
      <c r="BW166" s="591"/>
      <c r="BX166" s="591"/>
      <c r="BY166" s="591"/>
      <c r="BZ166" s="591"/>
      <c r="CA166" s="591"/>
      <c r="CB166" s="591"/>
      <c r="CC166" s="591"/>
      <c r="CD166" s="591"/>
      <c r="CE166" s="591"/>
      <c r="CF166" s="591"/>
    </row>
    <row r="167" spans="1:84">
      <c r="A167" s="590"/>
      <c r="B167" s="590"/>
      <c r="C167" s="590"/>
      <c r="D167" s="590"/>
      <c r="E167" s="590"/>
      <c r="F167" s="590"/>
      <c r="G167" s="590"/>
      <c r="H167" s="590"/>
      <c r="I167" s="590"/>
      <c r="J167" s="590"/>
      <c r="K167" s="590"/>
      <c r="L167" s="590"/>
      <c r="M167" s="590"/>
      <c r="N167" s="590"/>
      <c r="O167" s="590"/>
      <c r="P167" s="590"/>
      <c r="Q167" s="590"/>
      <c r="R167" s="590"/>
      <c r="S167" s="590"/>
      <c r="T167" s="590"/>
      <c r="U167" s="590"/>
      <c r="V167" s="590"/>
      <c r="W167" s="590"/>
      <c r="X167" s="590"/>
      <c r="Y167" s="590"/>
      <c r="Z167" s="590"/>
      <c r="AA167" s="590"/>
      <c r="AB167" s="590"/>
      <c r="AC167" s="590"/>
      <c r="AD167" s="590"/>
      <c r="AE167" s="590"/>
      <c r="AF167" s="590"/>
      <c r="AG167" s="590"/>
      <c r="AH167" s="590"/>
      <c r="AI167" s="590"/>
      <c r="AJ167" s="590"/>
      <c r="AK167" s="590"/>
      <c r="AL167" s="590"/>
      <c r="AM167" s="590"/>
      <c r="AN167" s="590"/>
      <c r="AO167" s="590"/>
      <c r="AP167" s="590"/>
      <c r="AQ167" s="590"/>
      <c r="AR167" s="590"/>
      <c r="AS167" s="590"/>
      <c r="AT167" s="590"/>
      <c r="AU167" s="590"/>
      <c r="AV167" s="590"/>
      <c r="AW167" s="590"/>
      <c r="AX167" s="590"/>
      <c r="AY167" s="590"/>
      <c r="AZ167" s="590"/>
      <c r="BA167" s="590"/>
      <c r="BB167" s="590"/>
      <c r="BC167" s="590"/>
      <c r="BD167" s="590"/>
      <c r="BE167" s="590"/>
      <c r="BF167" s="590"/>
      <c r="BG167" s="590"/>
      <c r="BH167" s="590"/>
      <c r="BI167" s="590"/>
      <c r="BJ167" s="590"/>
      <c r="BK167" s="591"/>
      <c r="BL167" s="591"/>
      <c r="BM167" s="591"/>
      <c r="BN167" s="591"/>
      <c r="BO167" s="591"/>
      <c r="BP167" s="591"/>
      <c r="BQ167" s="591"/>
      <c r="BR167" s="591"/>
      <c r="BS167" s="591"/>
      <c r="BT167" s="591"/>
      <c r="BU167" s="591"/>
      <c r="BV167" s="591"/>
      <c r="BW167" s="591"/>
      <c r="BX167" s="591"/>
      <c r="BY167" s="591"/>
      <c r="BZ167" s="591"/>
      <c r="CA167" s="591"/>
      <c r="CB167" s="591"/>
      <c r="CC167" s="591"/>
      <c r="CD167" s="591"/>
      <c r="CE167" s="591"/>
      <c r="CF167" s="591"/>
    </row>
    <row r="168" spans="1:84">
      <c r="A168" s="590"/>
      <c r="B168" s="590"/>
      <c r="C168" s="590"/>
      <c r="D168" s="590"/>
      <c r="E168" s="590"/>
      <c r="F168" s="590"/>
      <c r="G168" s="590"/>
      <c r="H168" s="590"/>
      <c r="I168" s="590"/>
      <c r="J168" s="590"/>
      <c r="K168" s="590"/>
      <c r="L168" s="590"/>
      <c r="M168" s="590"/>
      <c r="N168" s="590"/>
      <c r="O168" s="590"/>
      <c r="P168" s="590"/>
      <c r="Q168" s="590"/>
      <c r="R168" s="590"/>
      <c r="S168" s="590"/>
      <c r="T168" s="590"/>
      <c r="U168" s="590"/>
      <c r="V168" s="590"/>
      <c r="W168" s="590"/>
      <c r="X168" s="590"/>
      <c r="Y168" s="590"/>
      <c r="Z168" s="590"/>
      <c r="AA168" s="590"/>
      <c r="AB168" s="590"/>
      <c r="AC168" s="590"/>
      <c r="AD168" s="590"/>
      <c r="AE168" s="590"/>
      <c r="AF168" s="590"/>
      <c r="AG168" s="590"/>
      <c r="AH168" s="590"/>
      <c r="AI168" s="590"/>
      <c r="AJ168" s="590"/>
      <c r="AK168" s="590"/>
      <c r="AL168" s="590"/>
      <c r="AM168" s="590"/>
      <c r="AN168" s="590"/>
      <c r="AO168" s="590"/>
      <c r="AP168" s="590"/>
      <c r="AQ168" s="590"/>
      <c r="AR168" s="590"/>
      <c r="AS168" s="590"/>
      <c r="AT168" s="590"/>
      <c r="AU168" s="590"/>
      <c r="AV168" s="590"/>
      <c r="AW168" s="590"/>
      <c r="AX168" s="590"/>
      <c r="AY168" s="590"/>
      <c r="AZ168" s="590"/>
      <c r="BA168" s="590"/>
      <c r="BB168" s="590"/>
      <c r="BC168" s="590"/>
      <c r="BD168" s="590"/>
      <c r="BE168" s="590"/>
      <c r="BF168" s="590"/>
      <c r="BG168" s="590"/>
      <c r="BH168" s="590"/>
      <c r="BI168" s="590"/>
      <c r="BJ168" s="590"/>
      <c r="BK168" s="591"/>
      <c r="BL168" s="591"/>
      <c r="BM168" s="591"/>
      <c r="BN168" s="591"/>
      <c r="BO168" s="591"/>
      <c r="BP168" s="591"/>
      <c r="BQ168" s="591"/>
      <c r="BR168" s="591"/>
      <c r="BS168" s="591"/>
      <c r="BT168" s="591"/>
      <c r="BU168" s="591"/>
      <c r="BV168" s="591"/>
      <c r="BW168" s="591"/>
      <c r="BX168" s="591"/>
      <c r="BY168" s="591"/>
      <c r="BZ168" s="591"/>
      <c r="CA168" s="591"/>
      <c r="CB168" s="591"/>
      <c r="CC168" s="591"/>
      <c r="CD168" s="591"/>
      <c r="CE168" s="591"/>
      <c r="CF168" s="591"/>
    </row>
    <row r="169" spans="1:84">
      <c r="A169" s="590"/>
      <c r="B169" s="590"/>
      <c r="C169" s="590"/>
      <c r="D169" s="590"/>
      <c r="E169" s="590"/>
      <c r="F169" s="590"/>
      <c r="G169" s="590"/>
      <c r="H169" s="590"/>
      <c r="I169" s="590"/>
      <c r="J169" s="590"/>
      <c r="K169" s="590"/>
      <c r="L169" s="590"/>
      <c r="M169" s="590"/>
      <c r="N169" s="590"/>
      <c r="O169" s="590"/>
      <c r="P169" s="590"/>
      <c r="Q169" s="590"/>
      <c r="R169" s="590"/>
      <c r="S169" s="590"/>
      <c r="T169" s="590"/>
      <c r="U169" s="590"/>
      <c r="V169" s="590"/>
      <c r="W169" s="590"/>
      <c r="X169" s="590"/>
      <c r="Y169" s="590"/>
      <c r="Z169" s="590"/>
      <c r="AA169" s="590"/>
      <c r="AB169" s="590"/>
      <c r="AC169" s="590"/>
      <c r="AD169" s="590"/>
      <c r="AE169" s="590"/>
      <c r="AF169" s="590"/>
      <c r="AG169" s="590"/>
      <c r="AH169" s="590"/>
      <c r="AI169" s="590"/>
      <c r="AJ169" s="590"/>
      <c r="AK169" s="590"/>
      <c r="AL169" s="590"/>
      <c r="AM169" s="590"/>
      <c r="AN169" s="590"/>
      <c r="AO169" s="590"/>
      <c r="AP169" s="590"/>
      <c r="AQ169" s="590"/>
      <c r="AR169" s="590"/>
      <c r="AS169" s="590"/>
      <c r="AT169" s="590"/>
      <c r="AU169" s="590"/>
      <c r="AV169" s="590"/>
      <c r="AW169" s="590"/>
      <c r="AX169" s="590"/>
      <c r="AY169" s="590"/>
      <c r="AZ169" s="590"/>
      <c r="BA169" s="590"/>
      <c r="BB169" s="590"/>
      <c r="BC169" s="590"/>
      <c r="BD169" s="590"/>
      <c r="BE169" s="590"/>
      <c r="BF169" s="590"/>
      <c r="BG169" s="590"/>
      <c r="BH169" s="590"/>
      <c r="BI169" s="590"/>
      <c r="BJ169" s="590"/>
      <c r="BK169" s="591"/>
      <c r="BL169" s="591"/>
      <c r="BM169" s="591"/>
      <c r="BN169" s="591"/>
      <c r="BO169" s="591"/>
      <c r="BP169" s="591"/>
      <c r="BQ169" s="591"/>
      <c r="BR169" s="591"/>
      <c r="BS169" s="591"/>
      <c r="BT169" s="591"/>
      <c r="BU169" s="591"/>
      <c r="BV169" s="591"/>
      <c r="BW169" s="591"/>
      <c r="BX169" s="591"/>
      <c r="BY169" s="591"/>
      <c r="BZ169" s="591"/>
      <c r="CA169" s="591"/>
      <c r="CB169" s="591"/>
      <c r="CC169" s="591"/>
      <c r="CD169" s="591"/>
      <c r="CE169" s="591"/>
      <c r="CF169" s="591"/>
    </row>
    <row r="170" spans="1:84">
      <c r="A170" s="590"/>
      <c r="B170" s="590"/>
      <c r="C170" s="590"/>
      <c r="D170" s="590"/>
      <c r="E170" s="590"/>
      <c r="F170" s="590"/>
      <c r="G170" s="590"/>
      <c r="H170" s="590"/>
      <c r="I170" s="590"/>
      <c r="J170" s="590"/>
      <c r="K170" s="590"/>
      <c r="L170" s="590"/>
      <c r="M170" s="590"/>
      <c r="N170" s="590"/>
      <c r="O170" s="590"/>
      <c r="P170" s="590"/>
      <c r="Q170" s="590"/>
      <c r="R170" s="590"/>
      <c r="S170" s="590"/>
      <c r="T170" s="590"/>
      <c r="U170" s="590"/>
      <c r="V170" s="590"/>
      <c r="W170" s="590"/>
      <c r="X170" s="590"/>
      <c r="Y170" s="590"/>
      <c r="Z170" s="590"/>
      <c r="AA170" s="590"/>
      <c r="AB170" s="590"/>
      <c r="AC170" s="590"/>
      <c r="AD170" s="590"/>
      <c r="AE170" s="590"/>
      <c r="AF170" s="590"/>
      <c r="AG170" s="590"/>
      <c r="AH170" s="590"/>
      <c r="AI170" s="590"/>
      <c r="AJ170" s="590"/>
      <c r="AK170" s="590"/>
      <c r="AL170" s="590"/>
      <c r="AM170" s="590"/>
      <c r="AN170" s="590"/>
      <c r="AO170" s="590"/>
      <c r="AP170" s="590"/>
      <c r="AQ170" s="590"/>
      <c r="AR170" s="590"/>
      <c r="AS170" s="590"/>
      <c r="AT170" s="590"/>
      <c r="AU170" s="590"/>
      <c r="AV170" s="590"/>
      <c r="AW170" s="590"/>
      <c r="AX170" s="590"/>
      <c r="AY170" s="590"/>
      <c r="AZ170" s="590"/>
      <c r="BA170" s="590"/>
      <c r="BB170" s="590"/>
      <c r="BC170" s="590"/>
      <c r="BD170" s="590"/>
      <c r="BE170" s="590"/>
      <c r="BF170" s="590"/>
      <c r="BG170" s="590"/>
      <c r="BH170" s="590"/>
      <c r="BI170" s="590"/>
      <c r="BJ170" s="590"/>
      <c r="BK170" s="591"/>
      <c r="BL170" s="591"/>
      <c r="BM170" s="591"/>
      <c r="BN170" s="591"/>
      <c r="BO170" s="591"/>
      <c r="BP170" s="591"/>
      <c r="BQ170" s="591"/>
      <c r="BR170" s="591"/>
      <c r="BS170" s="591"/>
      <c r="BT170" s="591"/>
      <c r="BU170" s="591"/>
      <c r="BV170" s="591"/>
      <c r="BW170" s="591"/>
      <c r="BX170" s="591"/>
      <c r="BY170" s="591"/>
      <c r="BZ170" s="591"/>
      <c r="CA170" s="591"/>
      <c r="CB170" s="591"/>
      <c r="CC170" s="591"/>
      <c r="CD170" s="591"/>
      <c r="CE170" s="591"/>
      <c r="CF170" s="591"/>
    </row>
    <row r="171" spans="1:84">
      <c r="A171" s="590"/>
      <c r="B171" s="590"/>
      <c r="C171" s="590"/>
      <c r="D171" s="590"/>
      <c r="E171" s="590"/>
      <c r="F171" s="590"/>
      <c r="G171" s="590"/>
      <c r="H171" s="590"/>
      <c r="I171" s="590"/>
      <c r="J171" s="590"/>
      <c r="K171" s="590"/>
      <c r="L171" s="590"/>
      <c r="M171" s="590"/>
      <c r="N171" s="590"/>
      <c r="O171" s="590"/>
      <c r="P171" s="590"/>
      <c r="Q171" s="590"/>
      <c r="R171" s="590"/>
      <c r="S171" s="590"/>
      <c r="T171" s="590"/>
      <c r="U171" s="590"/>
      <c r="V171" s="590"/>
      <c r="W171" s="590"/>
      <c r="X171" s="590"/>
      <c r="Y171" s="590"/>
      <c r="Z171" s="590"/>
      <c r="AA171" s="590"/>
      <c r="AB171" s="590"/>
      <c r="AC171" s="590"/>
      <c r="AD171" s="590"/>
      <c r="AE171" s="590"/>
      <c r="AF171" s="590"/>
      <c r="AG171" s="590"/>
      <c r="AH171" s="590"/>
      <c r="AI171" s="590"/>
      <c r="AJ171" s="590"/>
      <c r="AK171" s="590"/>
      <c r="AL171" s="590"/>
      <c r="AM171" s="590"/>
      <c r="AN171" s="590"/>
      <c r="AO171" s="590"/>
      <c r="AP171" s="590"/>
      <c r="AQ171" s="590"/>
      <c r="AR171" s="590"/>
      <c r="AS171" s="590"/>
      <c r="AT171" s="590"/>
      <c r="AU171" s="590"/>
      <c r="AV171" s="590"/>
      <c r="AW171" s="590"/>
      <c r="AX171" s="590"/>
      <c r="AY171" s="590"/>
      <c r="AZ171" s="590"/>
      <c r="BA171" s="590"/>
      <c r="BB171" s="590"/>
      <c r="BC171" s="590"/>
      <c r="BD171" s="590"/>
      <c r="BE171" s="590"/>
      <c r="BF171" s="590"/>
      <c r="BG171" s="590"/>
      <c r="BH171" s="590"/>
      <c r="BI171" s="590"/>
      <c r="BJ171" s="590"/>
      <c r="BK171" s="591"/>
      <c r="BL171" s="591"/>
      <c r="BM171" s="591"/>
      <c r="BN171" s="591"/>
      <c r="BO171" s="591"/>
      <c r="BP171" s="591"/>
      <c r="BQ171" s="591"/>
      <c r="BR171" s="591"/>
      <c r="BS171" s="591"/>
      <c r="BT171" s="591"/>
      <c r="BU171" s="591"/>
      <c r="BV171" s="591"/>
      <c r="BW171" s="591"/>
      <c r="BX171" s="591"/>
      <c r="BY171" s="591"/>
      <c r="BZ171" s="591"/>
      <c r="CA171" s="591"/>
      <c r="CB171" s="591"/>
      <c r="CC171" s="591"/>
      <c r="CD171" s="591"/>
      <c r="CE171" s="591"/>
      <c r="CF171" s="591"/>
    </row>
    <row r="172" spans="1:84">
      <c r="A172" s="590"/>
      <c r="B172" s="590"/>
      <c r="C172" s="590"/>
      <c r="D172" s="590"/>
      <c r="E172" s="590"/>
      <c r="F172" s="590"/>
      <c r="G172" s="590"/>
      <c r="H172" s="590"/>
      <c r="I172" s="590"/>
      <c r="J172" s="590"/>
      <c r="K172" s="590"/>
      <c r="L172" s="590"/>
      <c r="M172" s="590"/>
      <c r="N172" s="590"/>
      <c r="O172" s="590"/>
      <c r="P172" s="590"/>
      <c r="Q172" s="590"/>
      <c r="R172" s="590"/>
      <c r="S172" s="590"/>
      <c r="T172" s="590"/>
      <c r="U172" s="590"/>
      <c r="V172" s="590"/>
      <c r="W172" s="590"/>
      <c r="X172" s="590"/>
      <c r="Y172" s="590"/>
      <c r="Z172" s="590"/>
      <c r="AA172" s="590"/>
      <c r="AB172" s="590"/>
      <c r="AC172" s="590"/>
      <c r="AD172" s="590"/>
      <c r="AE172" s="590"/>
      <c r="AF172" s="590"/>
      <c r="AG172" s="590"/>
      <c r="AH172" s="590"/>
      <c r="AI172" s="590"/>
      <c r="AJ172" s="590"/>
      <c r="AK172" s="590"/>
      <c r="AL172" s="590"/>
      <c r="AM172" s="590"/>
      <c r="AN172" s="590"/>
      <c r="AO172" s="590"/>
      <c r="AP172" s="590"/>
      <c r="AQ172" s="590"/>
      <c r="AR172" s="590"/>
      <c r="AS172" s="590"/>
      <c r="AT172" s="590"/>
      <c r="AU172" s="590"/>
      <c r="AV172" s="590"/>
      <c r="AW172" s="590"/>
      <c r="AX172" s="590"/>
      <c r="AY172" s="590"/>
      <c r="AZ172" s="590"/>
      <c r="BA172" s="590"/>
      <c r="BB172" s="590"/>
      <c r="BC172" s="590"/>
      <c r="BD172" s="590"/>
      <c r="BE172" s="590"/>
      <c r="BF172" s="590"/>
      <c r="BG172" s="590"/>
      <c r="BH172" s="590"/>
      <c r="BI172" s="590"/>
      <c r="BJ172" s="590"/>
      <c r="BK172" s="591"/>
      <c r="BL172" s="591"/>
      <c r="BM172" s="591"/>
      <c r="BN172" s="591"/>
      <c r="BO172" s="591"/>
      <c r="BP172" s="591"/>
      <c r="BQ172" s="591"/>
      <c r="BR172" s="591"/>
      <c r="BS172" s="591"/>
      <c r="BT172" s="591"/>
      <c r="BU172" s="591"/>
      <c r="BV172" s="591"/>
      <c r="BW172" s="591"/>
      <c r="BX172" s="591"/>
      <c r="BY172" s="591"/>
      <c r="BZ172" s="591"/>
      <c r="CA172" s="591"/>
      <c r="CB172" s="591"/>
      <c r="CC172" s="591"/>
      <c r="CD172" s="591"/>
      <c r="CE172" s="591"/>
      <c r="CF172" s="591"/>
    </row>
    <row r="173" spans="1:84">
      <c r="A173" s="590"/>
      <c r="B173" s="590"/>
      <c r="C173" s="590"/>
      <c r="D173" s="590"/>
      <c r="E173" s="590"/>
      <c r="F173" s="590"/>
      <c r="G173" s="590"/>
      <c r="H173" s="590"/>
      <c r="I173" s="590"/>
      <c r="J173" s="590"/>
      <c r="K173" s="590"/>
      <c r="L173" s="590"/>
      <c r="M173" s="590"/>
      <c r="N173" s="590"/>
      <c r="O173" s="590"/>
      <c r="P173" s="590"/>
      <c r="Q173" s="590"/>
      <c r="R173" s="590"/>
      <c r="S173" s="590"/>
      <c r="T173" s="590"/>
      <c r="U173" s="590"/>
      <c r="V173" s="590"/>
      <c r="W173" s="590"/>
      <c r="X173" s="590"/>
      <c r="Y173" s="590"/>
      <c r="Z173" s="590"/>
      <c r="AA173" s="590"/>
      <c r="AB173" s="590"/>
      <c r="AC173" s="590"/>
      <c r="AD173" s="590"/>
      <c r="AE173" s="590"/>
      <c r="AF173" s="590"/>
      <c r="AG173" s="590"/>
      <c r="AH173" s="590"/>
      <c r="AI173" s="590"/>
      <c r="AJ173" s="590"/>
      <c r="AK173" s="590"/>
      <c r="AL173" s="590"/>
      <c r="AM173" s="590"/>
      <c r="AN173" s="590"/>
      <c r="AO173" s="590"/>
      <c r="AP173" s="590"/>
      <c r="AQ173" s="590"/>
      <c r="AR173" s="590"/>
      <c r="AS173" s="590"/>
      <c r="AT173" s="590"/>
      <c r="AU173" s="590"/>
      <c r="AV173" s="590"/>
      <c r="AW173" s="590"/>
      <c r="AX173" s="590"/>
      <c r="AY173" s="590"/>
      <c r="AZ173" s="590"/>
      <c r="BA173" s="590"/>
      <c r="BB173" s="590"/>
      <c r="BC173" s="590"/>
      <c r="BD173" s="590"/>
      <c r="BE173" s="590"/>
      <c r="BF173" s="590"/>
      <c r="BG173" s="590"/>
      <c r="BH173" s="590"/>
      <c r="BI173" s="590"/>
      <c r="BJ173" s="590"/>
      <c r="BK173" s="591"/>
      <c r="BL173" s="591"/>
      <c r="BM173" s="591"/>
      <c r="BN173" s="591"/>
      <c r="BO173" s="591"/>
      <c r="BP173" s="591"/>
      <c r="BQ173" s="591"/>
      <c r="BR173" s="591"/>
      <c r="BS173" s="591"/>
      <c r="BT173" s="591"/>
      <c r="BU173" s="591"/>
      <c r="BV173" s="591"/>
      <c r="BW173" s="591"/>
      <c r="BX173" s="591"/>
      <c r="BY173" s="591"/>
      <c r="BZ173" s="591"/>
      <c r="CA173" s="591"/>
      <c r="CB173" s="591"/>
      <c r="CC173" s="591"/>
      <c r="CD173" s="591"/>
      <c r="CE173" s="591"/>
      <c r="CF173" s="591"/>
    </row>
    <row r="174" spans="1:84">
      <c r="A174" s="590"/>
      <c r="B174" s="590"/>
      <c r="C174" s="590"/>
      <c r="D174" s="590"/>
      <c r="E174" s="590"/>
      <c r="F174" s="590"/>
      <c r="G174" s="590"/>
      <c r="H174" s="590"/>
      <c r="I174" s="590"/>
      <c r="J174" s="590"/>
      <c r="K174" s="590"/>
      <c r="L174" s="590"/>
      <c r="M174" s="590"/>
      <c r="N174" s="590"/>
      <c r="O174" s="590"/>
      <c r="P174" s="590"/>
      <c r="Q174" s="590"/>
      <c r="R174" s="590"/>
      <c r="S174" s="590"/>
      <c r="T174" s="590"/>
      <c r="U174" s="590"/>
      <c r="V174" s="590"/>
      <c r="W174" s="590"/>
      <c r="X174" s="590"/>
      <c r="Y174" s="590"/>
      <c r="Z174" s="590"/>
      <c r="AA174" s="590"/>
      <c r="AB174" s="590"/>
      <c r="AC174" s="590"/>
      <c r="AD174" s="590"/>
      <c r="AE174" s="590"/>
      <c r="AF174" s="590"/>
      <c r="AG174" s="590"/>
      <c r="AH174" s="590"/>
      <c r="AI174" s="590"/>
      <c r="AJ174" s="590"/>
      <c r="AK174" s="590"/>
      <c r="AL174" s="590"/>
      <c r="AM174" s="590"/>
      <c r="AN174" s="590"/>
      <c r="AO174" s="590"/>
      <c r="AP174" s="590"/>
      <c r="AQ174" s="590"/>
      <c r="AR174" s="590"/>
      <c r="AS174" s="590"/>
      <c r="AT174" s="590"/>
      <c r="AU174" s="590"/>
      <c r="AV174" s="590"/>
      <c r="AW174" s="590"/>
      <c r="AX174" s="590"/>
      <c r="AY174" s="590"/>
      <c r="AZ174" s="590"/>
      <c r="BA174" s="590"/>
      <c r="BB174" s="590"/>
      <c r="BC174" s="590"/>
      <c r="BD174" s="590"/>
      <c r="BE174" s="590"/>
      <c r="BF174" s="590"/>
      <c r="BG174" s="590"/>
      <c r="BH174" s="590"/>
      <c r="BI174" s="590"/>
      <c r="BJ174" s="590"/>
      <c r="BK174" s="591"/>
      <c r="BL174" s="591"/>
      <c r="BM174" s="591"/>
      <c r="BN174" s="591"/>
      <c r="BO174" s="591"/>
      <c r="BP174" s="591"/>
      <c r="BQ174" s="591"/>
      <c r="BR174" s="591"/>
      <c r="BS174" s="591"/>
      <c r="BT174" s="591"/>
      <c r="BU174" s="591"/>
      <c r="BV174" s="591"/>
      <c r="BW174" s="591"/>
      <c r="BX174" s="591"/>
      <c r="BY174" s="591"/>
      <c r="BZ174" s="591"/>
      <c r="CA174" s="591"/>
      <c r="CB174" s="591"/>
      <c r="CC174" s="591"/>
      <c r="CD174" s="591"/>
      <c r="CE174" s="591"/>
      <c r="CF174" s="591"/>
    </row>
    <row r="175" spans="1:84">
      <c r="A175" s="590"/>
      <c r="B175" s="590"/>
      <c r="C175" s="590"/>
      <c r="D175" s="590"/>
      <c r="E175" s="590"/>
      <c r="F175" s="590"/>
      <c r="G175" s="590"/>
      <c r="H175" s="590"/>
      <c r="I175" s="590"/>
      <c r="J175" s="590"/>
      <c r="K175" s="590"/>
      <c r="L175" s="590"/>
      <c r="M175" s="590"/>
      <c r="N175" s="590"/>
      <c r="O175" s="590"/>
      <c r="P175" s="590"/>
      <c r="Q175" s="590"/>
      <c r="R175" s="590"/>
      <c r="S175" s="590"/>
      <c r="T175" s="590"/>
      <c r="U175" s="590"/>
      <c r="V175" s="590"/>
      <c r="W175" s="590"/>
      <c r="X175" s="590"/>
      <c r="Y175" s="590"/>
      <c r="Z175" s="590"/>
      <c r="AA175" s="590"/>
      <c r="AB175" s="590"/>
      <c r="AC175" s="590"/>
      <c r="AD175" s="590"/>
      <c r="AE175" s="590"/>
      <c r="AF175" s="590"/>
      <c r="AG175" s="590"/>
      <c r="AH175" s="590"/>
      <c r="AI175" s="590"/>
      <c r="AJ175" s="590"/>
      <c r="AK175" s="590"/>
      <c r="AL175" s="590"/>
      <c r="AM175" s="590"/>
      <c r="AN175" s="590"/>
      <c r="AO175" s="590"/>
      <c r="AP175" s="590"/>
      <c r="AQ175" s="590"/>
      <c r="AR175" s="590"/>
      <c r="AS175" s="590"/>
      <c r="AT175" s="590"/>
      <c r="AU175" s="590"/>
      <c r="AV175" s="590"/>
      <c r="AW175" s="590"/>
      <c r="AX175" s="590"/>
      <c r="AY175" s="590"/>
      <c r="AZ175" s="590"/>
      <c r="BA175" s="590"/>
      <c r="BB175" s="590"/>
      <c r="BC175" s="590"/>
      <c r="BD175" s="590"/>
      <c r="BE175" s="590"/>
      <c r="BF175" s="590"/>
      <c r="BG175" s="590"/>
      <c r="BH175" s="590"/>
      <c r="BI175" s="590"/>
      <c r="BJ175" s="590"/>
      <c r="BK175" s="591"/>
      <c r="BL175" s="591"/>
      <c r="BM175" s="591"/>
      <c r="BN175" s="591"/>
      <c r="BO175" s="591"/>
      <c r="BP175" s="591"/>
      <c r="BQ175" s="591"/>
      <c r="BR175" s="591"/>
      <c r="BS175" s="591"/>
      <c r="BT175" s="591"/>
      <c r="BU175" s="591"/>
      <c r="BV175" s="591"/>
      <c r="BW175" s="591"/>
      <c r="BX175" s="591"/>
      <c r="BY175" s="591"/>
      <c r="BZ175" s="591"/>
      <c r="CA175" s="591"/>
      <c r="CB175" s="591"/>
      <c r="CC175" s="591"/>
      <c r="CD175" s="591"/>
      <c r="CE175" s="591"/>
      <c r="CF175" s="591"/>
    </row>
    <row r="176" spans="1:84">
      <c r="A176" s="590"/>
      <c r="B176" s="590"/>
      <c r="C176" s="590"/>
      <c r="D176" s="590"/>
      <c r="E176" s="590"/>
      <c r="F176" s="590"/>
      <c r="G176" s="590"/>
      <c r="H176" s="590"/>
      <c r="I176" s="590"/>
      <c r="J176" s="590"/>
      <c r="K176" s="590"/>
      <c r="L176" s="590"/>
      <c r="M176" s="590"/>
      <c r="N176" s="590"/>
      <c r="O176" s="590"/>
      <c r="P176" s="590"/>
      <c r="Q176" s="590"/>
      <c r="R176" s="590"/>
      <c r="S176" s="590"/>
      <c r="T176" s="590"/>
      <c r="U176" s="590"/>
      <c r="V176" s="590"/>
      <c r="W176" s="590"/>
      <c r="X176" s="590"/>
      <c r="Y176" s="590"/>
      <c r="Z176" s="590"/>
      <c r="AA176" s="590"/>
      <c r="AB176" s="590"/>
      <c r="AC176" s="590"/>
      <c r="AD176" s="590"/>
      <c r="AE176" s="590"/>
      <c r="AF176" s="590"/>
      <c r="AG176" s="590"/>
      <c r="AH176" s="590"/>
      <c r="AI176" s="590"/>
      <c r="AJ176" s="590"/>
      <c r="AK176" s="590"/>
      <c r="AL176" s="590"/>
      <c r="AM176" s="590"/>
      <c r="AN176" s="590"/>
      <c r="AO176" s="590"/>
      <c r="AP176" s="590"/>
      <c r="AQ176" s="590"/>
      <c r="AR176" s="590"/>
      <c r="AS176" s="590"/>
      <c r="AT176" s="590"/>
      <c r="AU176" s="590"/>
      <c r="AV176" s="590"/>
      <c r="AW176" s="590"/>
      <c r="AX176" s="590"/>
      <c r="AY176" s="590"/>
      <c r="AZ176" s="590"/>
      <c r="BA176" s="590"/>
      <c r="BB176" s="590"/>
      <c r="BC176" s="590"/>
      <c r="BD176" s="590"/>
      <c r="BE176" s="590"/>
      <c r="BF176" s="590"/>
      <c r="BG176" s="590"/>
      <c r="BH176" s="590"/>
      <c r="BI176" s="590"/>
      <c r="BJ176" s="590"/>
      <c r="BK176" s="591"/>
      <c r="BL176" s="591"/>
      <c r="BM176" s="591"/>
      <c r="BN176" s="591"/>
      <c r="BO176" s="591"/>
      <c r="BP176" s="591"/>
      <c r="BQ176" s="591"/>
      <c r="BR176" s="591"/>
      <c r="BS176" s="591"/>
      <c r="BT176" s="591"/>
      <c r="BU176" s="591"/>
      <c r="BV176" s="591"/>
      <c r="BW176" s="591"/>
      <c r="BX176" s="591"/>
      <c r="BY176" s="591"/>
      <c r="BZ176" s="591"/>
      <c r="CA176" s="591"/>
      <c r="CB176" s="591"/>
      <c r="CC176" s="591"/>
      <c r="CD176" s="591"/>
      <c r="CE176" s="591"/>
      <c r="CF176" s="591"/>
    </row>
    <row r="177" spans="1:84">
      <c r="A177" s="590"/>
      <c r="B177" s="590"/>
      <c r="C177" s="590"/>
      <c r="D177" s="590"/>
      <c r="E177" s="590"/>
      <c r="F177" s="590"/>
      <c r="G177" s="590"/>
      <c r="H177" s="590"/>
      <c r="I177" s="590"/>
      <c r="J177" s="590"/>
      <c r="K177" s="590"/>
      <c r="L177" s="590"/>
      <c r="M177" s="590"/>
      <c r="N177" s="590"/>
      <c r="O177" s="590"/>
      <c r="P177" s="590"/>
      <c r="Q177" s="590"/>
      <c r="R177" s="590"/>
      <c r="S177" s="590"/>
      <c r="T177" s="590"/>
      <c r="U177" s="590"/>
      <c r="V177" s="590"/>
      <c r="W177" s="590"/>
      <c r="X177" s="590"/>
      <c r="Y177" s="590"/>
      <c r="Z177" s="590"/>
      <c r="AA177" s="590"/>
      <c r="AB177" s="590"/>
      <c r="AC177" s="590"/>
      <c r="AD177" s="590"/>
      <c r="AE177" s="590"/>
      <c r="AF177" s="590"/>
      <c r="AG177" s="590"/>
      <c r="AH177" s="590"/>
      <c r="AI177" s="590"/>
      <c r="AJ177" s="590"/>
      <c r="AK177" s="590"/>
      <c r="AL177" s="590"/>
      <c r="AM177" s="590"/>
      <c r="AN177" s="590"/>
      <c r="AO177" s="590"/>
      <c r="AP177" s="590"/>
      <c r="AQ177" s="590"/>
      <c r="AR177" s="590"/>
      <c r="AS177" s="590"/>
      <c r="AT177" s="590"/>
      <c r="AU177" s="590"/>
      <c r="AV177" s="590"/>
      <c r="AW177" s="590"/>
      <c r="AX177" s="590"/>
      <c r="AY177" s="590"/>
      <c r="AZ177" s="590"/>
      <c r="BA177" s="590"/>
      <c r="BB177" s="590"/>
      <c r="BC177" s="590"/>
      <c r="BD177" s="590"/>
      <c r="BE177" s="590"/>
      <c r="BF177" s="590"/>
      <c r="BG177" s="590"/>
      <c r="BH177" s="590"/>
      <c r="BI177" s="590"/>
      <c r="BJ177" s="590"/>
      <c r="BK177" s="591"/>
      <c r="BL177" s="591"/>
      <c r="BM177" s="591"/>
      <c r="BN177" s="591"/>
      <c r="BO177" s="591"/>
      <c r="BP177" s="591"/>
      <c r="BQ177" s="591"/>
      <c r="BR177" s="591"/>
      <c r="BS177" s="591"/>
      <c r="BT177" s="591"/>
      <c r="BU177" s="591"/>
      <c r="BV177" s="591"/>
      <c r="BW177" s="591"/>
      <c r="BX177" s="591"/>
      <c r="BY177" s="591"/>
      <c r="BZ177" s="591"/>
      <c r="CA177" s="591"/>
      <c r="CB177" s="591"/>
      <c r="CC177" s="591"/>
      <c r="CD177" s="591"/>
      <c r="CE177" s="591"/>
      <c r="CF177" s="591"/>
    </row>
    <row r="178" spans="1:84">
      <c r="A178" s="590"/>
      <c r="B178" s="590"/>
      <c r="C178" s="590"/>
      <c r="D178" s="590"/>
      <c r="E178" s="590"/>
      <c r="F178" s="590"/>
      <c r="G178" s="590"/>
      <c r="H178" s="590"/>
      <c r="I178" s="590"/>
      <c r="J178" s="590"/>
      <c r="K178" s="590"/>
      <c r="L178" s="590"/>
      <c r="M178" s="590"/>
      <c r="N178" s="590"/>
      <c r="O178" s="590"/>
      <c r="P178" s="590"/>
      <c r="Q178" s="590"/>
      <c r="R178" s="590"/>
      <c r="S178" s="590"/>
      <c r="T178" s="590"/>
      <c r="U178" s="590"/>
      <c r="V178" s="590"/>
      <c r="W178" s="590"/>
      <c r="X178" s="590"/>
      <c r="Y178" s="590"/>
      <c r="Z178" s="590"/>
      <c r="AA178" s="590"/>
      <c r="AB178" s="590"/>
      <c r="AC178" s="590"/>
      <c r="AD178" s="590"/>
      <c r="AE178" s="590"/>
      <c r="AF178" s="590"/>
      <c r="AG178" s="590"/>
      <c r="AH178" s="590"/>
      <c r="AI178" s="590"/>
      <c r="AJ178" s="590"/>
      <c r="AK178" s="590"/>
      <c r="AL178" s="590"/>
      <c r="AM178" s="590"/>
      <c r="AN178" s="590"/>
      <c r="AO178" s="590"/>
      <c r="AP178" s="590"/>
      <c r="AQ178" s="590"/>
      <c r="AR178" s="590"/>
      <c r="AS178" s="590"/>
      <c r="AT178" s="590"/>
      <c r="AU178" s="590"/>
      <c r="AV178" s="590"/>
      <c r="AW178" s="590"/>
      <c r="AX178" s="590"/>
      <c r="AY178" s="590"/>
      <c r="AZ178" s="590"/>
      <c r="BA178" s="590"/>
      <c r="BB178" s="590"/>
      <c r="BC178" s="590"/>
      <c r="BD178" s="590"/>
      <c r="BE178" s="590"/>
      <c r="BF178" s="590"/>
      <c r="BG178" s="590"/>
      <c r="BH178" s="590"/>
      <c r="BI178" s="590"/>
      <c r="BJ178" s="590"/>
      <c r="BK178" s="591"/>
      <c r="BL178" s="591"/>
      <c r="BM178" s="591"/>
      <c r="BN178" s="591"/>
      <c r="BO178" s="591"/>
      <c r="BP178" s="591"/>
      <c r="BQ178" s="591"/>
      <c r="BR178" s="591"/>
      <c r="BS178" s="591"/>
      <c r="BT178" s="591"/>
      <c r="BU178" s="591"/>
      <c r="BV178" s="591"/>
      <c r="BW178" s="591"/>
      <c r="BX178" s="591"/>
      <c r="BY178" s="591"/>
      <c r="BZ178" s="591"/>
      <c r="CA178" s="591"/>
      <c r="CB178" s="591"/>
      <c r="CC178" s="591"/>
      <c r="CD178" s="591"/>
      <c r="CE178" s="591"/>
      <c r="CF178" s="591"/>
    </row>
    <row r="179" spans="1:84">
      <c r="A179" s="590"/>
      <c r="B179" s="590"/>
      <c r="C179" s="590"/>
      <c r="D179" s="590"/>
      <c r="E179" s="590"/>
      <c r="F179" s="590"/>
      <c r="G179" s="590"/>
      <c r="H179" s="590"/>
      <c r="I179" s="590"/>
      <c r="J179" s="590"/>
      <c r="K179" s="590"/>
      <c r="L179" s="590"/>
      <c r="M179" s="590"/>
      <c r="N179" s="590"/>
      <c r="O179" s="590"/>
      <c r="P179" s="590"/>
      <c r="Q179" s="590"/>
      <c r="R179" s="590"/>
      <c r="S179" s="590"/>
      <c r="T179" s="590"/>
      <c r="U179" s="590"/>
      <c r="V179" s="590"/>
      <c r="W179" s="590"/>
      <c r="X179" s="590"/>
      <c r="Y179" s="590"/>
      <c r="Z179" s="590"/>
      <c r="AA179" s="590"/>
      <c r="AB179" s="590"/>
      <c r="AC179" s="590"/>
      <c r="AD179" s="590"/>
      <c r="AE179" s="590"/>
      <c r="AF179" s="590"/>
      <c r="AG179" s="590"/>
      <c r="AH179" s="590"/>
      <c r="AI179" s="590"/>
      <c r="AJ179" s="590"/>
      <c r="AK179" s="590"/>
      <c r="AL179" s="590"/>
      <c r="AM179" s="590"/>
      <c r="AN179" s="590"/>
      <c r="AO179" s="590"/>
      <c r="AP179" s="590"/>
      <c r="AQ179" s="590"/>
      <c r="AR179" s="590"/>
      <c r="AS179" s="590"/>
      <c r="AT179" s="590"/>
      <c r="AU179" s="590"/>
      <c r="AV179" s="590"/>
      <c r="AW179" s="590"/>
      <c r="AX179" s="590"/>
      <c r="AY179" s="590"/>
      <c r="AZ179" s="590"/>
      <c r="BA179" s="590"/>
      <c r="BB179" s="590"/>
      <c r="BC179" s="590"/>
      <c r="BD179" s="590"/>
      <c r="BE179" s="590"/>
      <c r="BF179" s="590"/>
      <c r="BG179" s="590"/>
      <c r="BH179" s="590"/>
      <c r="BI179" s="590"/>
      <c r="BJ179" s="590"/>
      <c r="BK179" s="591"/>
      <c r="BL179" s="591"/>
      <c r="BM179" s="591"/>
      <c r="BN179" s="591"/>
      <c r="BO179" s="591"/>
      <c r="BP179" s="591"/>
      <c r="BQ179" s="591"/>
      <c r="BR179" s="591"/>
      <c r="BS179" s="591"/>
      <c r="BT179" s="591"/>
      <c r="BU179" s="591"/>
      <c r="BV179" s="591"/>
      <c r="BW179" s="591"/>
      <c r="BX179" s="591"/>
      <c r="BY179" s="591"/>
      <c r="BZ179" s="591"/>
      <c r="CA179" s="591"/>
      <c r="CB179" s="591"/>
      <c r="CC179" s="591"/>
      <c r="CD179" s="591"/>
      <c r="CE179" s="591"/>
      <c r="CF179" s="591"/>
    </row>
    <row r="180" spans="1:84">
      <c r="A180" s="590"/>
      <c r="B180" s="590"/>
      <c r="C180" s="590"/>
      <c r="D180" s="590"/>
      <c r="E180" s="590"/>
      <c r="F180" s="590"/>
      <c r="G180" s="590"/>
      <c r="H180" s="590"/>
      <c r="I180" s="590"/>
      <c r="J180" s="590"/>
      <c r="K180" s="590"/>
      <c r="L180" s="590"/>
      <c r="M180" s="590"/>
      <c r="N180" s="590"/>
      <c r="O180" s="590"/>
      <c r="P180" s="590"/>
      <c r="Q180" s="590"/>
      <c r="R180" s="590"/>
      <c r="S180" s="590"/>
      <c r="T180" s="590"/>
      <c r="U180" s="590"/>
      <c r="V180" s="590"/>
      <c r="W180" s="590"/>
      <c r="X180" s="590"/>
      <c r="Y180" s="590"/>
      <c r="Z180" s="590"/>
      <c r="AA180" s="590"/>
      <c r="AB180" s="590"/>
      <c r="AC180" s="590"/>
      <c r="AD180" s="590"/>
      <c r="AE180" s="590"/>
      <c r="AF180" s="590"/>
      <c r="AG180" s="590"/>
      <c r="AH180" s="590"/>
      <c r="AI180" s="590"/>
      <c r="AJ180" s="590"/>
      <c r="AK180" s="590"/>
      <c r="AL180" s="590"/>
      <c r="AM180" s="590"/>
      <c r="AN180" s="590"/>
      <c r="AO180" s="590"/>
      <c r="AP180" s="590"/>
      <c r="AQ180" s="590"/>
      <c r="AR180" s="590"/>
      <c r="AS180" s="590"/>
      <c r="AT180" s="590"/>
      <c r="AU180" s="590"/>
      <c r="AV180" s="590"/>
      <c r="AW180" s="590"/>
      <c r="AX180" s="590"/>
      <c r="AY180" s="590"/>
      <c r="AZ180" s="590"/>
      <c r="BA180" s="590"/>
      <c r="BB180" s="590"/>
      <c r="BC180" s="590"/>
      <c r="BD180" s="590"/>
      <c r="BE180" s="590"/>
      <c r="BF180" s="590"/>
      <c r="BG180" s="590"/>
      <c r="BH180" s="590"/>
      <c r="BI180" s="590"/>
      <c r="BJ180" s="590"/>
      <c r="BK180" s="591"/>
      <c r="BL180" s="591"/>
      <c r="BM180" s="591"/>
      <c r="BN180" s="591"/>
      <c r="BO180" s="591"/>
      <c r="BP180" s="591"/>
      <c r="BQ180" s="591"/>
      <c r="BR180" s="591"/>
      <c r="BS180" s="591"/>
      <c r="BT180" s="591"/>
      <c r="BU180" s="591"/>
      <c r="BV180" s="591"/>
      <c r="BW180" s="591"/>
      <c r="BX180" s="591"/>
      <c r="BY180" s="591"/>
      <c r="BZ180" s="591"/>
      <c r="CA180" s="591"/>
      <c r="CB180" s="591"/>
      <c r="CC180" s="591"/>
      <c r="CD180" s="591"/>
      <c r="CE180" s="591"/>
      <c r="CF180" s="591"/>
    </row>
    <row r="181" spans="1:84">
      <c r="A181" s="590"/>
      <c r="B181" s="590"/>
      <c r="C181" s="590"/>
      <c r="D181" s="590"/>
      <c r="E181" s="590"/>
      <c r="F181" s="590"/>
      <c r="G181" s="590"/>
      <c r="H181" s="590"/>
      <c r="I181" s="590"/>
      <c r="J181" s="590"/>
      <c r="K181" s="590"/>
      <c r="L181" s="590"/>
      <c r="M181" s="590"/>
      <c r="N181" s="590"/>
      <c r="O181" s="590"/>
      <c r="P181" s="590"/>
      <c r="Q181" s="590"/>
      <c r="R181" s="590"/>
      <c r="S181" s="590"/>
      <c r="T181" s="590"/>
      <c r="U181" s="590"/>
      <c r="V181" s="590"/>
      <c r="W181" s="590"/>
      <c r="X181" s="590"/>
      <c r="Y181" s="590"/>
      <c r="Z181" s="590"/>
      <c r="AA181" s="590"/>
      <c r="AB181" s="590"/>
      <c r="AC181" s="590"/>
      <c r="AD181" s="590"/>
      <c r="AE181" s="590"/>
      <c r="AF181" s="590"/>
      <c r="AG181" s="590"/>
      <c r="AH181" s="590"/>
      <c r="AI181" s="590"/>
      <c r="AJ181" s="590"/>
      <c r="AK181" s="590"/>
      <c r="AL181" s="590"/>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1"/>
      <c r="BL181" s="591"/>
      <c r="BM181" s="591"/>
      <c r="BN181" s="591"/>
      <c r="BO181" s="591"/>
      <c r="BP181" s="591"/>
      <c r="BQ181" s="591"/>
      <c r="BR181" s="591"/>
      <c r="BS181" s="591"/>
      <c r="BT181" s="591"/>
      <c r="BU181" s="591"/>
      <c r="BV181" s="591"/>
      <c r="BW181" s="591"/>
      <c r="BX181" s="591"/>
      <c r="BY181" s="591"/>
      <c r="BZ181" s="591"/>
      <c r="CA181" s="591"/>
      <c r="CB181" s="591"/>
      <c r="CC181" s="591"/>
      <c r="CD181" s="591"/>
      <c r="CE181" s="591"/>
      <c r="CF181" s="591"/>
    </row>
    <row r="182" spans="1:84">
      <c r="A182" s="590"/>
      <c r="B182" s="590"/>
      <c r="C182" s="590"/>
      <c r="D182" s="590"/>
      <c r="E182" s="590"/>
      <c r="F182" s="590"/>
      <c r="G182" s="590"/>
      <c r="H182" s="590"/>
      <c r="I182" s="590"/>
      <c r="J182" s="590"/>
      <c r="K182" s="590"/>
      <c r="L182" s="590"/>
      <c r="M182" s="590"/>
      <c r="N182" s="590"/>
      <c r="O182" s="590"/>
      <c r="P182" s="590"/>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0"/>
      <c r="AQ182" s="590"/>
      <c r="AR182" s="590"/>
      <c r="AS182" s="590"/>
      <c r="AT182" s="590"/>
      <c r="AU182" s="590"/>
      <c r="AV182" s="590"/>
      <c r="AW182" s="590"/>
      <c r="AX182" s="590"/>
      <c r="AY182" s="590"/>
      <c r="AZ182" s="590"/>
      <c r="BA182" s="590"/>
      <c r="BB182" s="590"/>
      <c r="BC182" s="590"/>
      <c r="BD182" s="590"/>
      <c r="BE182" s="590"/>
      <c r="BF182" s="590"/>
      <c r="BG182" s="590"/>
      <c r="BH182" s="590"/>
      <c r="BI182" s="590"/>
      <c r="BJ182" s="590"/>
      <c r="BK182" s="591"/>
      <c r="BL182" s="591"/>
      <c r="BM182" s="591"/>
      <c r="BN182" s="591"/>
      <c r="BO182" s="591"/>
      <c r="BP182" s="591"/>
      <c r="BQ182" s="591"/>
      <c r="BR182" s="591"/>
      <c r="BS182" s="591"/>
      <c r="BT182" s="591"/>
      <c r="BU182" s="591"/>
      <c r="BV182" s="591"/>
      <c r="BW182" s="591"/>
      <c r="BX182" s="591"/>
      <c r="BY182" s="591"/>
      <c r="BZ182" s="591"/>
      <c r="CA182" s="591"/>
      <c r="CB182" s="591"/>
      <c r="CC182" s="591"/>
      <c r="CD182" s="591"/>
      <c r="CE182" s="591"/>
      <c r="CF182" s="591"/>
    </row>
    <row r="183" spans="1:84">
      <c r="A183" s="590"/>
      <c r="B183" s="590"/>
      <c r="C183" s="590"/>
      <c r="D183" s="590"/>
      <c r="E183" s="590"/>
      <c r="F183" s="590"/>
      <c r="G183" s="590"/>
      <c r="H183" s="590"/>
      <c r="I183" s="590"/>
      <c r="J183" s="590"/>
      <c r="K183" s="590"/>
      <c r="L183" s="590"/>
      <c r="M183" s="590"/>
      <c r="N183" s="590"/>
      <c r="O183" s="590"/>
      <c r="P183" s="590"/>
      <c r="Q183" s="590"/>
      <c r="R183" s="590"/>
      <c r="S183" s="590"/>
      <c r="T183" s="590"/>
      <c r="U183" s="590"/>
      <c r="V183" s="590"/>
      <c r="W183" s="590"/>
      <c r="X183" s="590"/>
      <c r="Y183" s="590"/>
      <c r="Z183" s="590"/>
      <c r="AA183" s="590"/>
      <c r="AB183" s="590"/>
      <c r="AC183" s="590"/>
      <c r="AD183" s="590"/>
      <c r="AE183" s="590"/>
      <c r="AF183" s="590"/>
      <c r="AG183" s="590"/>
      <c r="AH183" s="590"/>
      <c r="AI183" s="590"/>
      <c r="AJ183" s="590"/>
      <c r="AK183" s="590"/>
      <c r="AL183" s="590"/>
      <c r="AM183" s="590"/>
      <c r="AN183" s="590"/>
      <c r="AO183" s="590"/>
      <c r="AP183" s="590"/>
      <c r="AQ183" s="590"/>
      <c r="AR183" s="590"/>
      <c r="AS183" s="590"/>
      <c r="AT183" s="590"/>
      <c r="AU183" s="590"/>
      <c r="AV183" s="590"/>
      <c r="AW183" s="590"/>
      <c r="AX183" s="590"/>
      <c r="AY183" s="590"/>
      <c r="AZ183" s="590"/>
      <c r="BA183" s="590"/>
      <c r="BB183" s="590"/>
      <c r="BC183" s="590"/>
      <c r="BD183" s="590"/>
      <c r="BE183" s="590"/>
      <c r="BF183" s="590"/>
      <c r="BG183" s="590"/>
      <c r="BH183" s="590"/>
      <c r="BI183" s="590"/>
      <c r="BJ183" s="590"/>
      <c r="BK183" s="591"/>
      <c r="BL183" s="591"/>
      <c r="BM183" s="591"/>
      <c r="BN183" s="591"/>
      <c r="BO183" s="591"/>
      <c r="BP183" s="591"/>
      <c r="BQ183" s="591"/>
      <c r="BR183" s="591"/>
      <c r="BS183" s="591"/>
      <c r="BT183" s="591"/>
      <c r="BU183" s="591"/>
      <c r="BV183" s="591"/>
      <c r="BW183" s="591"/>
      <c r="BX183" s="591"/>
      <c r="BY183" s="591"/>
      <c r="BZ183" s="591"/>
      <c r="CA183" s="591"/>
      <c r="CB183" s="591"/>
      <c r="CC183" s="591"/>
      <c r="CD183" s="591"/>
      <c r="CE183" s="591"/>
      <c r="CF183" s="591"/>
    </row>
    <row r="184" spans="1:84">
      <c r="A184" s="590"/>
      <c r="B184" s="590"/>
      <c r="C184" s="590"/>
      <c r="D184" s="590"/>
      <c r="E184" s="590"/>
      <c r="F184" s="590"/>
      <c r="G184" s="590"/>
      <c r="H184" s="590"/>
      <c r="I184" s="590"/>
      <c r="J184" s="590"/>
      <c r="K184" s="590"/>
      <c r="L184" s="590"/>
      <c r="M184" s="590"/>
      <c r="N184" s="590"/>
      <c r="O184" s="590"/>
      <c r="P184" s="590"/>
      <c r="Q184" s="590"/>
      <c r="R184" s="590"/>
      <c r="S184" s="590"/>
      <c r="T184" s="590"/>
      <c r="U184" s="590"/>
      <c r="V184" s="590"/>
      <c r="W184" s="590"/>
      <c r="X184" s="590"/>
      <c r="Y184" s="590"/>
      <c r="Z184" s="590"/>
      <c r="AA184" s="590"/>
      <c r="AB184" s="590"/>
      <c r="AC184" s="590"/>
      <c r="AD184" s="590"/>
      <c r="AE184" s="590"/>
      <c r="AF184" s="590"/>
      <c r="AG184" s="590"/>
      <c r="AH184" s="590"/>
      <c r="AI184" s="590"/>
      <c r="AJ184" s="590"/>
      <c r="AK184" s="590"/>
      <c r="AL184" s="590"/>
      <c r="AM184" s="590"/>
      <c r="AN184" s="590"/>
      <c r="AO184" s="590"/>
      <c r="AP184" s="590"/>
      <c r="AQ184" s="590"/>
      <c r="AR184" s="590"/>
      <c r="AS184" s="590"/>
      <c r="AT184" s="590"/>
      <c r="AU184" s="590"/>
      <c r="AV184" s="590"/>
      <c r="AW184" s="590"/>
      <c r="AX184" s="590"/>
      <c r="AY184" s="590"/>
      <c r="AZ184" s="590"/>
      <c r="BA184" s="590"/>
      <c r="BB184" s="590"/>
      <c r="BC184" s="590"/>
      <c r="BD184" s="590"/>
      <c r="BE184" s="590"/>
      <c r="BF184" s="590"/>
      <c r="BG184" s="590"/>
      <c r="BH184" s="590"/>
      <c r="BI184" s="590"/>
      <c r="BJ184" s="590"/>
      <c r="BK184" s="591"/>
      <c r="BL184" s="591"/>
      <c r="BM184" s="591"/>
      <c r="BN184" s="591"/>
      <c r="BO184" s="591"/>
      <c r="BP184" s="591"/>
      <c r="BQ184" s="591"/>
      <c r="BR184" s="591"/>
      <c r="BS184" s="591"/>
      <c r="BT184" s="591"/>
      <c r="BU184" s="591"/>
      <c r="BV184" s="591"/>
      <c r="BW184" s="591"/>
      <c r="BX184" s="591"/>
      <c r="BY184" s="591"/>
      <c r="BZ184" s="591"/>
      <c r="CA184" s="591"/>
      <c r="CB184" s="591"/>
      <c r="CC184" s="591"/>
      <c r="CD184" s="591"/>
      <c r="CE184" s="591"/>
      <c r="CF184" s="591"/>
    </row>
    <row r="185" spans="1:84">
      <c r="A185" s="590"/>
      <c r="B185" s="590"/>
      <c r="C185" s="590"/>
      <c r="D185" s="590"/>
      <c r="E185" s="590"/>
      <c r="F185" s="590"/>
      <c r="G185" s="590"/>
      <c r="H185" s="590"/>
      <c r="I185" s="590"/>
      <c r="J185" s="590"/>
      <c r="K185" s="590"/>
      <c r="L185" s="590"/>
      <c r="M185" s="590"/>
      <c r="N185" s="590"/>
      <c r="O185" s="590"/>
      <c r="P185" s="590"/>
      <c r="Q185" s="590"/>
      <c r="R185" s="590"/>
      <c r="S185" s="590"/>
      <c r="T185" s="590"/>
      <c r="U185" s="590"/>
      <c r="V185" s="590"/>
      <c r="W185" s="590"/>
      <c r="X185" s="590"/>
      <c r="Y185" s="590"/>
      <c r="Z185" s="590"/>
      <c r="AA185" s="590"/>
      <c r="AB185" s="590"/>
      <c r="AC185" s="590"/>
      <c r="AD185" s="590"/>
      <c r="AE185" s="590"/>
      <c r="AF185" s="590"/>
      <c r="AG185" s="590"/>
      <c r="AH185" s="590"/>
      <c r="AI185" s="590"/>
      <c r="AJ185" s="590"/>
      <c r="AK185" s="590"/>
      <c r="AL185" s="590"/>
      <c r="AM185" s="590"/>
      <c r="AN185" s="590"/>
      <c r="AO185" s="590"/>
      <c r="AP185" s="590"/>
      <c r="AQ185" s="590"/>
      <c r="AR185" s="590"/>
      <c r="AS185" s="590"/>
      <c r="AT185" s="590"/>
      <c r="AU185" s="590"/>
      <c r="AV185" s="590"/>
      <c r="AW185" s="590"/>
      <c r="AX185" s="590"/>
      <c r="AY185" s="590"/>
      <c r="AZ185" s="590"/>
      <c r="BA185" s="590"/>
      <c r="BB185" s="590"/>
      <c r="BC185" s="590"/>
      <c r="BD185" s="590"/>
      <c r="BE185" s="590"/>
      <c r="BF185" s="590"/>
      <c r="BG185" s="590"/>
      <c r="BH185" s="590"/>
      <c r="BI185" s="590"/>
      <c r="BJ185" s="590"/>
      <c r="BK185" s="591"/>
      <c r="BL185" s="591"/>
      <c r="BM185" s="591"/>
      <c r="BN185" s="591"/>
      <c r="BO185" s="591"/>
      <c r="BP185" s="591"/>
      <c r="BQ185" s="591"/>
      <c r="BR185" s="591"/>
      <c r="BS185" s="591"/>
      <c r="BT185" s="591"/>
      <c r="BU185" s="591"/>
      <c r="BV185" s="591"/>
      <c r="BW185" s="591"/>
      <c r="BX185" s="591"/>
      <c r="BY185" s="591"/>
      <c r="BZ185" s="591"/>
      <c r="CA185" s="591"/>
      <c r="CB185" s="591"/>
      <c r="CC185" s="591"/>
      <c r="CD185" s="591"/>
      <c r="CE185" s="591"/>
      <c r="CF185" s="591"/>
    </row>
    <row r="186" spans="1:84">
      <c r="A186" s="590"/>
      <c r="B186" s="590"/>
      <c r="C186" s="590"/>
      <c r="D186" s="590"/>
      <c r="E186" s="590"/>
      <c r="F186" s="590"/>
      <c r="G186" s="590"/>
      <c r="H186" s="590"/>
      <c r="I186" s="590"/>
      <c r="J186" s="590"/>
      <c r="K186" s="590"/>
      <c r="L186" s="590"/>
      <c r="M186" s="590"/>
      <c r="N186" s="590"/>
      <c r="O186" s="590"/>
      <c r="P186" s="590"/>
      <c r="Q186" s="590"/>
      <c r="R186" s="590"/>
      <c r="S186" s="590"/>
      <c r="T186" s="590"/>
      <c r="U186" s="590"/>
      <c r="V186" s="590"/>
      <c r="W186" s="590"/>
      <c r="X186" s="590"/>
      <c r="Y186" s="590"/>
      <c r="Z186" s="590"/>
      <c r="AA186" s="590"/>
      <c r="AB186" s="590"/>
      <c r="AC186" s="590"/>
      <c r="AD186" s="590"/>
      <c r="AE186" s="590"/>
      <c r="AF186" s="590"/>
      <c r="AG186" s="590"/>
      <c r="AH186" s="590"/>
      <c r="AI186" s="590"/>
      <c r="AJ186" s="590"/>
      <c r="AK186" s="590"/>
      <c r="AL186" s="590"/>
      <c r="AM186" s="590"/>
      <c r="AN186" s="590"/>
      <c r="AO186" s="590"/>
      <c r="AP186" s="590"/>
      <c r="AQ186" s="590"/>
      <c r="AR186" s="590"/>
      <c r="AS186" s="590"/>
      <c r="AT186" s="590"/>
      <c r="AU186" s="590"/>
      <c r="AV186" s="590"/>
      <c r="AW186" s="590"/>
      <c r="AX186" s="590"/>
      <c r="AY186" s="590"/>
      <c r="AZ186" s="590"/>
      <c r="BA186" s="590"/>
      <c r="BB186" s="590"/>
      <c r="BC186" s="590"/>
      <c r="BD186" s="590"/>
      <c r="BE186" s="590"/>
      <c r="BF186" s="590"/>
      <c r="BG186" s="590"/>
      <c r="BH186" s="590"/>
      <c r="BI186" s="590"/>
      <c r="BJ186" s="590"/>
      <c r="BK186" s="591"/>
      <c r="BL186" s="591"/>
      <c r="BM186" s="591"/>
      <c r="BN186" s="591"/>
      <c r="BO186" s="591"/>
      <c r="BP186" s="591"/>
      <c r="BQ186" s="591"/>
      <c r="BR186" s="591"/>
      <c r="BS186" s="591"/>
      <c r="BT186" s="591"/>
      <c r="BU186" s="591"/>
      <c r="BV186" s="591"/>
      <c r="BW186" s="591"/>
      <c r="BX186" s="591"/>
      <c r="BY186" s="591"/>
      <c r="BZ186" s="591"/>
      <c r="CA186" s="591"/>
      <c r="CB186" s="591"/>
      <c r="CC186" s="591"/>
      <c r="CD186" s="591"/>
      <c r="CE186" s="591"/>
      <c r="CF186" s="591"/>
    </row>
    <row r="187" spans="1:84">
      <c r="A187" s="590"/>
      <c r="B187" s="590"/>
      <c r="C187" s="590"/>
      <c r="D187" s="590"/>
      <c r="E187" s="590"/>
      <c r="F187" s="590"/>
      <c r="G187" s="590"/>
      <c r="H187" s="590"/>
      <c r="I187" s="590"/>
      <c r="J187" s="590"/>
      <c r="K187" s="590"/>
      <c r="L187" s="590"/>
      <c r="M187" s="590"/>
      <c r="N187" s="590"/>
      <c r="O187" s="590"/>
      <c r="P187" s="590"/>
      <c r="Q187" s="590"/>
      <c r="R187" s="590"/>
      <c r="S187" s="590"/>
      <c r="T187" s="590"/>
      <c r="U187" s="590"/>
      <c r="V187" s="590"/>
      <c r="W187" s="590"/>
      <c r="X187" s="590"/>
      <c r="Y187" s="590"/>
      <c r="Z187" s="590"/>
      <c r="AA187" s="590"/>
      <c r="AB187" s="590"/>
      <c r="AC187" s="590"/>
      <c r="AD187" s="590"/>
      <c r="AE187" s="590"/>
      <c r="AF187" s="590"/>
      <c r="AG187" s="590"/>
      <c r="AH187" s="590"/>
      <c r="AI187" s="590"/>
      <c r="AJ187" s="590"/>
      <c r="AK187" s="590"/>
      <c r="AL187" s="590"/>
      <c r="AM187" s="590"/>
      <c r="AN187" s="590"/>
      <c r="AO187" s="590"/>
      <c r="AP187" s="590"/>
      <c r="AQ187" s="590"/>
      <c r="AR187" s="590"/>
      <c r="AS187" s="590"/>
      <c r="AT187" s="590"/>
      <c r="AU187" s="590"/>
      <c r="AV187" s="590"/>
      <c r="AW187" s="590"/>
      <c r="AX187" s="590"/>
      <c r="AY187" s="590"/>
      <c r="AZ187" s="590"/>
      <c r="BA187" s="590"/>
      <c r="BB187" s="590"/>
      <c r="BC187" s="590"/>
      <c r="BD187" s="590"/>
      <c r="BE187" s="590"/>
      <c r="BF187" s="590"/>
      <c r="BG187" s="590"/>
      <c r="BH187" s="590"/>
      <c r="BI187" s="590"/>
      <c r="BJ187" s="590"/>
      <c r="BK187" s="591"/>
      <c r="BL187" s="591"/>
      <c r="BM187" s="591"/>
      <c r="BN187" s="591"/>
      <c r="BO187" s="591"/>
      <c r="BP187" s="591"/>
      <c r="BQ187" s="591"/>
      <c r="BR187" s="591"/>
      <c r="BS187" s="591"/>
      <c r="BT187" s="591"/>
      <c r="BU187" s="591"/>
      <c r="BV187" s="591"/>
      <c r="BW187" s="591"/>
      <c r="BX187" s="591"/>
      <c r="BY187" s="591"/>
      <c r="BZ187" s="591"/>
      <c r="CA187" s="591"/>
      <c r="CB187" s="591"/>
      <c r="CC187" s="591"/>
      <c r="CD187" s="591"/>
      <c r="CE187" s="591"/>
      <c r="CF187" s="591"/>
    </row>
    <row r="188" spans="1:84">
      <c r="A188" s="590"/>
      <c r="B188" s="590"/>
      <c r="C188" s="590"/>
      <c r="D188" s="590"/>
      <c r="E188" s="590"/>
      <c r="F188" s="590"/>
      <c r="G188" s="590"/>
      <c r="H188" s="590"/>
      <c r="I188" s="590"/>
      <c r="J188" s="590"/>
      <c r="K188" s="590"/>
      <c r="L188" s="590"/>
      <c r="M188" s="590"/>
      <c r="N188" s="590"/>
      <c r="O188" s="590"/>
      <c r="P188" s="590"/>
      <c r="Q188" s="590"/>
      <c r="R188" s="590"/>
      <c r="S188" s="590"/>
      <c r="T188" s="590"/>
      <c r="U188" s="590"/>
      <c r="V188" s="590"/>
      <c r="W188" s="590"/>
      <c r="X188" s="590"/>
      <c r="Y188" s="590"/>
      <c r="Z188" s="590"/>
      <c r="AA188" s="590"/>
      <c r="AB188" s="590"/>
      <c r="AC188" s="590"/>
      <c r="AD188" s="590"/>
      <c r="AE188" s="590"/>
      <c r="AF188" s="590"/>
      <c r="AG188" s="590"/>
      <c r="AH188" s="590"/>
      <c r="AI188" s="590"/>
      <c r="AJ188" s="590"/>
      <c r="AK188" s="590"/>
      <c r="AL188" s="590"/>
      <c r="AM188" s="590"/>
      <c r="AN188" s="590"/>
      <c r="AO188" s="590"/>
      <c r="AP188" s="590"/>
      <c r="AQ188" s="590"/>
      <c r="AR188" s="590"/>
      <c r="AS188" s="590"/>
      <c r="AT188" s="590"/>
      <c r="AU188" s="590"/>
      <c r="AV188" s="590"/>
      <c r="AW188" s="590"/>
      <c r="AX188" s="590"/>
      <c r="AY188" s="590"/>
      <c r="AZ188" s="590"/>
      <c r="BA188" s="590"/>
      <c r="BB188" s="590"/>
      <c r="BC188" s="590"/>
      <c r="BD188" s="590"/>
      <c r="BE188" s="590"/>
      <c r="BF188" s="590"/>
      <c r="BG188" s="590"/>
      <c r="BH188" s="590"/>
      <c r="BI188" s="590"/>
      <c r="BJ188" s="590"/>
      <c r="BK188" s="591"/>
      <c r="BL188" s="591"/>
      <c r="BM188" s="591"/>
      <c r="BN188" s="591"/>
      <c r="BO188" s="591"/>
      <c r="BP188" s="591"/>
      <c r="BQ188" s="591"/>
      <c r="BR188" s="591"/>
      <c r="BS188" s="591"/>
      <c r="BT188" s="591"/>
      <c r="BU188" s="591"/>
      <c r="BV188" s="591"/>
      <c r="BW188" s="591"/>
      <c r="BX188" s="591"/>
      <c r="BY188" s="591"/>
      <c r="BZ188" s="591"/>
      <c r="CA188" s="591"/>
      <c r="CB188" s="591"/>
      <c r="CC188" s="591"/>
      <c r="CD188" s="591"/>
      <c r="CE188" s="591"/>
      <c r="CF188" s="591"/>
    </row>
    <row r="189" spans="1:84">
      <c r="A189" s="590"/>
      <c r="B189" s="590"/>
      <c r="C189" s="590"/>
      <c r="D189" s="590"/>
      <c r="E189" s="590"/>
      <c r="F189" s="590"/>
      <c r="G189" s="590"/>
      <c r="H189" s="590"/>
      <c r="I189" s="590"/>
      <c r="J189" s="590"/>
      <c r="K189" s="590"/>
      <c r="L189" s="590"/>
      <c r="M189" s="590"/>
      <c r="N189" s="590"/>
      <c r="O189" s="590"/>
      <c r="P189" s="590"/>
      <c r="Q189" s="590"/>
      <c r="R189" s="590"/>
      <c r="S189" s="590"/>
      <c r="T189" s="590"/>
      <c r="U189" s="590"/>
      <c r="V189" s="590"/>
      <c r="W189" s="590"/>
      <c r="X189" s="590"/>
      <c r="Y189" s="590"/>
      <c r="Z189" s="590"/>
      <c r="AA189" s="590"/>
      <c r="AB189" s="590"/>
      <c r="AC189" s="590"/>
      <c r="AD189" s="590"/>
      <c r="AE189" s="590"/>
      <c r="AF189" s="590"/>
      <c r="AG189" s="590"/>
      <c r="AH189" s="590"/>
      <c r="AI189" s="590"/>
      <c r="AJ189" s="590"/>
      <c r="AK189" s="590"/>
      <c r="AL189" s="590"/>
      <c r="AM189" s="590"/>
      <c r="AN189" s="590"/>
      <c r="AO189" s="590"/>
      <c r="AP189" s="590"/>
      <c r="AQ189" s="590"/>
      <c r="AR189" s="590"/>
      <c r="AS189" s="590"/>
      <c r="AT189" s="590"/>
      <c r="AU189" s="590"/>
      <c r="AV189" s="590"/>
      <c r="AW189" s="590"/>
      <c r="AX189" s="590"/>
      <c r="AY189" s="590"/>
      <c r="AZ189" s="590"/>
      <c r="BA189" s="590"/>
      <c r="BB189" s="590"/>
      <c r="BC189" s="590"/>
      <c r="BD189" s="590"/>
      <c r="BE189" s="590"/>
      <c r="BF189" s="590"/>
      <c r="BG189" s="590"/>
      <c r="BH189" s="590"/>
      <c r="BI189" s="590"/>
      <c r="BJ189" s="590"/>
      <c r="BK189" s="591"/>
      <c r="BL189" s="591"/>
      <c r="BM189" s="591"/>
      <c r="BN189" s="591"/>
      <c r="BO189" s="591"/>
      <c r="BP189" s="591"/>
      <c r="BQ189" s="591"/>
      <c r="BR189" s="591"/>
      <c r="BS189" s="591"/>
      <c r="BT189" s="591"/>
      <c r="BU189" s="591"/>
      <c r="BV189" s="591"/>
      <c r="BW189" s="591"/>
      <c r="BX189" s="591"/>
      <c r="BY189" s="591"/>
      <c r="BZ189" s="591"/>
      <c r="CA189" s="591"/>
      <c r="CB189" s="591"/>
      <c r="CC189" s="591"/>
      <c r="CD189" s="591"/>
      <c r="CE189" s="591"/>
      <c r="CF189" s="591"/>
    </row>
    <row r="190" spans="1:84">
      <c r="A190" s="590"/>
      <c r="B190" s="590"/>
      <c r="C190" s="590"/>
      <c r="D190" s="590"/>
      <c r="E190" s="590"/>
      <c r="F190" s="590"/>
      <c r="G190" s="590"/>
      <c r="H190" s="590"/>
      <c r="I190" s="590"/>
      <c r="J190" s="590"/>
      <c r="K190" s="590"/>
      <c r="L190" s="590"/>
      <c r="M190" s="590"/>
      <c r="N190" s="590"/>
      <c r="O190" s="590"/>
      <c r="P190" s="590"/>
      <c r="Q190" s="590"/>
      <c r="R190" s="590"/>
      <c r="S190" s="590"/>
      <c r="T190" s="590"/>
      <c r="U190" s="590"/>
      <c r="V190" s="590"/>
      <c r="W190" s="590"/>
      <c r="X190" s="590"/>
      <c r="Y190" s="590"/>
      <c r="Z190" s="590"/>
      <c r="AA190" s="590"/>
      <c r="AB190" s="590"/>
      <c r="AC190" s="590"/>
      <c r="AD190" s="590"/>
      <c r="AE190" s="590"/>
      <c r="AF190" s="590"/>
      <c r="AG190" s="590"/>
      <c r="AH190" s="590"/>
      <c r="AI190" s="590"/>
      <c r="AJ190" s="590"/>
      <c r="AK190" s="590"/>
      <c r="AL190" s="590"/>
      <c r="AM190" s="590"/>
      <c r="AN190" s="590"/>
      <c r="AO190" s="590"/>
      <c r="AP190" s="590"/>
      <c r="AQ190" s="590"/>
      <c r="AR190" s="590"/>
      <c r="AS190" s="590"/>
      <c r="AT190" s="590"/>
      <c r="AU190" s="590"/>
      <c r="AV190" s="590"/>
      <c r="AW190" s="590"/>
      <c r="AX190" s="590"/>
      <c r="AY190" s="590"/>
      <c r="AZ190" s="590"/>
      <c r="BA190" s="590"/>
      <c r="BB190" s="590"/>
      <c r="BC190" s="590"/>
      <c r="BD190" s="590"/>
      <c r="BE190" s="590"/>
      <c r="BF190" s="590"/>
      <c r="BG190" s="590"/>
      <c r="BH190" s="590"/>
      <c r="BI190" s="590"/>
      <c r="BJ190" s="590"/>
      <c r="BK190" s="591"/>
      <c r="BL190" s="591"/>
      <c r="BM190" s="591"/>
      <c r="BN190" s="591"/>
      <c r="BO190" s="591"/>
      <c r="BP190" s="591"/>
      <c r="BQ190" s="591"/>
      <c r="BR190" s="591"/>
      <c r="BS190" s="591"/>
      <c r="BT190" s="591"/>
      <c r="BU190" s="591"/>
      <c r="BV190" s="591"/>
      <c r="BW190" s="591"/>
      <c r="BX190" s="591"/>
      <c r="BY190" s="591"/>
      <c r="BZ190" s="591"/>
      <c r="CA190" s="591"/>
      <c r="CB190" s="591"/>
      <c r="CC190" s="591"/>
      <c r="CD190" s="591"/>
      <c r="CE190" s="591"/>
      <c r="CF190" s="591"/>
    </row>
    <row r="191" spans="1:84">
      <c r="A191" s="590"/>
      <c r="B191" s="590"/>
      <c r="C191" s="590"/>
      <c r="D191" s="590"/>
      <c r="E191" s="590"/>
      <c r="F191" s="590"/>
      <c r="G191" s="590"/>
      <c r="H191" s="590"/>
      <c r="I191" s="590"/>
      <c r="J191" s="590"/>
      <c r="K191" s="590"/>
      <c r="L191" s="590"/>
      <c r="M191" s="590"/>
      <c r="N191" s="590"/>
      <c r="O191" s="590"/>
      <c r="P191" s="590"/>
      <c r="Q191" s="590"/>
      <c r="R191" s="590"/>
      <c r="S191" s="590"/>
      <c r="T191" s="590"/>
      <c r="U191" s="590"/>
      <c r="V191" s="590"/>
      <c r="W191" s="590"/>
      <c r="X191" s="590"/>
      <c r="Y191" s="590"/>
      <c r="Z191" s="590"/>
      <c r="AA191" s="590"/>
      <c r="AB191" s="590"/>
      <c r="AC191" s="590"/>
      <c r="AD191" s="590"/>
      <c r="AE191" s="590"/>
      <c r="AF191" s="590"/>
      <c r="AG191" s="590"/>
      <c r="AH191" s="590"/>
      <c r="AI191" s="590"/>
      <c r="AJ191" s="590"/>
      <c r="AK191" s="590"/>
      <c r="AL191" s="590"/>
      <c r="AM191" s="590"/>
      <c r="AN191" s="590"/>
      <c r="AO191" s="590"/>
      <c r="AP191" s="590"/>
      <c r="AQ191" s="590"/>
      <c r="AR191" s="590"/>
      <c r="AS191" s="590"/>
      <c r="AT191" s="590"/>
      <c r="AU191" s="590"/>
      <c r="AV191" s="590"/>
      <c r="AW191" s="590"/>
      <c r="AX191" s="590"/>
      <c r="AY191" s="590"/>
      <c r="AZ191" s="590"/>
      <c r="BA191" s="590"/>
      <c r="BB191" s="590"/>
      <c r="BC191" s="590"/>
      <c r="BD191" s="590"/>
      <c r="BE191" s="590"/>
      <c r="BF191" s="590"/>
      <c r="BG191" s="590"/>
      <c r="BH191" s="590"/>
      <c r="BI191" s="590"/>
      <c r="BJ191" s="590"/>
      <c r="BK191" s="591"/>
      <c r="BL191" s="591"/>
      <c r="BM191" s="591"/>
      <c r="BN191" s="591"/>
      <c r="BO191" s="591"/>
      <c r="BP191" s="591"/>
      <c r="BQ191" s="591"/>
      <c r="BR191" s="591"/>
      <c r="BS191" s="591"/>
      <c r="BT191" s="591"/>
      <c r="BU191" s="591"/>
      <c r="BV191" s="591"/>
      <c r="BW191" s="591"/>
      <c r="BX191" s="591"/>
      <c r="BY191" s="591"/>
      <c r="BZ191" s="591"/>
      <c r="CA191" s="591"/>
      <c r="CB191" s="591"/>
      <c r="CC191" s="591"/>
      <c r="CD191" s="591"/>
      <c r="CE191" s="591"/>
      <c r="CF191" s="591"/>
    </row>
    <row r="192" spans="1:84">
      <c r="A192" s="590"/>
      <c r="B192" s="590"/>
      <c r="C192" s="590"/>
      <c r="D192" s="590"/>
      <c r="E192" s="590"/>
      <c r="F192" s="590"/>
      <c r="G192" s="590"/>
      <c r="H192" s="590"/>
      <c r="I192" s="590"/>
      <c r="J192" s="590"/>
      <c r="K192" s="590"/>
      <c r="L192" s="590"/>
      <c r="M192" s="590"/>
      <c r="N192" s="590"/>
      <c r="O192" s="590"/>
      <c r="P192" s="590"/>
      <c r="Q192" s="590"/>
      <c r="R192" s="590"/>
      <c r="S192" s="590"/>
      <c r="T192" s="590"/>
      <c r="U192" s="590"/>
      <c r="V192" s="590"/>
      <c r="W192" s="590"/>
      <c r="X192" s="590"/>
      <c r="Y192" s="590"/>
      <c r="Z192" s="590"/>
      <c r="AA192" s="590"/>
      <c r="AB192" s="590"/>
      <c r="AC192" s="590"/>
      <c r="AD192" s="590"/>
      <c r="AE192" s="590"/>
      <c r="AF192" s="590"/>
      <c r="AG192" s="590"/>
      <c r="AH192" s="590"/>
      <c r="AI192" s="590"/>
      <c r="AJ192" s="590"/>
      <c r="AK192" s="590"/>
      <c r="AL192" s="590"/>
      <c r="AM192" s="590"/>
      <c r="AN192" s="590"/>
      <c r="AO192" s="590"/>
      <c r="AP192" s="590"/>
      <c r="AQ192" s="590"/>
      <c r="AR192" s="590"/>
      <c r="AS192" s="590"/>
      <c r="AT192" s="590"/>
      <c r="AU192" s="590"/>
      <c r="AV192" s="590"/>
      <c r="AW192" s="590"/>
      <c r="AX192" s="590"/>
      <c r="AY192" s="590"/>
      <c r="AZ192" s="590"/>
      <c r="BA192" s="590"/>
      <c r="BB192" s="590"/>
      <c r="BC192" s="590"/>
      <c r="BD192" s="590"/>
      <c r="BE192" s="590"/>
      <c r="BF192" s="590"/>
      <c r="BG192" s="590"/>
      <c r="BH192" s="590"/>
      <c r="BI192" s="590"/>
      <c r="BJ192" s="590"/>
      <c r="BK192" s="591"/>
      <c r="BL192" s="591"/>
      <c r="BM192" s="591"/>
      <c r="BN192" s="591"/>
      <c r="BO192" s="591"/>
      <c r="BP192" s="591"/>
      <c r="BQ192" s="591"/>
      <c r="BR192" s="591"/>
      <c r="BS192" s="591"/>
      <c r="BT192" s="591"/>
      <c r="BU192" s="591"/>
      <c r="BV192" s="591"/>
      <c r="BW192" s="591"/>
      <c r="BX192" s="591"/>
      <c r="BY192" s="591"/>
      <c r="BZ192" s="591"/>
      <c r="CA192" s="591"/>
      <c r="CB192" s="591"/>
      <c r="CC192" s="591"/>
      <c r="CD192" s="591"/>
      <c r="CE192" s="591"/>
      <c r="CF192" s="591"/>
    </row>
    <row r="193" spans="1:84">
      <c r="A193" s="590"/>
      <c r="B193" s="590"/>
      <c r="C193" s="590"/>
      <c r="D193" s="590"/>
      <c r="E193" s="590"/>
      <c r="F193" s="590"/>
      <c r="G193" s="590"/>
      <c r="H193" s="590"/>
      <c r="I193" s="590"/>
      <c r="J193" s="590"/>
      <c r="K193" s="590"/>
      <c r="L193" s="590"/>
      <c r="M193" s="590"/>
      <c r="N193" s="590"/>
      <c r="O193" s="590"/>
      <c r="P193" s="590"/>
      <c r="Q193" s="590"/>
      <c r="R193" s="590"/>
      <c r="S193" s="590"/>
      <c r="T193" s="590"/>
      <c r="U193" s="590"/>
      <c r="V193" s="590"/>
      <c r="W193" s="590"/>
      <c r="X193" s="590"/>
      <c r="Y193" s="590"/>
      <c r="Z193" s="590"/>
      <c r="AA193" s="590"/>
      <c r="AB193" s="590"/>
      <c r="AC193" s="590"/>
      <c r="AD193" s="590"/>
      <c r="AE193" s="590"/>
      <c r="AF193" s="590"/>
      <c r="AG193" s="590"/>
      <c r="AH193" s="590"/>
      <c r="AI193" s="590"/>
      <c r="AJ193" s="590"/>
      <c r="AK193" s="590"/>
      <c r="AL193" s="590"/>
      <c r="AM193" s="590"/>
      <c r="AN193" s="590"/>
      <c r="AO193" s="590"/>
      <c r="AP193" s="590"/>
      <c r="AQ193" s="590"/>
      <c r="AR193" s="590"/>
      <c r="AS193" s="590"/>
      <c r="AT193" s="590"/>
      <c r="AU193" s="590"/>
      <c r="AV193" s="590"/>
      <c r="AW193" s="590"/>
      <c r="AX193" s="590"/>
      <c r="AY193" s="590"/>
      <c r="AZ193" s="590"/>
      <c r="BA193" s="590"/>
      <c r="BB193" s="590"/>
      <c r="BC193" s="590"/>
      <c r="BD193" s="590"/>
      <c r="BE193" s="590"/>
      <c r="BF193" s="590"/>
      <c r="BG193" s="590"/>
      <c r="BH193" s="590"/>
      <c r="BI193" s="590"/>
      <c r="BJ193" s="590"/>
      <c r="BK193" s="591"/>
      <c r="BL193" s="591"/>
      <c r="BM193" s="591"/>
      <c r="BN193" s="591"/>
      <c r="BO193" s="591"/>
      <c r="BP193" s="591"/>
      <c r="BQ193" s="591"/>
      <c r="BR193" s="591"/>
      <c r="BS193" s="591"/>
      <c r="BT193" s="591"/>
      <c r="BU193" s="591"/>
      <c r="BV193" s="591"/>
      <c r="BW193" s="591"/>
      <c r="BX193" s="591"/>
      <c r="BY193" s="591"/>
      <c r="BZ193" s="591"/>
      <c r="CA193" s="591"/>
      <c r="CB193" s="591"/>
      <c r="CC193" s="591"/>
      <c r="CD193" s="591"/>
      <c r="CE193" s="591"/>
      <c r="CF193" s="591"/>
    </row>
    <row r="194" spans="1:84">
      <c r="A194" s="590"/>
      <c r="B194" s="590"/>
      <c r="C194" s="590"/>
      <c r="D194" s="590"/>
      <c r="E194" s="590"/>
      <c r="F194" s="590"/>
      <c r="G194" s="590"/>
      <c r="H194" s="590"/>
      <c r="I194" s="590"/>
      <c r="J194" s="590"/>
      <c r="K194" s="590"/>
      <c r="L194" s="590"/>
      <c r="M194" s="590"/>
      <c r="N194" s="590"/>
      <c r="O194" s="590"/>
      <c r="P194" s="590"/>
      <c r="Q194" s="590"/>
      <c r="R194" s="590"/>
      <c r="S194" s="590"/>
      <c r="T194" s="590"/>
      <c r="U194" s="590"/>
      <c r="V194" s="590"/>
      <c r="W194" s="590"/>
      <c r="X194" s="590"/>
      <c r="Y194" s="590"/>
      <c r="Z194" s="590"/>
      <c r="AA194" s="590"/>
      <c r="AB194" s="590"/>
      <c r="AC194" s="590"/>
      <c r="AD194" s="590"/>
      <c r="AE194" s="590"/>
      <c r="AF194" s="590"/>
      <c r="AG194" s="590"/>
      <c r="AH194" s="590"/>
      <c r="AI194" s="590"/>
      <c r="AJ194" s="590"/>
      <c r="AK194" s="590"/>
      <c r="AL194" s="590"/>
      <c r="AM194" s="590"/>
      <c r="AN194" s="590"/>
      <c r="AO194" s="590"/>
      <c r="AP194" s="590"/>
      <c r="AQ194" s="590"/>
      <c r="AR194" s="590"/>
      <c r="AS194" s="590"/>
      <c r="AT194" s="590"/>
      <c r="AU194" s="590"/>
      <c r="AV194" s="590"/>
      <c r="AW194" s="590"/>
      <c r="AX194" s="590"/>
      <c r="AY194" s="590"/>
      <c r="AZ194" s="590"/>
      <c r="BA194" s="590"/>
      <c r="BB194" s="590"/>
      <c r="BC194" s="590"/>
      <c r="BD194" s="590"/>
      <c r="BE194" s="590"/>
      <c r="BF194" s="590"/>
      <c r="BG194" s="590"/>
      <c r="BH194" s="590"/>
      <c r="BI194" s="590"/>
      <c r="BJ194" s="590"/>
      <c r="BK194" s="591"/>
      <c r="BL194" s="591"/>
      <c r="BM194" s="591"/>
      <c r="BN194" s="591"/>
      <c r="BO194" s="591"/>
      <c r="BP194" s="591"/>
      <c r="BQ194" s="591"/>
      <c r="BR194" s="591"/>
      <c r="BS194" s="591"/>
      <c r="BT194" s="591"/>
      <c r="BU194" s="591"/>
      <c r="BV194" s="591"/>
      <c r="BW194" s="591"/>
      <c r="BX194" s="591"/>
      <c r="BY194" s="591"/>
      <c r="BZ194" s="591"/>
      <c r="CA194" s="591"/>
      <c r="CB194" s="591"/>
      <c r="CC194" s="591"/>
      <c r="CD194" s="591"/>
      <c r="CE194" s="591"/>
      <c r="CF194" s="591"/>
    </row>
    <row r="195" spans="1:84">
      <c r="A195" s="590"/>
      <c r="B195" s="590"/>
      <c r="C195" s="590"/>
      <c r="D195" s="590"/>
      <c r="E195" s="590"/>
      <c r="F195" s="590"/>
      <c r="G195" s="590"/>
      <c r="H195" s="590"/>
      <c r="I195" s="590"/>
      <c r="J195" s="590"/>
      <c r="K195" s="590"/>
      <c r="L195" s="590"/>
      <c r="M195" s="590"/>
      <c r="N195" s="590"/>
      <c r="O195" s="590"/>
      <c r="P195" s="590"/>
      <c r="Q195" s="590"/>
      <c r="R195" s="590"/>
      <c r="S195" s="590"/>
      <c r="T195" s="590"/>
      <c r="U195" s="590"/>
      <c r="V195" s="590"/>
      <c r="W195" s="590"/>
      <c r="X195" s="590"/>
      <c r="Y195" s="590"/>
      <c r="Z195" s="590"/>
      <c r="AA195" s="590"/>
      <c r="AB195" s="590"/>
      <c r="AC195" s="590"/>
      <c r="AD195" s="590"/>
      <c r="AE195" s="590"/>
      <c r="AF195" s="590"/>
      <c r="AG195" s="590"/>
      <c r="AH195" s="590"/>
      <c r="AI195" s="590"/>
      <c r="AJ195" s="590"/>
      <c r="AK195" s="590"/>
      <c r="AL195" s="590"/>
      <c r="AM195" s="590"/>
      <c r="AN195" s="590"/>
      <c r="AO195" s="590"/>
      <c r="AP195" s="590"/>
      <c r="AQ195" s="590"/>
      <c r="AR195" s="590"/>
      <c r="AS195" s="590"/>
      <c r="AT195" s="590"/>
      <c r="AU195" s="590"/>
      <c r="AV195" s="590"/>
      <c r="AW195" s="590"/>
      <c r="AX195" s="590"/>
      <c r="AY195" s="590"/>
      <c r="AZ195" s="590"/>
      <c r="BA195" s="590"/>
      <c r="BB195" s="590"/>
      <c r="BC195" s="590"/>
      <c r="BD195" s="590"/>
      <c r="BE195" s="590"/>
      <c r="BF195" s="590"/>
      <c r="BG195" s="590"/>
      <c r="BH195" s="590"/>
      <c r="BI195" s="590"/>
      <c r="BJ195" s="590"/>
      <c r="BK195" s="591"/>
      <c r="BL195" s="591"/>
      <c r="BM195" s="591"/>
      <c r="BN195" s="591"/>
      <c r="BO195" s="591"/>
      <c r="BP195" s="591"/>
      <c r="BQ195" s="591"/>
      <c r="BR195" s="591"/>
      <c r="BS195" s="591"/>
      <c r="BT195" s="591"/>
      <c r="BU195" s="591"/>
      <c r="BV195" s="591"/>
      <c r="BW195" s="591"/>
      <c r="BX195" s="591"/>
      <c r="BY195" s="591"/>
      <c r="BZ195" s="591"/>
      <c r="CA195" s="591"/>
      <c r="CB195" s="591"/>
      <c r="CC195" s="591"/>
      <c r="CD195" s="591"/>
      <c r="CE195" s="591"/>
      <c r="CF195" s="591"/>
    </row>
    <row r="196" spans="1:84">
      <c r="A196" s="590"/>
      <c r="B196" s="590"/>
      <c r="C196" s="590"/>
      <c r="D196" s="590"/>
      <c r="E196" s="590"/>
      <c r="F196" s="590"/>
      <c r="G196" s="590"/>
      <c r="H196" s="590"/>
      <c r="I196" s="590"/>
      <c r="J196" s="590"/>
      <c r="K196" s="590"/>
      <c r="L196" s="590"/>
      <c r="M196" s="590"/>
      <c r="N196" s="590"/>
      <c r="O196" s="590"/>
      <c r="P196" s="590"/>
      <c r="Q196" s="590"/>
      <c r="R196" s="590"/>
      <c r="S196" s="590"/>
      <c r="T196" s="590"/>
      <c r="U196" s="590"/>
      <c r="V196" s="590"/>
      <c r="W196" s="590"/>
      <c r="X196" s="590"/>
      <c r="Y196" s="590"/>
      <c r="Z196" s="590"/>
      <c r="AA196" s="590"/>
      <c r="AB196" s="590"/>
      <c r="AC196" s="590"/>
      <c r="AD196" s="590"/>
      <c r="AE196" s="590"/>
      <c r="AF196" s="590"/>
      <c r="AG196" s="590"/>
      <c r="AH196" s="590"/>
      <c r="AI196" s="590"/>
      <c r="AJ196" s="590"/>
      <c r="AK196" s="590"/>
      <c r="AL196" s="590"/>
      <c r="AM196" s="590"/>
      <c r="AN196" s="590"/>
      <c r="AO196" s="590"/>
      <c r="AP196" s="590"/>
      <c r="AQ196" s="590"/>
      <c r="AR196" s="590"/>
      <c r="AS196" s="590"/>
      <c r="AT196" s="590"/>
      <c r="AU196" s="590"/>
      <c r="AV196" s="590"/>
      <c r="AW196" s="590"/>
      <c r="AX196" s="590"/>
      <c r="AY196" s="590"/>
      <c r="AZ196" s="590"/>
      <c r="BA196" s="590"/>
      <c r="BB196" s="590"/>
      <c r="BC196" s="590"/>
      <c r="BD196" s="590"/>
      <c r="BE196" s="590"/>
      <c r="BF196" s="590"/>
      <c r="BG196" s="590"/>
      <c r="BH196" s="590"/>
      <c r="BI196" s="590"/>
      <c r="BJ196" s="590"/>
      <c r="BK196" s="591"/>
      <c r="BL196" s="591"/>
      <c r="BM196" s="591"/>
      <c r="BN196" s="591"/>
      <c r="BO196" s="591"/>
      <c r="BP196" s="591"/>
      <c r="BQ196" s="591"/>
      <c r="BR196" s="591"/>
      <c r="BS196" s="591"/>
      <c r="BT196" s="591"/>
      <c r="BU196" s="591"/>
      <c r="BV196" s="591"/>
      <c r="BW196" s="591"/>
      <c r="BX196" s="591"/>
      <c r="BY196" s="591"/>
      <c r="BZ196" s="591"/>
      <c r="CA196" s="591"/>
      <c r="CB196" s="591"/>
      <c r="CC196" s="591"/>
      <c r="CD196" s="591"/>
      <c r="CE196" s="591"/>
      <c r="CF196" s="591"/>
    </row>
    <row r="197" spans="1:84">
      <c r="A197" s="590"/>
      <c r="B197" s="590"/>
      <c r="C197" s="590"/>
      <c r="D197" s="590"/>
      <c r="E197" s="590"/>
      <c r="F197" s="590"/>
      <c r="G197" s="590"/>
      <c r="H197" s="590"/>
      <c r="I197" s="590"/>
      <c r="J197" s="590"/>
      <c r="K197" s="590"/>
      <c r="L197" s="590"/>
      <c r="M197" s="590"/>
      <c r="N197" s="590"/>
      <c r="O197" s="590"/>
      <c r="P197" s="590"/>
      <c r="Q197" s="590"/>
      <c r="R197" s="590"/>
      <c r="S197" s="590"/>
      <c r="T197" s="590"/>
      <c r="U197" s="590"/>
      <c r="V197" s="590"/>
      <c r="W197" s="590"/>
      <c r="X197" s="590"/>
      <c r="Y197" s="590"/>
      <c r="Z197" s="590"/>
      <c r="AA197" s="590"/>
      <c r="AB197" s="590"/>
      <c r="AC197" s="590"/>
      <c r="AD197" s="590"/>
      <c r="AE197" s="590"/>
      <c r="AF197" s="590"/>
      <c r="AG197" s="590"/>
      <c r="AH197" s="590"/>
      <c r="AI197" s="590"/>
      <c r="AJ197" s="590"/>
      <c r="AK197" s="590"/>
      <c r="AL197" s="590"/>
      <c r="AM197" s="590"/>
      <c r="AN197" s="590"/>
      <c r="AO197" s="590"/>
      <c r="AP197" s="590"/>
      <c r="AQ197" s="590"/>
      <c r="AR197" s="590"/>
      <c r="AS197" s="590"/>
      <c r="AT197" s="590"/>
      <c r="AU197" s="590"/>
      <c r="AV197" s="590"/>
      <c r="AW197" s="590"/>
      <c r="AX197" s="590"/>
      <c r="AY197" s="590"/>
      <c r="AZ197" s="590"/>
      <c r="BA197" s="590"/>
      <c r="BB197" s="590"/>
      <c r="BC197" s="590"/>
      <c r="BD197" s="590"/>
      <c r="BE197" s="590"/>
      <c r="BF197" s="590"/>
      <c r="BG197" s="590"/>
      <c r="BH197" s="590"/>
      <c r="BI197" s="590"/>
      <c r="BJ197" s="590"/>
      <c r="BK197" s="591"/>
      <c r="BL197" s="591"/>
      <c r="BM197" s="591"/>
      <c r="BN197" s="591"/>
      <c r="BO197" s="591"/>
      <c r="BP197" s="591"/>
      <c r="BQ197" s="591"/>
      <c r="BR197" s="591"/>
      <c r="BS197" s="591"/>
      <c r="BT197" s="591"/>
      <c r="BU197" s="591"/>
      <c r="BV197" s="591"/>
      <c r="BW197" s="591"/>
      <c r="BX197" s="591"/>
      <c r="BY197" s="591"/>
      <c r="BZ197" s="591"/>
      <c r="CA197" s="591"/>
      <c r="CB197" s="591"/>
      <c r="CC197" s="591"/>
      <c r="CD197" s="591"/>
      <c r="CE197" s="591"/>
      <c r="CF197" s="591"/>
    </row>
    <row r="198" spans="1:84">
      <c r="A198" s="590"/>
      <c r="B198" s="590"/>
      <c r="C198" s="590"/>
      <c r="D198" s="590"/>
      <c r="E198" s="590"/>
      <c r="F198" s="590"/>
      <c r="G198" s="590"/>
      <c r="H198" s="590"/>
      <c r="I198" s="590"/>
      <c r="J198" s="590"/>
      <c r="K198" s="590"/>
      <c r="L198" s="590"/>
      <c r="M198" s="590"/>
      <c r="N198" s="590"/>
      <c r="O198" s="590"/>
      <c r="P198" s="590"/>
      <c r="Q198" s="590"/>
      <c r="R198" s="590"/>
      <c r="S198" s="590"/>
      <c r="T198" s="590"/>
      <c r="U198" s="590"/>
      <c r="V198" s="590"/>
      <c r="W198" s="590"/>
      <c r="X198" s="590"/>
      <c r="Y198" s="590"/>
      <c r="Z198" s="590"/>
      <c r="AA198" s="590"/>
      <c r="AB198" s="590"/>
      <c r="AC198" s="590"/>
      <c r="AD198" s="590"/>
      <c r="AE198" s="590"/>
      <c r="AF198" s="590"/>
      <c r="AG198" s="590"/>
      <c r="AH198" s="590"/>
      <c r="AI198" s="590"/>
      <c r="AJ198" s="590"/>
      <c r="AK198" s="590"/>
      <c r="AL198" s="590"/>
      <c r="AM198" s="590"/>
      <c r="AN198" s="590"/>
      <c r="AO198" s="590"/>
      <c r="AP198" s="590"/>
      <c r="AQ198" s="590"/>
      <c r="AR198" s="590"/>
      <c r="AS198" s="590"/>
      <c r="AT198" s="590"/>
      <c r="AU198" s="590"/>
      <c r="AV198" s="590"/>
      <c r="AW198" s="590"/>
      <c r="AX198" s="590"/>
      <c r="AY198" s="590"/>
      <c r="AZ198" s="590"/>
      <c r="BA198" s="590"/>
      <c r="BB198" s="590"/>
      <c r="BC198" s="590"/>
      <c r="BD198" s="590"/>
      <c r="BE198" s="590"/>
      <c r="BF198" s="590"/>
      <c r="BG198" s="590"/>
      <c r="BH198" s="590"/>
      <c r="BI198" s="590"/>
      <c r="BJ198" s="590"/>
      <c r="BK198" s="591"/>
      <c r="BL198" s="591"/>
      <c r="BM198" s="591"/>
      <c r="BN198" s="591"/>
      <c r="BO198" s="591"/>
      <c r="BP198" s="591"/>
      <c r="BQ198" s="591"/>
      <c r="BR198" s="591"/>
      <c r="BS198" s="591"/>
      <c r="BT198" s="591"/>
      <c r="BU198" s="591"/>
      <c r="BV198" s="591"/>
      <c r="BW198" s="591"/>
      <c r="BX198" s="591"/>
      <c r="BY198" s="591"/>
      <c r="BZ198" s="591"/>
      <c r="CA198" s="591"/>
      <c r="CB198" s="591"/>
      <c r="CC198" s="591"/>
      <c r="CD198" s="591"/>
      <c r="CE198" s="591"/>
      <c r="CF198" s="591"/>
    </row>
    <row r="199" spans="1:84">
      <c r="A199" s="590"/>
      <c r="B199" s="590"/>
      <c r="C199" s="590"/>
      <c r="D199" s="590"/>
      <c r="E199" s="590"/>
      <c r="F199" s="590"/>
      <c r="G199" s="590"/>
      <c r="H199" s="590"/>
      <c r="I199" s="590"/>
      <c r="J199" s="590"/>
      <c r="K199" s="590"/>
      <c r="L199" s="590"/>
      <c r="M199" s="590"/>
      <c r="N199" s="590"/>
      <c r="O199" s="590"/>
      <c r="P199" s="590"/>
      <c r="Q199" s="590"/>
      <c r="R199" s="590"/>
      <c r="S199" s="590"/>
      <c r="T199" s="590"/>
      <c r="U199" s="590"/>
      <c r="V199" s="590"/>
      <c r="W199" s="590"/>
      <c r="X199" s="590"/>
      <c r="Y199" s="590"/>
      <c r="Z199" s="590"/>
      <c r="AA199" s="590"/>
      <c r="AB199" s="590"/>
      <c r="AC199" s="590"/>
      <c r="AD199" s="590"/>
      <c r="AE199" s="590"/>
      <c r="AF199" s="590"/>
      <c r="AG199" s="590"/>
      <c r="AH199" s="590"/>
      <c r="AI199" s="590"/>
      <c r="AJ199" s="590"/>
      <c r="AK199" s="590"/>
      <c r="AL199" s="590"/>
      <c r="AM199" s="590"/>
      <c r="AN199" s="590"/>
      <c r="AO199" s="590"/>
      <c r="AP199" s="590"/>
      <c r="AQ199" s="590"/>
      <c r="AR199" s="590"/>
      <c r="AS199" s="590"/>
      <c r="AT199" s="590"/>
      <c r="AU199" s="590"/>
      <c r="AV199" s="590"/>
      <c r="AW199" s="590"/>
      <c r="AX199" s="590"/>
      <c r="AY199" s="590"/>
      <c r="AZ199" s="590"/>
      <c r="BA199" s="590"/>
      <c r="BB199" s="590"/>
      <c r="BC199" s="590"/>
      <c r="BD199" s="590"/>
      <c r="BE199" s="590"/>
      <c r="BF199" s="590"/>
      <c r="BG199" s="590"/>
      <c r="BH199" s="590"/>
      <c r="BI199" s="590"/>
      <c r="BJ199" s="590"/>
      <c r="BK199" s="591"/>
      <c r="BL199" s="591"/>
      <c r="BM199" s="591"/>
      <c r="BN199" s="591"/>
      <c r="BO199" s="591"/>
      <c r="BP199" s="591"/>
      <c r="BQ199" s="591"/>
      <c r="BR199" s="591"/>
      <c r="BS199" s="591"/>
      <c r="BT199" s="591"/>
      <c r="BU199" s="591"/>
      <c r="BV199" s="591"/>
      <c r="BW199" s="591"/>
      <c r="BX199" s="591"/>
      <c r="BY199" s="591"/>
      <c r="BZ199" s="591"/>
      <c r="CA199" s="591"/>
      <c r="CB199" s="591"/>
      <c r="CC199" s="591"/>
      <c r="CD199" s="591"/>
      <c r="CE199" s="591"/>
      <c r="CF199" s="591"/>
    </row>
    <row r="200" spans="1:84">
      <c r="A200" s="590"/>
      <c r="B200" s="590"/>
      <c r="C200" s="590"/>
      <c r="D200" s="590"/>
      <c r="E200" s="590"/>
      <c r="F200" s="590"/>
      <c r="G200" s="590"/>
      <c r="H200" s="590"/>
      <c r="I200" s="590"/>
      <c r="J200" s="590"/>
      <c r="K200" s="590"/>
      <c r="L200" s="590"/>
      <c r="M200" s="590"/>
      <c r="N200" s="590"/>
      <c r="O200" s="590"/>
      <c r="P200" s="590"/>
      <c r="Q200" s="590"/>
      <c r="R200" s="590"/>
      <c r="S200" s="590"/>
      <c r="T200" s="590"/>
      <c r="U200" s="590"/>
      <c r="V200" s="590"/>
      <c r="W200" s="590"/>
      <c r="X200" s="590"/>
      <c r="Y200" s="590"/>
      <c r="Z200" s="590"/>
      <c r="AA200" s="590"/>
      <c r="AB200" s="590"/>
      <c r="AC200" s="590"/>
      <c r="AD200" s="590"/>
      <c r="AE200" s="590"/>
      <c r="AF200" s="590"/>
      <c r="AG200" s="590"/>
      <c r="AH200" s="590"/>
      <c r="AI200" s="590"/>
      <c r="AJ200" s="590"/>
      <c r="AK200" s="590"/>
      <c r="AL200" s="590"/>
      <c r="AM200" s="590"/>
      <c r="AN200" s="590"/>
      <c r="AO200" s="590"/>
      <c r="AP200" s="590"/>
      <c r="AQ200" s="590"/>
      <c r="AR200" s="590"/>
      <c r="AS200" s="590"/>
      <c r="AT200" s="590"/>
      <c r="AU200" s="590"/>
      <c r="AV200" s="590"/>
      <c r="AW200" s="590"/>
      <c r="AX200" s="590"/>
      <c r="AY200" s="590"/>
      <c r="AZ200" s="590"/>
      <c r="BA200" s="590"/>
      <c r="BB200" s="590"/>
      <c r="BC200" s="590"/>
      <c r="BD200" s="590"/>
      <c r="BE200" s="590"/>
      <c r="BF200" s="590"/>
      <c r="BG200" s="590"/>
      <c r="BH200" s="590"/>
      <c r="BI200" s="590"/>
      <c r="BJ200" s="590"/>
      <c r="BK200" s="591"/>
      <c r="BL200" s="591"/>
      <c r="BM200" s="591"/>
      <c r="BN200" s="591"/>
      <c r="BO200" s="591"/>
      <c r="BP200" s="591"/>
      <c r="BQ200" s="591"/>
      <c r="BR200" s="591"/>
      <c r="BS200" s="591"/>
      <c r="BT200" s="591"/>
      <c r="BU200" s="591"/>
      <c r="BV200" s="591"/>
      <c r="BW200" s="591"/>
      <c r="BX200" s="591"/>
      <c r="BY200" s="591"/>
      <c r="BZ200" s="591"/>
      <c r="CA200" s="591"/>
      <c r="CB200" s="591"/>
      <c r="CC200" s="591"/>
      <c r="CD200" s="591"/>
      <c r="CE200" s="591"/>
      <c r="CF200" s="591"/>
    </row>
    <row r="201" spans="1:84">
      <c r="A201" s="590"/>
      <c r="B201" s="590"/>
      <c r="C201" s="590"/>
      <c r="D201" s="590"/>
      <c r="E201" s="590"/>
      <c r="F201" s="590"/>
      <c r="G201" s="590"/>
      <c r="H201" s="590"/>
      <c r="I201" s="590"/>
      <c r="J201" s="590"/>
      <c r="K201" s="590"/>
      <c r="L201" s="590"/>
      <c r="M201" s="590"/>
      <c r="N201" s="590"/>
      <c r="O201" s="590"/>
      <c r="P201" s="590"/>
      <c r="Q201" s="590"/>
      <c r="R201" s="590"/>
      <c r="S201" s="590"/>
      <c r="T201" s="590"/>
      <c r="U201" s="590"/>
      <c r="V201" s="590"/>
      <c r="W201" s="590"/>
      <c r="X201" s="590"/>
      <c r="Y201" s="590"/>
      <c r="Z201" s="590"/>
      <c r="AA201" s="590"/>
      <c r="AB201" s="590"/>
      <c r="AC201" s="590"/>
      <c r="AD201" s="590"/>
      <c r="AE201" s="590"/>
      <c r="AF201" s="590"/>
      <c r="AG201" s="590"/>
      <c r="AH201" s="590"/>
      <c r="AI201" s="590"/>
      <c r="AJ201" s="590"/>
      <c r="AK201" s="590"/>
      <c r="AL201" s="590"/>
      <c r="AM201" s="590"/>
      <c r="AN201" s="590"/>
      <c r="AO201" s="590"/>
      <c r="AP201" s="590"/>
      <c r="AQ201" s="590"/>
      <c r="AR201" s="590"/>
      <c r="AS201" s="590"/>
      <c r="AT201" s="590"/>
      <c r="AU201" s="590"/>
      <c r="AV201" s="590"/>
      <c r="AW201" s="590"/>
      <c r="AX201" s="590"/>
      <c r="AY201" s="590"/>
      <c r="AZ201" s="590"/>
      <c r="BA201" s="590"/>
      <c r="BB201" s="590"/>
      <c r="BC201" s="590"/>
      <c r="BD201" s="590"/>
      <c r="BE201" s="590"/>
      <c r="BF201" s="590"/>
      <c r="BG201" s="590"/>
      <c r="BH201" s="590"/>
      <c r="BI201" s="590"/>
      <c r="BJ201" s="590"/>
      <c r="BK201" s="591"/>
      <c r="BL201" s="591"/>
      <c r="BM201" s="591"/>
      <c r="BN201" s="591"/>
      <c r="BO201" s="591"/>
      <c r="BP201" s="591"/>
      <c r="BQ201" s="591"/>
      <c r="BR201" s="591"/>
      <c r="BS201" s="591"/>
      <c r="BT201" s="591"/>
      <c r="BU201" s="591"/>
      <c r="BV201" s="591"/>
      <c r="BW201" s="591"/>
      <c r="BX201" s="591"/>
      <c r="BY201" s="591"/>
      <c r="BZ201" s="591"/>
      <c r="CA201" s="591"/>
      <c r="CB201" s="591"/>
      <c r="CC201" s="591"/>
      <c r="CD201" s="591"/>
      <c r="CE201" s="591"/>
      <c r="CF201" s="591"/>
    </row>
    <row r="202" spans="1:84">
      <c r="A202" s="590"/>
      <c r="B202" s="590"/>
      <c r="C202" s="590"/>
      <c r="D202" s="590"/>
      <c r="E202" s="590"/>
      <c r="F202" s="590"/>
      <c r="G202" s="590"/>
      <c r="H202" s="590"/>
      <c r="I202" s="590"/>
      <c r="J202" s="590"/>
      <c r="K202" s="590"/>
      <c r="L202" s="590"/>
      <c r="M202" s="590"/>
      <c r="N202" s="590"/>
      <c r="O202" s="590"/>
      <c r="P202" s="590"/>
      <c r="Q202" s="590"/>
      <c r="R202" s="590"/>
      <c r="S202" s="590"/>
      <c r="T202" s="590"/>
      <c r="U202" s="590"/>
      <c r="V202" s="590"/>
      <c r="W202" s="590"/>
      <c r="X202" s="590"/>
      <c r="Y202" s="590"/>
      <c r="Z202" s="590"/>
      <c r="AA202" s="590"/>
      <c r="AB202" s="590"/>
      <c r="AC202" s="590"/>
      <c r="AD202" s="590"/>
      <c r="AE202" s="590"/>
      <c r="AF202" s="590"/>
      <c r="AG202" s="590"/>
      <c r="AH202" s="590"/>
      <c r="AI202" s="590"/>
      <c r="AJ202" s="590"/>
      <c r="AK202" s="590"/>
      <c r="AL202" s="590"/>
      <c r="AM202" s="590"/>
      <c r="AN202" s="590"/>
      <c r="AO202" s="590"/>
      <c r="AP202" s="590"/>
      <c r="AQ202" s="590"/>
      <c r="AR202" s="590"/>
      <c r="AS202" s="590"/>
      <c r="AT202" s="590"/>
      <c r="AU202" s="590"/>
      <c r="AV202" s="590"/>
      <c r="AW202" s="590"/>
      <c r="AX202" s="590"/>
      <c r="AY202" s="590"/>
      <c r="AZ202" s="590"/>
      <c r="BA202" s="590"/>
      <c r="BB202" s="590"/>
      <c r="BC202" s="590"/>
      <c r="BD202" s="590"/>
      <c r="BE202" s="590"/>
      <c r="BF202" s="590"/>
      <c r="BG202" s="590"/>
      <c r="BH202" s="590"/>
      <c r="BI202" s="590"/>
      <c r="BJ202" s="590"/>
      <c r="BK202" s="591"/>
      <c r="BL202" s="591"/>
      <c r="BM202" s="591"/>
      <c r="BN202" s="591"/>
      <c r="BO202" s="591"/>
      <c r="BP202" s="591"/>
      <c r="BQ202" s="591"/>
      <c r="BR202" s="591"/>
      <c r="BS202" s="591"/>
      <c r="BT202" s="591"/>
      <c r="BU202" s="591"/>
      <c r="BV202" s="591"/>
      <c r="BW202" s="591"/>
      <c r="BX202" s="591"/>
      <c r="BY202" s="591"/>
      <c r="BZ202" s="591"/>
      <c r="CA202" s="591"/>
      <c r="CB202" s="591"/>
      <c r="CC202" s="591"/>
      <c r="CD202" s="591"/>
      <c r="CE202" s="591"/>
      <c r="CF202" s="591"/>
    </row>
    <row r="203" spans="1:84">
      <c r="A203" s="590"/>
      <c r="B203" s="590"/>
      <c r="C203" s="590"/>
      <c r="D203" s="590"/>
      <c r="E203" s="590"/>
      <c r="F203" s="590"/>
      <c r="G203" s="590"/>
      <c r="H203" s="590"/>
      <c r="I203" s="590"/>
      <c r="J203" s="590"/>
      <c r="K203" s="590"/>
      <c r="L203" s="590"/>
      <c r="M203" s="590"/>
      <c r="N203" s="590"/>
      <c r="O203" s="590"/>
      <c r="P203" s="590"/>
      <c r="Q203" s="590"/>
      <c r="R203" s="590"/>
      <c r="S203" s="590"/>
      <c r="T203" s="590"/>
      <c r="U203" s="590"/>
      <c r="V203" s="590"/>
      <c r="W203" s="590"/>
      <c r="X203" s="590"/>
      <c r="Y203" s="590"/>
      <c r="Z203" s="590"/>
      <c r="AA203" s="590"/>
      <c r="AB203" s="590"/>
      <c r="AC203" s="590"/>
      <c r="AD203" s="590"/>
      <c r="AE203" s="590"/>
      <c r="AF203" s="590"/>
      <c r="AG203" s="590"/>
      <c r="AH203" s="590"/>
      <c r="AI203" s="590"/>
      <c r="AJ203" s="590"/>
      <c r="AK203" s="590"/>
      <c r="AL203" s="590"/>
      <c r="AM203" s="590"/>
      <c r="AN203" s="590"/>
      <c r="AO203" s="590"/>
      <c r="AP203" s="590"/>
      <c r="AQ203" s="590"/>
      <c r="AR203" s="590"/>
      <c r="AS203" s="590"/>
      <c r="AT203" s="590"/>
      <c r="AU203" s="590"/>
      <c r="AV203" s="590"/>
      <c r="AW203" s="590"/>
      <c r="AX203" s="590"/>
      <c r="AY203" s="590"/>
      <c r="AZ203" s="590"/>
      <c r="BA203" s="590"/>
      <c r="BB203" s="590"/>
      <c r="BC203" s="590"/>
      <c r="BD203" s="590"/>
      <c r="BE203" s="590"/>
      <c r="BF203" s="590"/>
      <c r="BG203" s="590"/>
      <c r="BH203" s="590"/>
      <c r="BI203" s="590"/>
      <c r="BJ203" s="590"/>
      <c r="BK203" s="591"/>
      <c r="BL203" s="591"/>
      <c r="BM203" s="591"/>
      <c r="BN203" s="591"/>
      <c r="BO203" s="591"/>
      <c r="BP203" s="591"/>
      <c r="BQ203" s="591"/>
      <c r="BR203" s="591"/>
      <c r="BS203" s="591"/>
      <c r="BT203" s="591"/>
      <c r="BU203" s="591"/>
      <c r="BV203" s="591"/>
      <c r="BW203" s="591"/>
      <c r="BX203" s="591"/>
      <c r="BY203" s="591"/>
      <c r="BZ203" s="591"/>
      <c r="CA203" s="591"/>
      <c r="CB203" s="591"/>
      <c r="CC203" s="591"/>
      <c r="CD203" s="591"/>
      <c r="CE203" s="591"/>
      <c r="CF203" s="591"/>
    </row>
    <row r="204" spans="1:84">
      <c r="A204" s="590"/>
      <c r="B204" s="590"/>
      <c r="C204" s="590"/>
      <c r="D204" s="590"/>
      <c r="E204" s="590"/>
      <c r="F204" s="590"/>
      <c r="G204" s="590"/>
      <c r="H204" s="590"/>
      <c r="I204" s="590"/>
      <c r="J204" s="590"/>
      <c r="K204" s="590"/>
      <c r="L204" s="590"/>
      <c r="M204" s="590"/>
      <c r="N204" s="590"/>
      <c r="O204" s="590"/>
      <c r="P204" s="590"/>
      <c r="Q204" s="590"/>
      <c r="R204" s="590"/>
      <c r="S204" s="590"/>
      <c r="T204" s="590"/>
      <c r="U204" s="590"/>
      <c r="V204" s="590"/>
      <c r="W204" s="590"/>
      <c r="X204" s="590"/>
      <c r="Y204" s="590"/>
      <c r="Z204" s="590"/>
      <c r="AA204" s="590"/>
      <c r="AB204" s="590"/>
      <c r="AC204" s="590"/>
      <c r="AD204" s="590"/>
      <c r="AE204" s="590"/>
      <c r="AF204" s="590"/>
      <c r="AG204" s="590"/>
      <c r="AH204" s="590"/>
      <c r="AI204" s="590"/>
      <c r="AJ204" s="590"/>
      <c r="AK204" s="590"/>
      <c r="AL204" s="590"/>
      <c r="AM204" s="590"/>
      <c r="AN204" s="590"/>
      <c r="AO204" s="590"/>
      <c r="AP204" s="590"/>
      <c r="AQ204" s="590"/>
      <c r="AR204" s="590"/>
      <c r="AS204" s="590"/>
      <c r="AT204" s="590"/>
      <c r="AU204" s="590"/>
      <c r="AV204" s="590"/>
      <c r="AW204" s="590"/>
      <c r="AX204" s="590"/>
      <c r="AY204" s="590"/>
      <c r="AZ204" s="590"/>
      <c r="BA204" s="590"/>
      <c r="BB204" s="590"/>
      <c r="BC204" s="590"/>
      <c r="BD204" s="590"/>
      <c r="BE204" s="590"/>
      <c r="BF204" s="590"/>
      <c r="BG204" s="590"/>
      <c r="BH204" s="590"/>
      <c r="BI204" s="590"/>
      <c r="BJ204" s="590"/>
      <c r="BK204" s="591"/>
      <c r="BL204" s="591"/>
      <c r="BM204" s="591"/>
      <c r="BN204" s="591"/>
      <c r="BO204" s="591"/>
      <c r="BP204" s="591"/>
      <c r="BQ204" s="591"/>
      <c r="BR204" s="591"/>
      <c r="BS204" s="591"/>
      <c r="BT204" s="591"/>
      <c r="BU204" s="591"/>
      <c r="BV204" s="591"/>
      <c r="BW204" s="591"/>
      <c r="BX204" s="591"/>
      <c r="BY204" s="591"/>
      <c r="BZ204" s="591"/>
      <c r="CA204" s="591"/>
      <c r="CB204" s="591"/>
      <c r="CC204" s="591"/>
      <c r="CD204" s="591"/>
      <c r="CE204" s="591"/>
      <c r="CF204" s="591"/>
    </row>
    <row r="205" spans="1:84">
      <c r="A205" s="590"/>
      <c r="B205" s="590"/>
      <c r="C205" s="590"/>
      <c r="D205" s="590"/>
      <c r="E205" s="590"/>
      <c r="F205" s="590"/>
      <c r="G205" s="590"/>
      <c r="H205" s="590"/>
      <c r="I205" s="590"/>
      <c r="J205" s="590"/>
      <c r="K205" s="590"/>
      <c r="L205" s="590"/>
      <c r="M205" s="590"/>
      <c r="N205" s="590"/>
      <c r="O205" s="590"/>
      <c r="P205" s="590"/>
      <c r="Q205" s="590"/>
      <c r="R205" s="590"/>
      <c r="S205" s="590"/>
      <c r="T205" s="590"/>
      <c r="U205" s="590"/>
      <c r="V205" s="590"/>
      <c r="W205" s="590"/>
      <c r="X205" s="590"/>
      <c r="Y205" s="590"/>
      <c r="Z205" s="590"/>
      <c r="AA205" s="590"/>
      <c r="AB205" s="590"/>
      <c r="AC205" s="590"/>
      <c r="AD205" s="590"/>
      <c r="AE205" s="590"/>
      <c r="AF205" s="590"/>
      <c r="AG205" s="590"/>
      <c r="AH205" s="590"/>
      <c r="AI205" s="590"/>
      <c r="AJ205" s="590"/>
      <c r="AK205" s="590"/>
      <c r="AL205" s="590"/>
      <c r="AM205" s="590"/>
      <c r="AN205" s="590"/>
      <c r="AO205" s="590"/>
      <c r="AP205" s="590"/>
      <c r="AQ205" s="590"/>
      <c r="AR205" s="590"/>
      <c r="AS205" s="590"/>
      <c r="AT205" s="590"/>
      <c r="AU205" s="590"/>
      <c r="AV205" s="590"/>
      <c r="AW205" s="590"/>
      <c r="AX205" s="590"/>
      <c r="AY205" s="590"/>
      <c r="AZ205" s="590"/>
      <c r="BA205" s="590"/>
      <c r="BB205" s="590"/>
      <c r="BC205" s="590"/>
      <c r="BD205" s="590"/>
      <c r="BE205" s="590"/>
      <c r="BF205" s="590"/>
      <c r="BG205" s="590"/>
      <c r="BH205" s="590"/>
      <c r="BI205" s="590"/>
      <c r="BJ205" s="590"/>
      <c r="BK205" s="591"/>
      <c r="BL205" s="591"/>
      <c r="BM205" s="591"/>
      <c r="BN205" s="591"/>
      <c r="BO205" s="591"/>
      <c r="BP205" s="591"/>
      <c r="BQ205" s="591"/>
      <c r="BR205" s="591"/>
      <c r="BS205" s="591"/>
      <c r="BT205" s="591"/>
      <c r="BU205" s="591"/>
      <c r="BV205" s="591"/>
      <c r="BW205" s="591"/>
      <c r="BX205" s="591"/>
      <c r="BY205" s="591"/>
      <c r="BZ205" s="591"/>
      <c r="CA205" s="591"/>
      <c r="CB205" s="591"/>
      <c r="CC205" s="591"/>
      <c r="CD205" s="591"/>
      <c r="CE205" s="591"/>
      <c r="CF205" s="591"/>
    </row>
    <row r="206" spans="1:84">
      <c r="A206" s="590"/>
      <c r="B206" s="590"/>
      <c r="C206" s="590"/>
      <c r="D206" s="590"/>
      <c r="E206" s="590"/>
      <c r="F206" s="590"/>
      <c r="G206" s="590"/>
      <c r="H206" s="590"/>
      <c r="I206" s="590"/>
      <c r="J206" s="590"/>
      <c r="K206" s="590"/>
      <c r="L206" s="590"/>
      <c r="M206" s="590"/>
      <c r="N206" s="590"/>
      <c r="O206" s="590"/>
      <c r="P206" s="590"/>
      <c r="Q206" s="590"/>
      <c r="R206" s="590"/>
      <c r="S206" s="590"/>
      <c r="T206" s="590"/>
      <c r="U206" s="590"/>
      <c r="V206" s="590"/>
      <c r="W206" s="590"/>
      <c r="X206" s="590"/>
      <c r="Y206" s="590"/>
      <c r="Z206" s="590"/>
      <c r="AA206" s="590"/>
      <c r="AB206" s="590"/>
      <c r="AC206" s="590"/>
      <c r="AD206" s="590"/>
      <c r="AE206" s="590"/>
      <c r="AF206" s="590"/>
      <c r="AG206" s="590"/>
      <c r="AH206" s="590"/>
      <c r="AI206" s="590"/>
      <c r="AJ206" s="590"/>
      <c r="AK206" s="590"/>
      <c r="AL206" s="590"/>
      <c r="AM206" s="590"/>
      <c r="AN206" s="590"/>
      <c r="AO206" s="590"/>
      <c r="AP206" s="590"/>
      <c r="AQ206" s="590"/>
      <c r="AR206" s="590"/>
      <c r="AS206" s="590"/>
      <c r="AT206" s="590"/>
      <c r="AU206" s="590"/>
      <c r="AV206" s="590"/>
      <c r="AW206" s="590"/>
      <c r="AX206" s="590"/>
      <c r="AY206" s="590"/>
      <c r="AZ206" s="590"/>
      <c r="BA206" s="590"/>
      <c r="BB206" s="590"/>
      <c r="BC206" s="590"/>
      <c r="BD206" s="590"/>
      <c r="BE206" s="590"/>
      <c r="BF206" s="590"/>
      <c r="BG206" s="590"/>
      <c r="BH206" s="590"/>
      <c r="BI206" s="590"/>
      <c r="BJ206" s="590"/>
      <c r="BK206" s="591"/>
      <c r="BL206" s="591"/>
      <c r="BM206" s="591"/>
      <c r="BN206" s="591"/>
      <c r="BO206" s="591"/>
      <c r="BP206" s="591"/>
      <c r="BQ206" s="591"/>
      <c r="BR206" s="591"/>
      <c r="BS206" s="591"/>
      <c r="BT206" s="591"/>
      <c r="BU206" s="591"/>
      <c r="BV206" s="591"/>
      <c r="BW206" s="591"/>
      <c r="BX206" s="591"/>
      <c r="BY206" s="591"/>
      <c r="BZ206" s="591"/>
      <c r="CA206" s="591"/>
      <c r="CB206" s="591"/>
      <c r="CC206" s="591"/>
      <c r="CD206" s="591"/>
      <c r="CE206" s="591"/>
      <c r="CF206" s="591"/>
    </row>
    <row r="207" spans="1:84">
      <c r="A207" s="590"/>
      <c r="B207" s="590"/>
      <c r="C207" s="590"/>
      <c r="D207" s="590"/>
      <c r="E207" s="590"/>
      <c r="F207" s="590"/>
      <c r="G207" s="590"/>
      <c r="H207" s="590"/>
      <c r="I207" s="590"/>
      <c r="J207" s="590"/>
      <c r="K207" s="590"/>
      <c r="L207" s="590"/>
      <c r="M207" s="590"/>
      <c r="N207" s="590"/>
      <c r="O207" s="590"/>
      <c r="P207" s="590"/>
      <c r="Q207" s="590"/>
      <c r="R207" s="590"/>
      <c r="S207" s="590"/>
      <c r="T207" s="590"/>
      <c r="U207" s="590"/>
      <c r="V207" s="590"/>
      <c r="W207" s="590"/>
      <c r="X207" s="590"/>
      <c r="Y207" s="590"/>
      <c r="Z207" s="590"/>
      <c r="AA207" s="590"/>
      <c r="AB207" s="590"/>
      <c r="AC207" s="590"/>
      <c r="AD207" s="590"/>
      <c r="AE207" s="590"/>
      <c r="AF207" s="590"/>
      <c r="AG207" s="590"/>
      <c r="AH207" s="590"/>
      <c r="AI207" s="590"/>
      <c r="AJ207" s="590"/>
      <c r="AK207" s="590"/>
      <c r="AL207" s="590"/>
      <c r="AM207" s="590"/>
      <c r="AN207" s="590"/>
      <c r="AO207" s="590"/>
      <c r="AP207" s="590"/>
      <c r="AQ207" s="590"/>
      <c r="AR207" s="590"/>
      <c r="AS207" s="590"/>
      <c r="AT207" s="590"/>
      <c r="AU207" s="590"/>
      <c r="AV207" s="590"/>
      <c r="AW207" s="590"/>
      <c r="AX207" s="590"/>
      <c r="AY207" s="590"/>
      <c r="AZ207" s="590"/>
      <c r="BA207" s="590"/>
      <c r="BB207" s="590"/>
      <c r="BC207" s="590"/>
      <c r="BD207" s="590"/>
      <c r="BE207" s="590"/>
      <c r="BF207" s="590"/>
      <c r="BG207" s="590"/>
      <c r="BH207" s="590"/>
      <c r="BI207" s="590"/>
      <c r="BJ207" s="590"/>
      <c r="BK207" s="591"/>
      <c r="BL207" s="591"/>
      <c r="BM207" s="591"/>
      <c r="BN207" s="591"/>
      <c r="BO207" s="591"/>
      <c r="BP207" s="591"/>
      <c r="BQ207" s="591"/>
      <c r="BR207" s="591"/>
      <c r="BS207" s="591"/>
      <c r="BT207" s="591"/>
      <c r="BU207" s="591"/>
      <c r="BV207" s="591"/>
      <c r="BW207" s="591"/>
      <c r="BX207" s="591"/>
      <c r="BY207" s="591"/>
      <c r="BZ207" s="591"/>
      <c r="CA207" s="591"/>
      <c r="CB207" s="591"/>
      <c r="CC207" s="591"/>
      <c r="CD207" s="591"/>
      <c r="CE207" s="591"/>
      <c r="CF207" s="591"/>
    </row>
    <row r="208" spans="1:84">
      <c r="A208" s="590"/>
      <c r="B208" s="590"/>
      <c r="C208" s="590"/>
      <c r="D208" s="590"/>
      <c r="E208" s="590"/>
      <c r="F208" s="590"/>
      <c r="G208" s="590"/>
      <c r="H208" s="590"/>
      <c r="I208" s="590"/>
      <c r="J208" s="590"/>
      <c r="K208" s="590"/>
      <c r="L208" s="590"/>
      <c r="M208" s="590"/>
      <c r="N208" s="590"/>
      <c r="O208" s="590"/>
      <c r="P208" s="590"/>
      <c r="Q208" s="590"/>
      <c r="R208" s="590"/>
      <c r="S208" s="590"/>
      <c r="T208" s="590"/>
      <c r="U208" s="590"/>
      <c r="V208" s="590"/>
      <c r="W208" s="590"/>
      <c r="X208" s="590"/>
      <c r="Y208" s="590"/>
      <c r="Z208" s="590"/>
      <c r="AA208" s="590"/>
      <c r="AB208" s="590"/>
      <c r="AC208" s="590"/>
      <c r="AD208" s="590"/>
      <c r="AE208" s="590"/>
      <c r="AF208" s="590"/>
      <c r="AG208" s="590"/>
      <c r="AH208" s="590"/>
      <c r="AI208" s="590"/>
      <c r="AJ208" s="590"/>
      <c r="AK208" s="590"/>
      <c r="AL208" s="590"/>
      <c r="AM208" s="590"/>
      <c r="AN208" s="590"/>
      <c r="AO208" s="590"/>
      <c r="AP208" s="590"/>
      <c r="AQ208" s="590"/>
      <c r="AR208" s="590"/>
      <c r="AS208" s="590"/>
      <c r="AT208" s="590"/>
      <c r="AU208" s="590"/>
      <c r="AV208" s="590"/>
      <c r="AW208" s="590"/>
      <c r="AX208" s="590"/>
      <c r="AY208" s="590"/>
      <c r="AZ208" s="590"/>
      <c r="BA208" s="590"/>
      <c r="BB208" s="590"/>
      <c r="BC208" s="590"/>
      <c r="BD208" s="590"/>
      <c r="BE208" s="590"/>
      <c r="BF208" s="590"/>
      <c r="BG208" s="590"/>
      <c r="BH208" s="590"/>
      <c r="BI208" s="590"/>
      <c r="BJ208" s="590"/>
      <c r="BK208" s="591"/>
      <c r="BL208" s="591"/>
      <c r="BM208" s="591"/>
      <c r="BN208" s="591"/>
      <c r="BO208" s="591"/>
      <c r="BP208" s="591"/>
      <c r="BQ208" s="591"/>
      <c r="BR208" s="591"/>
      <c r="BS208" s="591"/>
      <c r="BT208" s="591"/>
      <c r="BU208" s="591"/>
      <c r="BV208" s="591"/>
      <c r="BW208" s="591"/>
      <c r="BX208" s="591"/>
      <c r="BY208" s="591"/>
      <c r="BZ208" s="591"/>
      <c r="CA208" s="591"/>
      <c r="CB208" s="591"/>
      <c r="CC208" s="591"/>
      <c r="CD208" s="591"/>
      <c r="CE208" s="591"/>
      <c r="CF208" s="591"/>
    </row>
    <row r="209" spans="1:84">
      <c r="A209" s="590"/>
      <c r="B209" s="590"/>
      <c r="C209" s="590"/>
      <c r="D209" s="590"/>
      <c r="E209" s="590"/>
      <c r="F209" s="590"/>
      <c r="G209" s="590"/>
      <c r="H209" s="590"/>
      <c r="I209" s="590"/>
      <c r="J209" s="590"/>
      <c r="K209" s="590"/>
      <c r="L209" s="590"/>
      <c r="M209" s="590"/>
      <c r="N209" s="590"/>
      <c r="O209" s="590"/>
      <c r="P209" s="590"/>
      <c r="Q209" s="590"/>
      <c r="R209" s="590"/>
      <c r="S209" s="590"/>
      <c r="T209" s="590"/>
      <c r="U209" s="590"/>
      <c r="V209" s="590"/>
      <c r="W209" s="590"/>
      <c r="X209" s="590"/>
      <c r="Y209" s="590"/>
      <c r="Z209" s="590"/>
      <c r="AA209" s="590"/>
      <c r="AB209" s="590"/>
      <c r="AC209" s="590"/>
      <c r="AD209" s="590"/>
      <c r="AE209" s="590"/>
      <c r="AF209" s="590"/>
      <c r="AG209" s="590"/>
      <c r="AH209" s="590"/>
      <c r="AI209" s="590"/>
      <c r="AJ209" s="590"/>
      <c r="AK209" s="590"/>
      <c r="AL209" s="590"/>
      <c r="AM209" s="590"/>
      <c r="AN209" s="590"/>
      <c r="AO209" s="590"/>
      <c r="AP209" s="590"/>
      <c r="AQ209" s="590"/>
      <c r="AR209" s="590"/>
      <c r="AS209" s="590"/>
      <c r="AT209" s="590"/>
      <c r="AU209" s="590"/>
      <c r="AV209" s="590"/>
      <c r="AW209" s="590"/>
      <c r="AX209" s="590"/>
      <c r="AY209" s="590"/>
      <c r="AZ209" s="590"/>
      <c r="BA209" s="590"/>
      <c r="BB209" s="590"/>
      <c r="BC209" s="590"/>
      <c r="BD209" s="590"/>
      <c r="BE209" s="590"/>
      <c r="BF209" s="590"/>
      <c r="BG209" s="590"/>
      <c r="BH209" s="590"/>
      <c r="BI209" s="590"/>
      <c r="BJ209" s="590"/>
      <c r="BK209" s="591"/>
      <c r="BL209" s="591"/>
      <c r="BM209" s="591"/>
      <c r="BN209" s="591"/>
      <c r="BO209" s="591"/>
      <c r="BP209" s="591"/>
      <c r="BQ209" s="591"/>
      <c r="BR209" s="591"/>
      <c r="BS209" s="591"/>
      <c r="BT209" s="591"/>
      <c r="BU209" s="591"/>
      <c r="BV209" s="591"/>
      <c r="BW209" s="591"/>
      <c r="BX209" s="591"/>
      <c r="BY209" s="591"/>
      <c r="BZ209" s="591"/>
      <c r="CA209" s="591"/>
      <c r="CB209" s="591"/>
      <c r="CC209" s="591"/>
      <c r="CD209" s="591"/>
      <c r="CE209" s="591"/>
      <c r="CF209" s="591"/>
    </row>
    <row r="210" spans="1:84">
      <c r="A210" s="590"/>
      <c r="B210" s="590"/>
      <c r="C210" s="590"/>
      <c r="D210" s="590"/>
      <c r="E210" s="590"/>
      <c r="F210" s="590"/>
      <c r="G210" s="590"/>
      <c r="H210" s="590"/>
      <c r="I210" s="590"/>
      <c r="J210" s="590"/>
      <c r="K210" s="590"/>
      <c r="L210" s="590"/>
      <c r="M210" s="590"/>
      <c r="N210" s="590"/>
      <c r="O210" s="590"/>
      <c r="P210" s="590"/>
      <c r="Q210" s="590"/>
      <c r="R210" s="590"/>
      <c r="S210" s="590"/>
      <c r="T210" s="590"/>
      <c r="U210" s="590"/>
      <c r="V210" s="590"/>
      <c r="W210" s="590"/>
      <c r="X210" s="590"/>
      <c r="Y210" s="590"/>
      <c r="Z210" s="590"/>
      <c r="AA210" s="590"/>
      <c r="AB210" s="590"/>
      <c r="AC210" s="590"/>
      <c r="AD210" s="590"/>
      <c r="AE210" s="590"/>
      <c r="AF210" s="590"/>
      <c r="AG210" s="590"/>
      <c r="AH210" s="590"/>
      <c r="AI210" s="590"/>
      <c r="AJ210" s="590"/>
      <c r="AK210" s="590"/>
      <c r="AL210" s="590"/>
      <c r="AM210" s="590"/>
      <c r="AN210" s="590"/>
      <c r="AO210" s="590"/>
      <c r="AP210" s="590"/>
      <c r="AQ210" s="590"/>
      <c r="AR210" s="590"/>
      <c r="AS210" s="590"/>
      <c r="AT210" s="590"/>
      <c r="AU210" s="590"/>
      <c r="AV210" s="590"/>
      <c r="AW210" s="590"/>
      <c r="AX210" s="590"/>
      <c r="AY210" s="590"/>
      <c r="AZ210" s="590"/>
      <c r="BA210" s="590"/>
      <c r="BB210" s="590"/>
      <c r="BC210" s="590"/>
      <c r="BD210" s="590"/>
      <c r="BE210" s="590"/>
      <c r="BF210" s="590"/>
      <c r="BG210" s="590"/>
      <c r="BH210" s="590"/>
      <c r="BI210" s="590"/>
      <c r="BJ210" s="590"/>
      <c r="BK210" s="591"/>
      <c r="BL210" s="591"/>
      <c r="BM210" s="591"/>
      <c r="BN210" s="591"/>
      <c r="BO210" s="591"/>
      <c r="BP210" s="591"/>
      <c r="BQ210" s="591"/>
      <c r="BR210" s="591"/>
      <c r="BS210" s="591"/>
      <c r="BT210" s="591"/>
      <c r="BU210" s="591"/>
      <c r="BV210" s="591"/>
      <c r="BW210" s="591"/>
      <c r="BX210" s="591"/>
      <c r="BY210" s="591"/>
      <c r="BZ210" s="591"/>
      <c r="CA210" s="591"/>
      <c r="CB210" s="591"/>
      <c r="CC210" s="591"/>
      <c r="CD210" s="591"/>
      <c r="CE210" s="591"/>
      <c r="CF210" s="591"/>
    </row>
    <row r="211" spans="1:84">
      <c r="A211" s="590"/>
      <c r="B211" s="590"/>
      <c r="C211" s="590"/>
      <c r="D211" s="590"/>
      <c r="E211" s="590"/>
      <c r="F211" s="590"/>
      <c r="G211" s="590"/>
      <c r="H211" s="590"/>
      <c r="I211" s="590"/>
      <c r="J211" s="590"/>
      <c r="K211" s="590"/>
      <c r="L211" s="590"/>
      <c r="M211" s="590"/>
      <c r="N211" s="590"/>
      <c r="O211" s="590"/>
      <c r="P211" s="590"/>
      <c r="Q211" s="590"/>
      <c r="R211" s="590"/>
      <c r="S211" s="590"/>
      <c r="T211" s="590"/>
      <c r="U211" s="590"/>
      <c r="V211" s="590"/>
      <c r="W211" s="590"/>
      <c r="X211" s="590"/>
      <c r="Y211" s="590"/>
      <c r="Z211" s="590"/>
      <c r="AA211" s="590"/>
      <c r="AB211" s="590"/>
      <c r="AC211" s="590"/>
      <c r="AD211" s="590"/>
      <c r="AE211" s="590"/>
      <c r="AF211" s="590"/>
      <c r="AG211" s="590"/>
      <c r="AH211" s="590"/>
      <c r="AI211" s="590"/>
      <c r="AJ211" s="590"/>
      <c r="AK211" s="590"/>
      <c r="AL211" s="590"/>
      <c r="AM211" s="590"/>
      <c r="AN211" s="590"/>
      <c r="AO211" s="590"/>
      <c r="AP211" s="590"/>
      <c r="AQ211" s="590"/>
      <c r="AR211" s="590"/>
      <c r="AS211" s="590"/>
      <c r="AT211" s="590"/>
      <c r="AU211" s="590"/>
      <c r="AV211" s="590"/>
      <c r="AW211" s="590"/>
      <c r="AX211" s="590"/>
      <c r="AY211" s="590"/>
      <c r="AZ211" s="590"/>
      <c r="BA211" s="590"/>
      <c r="BB211" s="590"/>
      <c r="BC211" s="590"/>
      <c r="BD211" s="590"/>
      <c r="BE211" s="590"/>
      <c r="BF211" s="590"/>
      <c r="BG211" s="590"/>
      <c r="BH211" s="590"/>
      <c r="BI211" s="590"/>
      <c r="BJ211" s="590"/>
      <c r="BK211" s="591"/>
      <c r="BL211" s="591"/>
      <c r="BM211" s="591"/>
      <c r="BN211" s="591"/>
      <c r="BO211" s="591"/>
      <c r="BP211" s="591"/>
      <c r="BQ211" s="591"/>
      <c r="BR211" s="591"/>
      <c r="BS211" s="591"/>
      <c r="BT211" s="591"/>
      <c r="BU211" s="591"/>
      <c r="BV211" s="591"/>
      <c r="BW211" s="591"/>
      <c r="BX211" s="591"/>
      <c r="BY211" s="591"/>
      <c r="BZ211" s="591"/>
      <c r="CA211" s="591"/>
      <c r="CB211" s="591"/>
      <c r="CC211" s="591"/>
      <c r="CD211" s="591"/>
      <c r="CE211" s="591"/>
      <c r="CF211" s="591"/>
    </row>
    <row r="212" spans="1:84">
      <c r="A212" s="590"/>
      <c r="B212" s="590"/>
      <c r="C212" s="590"/>
      <c r="D212" s="590"/>
      <c r="E212" s="590"/>
      <c r="F212" s="590"/>
      <c r="G212" s="590"/>
      <c r="H212" s="590"/>
      <c r="I212" s="590"/>
      <c r="J212" s="590"/>
      <c r="K212" s="590"/>
      <c r="L212" s="590"/>
      <c r="M212" s="590"/>
      <c r="N212" s="590"/>
      <c r="O212" s="590"/>
      <c r="P212" s="590"/>
      <c r="Q212" s="590"/>
      <c r="R212" s="590"/>
      <c r="S212" s="590"/>
      <c r="T212" s="590"/>
      <c r="U212" s="590"/>
      <c r="V212" s="590"/>
      <c r="W212" s="590"/>
      <c r="X212" s="590"/>
      <c r="Y212" s="590"/>
      <c r="Z212" s="590"/>
      <c r="AA212" s="590"/>
      <c r="AB212" s="590"/>
      <c r="AC212" s="590"/>
      <c r="AD212" s="590"/>
      <c r="AE212" s="590"/>
      <c r="AF212" s="590"/>
      <c r="AG212" s="590"/>
      <c r="AH212" s="590"/>
      <c r="AI212" s="590"/>
      <c r="AJ212" s="590"/>
      <c r="AK212" s="590"/>
      <c r="AL212" s="590"/>
      <c r="AM212" s="590"/>
      <c r="AN212" s="590"/>
      <c r="AO212" s="590"/>
      <c r="AP212" s="590"/>
      <c r="AQ212" s="590"/>
      <c r="AR212" s="590"/>
      <c r="AS212" s="590"/>
      <c r="AT212" s="590"/>
      <c r="AU212" s="590"/>
      <c r="AV212" s="590"/>
      <c r="AW212" s="590"/>
      <c r="AX212" s="590"/>
      <c r="AY212" s="590"/>
      <c r="AZ212" s="590"/>
      <c r="BA212" s="590"/>
      <c r="BB212" s="590"/>
      <c r="BC212" s="590"/>
      <c r="BD212" s="590"/>
      <c r="BE212" s="590"/>
      <c r="BF212" s="590"/>
      <c r="BG212" s="590"/>
      <c r="BH212" s="590"/>
      <c r="BI212" s="590"/>
      <c r="BJ212" s="590"/>
      <c r="BK212" s="591"/>
      <c r="BL212" s="591"/>
      <c r="BM212" s="591"/>
      <c r="BN212" s="591"/>
      <c r="BO212" s="591"/>
      <c r="BP212" s="591"/>
      <c r="BQ212" s="591"/>
      <c r="BR212" s="591"/>
      <c r="BS212" s="591"/>
      <c r="BT212" s="591"/>
      <c r="BU212" s="591"/>
      <c r="BV212" s="591"/>
      <c r="BW212" s="591"/>
      <c r="BX212" s="591"/>
      <c r="BY212" s="591"/>
      <c r="BZ212" s="591"/>
      <c r="CA212" s="591"/>
      <c r="CB212" s="591"/>
      <c r="CC212" s="591"/>
      <c r="CD212" s="591"/>
      <c r="CE212" s="591"/>
      <c r="CF212" s="591"/>
    </row>
    <row r="213" spans="1:84">
      <c r="A213" s="590"/>
      <c r="B213" s="590"/>
      <c r="C213" s="590"/>
      <c r="D213" s="590"/>
      <c r="E213" s="590"/>
      <c r="F213" s="590"/>
      <c r="G213" s="590"/>
      <c r="H213" s="590"/>
      <c r="I213" s="590"/>
      <c r="J213" s="590"/>
      <c r="K213" s="590"/>
      <c r="L213" s="590"/>
      <c r="M213" s="590"/>
      <c r="N213" s="590"/>
      <c r="O213" s="590"/>
      <c r="P213" s="590"/>
      <c r="Q213" s="590"/>
      <c r="R213" s="590"/>
      <c r="S213" s="590"/>
      <c r="T213" s="590"/>
      <c r="U213" s="590"/>
      <c r="V213" s="590"/>
      <c r="W213" s="590"/>
      <c r="X213" s="590"/>
      <c r="Y213" s="590"/>
      <c r="Z213" s="590"/>
      <c r="AA213" s="590"/>
      <c r="AB213" s="590"/>
      <c r="AC213" s="590"/>
      <c r="AD213" s="590"/>
      <c r="AE213" s="590"/>
      <c r="AF213" s="590"/>
      <c r="AG213" s="590"/>
      <c r="AH213" s="590"/>
      <c r="AI213" s="590"/>
      <c r="AJ213" s="590"/>
      <c r="AK213" s="590"/>
      <c r="AL213" s="590"/>
      <c r="AM213" s="590"/>
      <c r="AN213" s="590"/>
      <c r="AO213" s="590"/>
      <c r="AP213" s="590"/>
      <c r="AQ213" s="590"/>
      <c r="AR213" s="590"/>
      <c r="AS213" s="590"/>
      <c r="AT213" s="590"/>
      <c r="AU213" s="590"/>
      <c r="AV213" s="590"/>
      <c r="AW213" s="590"/>
      <c r="AX213" s="590"/>
      <c r="AY213" s="590"/>
      <c r="AZ213" s="590"/>
      <c r="BA213" s="590"/>
      <c r="BB213" s="590"/>
      <c r="BC213" s="590"/>
      <c r="BD213" s="590"/>
      <c r="BE213" s="590"/>
      <c r="BF213" s="590"/>
      <c r="BG213" s="590"/>
      <c r="BH213" s="590"/>
      <c r="BI213" s="590"/>
      <c r="BJ213" s="590"/>
      <c r="BK213" s="591"/>
      <c r="BL213" s="591"/>
      <c r="BM213" s="591"/>
      <c r="BN213" s="591"/>
      <c r="BO213" s="591"/>
      <c r="BP213" s="591"/>
      <c r="BQ213" s="591"/>
      <c r="BR213" s="591"/>
      <c r="BS213" s="591"/>
      <c r="BT213" s="591"/>
      <c r="BU213" s="591"/>
      <c r="BV213" s="591"/>
      <c r="BW213" s="591"/>
      <c r="BX213" s="591"/>
      <c r="BY213" s="591"/>
      <c r="BZ213" s="591"/>
      <c r="CA213" s="591"/>
      <c r="CB213" s="591"/>
      <c r="CC213" s="591"/>
      <c r="CD213" s="591"/>
      <c r="CE213" s="591"/>
      <c r="CF213" s="591"/>
    </row>
    <row r="214" spans="1:84">
      <c r="A214" s="590"/>
      <c r="B214" s="590"/>
      <c r="C214" s="590"/>
      <c r="D214" s="590"/>
      <c r="E214" s="590"/>
      <c r="F214" s="590"/>
      <c r="G214" s="590"/>
      <c r="H214" s="590"/>
      <c r="I214" s="590"/>
      <c r="J214" s="590"/>
      <c r="K214" s="590"/>
      <c r="L214" s="590"/>
      <c r="M214" s="590"/>
      <c r="N214" s="590"/>
      <c r="O214" s="590"/>
      <c r="P214" s="590"/>
      <c r="Q214" s="590"/>
      <c r="R214" s="590"/>
      <c r="S214" s="590"/>
      <c r="T214" s="590"/>
      <c r="U214" s="590"/>
      <c r="V214" s="590"/>
      <c r="W214" s="590"/>
      <c r="X214" s="590"/>
      <c r="Y214" s="590"/>
      <c r="Z214" s="590"/>
      <c r="AA214" s="590"/>
      <c r="AB214" s="590"/>
      <c r="AC214" s="590"/>
      <c r="AD214" s="590"/>
      <c r="AE214" s="590"/>
      <c r="AF214" s="590"/>
      <c r="AG214" s="590"/>
      <c r="AH214" s="590"/>
      <c r="AI214" s="590"/>
      <c r="AJ214" s="590"/>
      <c r="AK214" s="590"/>
      <c r="AL214" s="590"/>
      <c r="AM214" s="590"/>
      <c r="AN214" s="590"/>
      <c r="AO214" s="590"/>
      <c r="AP214" s="590"/>
      <c r="AQ214" s="590"/>
      <c r="AR214" s="590"/>
      <c r="AS214" s="590"/>
      <c r="AT214" s="590"/>
      <c r="AU214" s="590"/>
      <c r="AV214" s="590"/>
      <c r="AW214" s="590"/>
      <c r="AX214" s="590"/>
      <c r="AY214" s="590"/>
      <c r="AZ214" s="590"/>
      <c r="BA214" s="590"/>
      <c r="BB214" s="590"/>
      <c r="BC214" s="590"/>
      <c r="BD214" s="590"/>
      <c r="BE214" s="590"/>
      <c r="BF214" s="590"/>
      <c r="BG214" s="590"/>
      <c r="BH214" s="590"/>
      <c r="BI214" s="590"/>
      <c r="BJ214" s="590"/>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row>
    <row r="215" spans="1:84">
      <c r="A215" s="590"/>
      <c r="B215" s="590"/>
      <c r="C215" s="590"/>
      <c r="D215" s="590"/>
      <c r="E215" s="590"/>
      <c r="F215" s="590"/>
      <c r="G215" s="590"/>
      <c r="H215" s="590"/>
      <c r="I215" s="590"/>
      <c r="J215" s="590"/>
      <c r="K215" s="590"/>
      <c r="L215" s="590"/>
      <c r="M215" s="590"/>
      <c r="N215" s="590"/>
      <c r="O215" s="590"/>
      <c r="P215" s="590"/>
      <c r="Q215" s="590"/>
      <c r="R215" s="590"/>
      <c r="S215" s="590"/>
      <c r="T215" s="590"/>
      <c r="U215" s="590"/>
      <c r="V215" s="590"/>
      <c r="W215" s="590"/>
      <c r="X215" s="590"/>
      <c r="Y215" s="590"/>
      <c r="Z215" s="590"/>
      <c r="AA215" s="590"/>
      <c r="AB215" s="590"/>
      <c r="AC215" s="590"/>
      <c r="AD215" s="590"/>
      <c r="AE215" s="590"/>
      <c r="AF215" s="590"/>
      <c r="AG215" s="590"/>
      <c r="AH215" s="590"/>
      <c r="AI215" s="590"/>
      <c r="AJ215" s="590"/>
      <c r="AK215" s="590"/>
      <c r="AL215" s="590"/>
      <c r="AM215" s="590"/>
      <c r="AN215" s="590"/>
      <c r="AO215" s="590"/>
      <c r="AP215" s="590"/>
      <c r="AQ215" s="590"/>
      <c r="AR215" s="590"/>
      <c r="AS215" s="590"/>
      <c r="AT215" s="590"/>
      <c r="AU215" s="590"/>
      <c r="AV215" s="590"/>
      <c r="AW215" s="590"/>
      <c r="AX215" s="590"/>
      <c r="AY215" s="590"/>
      <c r="AZ215" s="590"/>
      <c r="BA215" s="590"/>
      <c r="BB215" s="590"/>
      <c r="BC215" s="590"/>
      <c r="BD215" s="590"/>
      <c r="BE215" s="590"/>
      <c r="BF215" s="590"/>
      <c r="BG215" s="590"/>
      <c r="BH215" s="590"/>
      <c r="BI215" s="590"/>
      <c r="BJ215" s="590"/>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row>
    <row r="216" spans="1:84">
      <c r="A216" s="590"/>
      <c r="B216" s="590"/>
      <c r="C216" s="590"/>
      <c r="D216" s="590"/>
      <c r="E216" s="590"/>
      <c r="F216" s="590"/>
      <c r="G216" s="590"/>
      <c r="H216" s="590"/>
      <c r="I216" s="590"/>
      <c r="J216" s="590"/>
      <c r="K216" s="590"/>
      <c r="L216" s="590"/>
      <c r="M216" s="590"/>
      <c r="N216" s="590"/>
      <c r="O216" s="590"/>
      <c r="P216" s="590"/>
      <c r="Q216" s="590"/>
      <c r="R216" s="590"/>
      <c r="S216" s="590"/>
      <c r="T216" s="590"/>
      <c r="U216" s="590"/>
      <c r="V216" s="590"/>
      <c r="W216" s="590"/>
      <c r="X216" s="590"/>
      <c r="Y216" s="590"/>
      <c r="Z216" s="590"/>
      <c r="AA216" s="590"/>
      <c r="AB216" s="590"/>
      <c r="AC216" s="590"/>
      <c r="AD216" s="590"/>
      <c r="AE216" s="590"/>
      <c r="AF216" s="590"/>
      <c r="AG216" s="590"/>
      <c r="AH216" s="590"/>
      <c r="AI216" s="590"/>
      <c r="AJ216" s="590"/>
      <c r="AK216" s="590"/>
      <c r="AL216" s="590"/>
      <c r="AM216" s="590"/>
      <c r="AN216" s="590"/>
      <c r="AO216" s="590"/>
      <c r="AP216" s="590"/>
      <c r="AQ216" s="590"/>
      <c r="AR216" s="590"/>
      <c r="AS216" s="590"/>
      <c r="AT216" s="590"/>
      <c r="AU216" s="590"/>
      <c r="AV216" s="590"/>
      <c r="AW216" s="590"/>
      <c r="AX216" s="590"/>
      <c r="AY216" s="590"/>
      <c r="AZ216" s="590"/>
      <c r="BA216" s="590"/>
      <c r="BB216" s="590"/>
      <c r="BC216" s="590"/>
      <c r="BD216" s="590"/>
      <c r="BE216" s="590"/>
      <c r="BF216" s="590"/>
      <c r="BG216" s="590"/>
      <c r="BH216" s="590"/>
      <c r="BI216" s="590"/>
      <c r="BJ216" s="590"/>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row>
    <row r="217" spans="1:84">
      <c r="A217" s="590"/>
      <c r="B217" s="590"/>
      <c r="C217" s="590"/>
      <c r="D217" s="590"/>
      <c r="E217" s="590"/>
      <c r="F217" s="590"/>
      <c r="G217" s="590"/>
      <c r="H217" s="590"/>
      <c r="I217" s="590"/>
      <c r="J217" s="590"/>
      <c r="K217" s="590"/>
      <c r="L217" s="590"/>
      <c r="M217" s="590"/>
      <c r="N217" s="590"/>
      <c r="O217" s="590"/>
      <c r="P217" s="590"/>
      <c r="Q217" s="590"/>
      <c r="R217" s="590"/>
      <c r="S217" s="590"/>
      <c r="T217" s="590"/>
      <c r="U217" s="590"/>
      <c r="V217" s="590"/>
      <c r="W217" s="590"/>
      <c r="X217" s="590"/>
      <c r="Y217" s="590"/>
      <c r="Z217" s="590"/>
      <c r="AA217" s="590"/>
      <c r="AB217" s="590"/>
      <c r="AC217" s="590"/>
      <c r="AD217" s="590"/>
      <c r="AE217" s="590"/>
      <c r="AF217" s="590"/>
      <c r="AG217" s="590"/>
      <c r="AH217" s="590"/>
      <c r="AI217" s="590"/>
      <c r="AJ217" s="590"/>
      <c r="AK217" s="590"/>
      <c r="AL217" s="590"/>
      <c r="AM217" s="590"/>
      <c r="AN217" s="590"/>
      <c r="AO217" s="590"/>
      <c r="AP217" s="590"/>
      <c r="AQ217" s="590"/>
      <c r="AR217" s="590"/>
      <c r="AS217" s="590"/>
      <c r="AT217" s="590"/>
      <c r="AU217" s="590"/>
      <c r="AV217" s="590"/>
      <c r="AW217" s="590"/>
      <c r="AX217" s="590"/>
      <c r="AY217" s="590"/>
      <c r="AZ217" s="590"/>
      <c r="BA217" s="590"/>
      <c r="BB217" s="590"/>
      <c r="BC217" s="590"/>
      <c r="BD217" s="590"/>
      <c r="BE217" s="590"/>
      <c r="BF217" s="590"/>
      <c r="BG217" s="590"/>
      <c r="BH217" s="590"/>
      <c r="BI217" s="590"/>
      <c r="BJ217" s="590"/>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row>
    <row r="218" spans="1:84">
      <c r="A218" s="590"/>
      <c r="B218" s="590"/>
      <c r="C218" s="590"/>
      <c r="D218" s="590"/>
      <c r="E218" s="590"/>
      <c r="F218" s="590"/>
      <c r="G218" s="590"/>
      <c r="H218" s="590"/>
      <c r="I218" s="590"/>
      <c r="J218" s="590"/>
      <c r="K218" s="590"/>
      <c r="L218" s="590"/>
      <c r="M218" s="590"/>
      <c r="N218" s="590"/>
      <c r="O218" s="590"/>
      <c r="P218" s="590"/>
      <c r="Q218" s="590"/>
      <c r="R218" s="590"/>
      <c r="S218" s="590"/>
      <c r="T218" s="590"/>
      <c r="U218" s="590"/>
      <c r="V218" s="590"/>
      <c r="W218" s="590"/>
      <c r="X218" s="590"/>
      <c r="Y218" s="590"/>
      <c r="Z218" s="590"/>
      <c r="AA218" s="590"/>
      <c r="AB218" s="590"/>
      <c r="AC218" s="590"/>
      <c r="AD218" s="590"/>
      <c r="AE218" s="590"/>
      <c r="AF218" s="590"/>
      <c r="AG218" s="590"/>
      <c r="AH218" s="590"/>
      <c r="AI218" s="590"/>
      <c r="AJ218" s="590"/>
      <c r="AK218" s="590"/>
      <c r="AL218" s="590"/>
      <c r="AM218" s="590"/>
      <c r="AN218" s="590"/>
      <c r="AO218" s="590"/>
      <c r="AP218" s="590"/>
      <c r="AQ218" s="590"/>
      <c r="AR218" s="590"/>
      <c r="AS218" s="590"/>
      <c r="AT218" s="590"/>
      <c r="AU218" s="590"/>
      <c r="AV218" s="590"/>
      <c r="AW218" s="590"/>
      <c r="AX218" s="590"/>
      <c r="AY218" s="590"/>
      <c r="AZ218" s="590"/>
      <c r="BA218" s="590"/>
      <c r="BB218" s="590"/>
      <c r="BC218" s="590"/>
      <c r="BD218" s="590"/>
      <c r="BE218" s="590"/>
      <c r="BF218" s="590"/>
      <c r="BG218" s="590"/>
      <c r="BH218" s="590"/>
      <c r="BI218" s="590"/>
      <c r="BJ218" s="590"/>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row>
    <row r="219" spans="1:84">
      <c r="A219" s="590"/>
      <c r="B219" s="590"/>
      <c r="C219" s="590"/>
      <c r="D219" s="590"/>
      <c r="E219" s="590"/>
      <c r="F219" s="590"/>
      <c r="G219" s="590"/>
      <c r="H219" s="590"/>
      <c r="I219" s="590"/>
      <c r="J219" s="590"/>
      <c r="K219" s="590"/>
      <c r="L219" s="590"/>
      <c r="M219" s="590"/>
      <c r="N219" s="590"/>
      <c r="O219" s="590"/>
      <c r="P219" s="590"/>
      <c r="Q219" s="590"/>
      <c r="R219" s="590"/>
      <c r="S219" s="590"/>
      <c r="T219" s="590"/>
      <c r="U219" s="590"/>
      <c r="V219" s="590"/>
      <c r="W219" s="590"/>
      <c r="X219" s="590"/>
      <c r="Y219" s="590"/>
      <c r="Z219" s="590"/>
      <c r="AA219" s="590"/>
      <c r="AB219" s="590"/>
      <c r="AC219" s="590"/>
      <c r="AD219" s="590"/>
      <c r="AE219" s="590"/>
      <c r="AF219" s="590"/>
      <c r="AG219" s="590"/>
      <c r="AH219" s="590"/>
      <c r="AI219" s="590"/>
      <c r="AJ219" s="590"/>
      <c r="AK219" s="590"/>
      <c r="AL219" s="590"/>
      <c r="AM219" s="590"/>
      <c r="AN219" s="590"/>
      <c r="AO219" s="590"/>
      <c r="AP219" s="590"/>
      <c r="AQ219" s="590"/>
      <c r="AR219" s="590"/>
      <c r="AS219" s="590"/>
      <c r="AT219" s="590"/>
      <c r="AU219" s="590"/>
      <c r="AV219" s="590"/>
      <c r="AW219" s="590"/>
      <c r="AX219" s="590"/>
      <c r="AY219" s="590"/>
      <c r="AZ219" s="590"/>
      <c r="BA219" s="590"/>
      <c r="BB219" s="590"/>
      <c r="BC219" s="590"/>
      <c r="BD219" s="590"/>
      <c r="BE219" s="590"/>
      <c r="BF219" s="590"/>
      <c r="BG219" s="590"/>
      <c r="BH219" s="590"/>
      <c r="BI219" s="590"/>
      <c r="BJ219" s="590"/>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row>
    <row r="220" spans="1:84">
      <c r="A220" s="590"/>
      <c r="B220" s="590"/>
      <c r="C220" s="590"/>
      <c r="D220" s="590"/>
      <c r="E220" s="590"/>
      <c r="F220" s="590"/>
      <c r="G220" s="590"/>
      <c r="H220" s="590"/>
      <c r="I220" s="590"/>
      <c r="J220" s="590"/>
      <c r="K220" s="590"/>
      <c r="L220" s="590"/>
      <c r="M220" s="590"/>
      <c r="N220" s="590"/>
      <c r="O220" s="590"/>
      <c r="P220" s="590"/>
      <c r="Q220" s="590"/>
      <c r="R220" s="590"/>
      <c r="S220" s="590"/>
      <c r="T220" s="590"/>
      <c r="U220" s="590"/>
      <c r="V220" s="590"/>
      <c r="W220" s="590"/>
      <c r="X220" s="590"/>
      <c r="Y220" s="590"/>
      <c r="Z220" s="590"/>
      <c r="AA220" s="590"/>
      <c r="AB220" s="590"/>
      <c r="AC220" s="590"/>
      <c r="AD220" s="590"/>
      <c r="AE220" s="590"/>
      <c r="AF220" s="590"/>
      <c r="AG220" s="590"/>
      <c r="AH220" s="590"/>
      <c r="AI220" s="590"/>
      <c r="AJ220" s="590"/>
      <c r="AK220" s="590"/>
      <c r="AL220" s="590"/>
      <c r="AM220" s="590"/>
      <c r="AN220" s="590"/>
      <c r="AO220" s="590"/>
      <c r="AP220" s="590"/>
      <c r="AQ220" s="590"/>
      <c r="AR220" s="590"/>
      <c r="AS220" s="590"/>
      <c r="AT220" s="590"/>
      <c r="AU220" s="590"/>
      <c r="AV220" s="590"/>
      <c r="AW220" s="590"/>
      <c r="AX220" s="590"/>
      <c r="AY220" s="590"/>
      <c r="AZ220" s="590"/>
      <c r="BA220" s="590"/>
      <c r="BB220" s="590"/>
      <c r="BC220" s="590"/>
      <c r="BD220" s="590"/>
      <c r="BE220" s="590"/>
      <c r="BF220" s="590"/>
      <c r="BG220" s="590"/>
      <c r="BH220" s="590"/>
      <c r="BI220" s="590"/>
      <c r="BJ220" s="590"/>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row>
    <row r="221" spans="1:84">
      <c r="A221" s="590"/>
      <c r="B221" s="590"/>
      <c r="C221" s="590"/>
      <c r="D221" s="590"/>
      <c r="E221" s="590"/>
      <c r="F221" s="590"/>
      <c r="G221" s="590"/>
      <c r="H221" s="590"/>
      <c r="I221" s="590"/>
      <c r="J221" s="590"/>
      <c r="K221" s="590"/>
      <c r="L221" s="590"/>
      <c r="M221" s="590"/>
      <c r="N221" s="590"/>
      <c r="O221" s="590"/>
      <c r="P221" s="590"/>
      <c r="Q221" s="590"/>
      <c r="R221" s="590"/>
      <c r="S221" s="590"/>
      <c r="T221" s="590"/>
      <c r="U221" s="590"/>
      <c r="V221" s="590"/>
      <c r="W221" s="590"/>
      <c r="X221" s="590"/>
      <c r="Y221" s="590"/>
      <c r="Z221" s="590"/>
      <c r="AA221" s="590"/>
      <c r="AB221" s="590"/>
      <c r="AC221" s="590"/>
      <c r="AD221" s="590"/>
      <c r="AE221" s="590"/>
      <c r="AF221" s="590"/>
      <c r="AG221" s="590"/>
      <c r="AH221" s="590"/>
      <c r="AI221" s="590"/>
      <c r="AJ221" s="590"/>
      <c r="AK221" s="590"/>
      <c r="AL221" s="590"/>
      <c r="AM221" s="590"/>
      <c r="AN221" s="590"/>
      <c r="AO221" s="590"/>
      <c r="AP221" s="590"/>
      <c r="AQ221" s="590"/>
      <c r="AR221" s="590"/>
      <c r="AS221" s="590"/>
      <c r="AT221" s="590"/>
      <c r="AU221" s="590"/>
      <c r="AV221" s="590"/>
      <c r="AW221" s="590"/>
      <c r="AX221" s="590"/>
      <c r="AY221" s="590"/>
      <c r="AZ221" s="590"/>
      <c r="BA221" s="590"/>
      <c r="BB221" s="590"/>
      <c r="BC221" s="590"/>
      <c r="BD221" s="590"/>
      <c r="BE221" s="590"/>
      <c r="BF221" s="590"/>
      <c r="BG221" s="590"/>
      <c r="BH221" s="590"/>
      <c r="BI221" s="590"/>
      <c r="BJ221" s="590"/>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row>
    <row r="222" spans="1:84">
      <c r="A222" s="590"/>
      <c r="B222" s="590"/>
      <c r="C222" s="590"/>
      <c r="D222" s="590"/>
      <c r="E222" s="590"/>
      <c r="F222" s="590"/>
      <c r="G222" s="590"/>
      <c r="H222" s="590"/>
      <c r="I222" s="590"/>
      <c r="J222" s="590"/>
      <c r="K222" s="590"/>
      <c r="L222" s="590"/>
      <c r="M222" s="590"/>
      <c r="N222" s="590"/>
      <c r="O222" s="590"/>
      <c r="P222" s="590"/>
      <c r="Q222" s="590"/>
      <c r="R222" s="590"/>
      <c r="S222" s="590"/>
      <c r="T222" s="590"/>
      <c r="U222" s="590"/>
      <c r="V222" s="590"/>
      <c r="W222" s="590"/>
      <c r="X222" s="590"/>
      <c r="Y222" s="590"/>
      <c r="Z222" s="590"/>
      <c r="AA222" s="590"/>
      <c r="AB222" s="590"/>
      <c r="AC222" s="590"/>
      <c r="AD222" s="590"/>
      <c r="AE222" s="590"/>
      <c r="AF222" s="590"/>
      <c r="AG222" s="590"/>
      <c r="AH222" s="590"/>
      <c r="AI222" s="590"/>
      <c r="AJ222" s="590"/>
      <c r="AK222" s="590"/>
      <c r="AL222" s="590"/>
      <c r="AM222" s="590"/>
      <c r="AN222" s="590"/>
      <c r="AO222" s="590"/>
      <c r="AP222" s="590"/>
      <c r="AQ222" s="590"/>
      <c r="AR222" s="590"/>
      <c r="AS222" s="590"/>
      <c r="AT222" s="590"/>
      <c r="AU222" s="590"/>
      <c r="AV222" s="590"/>
      <c r="AW222" s="590"/>
      <c r="AX222" s="590"/>
      <c r="AY222" s="590"/>
      <c r="AZ222" s="590"/>
      <c r="BA222" s="590"/>
      <c r="BB222" s="590"/>
      <c r="BC222" s="590"/>
      <c r="BD222" s="590"/>
      <c r="BE222" s="590"/>
      <c r="BF222" s="590"/>
      <c r="BG222" s="590"/>
      <c r="BH222" s="590"/>
      <c r="BI222" s="590"/>
      <c r="BJ222" s="590"/>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row>
    <row r="223" spans="1:84">
      <c r="A223" s="590"/>
      <c r="B223" s="590"/>
      <c r="C223" s="590"/>
      <c r="D223" s="590"/>
      <c r="E223" s="590"/>
      <c r="F223" s="590"/>
      <c r="G223" s="590"/>
      <c r="H223" s="590"/>
      <c r="I223" s="590"/>
      <c r="J223" s="590"/>
      <c r="K223" s="590"/>
      <c r="L223" s="590"/>
      <c r="M223" s="590"/>
      <c r="N223" s="590"/>
      <c r="O223" s="590"/>
      <c r="P223" s="590"/>
      <c r="Q223" s="590"/>
      <c r="R223" s="590"/>
      <c r="S223" s="590"/>
      <c r="T223" s="590"/>
      <c r="U223" s="590"/>
      <c r="V223" s="590"/>
      <c r="W223" s="590"/>
      <c r="X223" s="590"/>
      <c r="Y223" s="590"/>
      <c r="Z223" s="590"/>
      <c r="AA223" s="590"/>
      <c r="AB223" s="590"/>
      <c r="AC223" s="590"/>
      <c r="AD223" s="590"/>
      <c r="AE223" s="590"/>
      <c r="AF223" s="590"/>
      <c r="AG223" s="590"/>
      <c r="AH223" s="590"/>
      <c r="AI223" s="590"/>
      <c r="AJ223" s="590"/>
      <c r="AK223" s="590"/>
      <c r="AL223" s="590"/>
      <c r="AM223" s="590"/>
      <c r="AN223" s="590"/>
      <c r="AO223" s="590"/>
      <c r="AP223" s="590"/>
      <c r="AQ223" s="590"/>
      <c r="AR223" s="590"/>
      <c r="AS223" s="590"/>
      <c r="AT223" s="590"/>
      <c r="AU223" s="590"/>
      <c r="AV223" s="590"/>
      <c r="AW223" s="590"/>
      <c r="AX223" s="590"/>
      <c r="AY223" s="590"/>
      <c r="AZ223" s="590"/>
      <c r="BA223" s="590"/>
      <c r="BB223" s="590"/>
      <c r="BC223" s="590"/>
      <c r="BD223" s="590"/>
      <c r="BE223" s="590"/>
      <c r="BF223" s="590"/>
      <c r="BG223" s="590"/>
      <c r="BH223" s="590"/>
      <c r="BI223" s="590"/>
      <c r="BJ223" s="590"/>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row>
    <row r="224" spans="1:84">
      <c r="A224" s="590"/>
      <c r="B224" s="590"/>
      <c r="C224" s="590"/>
      <c r="D224" s="590"/>
      <c r="E224" s="590"/>
      <c r="F224" s="590"/>
      <c r="G224" s="590"/>
      <c r="H224" s="590"/>
      <c r="I224" s="590"/>
      <c r="J224" s="590"/>
      <c r="K224" s="590"/>
      <c r="L224" s="590"/>
      <c r="M224" s="590"/>
      <c r="N224" s="590"/>
      <c r="O224" s="590"/>
      <c r="P224" s="590"/>
      <c r="Q224" s="590"/>
      <c r="R224" s="590"/>
      <c r="S224" s="590"/>
      <c r="T224" s="590"/>
      <c r="U224" s="590"/>
      <c r="V224" s="590"/>
      <c r="W224" s="590"/>
      <c r="X224" s="590"/>
      <c r="Y224" s="590"/>
      <c r="Z224" s="590"/>
      <c r="AA224" s="590"/>
      <c r="AB224" s="590"/>
      <c r="AC224" s="590"/>
      <c r="AD224" s="590"/>
      <c r="AE224" s="590"/>
      <c r="AF224" s="590"/>
      <c r="AG224" s="590"/>
      <c r="AH224" s="590"/>
      <c r="AI224" s="590"/>
      <c r="AJ224" s="590"/>
      <c r="AK224" s="590"/>
      <c r="AL224" s="590"/>
      <c r="AM224" s="590"/>
      <c r="AN224" s="590"/>
      <c r="AO224" s="590"/>
      <c r="AP224" s="590"/>
      <c r="AQ224" s="590"/>
      <c r="AR224" s="590"/>
      <c r="AS224" s="590"/>
      <c r="AT224" s="590"/>
      <c r="AU224" s="590"/>
      <c r="AV224" s="590"/>
      <c r="AW224" s="590"/>
      <c r="AX224" s="590"/>
      <c r="AY224" s="590"/>
      <c r="AZ224" s="590"/>
      <c r="BA224" s="590"/>
      <c r="BB224" s="590"/>
      <c r="BC224" s="590"/>
      <c r="BD224" s="590"/>
      <c r="BE224" s="590"/>
      <c r="BF224" s="590"/>
      <c r="BG224" s="590"/>
      <c r="BH224" s="590"/>
      <c r="BI224" s="590"/>
      <c r="BJ224" s="590"/>
      <c r="BK224" s="591"/>
      <c r="BL224" s="591"/>
      <c r="BM224" s="591"/>
      <c r="BN224" s="591"/>
      <c r="BO224" s="591"/>
      <c r="BP224" s="591"/>
      <c r="BQ224" s="591"/>
      <c r="BR224" s="591"/>
      <c r="BS224" s="591"/>
      <c r="BT224" s="591"/>
      <c r="BU224" s="591"/>
      <c r="BV224" s="591"/>
      <c r="BW224" s="591"/>
      <c r="BX224" s="591"/>
      <c r="BY224" s="591"/>
      <c r="BZ224" s="591"/>
      <c r="CA224" s="591"/>
      <c r="CB224" s="591"/>
      <c r="CC224" s="591"/>
      <c r="CD224" s="591"/>
      <c r="CE224" s="591"/>
      <c r="CF224" s="591"/>
    </row>
    <row r="225" spans="1:84">
      <c r="A225" s="590"/>
      <c r="B225" s="590"/>
      <c r="C225" s="590"/>
      <c r="D225" s="590"/>
      <c r="E225" s="590"/>
      <c r="F225" s="590"/>
      <c r="G225" s="590"/>
      <c r="H225" s="590"/>
      <c r="I225" s="590"/>
      <c r="J225" s="590"/>
      <c r="K225" s="590"/>
      <c r="L225" s="590"/>
      <c r="M225" s="590"/>
      <c r="N225" s="590"/>
      <c r="O225" s="590"/>
      <c r="P225" s="590"/>
      <c r="Q225" s="590"/>
      <c r="R225" s="590"/>
      <c r="S225" s="590"/>
      <c r="T225" s="590"/>
      <c r="U225" s="590"/>
      <c r="V225" s="590"/>
      <c r="W225" s="590"/>
      <c r="X225" s="590"/>
      <c r="Y225" s="590"/>
      <c r="Z225" s="590"/>
      <c r="AA225" s="590"/>
      <c r="AB225" s="590"/>
      <c r="AC225" s="590"/>
      <c r="AD225" s="590"/>
      <c r="AE225" s="590"/>
      <c r="AF225" s="590"/>
      <c r="AG225" s="590"/>
      <c r="AH225" s="590"/>
      <c r="AI225" s="590"/>
      <c r="AJ225" s="590"/>
      <c r="AK225" s="590"/>
      <c r="AL225" s="590"/>
      <c r="AM225" s="590"/>
      <c r="AN225" s="590"/>
      <c r="AO225" s="590"/>
      <c r="AP225" s="590"/>
      <c r="AQ225" s="590"/>
      <c r="AR225" s="590"/>
      <c r="AS225" s="590"/>
      <c r="AT225" s="590"/>
      <c r="AU225" s="590"/>
      <c r="AV225" s="590"/>
      <c r="AW225" s="590"/>
      <c r="AX225" s="590"/>
      <c r="AY225" s="590"/>
      <c r="AZ225" s="590"/>
      <c r="BA225" s="590"/>
      <c r="BB225" s="590"/>
      <c r="BC225" s="590"/>
      <c r="BD225" s="590"/>
      <c r="BE225" s="590"/>
      <c r="BF225" s="590"/>
      <c r="BG225" s="590"/>
      <c r="BH225" s="590"/>
      <c r="BI225" s="590"/>
      <c r="BJ225" s="590"/>
      <c r="BK225" s="591"/>
      <c r="BL225" s="591"/>
      <c r="BM225" s="591"/>
      <c r="BN225" s="591"/>
      <c r="BO225" s="591"/>
      <c r="BP225" s="591"/>
      <c r="BQ225" s="591"/>
      <c r="BR225" s="591"/>
      <c r="BS225" s="591"/>
      <c r="BT225" s="591"/>
      <c r="BU225" s="591"/>
      <c r="BV225" s="591"/>
      <c r="BW225" s="591"/>
      <c r="BX225" s="591"/>
      <c r="BY225" s="591"/>
      <c r="BZ225" s="591"/>
      <c r="CA225" s="591"/>
      <c r="CB225" s="591"/>
      <c r="CC225" s="591"/>
      <c r="CD225" s="591"/>
      <c r="CE225" s="591"/>
      <c r="CF225" s="591"/>
    </row>
    <row r="226" spans="1:84">
      <c r="A226" s="590"/>
      <c r="B226" s="590"/>
      <c r="C226" s="590"/>
      <c r="D226" s="590"/>
      <c r="E226" s="590"/>
      <c r="F226" s="590"/>
      <c r="G226" s="590"/>
      <c r="H226" s="590"/>
      <c r="I226" s="590"/>
      <c r="J226" s="590"/>
      <c r="K226" s="590"/>
      <c r="L226" s="590"/>
      <c r="M226" s="590"/>
      <c r="N226" s="590"/>
      <c r="O226" s="590"/>
      <c r="P226" s="590"/>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0"/>
      <c r="AQ226" s="590"/>
      <c r="AR226" s="590"/>
      <c r="AS226" s="590"/>
      <c r="AT226" s="590"/>
      <c r="AU226" s="590"/>
      <c r="AV226" s="590"/>
      <c r="AW226" s="590"/>
      <c r="AX226" s="590"/>
      <c r="AY226" s="590"/>
      <c r="AZ226" s="590"/>
      <c r="BA226" s="590"/>
      <c r="BB226" s="590"/>
      <c r="BC226" s="590"/>
      <c r="BD226" s="590"/>
      <c r="BE226" s="590"/>
      <c r="BF226" s="590"/>
      <c r="BG226" s="590"/>
      <c r="BH226" s="590"/>
      <c r="BI226" s="590"/>
      <c r="BJ226" s="590"/>
      <c r="BK226" s="591"/>
      <c r="BL226" s="591"/>
      <c r="BM226" s="591"/>
      <c r="BN226" s="591"/>
      <c r="BO226" s="591"/>
      <c r="BP226" s="591"/>
      <c r="BQ226" s="591"/>
      <c r="BR226" s="591"/>
      <c r="BS226" s="591"/>
      <c r="BT226" s="591"/>
      <c r="BU226" s="591"/>
      <c r="BV226" s="591"/>
      <c r="BW226" s="591"/>
      <c r="BX226" s="591"/>
      <c r="BY226" s="591"/>
      <c r="BZ226" s="591"/>
      <c r="CA226" s="591"/>
      <c r="CB226" s="591"/>
      <c r="CC226" s="591"/>
      <c r="CD226" s="591"/>
      <c r="CE226" s="591"/>
      <c r="CF226" s="591"/>
    </row>
    <row r="227" spans="1:84">
      <c r="A227" s="590"/>
      <c r="B227" s="590"/>
      <c r="C227" s="590"/>
      <c r="D227" s="590"/>
      <c r="E227" s="590"/>
      <c r="F227" s="590"/>
      <c r="G227" s="590"/>
      <c r="H227" s="590"/>
      <c r="I227" s="590"/>
      <c r="J227" s="590"/>
      <c r="K227" s="590"/>
      <c r="L227" s="590"/>
      <c r="M227" s="590"/>
      <c r="N227" s="590"/>
      <c r="O227" s="590"/>
      <c r="P227" s="590"/>
      <c r="Q227" s="590"/>
      <c r="R227" s="590"/>
      <c r="S227" s="590"/>
      <c r="T227" s="590"/>
      <c r="U227" s="590"/>
      <c r="V227" s="590"/>
      <c r="W227" s="590"/>
      <c r="X227" s="590"/>
      <c r="Y227" s="590"/>
      <c r="Z227" s="590"/>
      <c r="AA227" s="590"/>
      <c r="AB227" s="590"/>
      <c r="AC227" s="590"/>
      <c r="AD227" s="590"/>
      <c r="AE227" s="590"/>
      <c r="AF227" s="590"/>
      <c r="AG227" s="590"/>
      <c r="AH227" s="590"/>
      <c r="AI227" s="590"/>
      <c r="AJ227" s="590"/>
      <c r="AK227" s="590"/>
      <c r="AL227" s="590"/>
      <c r="AM227" s="590"/>
      <c r="AN227" s="590"/>
      <c r="AO227" s="590"/>
      <c r="AP227" s="590"/>
      <c r="AQ227" s="590"/>
      <c r="AR227" s="590"/>
      <c r="AS227" s="590"/>
      <c r="AT227" s="590"/>
      <c r="AU227" s="590"/>
      <c r="AV227" s="590"/>
      <c r="AW227" s="590"/>
      <c r="AX227" s="590"/>
      <c r="AY227" s="590"/>
      <c r="AZ227" s="590"/>
      <c r="BA227" s="590"/>
      <c r="BB227" s="590"/>
      <c r="BC227" s="590"/>
      <c r="BD227" s="590"/>
      <c r="BE227" s="590"/>
      <c r="BF227" s="590"/>
      <c r="BG227" s="590"/>
      <c r="BH227" s="590"/>
      <c r="BI227" s="590"/>
      <c r="BJ227" s="590"/>
      <c r="BK227" s="591"/>
      <c r="BL227" s="591"/>
      <c r="BM227" s="591"/>
      <c r="BN227" s="591"/>
      <c r="BO227" s="591"/>
      <c r="BP227" s="591"/>
      <c r="BQ227" s="591"/>
      <c r="BR227" s="591"/>
      <c r="BS227" s="591"/>
      <c r="BT227" s="591"/>
      <c r="BU227" s="591"/>
      <c r="BV227" s="591"/>
      <c r="BW227" s="591"/>
      <c r="BX227" s="591"/>
      <c r="BY227" s="591"/>
      <c r="BZ227" s="591"/>
      <c r="CA227" s="591"/>
      <c r="CB227" s="591"/>
      <c r="CC227" s="591"/>
      <c r="CD227" s="591"/>
      <c r="CE227" s="591"/>
      <c r="CF227" s="591"/>
    </row>
    <row r="228" spans="1:84">
      <c r="A228" s="590"/>
      <c r="B228" s="590"/>
      <c r="C228" s="590"/>
      <c r="D228" s="590"/>
      <c r="E228" s="590"/>
      <c r="F228" s="590"/>
      <c r="G228" s="590"/>
      <c r="H228" s="590"/>
      <c r="I228" s="590"/>
      <c r="J228" s="590"/>
      <c r="K228" s="590"/>
      <c r="L228" s="590"/>
      <c r="M228" s="590"/>
      <c r="N228" s="590"/>
      <c r="O228" s="590"/>
      <c r="P228" s="590"/>
      <c r="Q228" s="590"/>
      <c r="R228" s="590"/>
      <c r="S228" s="590"/>
      <c r="T228" s="590"/>
      <c r="U228" s="590"/>
      <c r="V228" s="590"/>
      <c r="W228" s="590"/>
      <c r="X228" s="590"/>
      <c r="Y228" s="590"/>
      <c r="Z228" s="590"/>
      <c r="AA228" s="590"/>
      <c r="AB228" s="590"/>
      <c r="AC228" s="590"/>
      <c r="AD228" s="590"/>
      <c r="AE228" s="590"/>
      <c r="AF228" s="590"/>
      <c r="AG228" s="590"/>
      <c r="AH228" s="590"/>
      <c r="AI228" s="590"/>
      <c r="AJ228" s="590"/>
      <c r="AK228" s="590"/>
      <c r="AL228" s="590"/>
      <c r="AM228" s="590"/>
      <c r="AN228" s="590"/>
      <c r="AO228" s="590"/>
      <c r="AP228" s="590"/>
      <c r="AQ228" s="590"/>
      <c r="AR228" s="590"/>
      <c r="AS228" s="590"/>
      <c r="AT228" s="590"/>
      <c r="AU228" s="590"/>
      <c r="AV228" s="590"/>
      <c r="AW228" s="590"/>
      <c r="AX228" s="590"/>
      <c r="AY228" s="590"/>
      <c r="AZ228" s="590"/>
      <c r="BA228" s="590"/>
      <c r="BB228" s="590"/>
      <c r="BC228" s="590"/>
      <c r="BD228" s="590"/>
      <c r="BE228" s="590"/>
      <c r="BF228" s="590"/>
      <c r="BG228" s="590"/>
      <c r="BH228" s="590"/>
      <c r="BI228" s="590"/>
      <c r="BJ228" s="590"/>
      <c r="BK228" s="591"/>
      <c r="BL228" s="591"/>
      <c r="BM228" s="591"/>
      <c r="BN228" s="591"/>
      <c r="BO228" s="591"/>
      <c r="BP228" s="591"/>
      <c r="BQ228" s="591"/>
      <c r="BR228" s="591"/>
      <c r="BS228" s="591"/>
      <c r="BT228" s="591"/>
      <c r="BU228" s="591"/>
      <c r="BV228" s="591"/>
      <c r="BW228" s="591"/>
      <c r="BX228" s="591"/>
      <c r="BY228" s="591"/>
      <c r="BZ228" s="591"/>
      <c r="CA228" s="591"/>
      <c r="CB228" s="591"/>
      <c r="CC228" s="591"/>
      <c r="CD228" s="591"/>
      <c r="CE228" s="591"/>
      <c r="CF228" s="591"/>
    </row>
    <row r="229" spans="1:84">
      <c r="A229" s="590"/>
      <c r="B229" s="590"/>
      <c r="C229" s="590"/>
      <c r="D229" s="590"/>
      <c r="E229" s="590"/>
      <c r="F229" s="590"/>
      <c r="G229" s="590"/>
      <c r="H229" s="590"/>
      <c r="I229" s="590"/>
      <c r="J229" s="590"/>
      <c r="K229" s="590"/>
      <c r="L229" s="590"/>
      <c r="M229" s="590"/>
      <c r="N229" s="590"/>
      <c r="O229" s="590"/>
      <c r="P229" s="590"/>
      <c r="Q229" s="590"/>
      <c r="R229" s="590"/>
      <c r="S229" s="590"/>
      <c r="T229" s="590"/>
      <c r="U229" s="590"/>
      <c r="V229" s="590"/>
      <c r="W229" s="590"/>
      <c r="X229" s="590"/>
      <c r="Y229" s="590"/>
      <c r="Z229" s="590"/>
      <c r="AA229" s="590"/>
      <c r="AB229" s="590"/>
      <c r="AC229" s="590"/>
      <c r="AD229" s="590"/>
      <c r="AE229" s="590"/>
      <c r="AF229" s="590"/>
      <c r="AG229" s="590"/>
      <c r="AH229" s="590"/>
      <c r="AI229" s="590"/>
      <c r="AJ229" s="590"/>
      <c r="AK229" s="590"/>
      <c r="AL229" s="590"/>
      <c r="AM229" s="590"/>
      <c r="AN229" s="590"/>
      <c r="AO229" s="590"/>
      <c r="AP229" s="590"/>
      <c r="AQ229" s="590"/>
      <c r="AR229" s="590"/>
      <c r="AS229" s="590"/>
      <c r="AT229" s="590"/>
      <c r="AU229" s="590"/>
      <c r="AV229" s="590"/>
      <c r="AW229" s="590"/>
      <c r="AX229" s="590"/>
      <c r="AY229" s="590"/>
      <c r="AZ229" s="590"/>
      <c r="BA229" s="590"/>
      <c r="BB229" s="590"/>
      <c r="BC229" s="590"/>
      <c r="BD229" s="590"/>
      <c r="BE229" s="590"/>
      <c r="BF229" s="590"/>
      <c r="BG229" s="590"/>
      <c r="BH229" s="590"/>
      <c r="BI229" s="590"/>
      <c r="BJ229" s="590"/>
      <c r="BK229" s="591"/>
      <c r="BL229" s="591"/>
      <c r="BM229" s="591"/>
      <c r="BN229" s="591"/>
      <c r="BO229" s="591"/>
      <c r="BP229" s="591"/>
      <c r="BQ229" s="591"/>
      <c r="BR229" s="591"/>
      <c r="BS229" s="591"/>
      <c r="BT229" s="591"/>
      <c r="BU229" s="591"/>
      <c r="BV229" s="591"/>
      <c r="BW229" s="591"/>
      <c r="BX229" s="591"/>
      <c r="BY229" s="591"/>
      <c r="BZ229" s="591"/>
      <c r="CA229" s="591"/>
      <c r="CB229" s="591"/>
      <c r="CC229" s="591"/>
      <c r="CD229" s="591"/>
      <c r="CE229" s="591"/>
      <c r="CF229" s="591"/>
    </row>
    <row r="230" spans="1:84">
      <c r="A230" s="590"/>
      <c r="B230" s="590"/>
      <c r="C230" s="590"/>
      <c r="D230" s="590"/>
      <c r="E230" s="590"/>
      <c r="F230" s="590"/>
      <c r="G230" s="590"/>
      <c r="H230" s="590"/>
      <c r="I230" s="590"/>
      <c r="J230" s="590"/>
      <c r="K230" s="590"/>
      <c r="L230" s="590"/>
      <c r="M230" s="590"/>
      <c r="N230" s="590"/>
      <c r="O230" s="590"/>
      <c r="P230" s="590"/>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0"/>
      <c r="AQ230" s="590"/>
      <c r="AR230" s="590"/>
      <c r="AS230" s="590"/>
      <c r="AT230" s="590"/>
      <c r="AU230" s="590"/>
      <c r="AV230" s="590"/>
      <c r="AW230" s="590"/>
      <c r="AX230" s="590"/>
      <c r="AY230" s="590"/>
      <c r="AZ230" s="590"/>
      <c r="BA230" s="590"/>
      <c r="BB230" s="590"/>
      <c r="BC230" s="590"/>
      <c r="BD230" s="590"/>
      <c r="BE230" s="590"/>
      <c r="BF230" s="590"/>
      <c r="BG230" s="590"/>
      <c r="BH230" s="590"/>
      <c r="BI230" s="590"/>
      <c r="BJ230" s="590"/>
      <c r="BK230" s="591"/>
      <c r="BL230" s="591"/>
      <c r="BM230" s="591"/>
      <c r="BN230" s="591"/>
      <c r="BO230" s="591"/>
      <c r="BP230" s="591"/>
      <c r="BQ230" s="591"/>
      <c r="BR230" s="591"/>
      <c r="BS230" s="591"/>
      <c r="BT230" s="591"/>
      <c r="BU230" s="591"/>
      <c r="BV230" s="591"/>
      <c r="BW230" s="591"/>
      <c r="BX230" s="591"/>
      <c r="BY230" s="591"/>
      <c r="BZ230" s="591"/>
      <c r="CA230" s="591"/>
      <c r="CB230" s="591"/>
      <c r="CC230" s="591"/>
      <c r="CD230" s="591"/>
      <c r="CE230" s="591"/>
      <c r="CF230" s="591"/>
    </row>
    <row r="231" spans="1:84">
      <c r="A231" s="590"/>
      <c r="B231" s="590"/>
      <c r="C231" s="590"/>
      <c r="D231" s="590"/>
      <c r="E231" s="590"/>
      <c r="F231" s="590"/>
      <c r="G231" s="590"/>
      <c r="H231" s="590"/>
      <c r="I231" s="590"/>
      <c r="J231" s="590"/>
      <c r="K231" s="590"/>
      <c r="L231" s="590"/>
      <c r="M231" s="590"/>
      <c r="N231" s="590"/>
      <c r="O231" s="590"/>
      <c r="P231" s="590"/>
      <c r="Q231" s="590"/>
      <c r="R231" s="590"/>
      <c r="S231" s="590"/>
      <c r="T231" s="590"/>
      <c r="U231" s="590"/>
      <c r="V231" s="590"/>
      <c r="W231" s="590"/>
      <c r="X231" s="590"/>
      <c r="Y231" s="590"/>
      <c r="Z231" s="590"/>
      <c r="AA231" s="590"/>
      <c r="AB231" s="590"/>
      <c r="AC231" s="590"/>
      <c r="AD231" s="590"/>
      <c r="AE231" s="590"/>
      <c r="AF231" s="590"/>
      <c r="AG231" s="590"/>
      <c r="AH231" s="590"/>
      <c r="AI231" s="590"/>
      <c r="AJ231" s="590"/>
      <c r="AK231" s="590"/>
      <c r="AL231" s="590"/>
      <c r="AM231" s="590"/>
      <c r="AN231" s="590"/>
      <c r="AO231" s="590"/>
      <c r="AP231" s="590"/>
      <c r="AQ231" s="590"/>
      <c r="AR231" s="590"/>
      <c r="AS231" s="590"/>
      <c r="AT231" s="590"/>
      <c r="AU231" s="590"/>
      <c r="AV231" s="590"/>
      <c r="AW231" s="590"/>
      <c r="AX231" s="590"/>
      <c r="AY231" s="590"/>
      <c r="AZ231" s="590"/>
      <c r="BA231" s="590"/>
      <c r="BB231" s="590"/>
      <c r="BC231" s="590"/>
      <c r="BD231" s="590"/>
      <c r="BE231" s="590"/>
      <c r="BF231" s="590"/>
      <c r="BG231" s="590"/>
      <c r="BH231" s="590"/>
      <c r="BI231" s="590"/>
      <c r="BJ231" s="590"/>
      <c r="BK231" s="591"/>
      <c r="BL231" s="591"/>
      <c r="BM231" s="591"/>
      <c r="BN231" s="591"/>
      <c r="BO231" s="591"/>
      <c r="BP231" s="591"/>
      <c r="BQ231" s="591"/>
      <c r="BR231" s="591"/>
      <c r="BS231" s="591"/>
      <c r="BT231" s="591"/>
      <c r="BU231" s="591"/>
      <c r="BV231" s="591"/>
      <c r="BW231" s="591"/>
      <c r="BX231" s="591"/>
      <c r="BY231" s="591"/>
      <c r="BZ231" s="591"/>
      <c r="CA231" s="591"/>
      <c r="CB231" s="591"/>
      <c r="CC231" s="591"/>
      <c r="CD231" s="591"/>
      <c r="CE231" s="591"/>
      <c r="CF231" s="591"/>
    </row>
    <row r="232" spans="1:84">
      <c r="A232" s="590"/>
      <c r="B232" s="590"/>
      <c r="C232" s="590"/>
      <c r="D232" s="590"/>
      <c r="E232" s="590"/>
      <c r="F232" s="590"/>
      <c r="G232" s="590"/>
      <c r="H232" s="590"/>
      <c r="I232" s="590"/>
      <c r="J232" s="590"/>
      <c r="K232" s="590"/>
      <c r="L232" s="590"/>
      <c r="M232" s="590"/>
      <c r="N232" s="590"/>
      <c r="O232" s="590"/>
      <c r="P232" s="590"/>
      <c r="Q232" s="590"/>
      <c r="R232" s="590"/>
      <c r="S232" s="590"/>
      <c r="T232" s="590"/>
      <c r="U232" s="590"/>
      <c r="V232" s="590"/>
      <c r="W232" s="590"/>
      <c r="X232" s="590"/>
      <c r="Y232" s="590"/>
      <c r="Z232" s="590"/>
      <c r="AA232" s="590"/>
      <c r="AB232" s="590"/>
      <c r="AC232" s="590"/>
      <c r="AD232" s="590"/>
      <c r="AE232" s="590"/>
      <c r="AF232" s="590"/>
      <c r="AG232" s="590"/>
      <c r="AH232" s="590"/>
      <c r="AI232" s="590"/>
      <c r="AJ232" s="590"/>
      <c r="AK232" s="590"/>
      <c r="AL232" s="590"/>
      <c r="AM232" s="590"/>
      <c r="AN232" s="590"/>
      <c r="AO232" s="590"/>
      <c r="AP232" s="590"/>
      <c r="AQ232" s="590"/>
      <c r="AR232" s="590"/>
      <c r="AS232" s="590"/>
      <c r="AT232" s="590"/>
      <c r="AU232" s="590"/>
      <c r="AV232" s="590"/>
      <c r="AW232" s="590"/>
      <c r="AX232" s="590"/>
      <c r="AY232" s="590"/>
      <c r="AZ232" s="590"/>
      <c r="BA232" s="590"/>
      <c r="BB232" s="590"/>
      <c r="BC232" s="590"/>
      <c r="BD232" s="590"/>
      <c r="BE232" s="590"/>
      <c r="BF232" s="590"/>
      <c r="BG232" s="590"/>
      <c r="BH232" s="590"/>
      <c r="BI232" s="590"/>
      <c r="BJ232" s="590"/>
      <c r="BK232" s="591"/>
      <c r="BL232" s="591"/>
      <c r="BM232" s="591"/>
      <c r="BN232" s="591"/>
      <c r="BO232" s="591"/>
      <c r="BP232" s="591"/>
      <c r="BQ232" s="591"/>
      <c r="BR232" s="591"/>
      <c r="BS232" s="591"/>
      <c r="BT232" s="591"/>
      <c r="BU232" s="591"/>
      <c r="BV232" s="591"/>
      <c r="BW232" s="591"/>
      <c r="BX232" s="591"/>
      <c r="BY232" s="591"/>
      <c r="BZ232" s="591"/>
      <c r="CA232" s="591"/>
      <c r="CB232" s="591"/>
      <c r="CC232" s="591"/>
      <c r="CD232" s="591"/>
      <c r="CE232" s="591"/>
      <c r="CF232" s="591"/>
    </row>
    <row r="233" spans="1:84">
      <c r="A233" s="590"/>
      <c r="B233" s="590"/>
      <c r="C233" s="590"/>
      <c r="D233" s="590"/>
      <c r="E233" s="590"/>
      <c r="F233" s="590"/>
      <c r="G233" s="590"/>
      <c r="H233" s="590"/>
      <c r="I233" s="590"/>
      <c r="J233" s="590"/>
      <c r="K233" s="590"/>
      <c r="L233" s="590"/>
      <c r="M233" s="590"/>
      <c r="N233" s="590"/>
      <c r="O233" s="590"/>
      <c r="P233" s="590"/>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0"/>
      <c r="AQ233" s="590"/>
      <c r="AR233" s="590"/>
      <c r="AS233" s="590"/>
      <c r="AT233" s="590"/>
      <c r="AU233" s="590"/>
      <c r="AV233" s="590"/>
      <c r="AW233" s="590"/>
      <c r="AX233" s="590"/>
      <c r="AY233" s="590"/>
      <c r="AZ233" s="590"/>
      <c r="BA233" s="590"/>
      <c r="BB233" s="590"/>
      <c r="BC233" s="590"/>
      <c r="BD233" s="590"/>
      <c r="BE233" s="590"/>
      <c r="BF233" s="590"/>
      <c r="BG233" s="590"/>
      <c r="BH233" s="590"/>
      <c r="BI233" s="590"/>
      <c r="BJ233" s="590"/>
      <c r="BK233" s="591"/>
      <c r="BL233" s="591"/>
      <c r="BM233" s="591"/>
      <c r="BN233" s="591"/>
      <c r="BO233" s="591"/>
      <c r="BP233" s="591"/>
      <c r="BQ233" s="591"/>
      <c r="BR233" s="591"/>
      <c r="BS233" s="591"/>
      <c r="BT233" s="591"/>
      <c r="BU233" s="591"/>
      <c r="BV233" s="591"/>
      <c r="BW233" s="591"/>
      <c r="BX233" s="591"/>
      <c r="BY233" s="591"/>
      <c r="BZ233" s="591"/>
      <c r="CA233" s="591"/>
      <c r="CB233" s="591"/>
      <c r="CC233" s="591"/>
      <c r="CD233" s="591"/>
      <c r="CE233" s="591"/>
      <c r="CF233" s="591"/>
    </row>
    <row r="234" spans="1:84">
      <c r="A234" s="590"/>
      <c r="B234" s="590"/>
      <c r="C234" s="590"/>
      <c r="D234" s="590"/>
      <c r="E234" s="590"/>
      <c r="F234" s="590"/>
      <c r="G234" s="590"/>
      <c r="H234" s="590"/>
      <c r="I234" s="590"/>
      <c r="J234" s="590"/>
      <c r="K234" s="590"/>
      <c r="L234" s="590"/>
      <c r="M234" s="590"/>
      <c r="N234" s="590"/>
      <c r="O234" s="590"/>
      <c r="P234" s="590"/>
      <c r="Q234" s="590"/>
      <c r="R234" s="590"/>
      <c r="S234" s="590"/>
      <c r="T234" s="590"/>
      <c r="U234" s="590"/>
      <c r="V234" s="590"/>
      <c r="W234" s="590"/>
      <c r="X234" s="590"/>
      <c r="Y234" s="590"/>
      <c r="Z234" s="590"/>
      <c r="AA234" s="590"/>
      <c r="AB234" s="590"/>
      <c r="AC234" s="590"/>
      <c r="AD234" s="590"/>
      <c r="AE234" s="590"/>
      <c r="AF234" s="590"/>
      <c r="AG234" s="590"/>
      <c r="AH234" s="590"/>
      <c r="AI234" s="590"/>
      <c r="AJ234" s="590"/>
      <c r="AK234" s="590"/>
      <c r="AL234" s="590"/>
      <c r="AM234" s="590"/>
      <c r="AN234" s="590"/>
      <c r="AO234" s="590"/>
      <c r="AP234" s="590"/>
      <c r="AQ234" s="590"/>
      <c r="AR234" s="590"/>
      <c r="AS234" s="590"/>
      <c r="AT234" s="590"/>
      <c r="AU234" s="590"/>
      <c r="AV234" s="590"/>
      <c r="AW234" s="590"/>
      <c r="AX234" s="590"/>
      <c r="AY234" s="590"/>
      <c r="AZ234" s="590"/>
      <c r="BA234" s="590"/>
      <c r="BB234" s="590"/>
      <c r="BC234" s="590"/>
      <c r="BD234" s="590"/>
      <c r="BE234" s="590"/>
      <c r="BF234" s="590"/>
      <c r="BG234" s="590"/>
      <c r="BH234" s="590"/>
      <c r="BI234" s="590"/>
      <c r="BJ234" s="590"/>
      <c r="BK234" s="591"/>
      <c r="BL234" s="591"/>
      <c r="BM234" s="591"/>
      <c r="BN234" s="591"/>
      <c r="BO234" s="591"/>
      <c r="BP234" s="591"/>
      <c r="BQ234" s="591"/>
      <c r="BR234" s="591"/>
      <c r="BS234" s="591"/>
      <c r="BT234" s="591"/>
      <c r="BU234" s="591"/>
      <c r="BV234" s="591"/>
      <c r="BW234" s="591"/>
      <c r="BX234" s="591"/>
      <c r="BY234" s="591"/>
      <c r="BZ234" s="591"/>
      <c r="CA234" s="591"/>
      <c r="CB234" s="591"/>
      <c r="CC234" s="591"/>
      <c r="CD234" s="591"/>
      <c r="CE234" s="591"/>
      <c r="CF234" s="591"/>
    </row>
    <row r="235" spans="1:84">
      <c r="A235" s="590"/>
      <c r="B235" s="590"/>
      <c r="C235" s="590"/>
      <c r="D235" s="590"/>
      <c r="E235" s="590"/>
      <c r="F235" s="590"/>
      <c r="G235" s="590"/>
      <c r="H235" s="590"/>
      <c r="I235" s="590"/>
      <c r="J235" s="590"/>
      <c r="K235" s="590"/>
      <c r="L235" s="590"/>
      <c r="M235" s="590"/>
      <c r="N235" s="590"/>
      <c r="O235" s="590"/>
      <c r="P235" s="590"/>
      <c r="Q235" s="590"/>
      <c r="R235" s="590"/>
      <c r="S235" s="590"/>
      <c r="T235" s="590"/>
      <c r="U235" s="590"/>
      <c r="V235" s="590"/>
      <c r="W235" s="590"/>
      <c r="X235" s="590"/>
      <c r="Y235" s="590"/>
      <c r="Z235" s="590"/>
      <c r="AA235" s="590"/>
      <c r="AB235" s="590"/>
      <c r="AC235" s="590"/>
      <c r="AD235" s="590"/>
      <c r="AE235" s="590"/>
      <c r="AF235" s="590"/>
      <c r="AG235" s="590"/>
      <c r="AH235" s="590"/>
      <c r="AI235" s="590"/>
      <c r="AJ235" s="590"/>
      <c r="AK235" s="590"/>
      <c r="AL235" s="590"/>
      <c r="AM235" s="590"/>
      <c r="AN235" s="590"/>
      <c r="AO235" s="590"/>
      <c r="AP235" s="590"/>
      <c r="AQ235" s="590"/>
      <c r="AR235" s="590"/>
      <c r="AS235" s="590"/>
      <c r="AT235" s="590"/>
      <c r="AU235" s="590"/>
      <c r="AV235" s="590"/>
      <c r="AW235" s="590"/>
      <c r="AX235" s="590"/>
      <c r="AY235" s="590"/>
      <c r="AZ235" s="590"/>
      <c r="BA235" s="590"/>
      <c r="BB235" s="590"/>
      <c r="BC235" s="590"/>
      <c r="BD235" s="590"/>
      <c r="BE235" s="590"/>
      <c r="BF235" s="590"/>
      <c r="BG235" s="590"/>
      <c r="BH235" s="590"/>
      <c r="BI235" s="590"/>
      <c r="BJ235" s="590"/>
      <c r="BK235" s="591"/>
      <c r="BL235" s="591"/>
      <c r="BM235" s="591"/>
      <c r="BN235" s="591"/>
      <c r="BO235" s="591"/>
      <c r="BP235" s="591"/>
      <c r="BQ235" s="591"/>
      <c r="BR235" s="591"/>
      <c r="BS235" s="591"/>
      <c r="BT235" s="591"/>
      <c r="BU235" s="591"/>
      <c r="BV235" s="591"/>
      <c r="BW235" s="591"/>
      <c r="BX235" s="591"/>
      <c r="BY235" s="591"/>
      <c r="BZ235" s="591"/>
      <c r="CA235" s="591"/>
      <c r="CB235" s="591"/>
      <c r="CC235" s="591"/>
      <c r="CD235" s="591"/>
      <c r="CE235" s="591"/>
      <c r="CF235" s="591"/>
    </row>
    <row r="236" spans="1:84">
      <c r="A236" s="590"/>
      <c r="B236" s="590"/>
      <c r="C236" s="590"/>
      <c r="D236" s="590"/>
      <c r="E236" s="590"/>
      <c r="F236" s="590"/>
      <c r="G236" s="590"/>
      <c r="H236" s="590"/>
      <c r="I236" s="590"/>
      <c r="J236" s="590"/>
      <c r="K236" s="590"/>
      <c r="L236" s="590"/>
      <c r="M236" s="590"/>
      <c r="N236" s="590"/>
      <c r="O236" s="590"/>
      <c r="P236" s="590"/>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0"/>
      <c r="AQ236" s="590"/>
      <c r="AR236" s="590"/>
      <c r="AS236" s="590"/>
      <c r="AT236" s="590"/>
      <c r="AU236" s="590"/>
      <c r="AV236" s="590"/>
      <c r="AW236" s="590"/>
      <c r="AX236" s="590"/>
      <c r="AY236" s="590"/>
      <c r="AZ236" s="590"/>
      <c r="BA236" s="590"/>
      <c r="BB236" s="590"/>
      <c r="BC236" s="590"/>
      <c r="BD236" s="590"/>
      <c r="BE236" s="590"/>
      <c r="BF236" s="590"/>
      <c r="BG236" s="590"/>
      <c r="BH236" s="590"/>
      <c r="BI236" s="590"/>
      <c r="BJ236" s="590"/>
      <c r="BK236" s="591"/>
      <c r="BL236" s="591"/>
      <c r="BM236" s="591"/>
      <c r="BN236" s="591"/>
      <c r="BO236" s="591"/>
      <c r="BP236" s="591"/>
      <c r="BQ236" s="591"/>
      <c r="BR236" s="591"/>
      <c r="BS236" s="591"/>
      <c r="BT236" s="591"/>
      <c r="BU236" s="591"/>
      <c r="BV236" s="591"/>
      <c r="BW236" s="591"/>
      <c r="BX236" s="591"/>
      <c r="BY236" s="591"/>
      <c r="BZ236" s="591"/>
      <c r="CA236" s="591"/>
      <c r="CB236" s="591"/>
      <c r="CC236" s="591"/>
      <c r="CD236" s="591"/>
      <c r="CE236" s="591"/>
      <c r="CF236" s="591"/>
    </row>
    <row r="237" spans="1:84">
      <c r="A237" s="590"/>
      <c r="B237" s="590"/>
      <c r="C237" s="590"/>
      <c r="D237" s="590"/>
      <c r="E237" s="590"/>
      <c r="F237" s="590"/>
      <c r="G237" s="590"/>
      <c r="H237" s="590"/>
      <c r="I237" s="590"/>
      <c r="J237" s="590"/>
      <c r="K237" s="590"/>
      <c r="L237" s="590"/>
      <c r="M237" s="590"/>
      <c r="N237" s="590"/>
      <c r="O237" s="590"/>
      <c r="P237" s="590"/>
      <c r="Q237" s="590"/>
      <c r="R237" s="590"/>
      <c r="S237" s="590"/>
      <c r="T237" s="590"/>
      <c r="U237" s="590"/>
      <c r="V237" s="590"/>
      <c r="W237" s="590"/>
      <c r="X237" s="590"/>
      <c r="Y237" s="590"/>
      <c r="Z237" s="590"/>
      <c r="AA237" s="590"/>
      <c r="AB237" s="590"/>
      <c r="AC237" s="590"/>
      <c r="AD237" s="590"/>
      <c r="AE237" s="590"/>
      <c r="AF237" s="590"/>
      <c r="AG237" s="590"/>
      <c r="AH237" s="590"/>
      <c r="AI237" s="590"/>
      <c r="AJ237" s="590"/>
      <c r="AK237" s="590"/>
      <c r="AL237" s="590"/>
      <c r="AM237" s="590"/>
      <c r="AN237" s="590"/>
      <c r="AO237" s="590"/>
      <c r="AP237" s="590"/>
      <c r="AQ237" s="590"/>
      <c r="AR237" s="590"/>
      <c r="AS237" s="590"/>
      <c r="AT237" s="590"/>
      <c r="AU237" s="590"/>
      <c r="AV237" s="590"/>
      <c r="AW237" s="590"/>
      <c r="AX237" s="590"/>
      <c r="AY237" s="590"/>
      <c r="AZ237" s="590"/>
      <c r="BA237" s="590"/>
      <c r="BB237" s="590"/>
      <c r="BC237" s="590"/>
      <c r="BD237" s="590"/>
      <c r="BE237" s="590"/>
      <c r="BF237" s="590"/>
      <c r="BG237" s="590"/>
      <c r="BH237" s="590"/>
      <c r="BI237" s="590"/>
      <c r="BJ237" s="590"/>
      <c r="BK237" s="591"/>
      <c r="BL237" s="591"/>
      <c r="BM237" s="591"/>
      <c r="BN237" s="591"/>
      <c r="BO237" s="591"/>
      <c r="BP237" s="591"/>
      <c r="BQ237" s="591"/>
      <c r="BR237" s="591"/>
      <c r="BS237" s="591"/>
      <c r="BT237" s="591"/>
      <c r="BU237" s="591"/>
      <c r="BV237" s="591"/>
      <c r="BW237" s="591"/>
      <c r="BX237" s="591"/>
      <c r="BY237" s="591"/>
      <c r="BZ237" s="591"/>
      <c r="CA237" s="591"/>
      <c r="CB237" s="591"/>
      <c r="CC237" s="591"/>
      <c r="CD237" s="591"/>
      <c r="CE237" s="591"/>
      <c r="CF237" s="591"/>
    </row>
    <row r="238" spans="1:84">
      <c r="A238" s="590"/>
      <c r="B238" s="590"/>
      <c r="C238" s="590"/>
      <c r="D238" s="590"/>
      <c r="E238" s="590"/>
      <c r="F238" s="590"/>
      <c r="G238" s="590"/>
      <c r="H238" s="590"/>
      <c r="I238" s="590"/>
      <c r="J238" s="590"/>
      <c r="K238" s="590"/>
      <c r="L238" s="590"/>
      <c r="M238" s="590"/>
      <c r="N238" s="590"/>
      <c r="O238" s="590"/>
      <c r="P238" s="590"/>
      <c r="Q238" s="590"/>
      <c r="R238" s="590"/>
      <c r="S238" s="590"/>
      <c r="T238" s="590"/>
      <c r="U238" s="590"/>
      <c r="V238" s="590"/>
      <c r="W238" s="590"/>
      <c r="X238" s="590"/>
      <c r="Y238" s="590"/>
      <c r="Z238" s="590"/>
      <c r="AA238" s="590"/>
      <c r="AB238" s="590"/>
      <c r="AC238" s="590"/>
      <c r="AD238" s="590"/>
      <c r="AE238" s="590"/>
      <c r="AF238" s="590"/>
      <c r="AG238" s="590"/>
      <c r="AH238" s="590"/>
      <c r="AI238" s="590"/>
      <c r="AJ238" s="590"/>
      <c r="AK238" s="590"/>
      <c r="AL238" s="590"/>
      <c r="AM238" s="590"/>
      <c r="AN238" s="590"/>
      <c r="AO238" s="590"/>
      <c r="AP238" s="590"/>
      <c r="AQ238" s="590"/>
      <c r="AR238" s="590"/>
      <c r="AS238" s="590"/>
      <c r="AT238" s="590"/>
      <c r="AU238" s="590"/>
      <c r="AV238" s="590"/>
      <c r="AW238" s="590"/>
      <c r="AX238" s="590"/>
      <c r="AY238" s="590"/>
      <c r="AZ238" s="590"/>
      <c r="BA238" s="590"/>
      <c r="BB238" s="590"/>
      <c r="BC238" s="590"/>
      <c r="BD238" s="590"/>
      <c r="BE238" s="590"/>
      <c r="BF238" s="590"/>
      <c r="BG238" s="590"/>
      <c r="BH238" s="590"/>
      <c r="BI238" s="590"/>
      <c r="BJ238" s="590"/>
      <c r="BK238" s="591"/>
      <c r="BL238" s="591"/>
      <c r="BM238" s="591"/>
      <c r="BN238" s="591"/>
      <c r="BO238" s="591"/>
      <c r="BP238" s="591"/>
      <c r="BQ238" s="591"/>
      <c r="BR238" s="591"/>
      <c r="BS238" s="591"/>
      <c r="BT238" s="591"/>
      <c r="BU238" s="591"/>
      <c r="BV238" s="591"/>
      <c r="BW238" s="591"/>
      <c r="BX238" s="591"/>
      <c r="BY238" s="591"/>
      <c r="BZ238" s="591"/>
      <c r="CA238" s="591"/>
      <c r="CB238" s="591"/>
      <c r="CC238" s="591"/>
      <c r="CD238" s="591"/>
      <c r="CE238" s="591"/>
      <c r="CF238" s="591"/>
    </row>
    <row r="239" spans="1:84">
      <c r="A239" s="590"/>
      <c r="B239" s="590"/>
      <c r="C239" s="590"/>
      <c r="D239" s="590"/>
      <c r="E239" s="590"/>
      <c r="F239" s="590"/>
      <c r="G239" s="590"/>
      <c r="H239" s="590"/>
      <c r="I239" s="590"/>
      <c r="J239" s="590"/>
      <c r="K239" s="590"/>
      <c r="L239" s="590"/>
      <c r="M239" s="590"/>
      <c r="N239" s="590"/>
      <c r="O239" s="590"/>
      <c r="P239" s="590"/>
      <c r="Q239" s="590"/>
      <c r="R239" s="590"/>
      <c r="S239" s="590"/>
      <c r="T239" s="590"/>
      <c r="U239" s="590"/>
      <c r="V239" s="590"/>
      <c r="W239" s="590"/>
      <c r="X239" s="590"/>
      <c r="Y239" s="590"/>
      <c r="Z239" s="590"/>
      <c r="AA239" s="590"/>
      <c r="AB239" s="590"/>
      <c r="AC239" s="590"/>
      <c r="AD239" s="590"/>
      <c r="AE239" s="590"/>
      <c r="AF239" s="590"/>
      <c r="AG239" s="590"/>
      <c r="AH239" s="590"/>
      <c r="AI239" s="590"/>
      <c r="AJ239" s="590"/>
      <c r="AK239" s="590"/>
      <c r="AL239" s="590"/>
      <c r="AM239" s="590"/>
      <c r="AN239" s="590"/>
      <c r="AO239" s="590"/>
      <c r="AP239" s="590"/>
      <c r="AQ239" s="590"/>
      <c r="AR239" s="590"/>
      <c r="AS239" s="590"/>
      <c r="AT239" s="590"/>
      <c r="AU239" s="590"/>
      <c r="AV239" s="590"/>
      <c r="AW239" s="590"/>
      <c r="AX239" s="590"/>
      <c r="AY239" s="590"/>
      <c r="AZ239" s="590"/>
      <c r="BA239" s="590"/>
      <c r="BB239" s="590"/>
      <c r="BC239" s="590"/>
      <c r="BD239" s="590"/>
      <c r="BE239" s="590"/>
      <c r="BF239" s="590"/>
      <c r="BG239" s="590"/>
      <c r="BH239" s="590"/>
      <c r="BI239" s="590"/>
      <c r="BJ239" s="590"/>
      <c r="BK239" s="591"/>
      <c r="BL239" s="591"/>
      <c r="BM239" s="591"/>
      <c r="BN239" s="591"/>
      <c r="BO239" s="591"/>
      <c r="BP239" s="591"/>
      <c r="BQ239" s="591"/>
      <c r="BR239" s="591"/>
      <c r="BS239" s="591"/>
      <c r="BT239" s="591"/>
      <c r="BU239" s="591"/>
      <c r="BV239" s="591"/>
      <c r="BW239" s="591"/>
      <c r="BX239" s="591"/>
      <c r="BY239" s="591"/>
      <c r="BZ239" s="591"/>
      <c r="CA239" s="591"/>
      <c r="CB239" s="591"/>
      <c r="CC239" s="591"/>
      <c r="CD239" s="591"/>
      <c r="CE239" s="591"/>
      <c r="CF239" s="591"/>
    </row>
    <row r="240" spans="1:84">
      <c r="A240" s="590"/>
      <c r="B240" s="590"/>
      <c r="C240" s="590"/>
      <c r="D240" s="590"/>
      <c r="E240" s="590"/>
      <c r="F240" s="590"/>
      <c r="G240" s="590"/>
      <c r="H240" s="590"/>
      <c r="I240" s="590"/>
      <c r="J240" s="590"/>
      <c r="K240" s="590"/>
      <c r="L240" s="590"/>
      <c r="M240" s="590"/>
      <c r="N240" s="590"/>
      <c r="O240" s="590"/>
      <c r="P240" s="590"/>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0"/>
      <c r="AQ240" s="590"/>
      <c r="AR240" s="590"/>
      <c r="AS240" s="590"/>
      <c r="AT240" s="590"/>
      <c r="AU240" s="590"/>
      <c r="AV240" s="590"/>
      <c r="AW240" s="590"/>
      <c r="AX240" s="590"/>
      <c r="AY240" s="590"/>
      <c r="AZ240" s="590"/>
      <c r="BA240" s="590"/>
      <c r="BB240" s="590"/>
      <c r="BC240" s="590"/>
      <c r="BD240" s="590"/>
      <c r="BE240" s="590"/>
      <c r="BF240" s="590"/>
      <c r="BG240" s="590"/>
      <c r="BH240" s="590"/>
      <c r="BI240" s="590"/>
      <c r="BJ240" s="590"/>
      <c r="BK240" s="591"/>
      <c r="BL240" s="591"/>
      <c r="BM240" s="591"/>
      <c r="BN240" s="591"/>
      <c r="BO240" s="591"/>
      <c r="BP240" s="591"/>
      <c r="BQ240" s="591"/>
      <c r="BR240" s="591"/>
      <c r="BS240" s="591"/>
      <c r="BT240" s="591"/>
      <c r="BU240" s="591"/>
      <c r="BV240" s="591"/>
      <c r="BW240" s="591"/>
      <c r="BX240" s="591"/>
      <c r="BY240" s="591"/>
      <c r="BZ240" s="591"/>
      <c r="CA240" s="591"/>
      <c r="CB240" s="591"/>
      <c r="CC240" s="591"/>
      <c r="CD240" s="591"/>
      <c r="CE240" s="591"/>
      <c r="CF240" s="591"/>
    </row>
    <row r="241" spans="1:84">
      <c r="A241" s="590"/>
      <c r="B241" s="590"/>
      <c r="C241" s="590"/>
      <c r="D241" s="590"/>
      <c r="E241" s="590"/>
      <c r="F241" s="590"/>
      <c r="G241" s="590"/>
      <c r="H241" s="590"/>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590"/>
      <c r="AY241" s="590"/>
      <c r="AZ241" s="590"/>
      <c r="BA241" s="590"/>
      <c r="BB241" s="590"/>
      <c r="BC241" s="590"/>
      <c r="BD241" s="590"/>
      <c r="BE241" s="590"/>
      <c r="BF241" s="590"/>
      <c r="BG241" s="590"/>
      <c r="BH241" s="590"/>
      <c r="BI241" s="590"/>
      <c r="BJ241" s="590"/>
      <c r="BK241" s="591"/>
      <c r="BL241" s="591"/>
      <c r="BM241" s="591"/>
      <c r="BN241" s="591"/>
      <c r="BO241" s="591"/>
      <c r="BP241" s="591"/>
      <c r="BQ241" s="591"/>
      <c r="BR241" s="591"/>
      <c r="BS241" s="591"/>
      <c r="BT241" s="591"/>
      <c r="BU241" s="591"/>
      <c r="BV241" s="591"/>
      <c r="BW241" s="591"/>
      <c r="BX241" s="591"/>
      <c r="BY241" s="591"/>
      <c r="BZ241" s="591"/>
      <c r="CA241" s="591"/>
      <c r="CB241" s="591"/>
      <c r="CC241" s="591"/>
      <c r="CD241" s="591"/>
      <c r="CE241" s="591"/>
      <c r="CF241" s="591"/>
    </row>
    <row r="242" spans="1:84">
      <c r="A242" s="590"/>
      <c r="B242" s="590"/>
      <c r="C242" s="590"/>
      <c r="D242" s="590"/>
      <c r="E242" s="590"/>
      <c r="F242" s="590"/>
      <c r="G242" s="590"/>
      <c r="H242" s="590"/>
      <c r="I242" s="590"/>
      <c r="J242" s="590"/>
      <c r="K242" s="590"/>
      <c r="L242" s="590"/>
      <c r="M242" s="590"/>
      <c r="N242" s="590"/>
      <c r="O242" s="590"/>
      <c r="P242" s="590"/>
      <c r="Q242" s="590"/>
      <c r="R242" s="590"/>
      <c r="S242" s="590"/>
      <c r="T242" s="590"/>
      <c r="U242" s="590"/>
      <c r="V242" s="590"/>
      <c r="W242" s="590"/>
      <c r="X242" s="590"/>
      <c r="Y242" s="590"/>
      <c r="Z242" s="590"/>
      <c r="AA242" s="590"/>
      <c r="AB242" s="590"/>
      <c r="AC242" s="590"/>
      <c r="AD242" s="590"/>
      <c r="AE242" s="590"/>
      <c r="AF242" s="590"/>
      <c r="AG242" s="590"/>
      <c r="AH242" s="590"/>
      <c r="AI242" s="590"/>
      <c r="AJ242" s="590"/>
      <c r="AK242" s="590"/>
      <c r="AL242" s="590"/>
      <c r="AM242" s="590"/>
      <c r="AN242" s="590"/>
      <c r="AO242" s="590"/>
      <c r="AP242" s="590"/>
      <c r="AQ242" s="590"/>
      <c r="AR242" s="590"/>
      <c r="AS242" s="590"/>
      <c r="AT242" s="590"/>
      <c r="AU242" s="590"/>
      <c r="AV242" s="590"/>
      <c r="AW242" s="590"/>
      <c r="AX242" s="590"/>
      <c r="AY242" s="590"/>
      <c r="AZ242" s="590"/>
      <c r="BA242" s="590"/>
      <c r="BB242" s="590"/>
      <c r="BC242" s="590"/>
      <c r="BD242" s="590"/>
      <c r="BE242" s="590"/>
      <c r="BF242" s="590"/>
      <c r="BG242" s="590"/>
      <c r="BH242" s="590"/>
      <c r="BI242" s="590"/>
      <c r="BJ242" s="590"/>
      <c r="BK242" s="591"/>
      <c r="BL242" s="591"/>
      <c r="BM242" s="591"/>
      <c r="BN242" s="591"/>
      <c r="BO242" s="591"/>
      <c r="BP242" s="591"/>
      <c r="BQ242" s="591"/>
      <c r="BR242" s="591"/>
      <c r="BS242" s="591"/>
      <c r="BT242" s="591"/>
      <c r="BU242" s="591"/>
      <c r="BV242" s="591"/>
      <c r="BW242" s="591"/>
      <c r="BX242" s="591"/>
      <c r="BY242" s="591"/>
      <c r="BZ242" s="591"/>
      <c r="CA242" s="591"/>
      <c r="CB242" s="591"/>
      <c r="CC242" s="591"/>
      <c r="CD242" s="591"/>
      <c r="CE242" s="591"/>
      <c r="CF242" s="591"/>
    </row>
    <row r="243" spans="1:84">
      <c r="A243" s="590"/>
      <c r="B243" s="590"/>
      <c r="C243" s="590"/>
      <c r="D243" s="590"/>
      <c r="E243" s="590"/>
      <c r="F243" s="590"/>
      <c r="G243" s="590"/>
      <c r="H243" s="590"/>
      <c r="I243" s="590"/>
      <c r="J243" s="590"/>
      <c r="K243" s="590"/>
      <c r="L243" s="590"/>
      <c r="M243" s="590"/>
      <c r="N243" s="590"/>
      <c r="O243" s="590"/>
      <c r="P243" s="590"/>
      <c r="Q243" s="590"/>
      <c r="R243" s="590"/>
      <c r="S243" s="590"/>
      <c r="T243" s="590"/>
      <c r="U243" s="590"/>
      <c r="V243" s="590"/>
      <c r="W243" s="590"/>
      <c r="X243" s="590"/>
      <c r="Y243" s="590"/>
      <c r="Z243" s="590"/>
      <c r="AA243" s="590"/>
      <c r="AB243" s="590"/>
      <c r="AC243" s="590"/>
      <c r="AD243" s="590"/>
      <c r="AE243" s="590"/>
      <c r="AF243" s="590"/>
      <c r="AG243" s="590"/>
      <c r="AH243" s="590"/>
      <c r="AI243" s="590"/>
      <c r="AJ243" s="590"/>
      <c r="AK243" s="590"/>
      <c r="AL243" s="590"/>
      <c r="AM243" s="590"/>
      <c r="AN243" s="590"/>
      <c r="AO243" s="590"/>
      <c r="AP243" s="590"/>
      <c r="AQ243" s="590"/>
      <c r="AR243" s="590"/>
      <c r="AS243" s="590"/>
      <c r="AT243" s="590"/>
      <c r="AU243" s="590"/>
      <c r="AV243" s="590"/>
      <c r="AW243" s="590"/>
      <c r="AX243" s="590"/>
      <c r="AY243" s="590"/>
      <c r="AZ243" s="590"/>
      <c r="BA243" s="590"/>
      <c r="BB243" s="590"/>
      <c r="BC243" s="590"/>
      <c r="BD243" s="590"/>
      <c r="BE243" s="590"/>
      <c r="BF243" s="590"/>
      <c r="BG243" s="590"/>
      <c r="BH243" s="590"/>
      <c r="BI243" s="590"/>
      <c r="BJ243" s="590"/>
      <c r="BK243" s="591"/>
      <c r="BL243" s="591"/>
      <c r="BM243" s="591"/>
      <c r="BN243" s="591"/>
      <c r="BO243" s="591"/>
      <c r="BP243" s="591"/>
      <c r="BQ243" s="591"/>
      <c r="BR243" s="591"/>
      <c r="BS243" s="591"/>
      <c r="BT243" s="591"/>
      <c r="BU243" s="591"/>
      <c r="BV243" s="591"/>
      <c r="BW243" s="591"/>
      <c r="BX243" s="591"/>
      <c r="BY243" s="591"/>
      <c r="BZ243" s="591"/>
      <c r="CA243" s="591"/>
      <c r="CB243" s="591"/>
      <c r="CC243" s="591"/>
      <c r="CD243" s="591"/>
      <c r="CE243" s="591"/>
      <c r="CF243" s="591"/>
    </row>
    <row r="244" spans="1:84">
      <c r="A244" s="590"/>
      <c r="B244" s="590"/>
      <c r="C244" s="590"/>
      <c r="D244" s="590"/>
      <c r="E244" s="590"/>
      <c r="F244" s="590"/>
      <c r="G244" s="590"/>
      <c r="H244" s="590"/>
      <c r="I244" s="590"/>
      <c r="J244" s="590"/>
      <c r="K244" s="590"/>
      <c r="L244" s="590"/>
      <c r="M244" s="590"/>
      <c r="N244" s="590"/>
      <c r="O244" s="590"/>
      <c r="P244" s="590"/>
      <c r="Q244" s="590"/>
      <c r="R244" s="590"/>
      <c r="S244" s="590"/>
      <c r="T244" s="590"/>
      <c r="U244" s="590"/>
      <c r="V244" s="590"/>
      <c r="W244" s="590"/>
      <c r="X244" s="590"/>
      <c r="Y244" s="590"/>
      <c r="Z244" s="590"/>
      <c r="AA244" s="590"/>
      <c r="AB244" s="590"/>
      <c r="AC244" s="590"/>
      <c r="AD244" s="590"/>
      <c r="AE244" s="590"/>
      <c r="AF244" s="590"/>
      <c r="AG244" s="590"/>
      <c r="AH244" s="590"/>
      <c r="AI244" s="590"/>
      <c r="AJ244" s="590"/>
      <c r="AK244" s="590"/>
      <c r="AL244" s="590"/>
      <c r="AM244" s="590"/>
      <c r="AN244" s="590"/>
      <c r="AO244" s="590"/>
      <c r="AP244" s="590"/>
      <c r="AQ244" s="590"/>
      <c r="AR244" s="590"/>
      <c r="AS244" s="590"/>
      <c r="AT244" s="590"/>
      <c r="AU244" s="590"/>
      <c r="AV244" s="590"/>
      <c r="AW244" s="590"/>
      <c r="AX244" s="590"/>
      <c r="AY244" s="590"/>
      <c r="AZ244" s="590"/>
      <c r="BA244" s="590"/>
      <c r="BB244" s="590"/>
      <c r="BC244" s="590"/>
      <c r="BD244" s="590"/>
      <c r="BE244" s="590"/>
      <c r="BF244" s="590"/>
      <c r="BG244" s="590"/>
      <c r="BH244" s="590"/>
      <c r="BI244" s="590"/>
      <c r="BJ244" s="590"/>
      <c r="BK244" s="591"/>
      <c r="BL244" s="591"/>
      <c r="BM244" s="591"/>
      <c r="BN244" s="591"/>
      <c r="BO244" s="591"/>
      <c r="BP244" s="591"/>
      <c r="BQ244" s="591"/>
      <c r="BR244" s="591"/>
      <c r="BS244" s="591"/>
      <c r="BT244" s="591"/>
      <c r="BU244" s="591"/>
      <c r="BV244" s="591"/>
      <c r="BW244" s="591"/>
      <c r="BX244" s="591"/>
      <c r="BY244" s="591"/>
      <c r="BZ244" s="591"/>
      <c r="CA244" s="591"/>
      <c r="CB244" s="591"/>
      <c r="CC244" s="591"/>
      <c r="CD244" s="591"/>
      <c r="CE244" s="591"/>
      <c r="CF244" s="591"/>
    </row>
    <row r="245" spans="1:84">
      <c r="A245" s="590"/>
      <c r="B245" s="590"/>
      <c r="C245" s="590"/>
      <c r="D245" s="590"/>
      <c r="E245" s="590"/>
      <c r="F245" s="590"/>
      <c r="G245" s="590"/>
      <c r="H245" s="590"/>
      <c r="I245" s="590"/>
      <c r="J245" s="590"/>
      <c r="K245" s="590"/>
      <c r="L245" s="590"/>
      <c r="M245" s="590"/>
      <c r="N245" s="590"/>
      <c r="O245" s="590"/>
      <c r="P245" s="590"/>
      <c r="Q245" s="590"/>
      <c r="R245" s="590"/>
      <c r="S245" s="590"/>
      <c r="T245" s="590"/>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0"/>
      <c r="AQ245" s="590"/>
      <c r="AR245" s="590"/>
      <c r="AS245" s="590"/>
      <c r="AT245" s="590"/>
      <c r="AU245" s="590"/>
      <c r="AV245" s="590"/>
      <c r="AW245" s="590"/>
      <c r="AX245" s="590"/>
      <c r="AY245" s="590"/>
      <c r="AZ245" s="590"/>
      <c r="BA245" s="590"/>
      <c r="BB245" s="590"/>
      <c r="BC245" s="590"/>
      <c r="BD245" s="590"/>
      <c r="BE245" s="590"/>
      <c r="BF245" s="590"/>
      <c r="BG245" s="590"/>
      <c r="BH245" s="590"/>
      <c r="BI245" s="590"/>
      <c r="BJ245" s="590"/>
      <c r="BK245" s="591"/>
      <c r="BL245" s="591"/>
      <c r="BM245" s="591"/>
      <c r="BN245" s="591"/>
      <c r="BO245" s="591"/>
      <c r="BP245" s="591"/>
      <c r="BQ245" s="591"/>
      <c r="BR245" s="591"/>
      <c r="BS245" s="591"/>
      <c r="BT245" s="591"/>
      <c r="BU245" s="591"/>
      <c r="BV245" s="591"/>
      <c r="BW245" s="591"/>
      <c r="BX245" s="591"/>
      <c r="BY245" s="591"/>
      <c r="BZ245" s="591"/>
      <c r="CA245" s="591"/>
      <c r="CB245" s="591"/>
      <c r="CC245" s="591"/>
      <c r="CD245" s="591"/>
      <c r="CE245" s="591"/>
      <c r="CF245" s="591"/>
    </row>
    <row r="246" spans="1:84">
      <c r="A246" s="590"/>
      <c r="B246" s="590"/>
      <c r="C246" s="590"/>
      <c r="D246" s="590"/>
      <c r="E246" s="590"/>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c r="AE246" s="590"/>
      <c r="AF246" s="590"/>
      <c r="AG246" s="590"/>
      <c r="AH246" s="590"/>
      <c r="AI246" s="590"/>
      <c r="AJ246" s="590"/>
      <c r="AK246" s="590"/>
      <c r="AL246" s="590"/>
      <c r="AM246" s="590"/>
      <c r="AN246" s="590"/>
      <c r="AO246" s="590"/>
      <c r="AP246" s="590"/>
      <c r="AQ246" s="590"/>
      <c r="AR246" s="590"/>
      <c r="AS246" s="590"/>
      <c r="AT246" s="590"/>
      <c r="AU246" s="590"/>
      <c r="AV246" s="590"/>
      <c r="AW246" s="590"/>
      <c r="AX246" s="590"/>
      <c r="AY246" s="590"/>
      <c r="AZ246" s="590"/>
      <c r="BA246" s="590"/>
      <c r="BB246" s="590"/>
      <c r="BC246" s="590"/>
      <c r="BD246" s="590"/>
      <c r="BE246" s="590"/>
      <c r="BF246" s="590"/>
      <c r="BG246" s="590"/>
      <c r="BH246" s="590"/>
      <c r="BI246" s="590"/>
      <c r="BJ246" s="590"/>
      <c r="BK246" s="591"/>
      <c r="BL246" s="591"/>
      <c r="BM246" s="591"/>
      <c r="BN246" s="591"/>
      <c r="BO246" s="591"/>
      <c r="BP246" s="591"/>
      <c r="BQ246" s="591"/>
      <c r="BR246" s="591"/>
      <c r="BS246" s="591"/>
      <c r="BT246" s="591"/>
      <c r="BU246" s="591"/>
      <c r="BV246" s="591"/>
      <c r="BW246" s="591"/>
      <c r="BX246" s="591"/>
      <c r="BY246" s="591"/>
      <c r="BZ246" s="591"/>
      <c r="CA246" s="591"/>
      <c r="CB246" s="591"/>
      <c r="CC246" s="591"/>
      <c r="CD246" s="591"/>
      <c r="CE246" s="591"/>
      <c r="CF246" s="591"/>
    </row>
    <row r="247" spans="1:84">
      <c r="A247" s="590"/>
      <c r="B247" s="590"/>
      <c r="C247" s="590"/>
      <c r="D247" s="590"/>
      <c r="E247" s="590"/>
      <c r="F247" s="590"/>
      <c r="G247" s="590"/>
      <c r="H247" s="590"/>
      <c r="I247" s="590"/>
      <c r="J247" s="590"/>
      <c r="K247" s="590"/>
      <c r="L247" s="590"/>
      <c r="M247" s="590"/>
      <c r="N247" s="590"/>
      <c r="O247" s="590"/>
      <c r="P247" s="590"/>
      <c r="Q247" s="590"/>
      <c r="R247" s="590"/>
      <c r="S247" s="590"/>
      <c r="T247" s="590"/>
      <c r="U247" s="590"/>
      <c r="V247" s="590"/>
      <c r="W247" s="590"/>
      <c r="X247" s="590"/>
      <c r="Y247" s="590"/>
      <c r="Z247" s="590"/>
      <c r="AA247" s="590"/>
      <c r="AB247" s="590"/>
      <c r="AC247" s="590"/>
      <c r="AD247" s="590"/>
      <c r="AE247" s="590"/>
      <c r="AF247" s="590"/>
      <c r="AG247" s="590"/>
      <c r="AH247" s="590"/>
      <c r="AI247" s="590"/>
      <c r="AJ247" s="590"/>
      <c r="AK247" s="590"/>
      <c r="AL247" s="590"/>
      <c r="AM247" s="590"/>
      <c r="AN247" s="590"/>
      <c r="AO247" s="590"/>
      <c r="AP247" s="590"/>
      <c r="AQ247" s="590"/>
      <c r="AR247" s="590"/>
      <c r="AS247" s="590"/>
      <c r="AT247" s="590"/>
      <c r="AU247" s="590"/>
      <c r="AV247" s="590"/>
      <c r="AW247" s="590"/>
      <c r="AX247" s="590"/>
      <c r="AY247" s="590"/>
      <c r="AZ247" s="590"/>
      <c r="BA247" s="590"/>
      <c r="BB247" s="590"/>
      <c r="BC247" s="590"/>
      <c r="BD247" s="590"/>
      <c r="BE247" s="590"/>
      <c r="BF247" s="590"/>
      <c r="BG247" s="590"/>
      <c r="BH247" s="590"/>
      <c r="BI247" s="590"/>
      <c r="BJ247" s="590"/>
      <c r="BK247" s="591"/>
      <c r="BL247" s="591"/>
      <c r="BM247" s="591"/>
      <c r="BN247" s="591"/>
      <c r="BO247" s="591"/>
      <c r="BP247" s="591"/>
      <c r="BQ247" s="591"/>
      <c r="BR247" s="591"/>
      <c r="BS247" s="591"/>
      <c r="BT247" s="591"/>
      <c r="BU247" s="591"/>
      <c r="BV247" s="591"/>
      <c r="BW247" s="591"/>
      <c r="BX247" s="591"/>
      <c r="BY247" s="591"/>
      <c r="BZ247" s="591"/>
      <c r="CA247" s="591"/>
      <c r="CB247" s="591"/>
      <c r="CC247" s="591"/>
      <c r="CD247" s="591"/>
      <c r="CE247" s="591"/>
      <c r="CF247" s="591"/>
    </row>
    <row r="248" spans="1:84">
      <c r="A248" s="590"/>
      <c r="B248" s="590"/>
      <c r="C248" s="590"/>
      <c r="D248" s="590"/>
      <c r="E248" s="590"/>
      <c r="F248" s="590"/>
      <c r="G248" s="590"/>
      <c r="H248" s="590"/>
      <c r="I248" s="590"/>
      <c r="J248" s="590"/>
      <c r="K248" s="590"/>
      <c r="L248" s="590"/>
      <c r="M248" s="590"/>
      <c r="N248" s="590"/>
      <c r="O248" s="590"/>
      <c r="P248" s="590"/>
      <c r="Q248" s="590"/>
      <c r="R248" s="590"/>
      <c r="S248" s="590"/>
      <c r="T248" s="590"/>
      <c r="U248" s="590"/>
      <c r="V248" s="590"/>
      <c r="W248" s="590"/>
      <c r="X248" s="590"/>
      <c r="Y248" s="590"/>
      <c r="Z248" s="590"/>
      <c r="AA248" s="590"/>
      <c r="AB248" s="590"/>
      <c r="AC248" s="590"/>
      <c r="AD248" s="590"/>
      <c r="AE248" s="590"/>
      <c r="AF248" s="590"/>
      <c r="AG248" s="590"/>
      <c r="AH248" s="590"/>
      <c r="AI248" s="590"/>
      <c r="AJ248" s="590"/>
      <c r="AK248" s="590"/>
      <c r="AL248" s="590"/>
      <c r="AM248" s="590"/>
      <c r="AN248" s="590"/>
      <c r="AO248" s="590"/>
      <c r="AP248" s="590"/>
      <c r="AQ248" s="590"/>
      <c r="AR248" s="590"/>
      <c r="AS248" s="590"/>
      <c r="AT248" s="590"/>
      <c r="AU248" s="590"/>
      <c r="AV248" s="590"/>
      <c r="AW248" s="590"/>
      <c r="AX248" s="590"/>
      <c r="AY248" s="590"/>
      <c r="AZ248" s="590"/>
      <c r="BA248" s="590"/>
      <c r="BB248" s="590"/>
      <c r="BC248" s="590"/>
      <c r="BD248" s="590"/>
      <c r="BE248" s="590"/>
      <c r="BF248" s="590"/>
      <c r="BG248" s="590"/>
      <c r="BH248" s="590"/>
      <c r="BI248" s="590"/>
      <c r="BJ248" s="590"/>
      <c r="BK248" s="591"/>
      <c r="BL248" s="591"/>
      <c r="BM248" s="591"/>
      <c r="BN248" s="591"/>
      <c r="BO248" s="591"/>
      <c r="BP248" s="591"/>
      <c r="BQ248" s="591"/>
      <c r="BR248" s="591"/>
      <c r="BS248" s="591"/>
      <c r="BT248" s="591"/>
      <c r="BU248" s="591"/>
      <c r="BV248" s="591"/>
      <c r="BW248" s="591"/>
      <c r="BX248" s="591"/>
      <c r="BY248" s="591"/>
      <c r="BZ248" s="591"/>
      <c r="CA248" s="591"/>
      <c r="CB248" s="591"/>
      <c r="CC248" s="591"/>
      <c r="CD248" s="591"/>
      <c r="CE248" s="591"/>
      <c r="CF248" s="591"/>
    </row>
    <row r="249" spans="1:84">
      <c r="A249" s="590"/>
      <c r="B249" s="590"/>
      <c r="C249" s="590"/>
      <c r="D249" s="590"/>
      <c r="E249" s="590"/>
      <c r="F249" s="590"/>
      <c r="G249" s="590"/>
      <c r="H249" s="590"/>
      <c r="I249" s="590"/>
      <c r="J249" s="590"/>
      <c r="K249" s="590"/>
      <c r="L249" s="590"/>
      <c r="M249" s="590"/>
      <c r="N249" s="590"/>
      <c r="O249" s="590"/>
      <c r="P249" s="590"/>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0"/>
      <c r="AQ249" s="590"/>
      <c r="AR249" s="590"/>
      <c r="AS249" s="590"/>
      <c r="AT249" s="590"/>
      <c r="AU249" s="590"/>
      <c r="AV249" s="590"/>
      <c r="AW249" s="590"/>
      <c r="AX249" s="590"/>
      <c r="AY249" s="590"/>
      <c r="AZ249" s="590"/>
      <c r="BA249" s="590"/>
      <c r="BB249" s="590"/>
      <c r="BC249" s="590"/>
      <c r="BD249" s="590"/>
      <c r="BE249" s="590"/>
      <c r="BF249" s="590"/>
      <c r="BG249" s="590"/>
      <c r="BH249" s="590"/>
      <c r="BI249" s="590"/>
      <c r="BJ249" s="590"/>
      <c r="BK249" s="591"/>
      <c r="BL249" s="591"/>
      <c r="BM249" s="591"/>
      <c r="BN249" s="591"/>
      <c r="BO249" s="591"/>
      <c r="BP249" s="591"/>
      <c r="BQ249" s="591"/>
      <c r="BR249" s="591"/>
      <c r="BS249" s="591"/>
      <c r="BT249" s="591"/>
      <c r="BU249" s="591"/>
      <c r="BV249" s="591"/>
      <c r="BW249" s="591"/>
      <c r="BX249" s="591"/>
      <c r="BY249" s="591"/>
      <c r="BZ249" s="591"/>
      <c r="CA249" s="591"/>
      <c r="CB249" s="591"/>
      <c r="CC249" s="591"/>
      <c r="CD249" s="591"/>
      <c r="CE249" s="591"/>
      <c r="CF249" s="591"/>
    </row>
    <row r="250" spans="1:84">
      <c r="A250" s="590"/>
      <c r="B250" s="590"/>
      <c r="C250" s="590"/>
      <c r="D250" s="590"/>
      <c r="E250" s="590"/>
      <c r="F250" s="590"/>
      <c r="G250" s="590"/>
      <c r="H250" s="590"/>
      <c r="I250" s="590"/>
      <c r="J250" s="590"/>
      <c r="K250" s="590"/>
      <c r="L250" s="590"/>
      <c r="M250" s="590"/>
      <c r="N250" s="590"/>
      <c r="O250" s="590"/>
      <c r="P250" s="590"/>
      <c r="Q250" s="590"/>
      <c r="R250" s="590"/>
      <c r="S250" s="590"/>
      <c r="T250" s="590"/>
      <c r="U250" s="590"/>
      <c r="V250" s="590"/>
      <c r="W250" s="590"/>
      <c r="X250" s="590"/>
      <c r="Y250" s="590"/>
      <c r="Z250" s="590"/>
      <c r="AA250" s="590"/>
      <c r="AB250" s="590"/>
      <c r="AC250" s="590"/>
      <c r="AD250" s="590"/>
      <c r="AE250" s="590"/>
      <c r="AF250" s="590"/>
      <c r="AG250" s="590"/>
      <c r="AH250" s="590"/>
      <c r="AI250" s="590"/>
      <c r="AJ250" s="590"/>
      <c r="AK250" s="590"/>
      <c r="AL250" s="590"/>
      <c r="AM250" s="590"/>
      <c r="AN250" s="590"/>
      <c r="AO250" s="590"/>
      <c r="AP250" s="590"/>
      <c r="AQ250" s="590"/>
      <c r="AR250" s="590"/>
      <c r="AS250" s="590"/>
      <c r="AT250" s="590"/>
      <c r="AU250" s="590"/>
      <c r="AV250" s="590"/>
      <c r="AW250" s="590"/>
      <c r="AX250" s="590"/>
      <c r="AY250" s="590"/>
      <c r="AZ250" s="590"/>
      <c r="BA250" s="590"/>
      <c r="BB250" s="590"/>
      <c r="BC250" s="590"/>
      <c r="BD250" s="590"/>
      <c r="BE250" s="590"/>
      <c r="BF250" s="590"/>
      <c r="BG250" s="590"/>
      <c r="BH250" s="590"/>
      <c r="BI250" s="590"/>
      <c r="BJ250" s="590"/>
      <c r="BK250" s="591"/>
      <c r="BL250" s="591"/>
      <c r="BM250" s="591"/>
      <c r="BN250" s="591"/>
      <c r="BO250" s="591"/>
      <c r="BP250" s="591"/>
      <c r="BQ250" s="591"/>
      <c r="BR250" s="591"/>
      <c r="BS250" s="591"/>
      <c r="BT250" s="591"/>
      <c r="BU250" s="591"/>
      <c r="BV250" s="591"/>
      <c r="BW250" s="591"/>
      <c r="BX250" s="591"/>
      <c r="BY250" s="591"/>
      <c r="BZ250" s="591"/>
      <c r="CA250" s="591"/>
      <c r="CB250" s="591"/>
      <c r="CC250" s="591"/>
      <c r="CD250" s="591"/>
      <c r="CE250" s="591"/>
      <c r="CF250" s="591"/>
    </row>
    <row r="251" spans="1:84">
      <c r="A251" s="590"/>
      <c r="B251" s="590"/>
      <c r="C251" s="590"/>
      <c r="D251" s="590"/>
      <c r="E251" s="590"/>
      <c r="F251" s="590"/>
      <c r="G251" s="590"/>
      <c r="H251" s="590"/>
      <c r="I251" s="590"/>
      <c r="J251" s="590"/>
      <c r="K251" s="590"/>
      <c r="L251" s="590"/>
      <c r="M251" s="590"/>
      <c r="N251" s="590"/>
      <c r="O251" s="590"/>
      <c r="P251" s="590"/>
      <c r="Q251" s="590"/>
      <c r="R251" s="590"/>
      <c r="S251" s="590"/>
      <c r="T251" s="590"/>
      <c r="U251" s="590"/>
      <c r="V251" s="590"/>
      <c r="W251" s="590"/>
      <c r="X251" s="590"/>
      <c r="Y251" s="590"/>
      <c r="Z251" s="590"/>
      <c r="AA251" s="590"/>
      <c r="AB251" s="590"/>
      <c r="AC251" s="590"/>
      <c r="AD251" s="590"/>
      <c r="AE251" s="590"/>
      <c r="AF251" s="590"/>
      <c r="AG251" s="590"/>
      <c r="AH251" s="590"/>
      <c r="AI251" s="590"/>
      <c r="AJ251" s="590"/>
      <c r="AK251" s="590"/>
      <c r="AL251" s="590"/>
      <c r="AM251" s="590"/>
      <c r="AN251" s="590"/>
      <c r="AO251" s="590"/>
      <c r="AP251" s="590"/>
      <c r="AQ251" s="590"/>
      <c r="AR251" s="590"/>
      <c r="AS251" s="590"/>
      <c r="AT251" s="590"/>
      <c r="AU251" s="590"/>
      <c r="AV251" s="590"/>
      <c r="AW251" s="590"/>
      <c r="AX251" s="590"/>
      <c r="AY251" s="590"/>
      <c r="AZ251" s="590"/>
      <c r="BA251" s="590"/>
      <c r="BB251" s="590"/>
      <c r="BC251" s="590"/>
      <c r="BD251" s="590"/>
      <c r="BE251" s="590"/>
      <c r="BF251" s="590"/>
      <c r="BG251" s="590"/>
      <c r="BH251" s="590"/>
      <c r="BI251" s="590"/>
      <c r="BJ251" s="590"/>
      <c r="BK251" s="591"/>
      <c r="BL251" s="591"/>
      <c r="BM251" s="591"/>
      <c r="BN251" s="591"/>
      <c r="BO251" s="591"/>
      <c r="BP251" s="591"/>
      <c r="BQ251" s="591"/>
      <c r="BR251" s="591"/>
      <c r="BS251" s="591"/>
      <c r="BT251" s="591"/>
      <c r="BU251" s="591"/>
      <c r="BV251" s="591"/>
      <c r="BW251" s="591"/>
      <c r="BX251" s="591"/>
      <c r="BY251" s="591"/>
      <c r="BZ251" s="591"/>
      <c r="CA251" s="591"/>
      <c r="CB251" s="591"/>
      <c r="CC251" s="591"/>
      <c r="CD251" s="591"/>
      <c r="CE251" s="591"/>
      <c r="CF251" s="591"/>
    </row>
    <row r="252" spans="1:84">
      <c r="A252" s="590"/>
      <c r="B252" s="590"/>
      <c r="C252" s="590"/>
      <c r="D252" s="590"/>
      <c r="E252" s="590"/>
      <c r="F252" s="590"/>
      <c r="G252" s="590"/>
      <c r="H252" s="590"/>
      <c r="I252" s="590"/>
      <c r="J252" s="590"/>
      <c r="K252" s="590"/>
      <c r="L252" s="590"/>
      <c r="M252" s="590"/>
      <c r="N252" s="590"/>
      <c r="O252" s="590"/>
      <c r="P252" s="590"/>
      <c r="Q252" s="590"/>
      <c r="R252" s="590"/>
      <c r="S252" s="590"/>
      <c r="T252" s="590"/>
      <c r="U252" s="590"/>
      <c r="V252" s="590"/>
      <c r="W252" s="590"/>
      <c r="X252" s="590"/>
      <c r="Y252" s="590"/>
      <c r="Z252" s="590"/>
      <c r="AA252" s="590"/>
      <c r="AB252" s="590"/>
      <c r="AC252" s="590"/>
      <c r="AD252" s="590"/>
      <c r="AE252" s="590"/>
      <c r="AF252" s="590"/>
      <c r="AG252" s="590"/>
      <c r="AH252" s="590"/>
      <c r="AI252" s="590"/>
      <c r="AJ252" s="590"/>
      <c r="AK252" s="590"/>
      <c r="AL252" s="590"/>
      <c r="AM252" s="590"/>
      <c r="AN252" s="590"/>
      <c r="AO252" s="590"/>
      <c r="AP252" s="590"/>
      <c r="AQ252" s="590"/>
      <c r="AR252" s="590"/>
      <c r="AS252" s="590"/>
      <c r="AT252" s="590"/>
      <c r="AU252" s="590"/>
      <c r="AV252" s="590"/>
      <c r="AW252" s="590"/>
      <c r="AX252" s="590"/>
      <c r="AY252" s="590"/>
      <c r="AZ252" s="590"/>
      <c r="BA252" s="590"/>
      <c r="BB252" s="590"/>
      <c r="BC252" s="590"/>
      <c r="BD252" s="590"/>
      <c r="BE252" s="590"/>
      <c r="BF252" s="590"/>
      <c r="BG252" s="590"/>
      <c r="BH252" s="590"/>
      <c r="BI252" s="590"/>
      <c r="BJ252" s="590"/>
      <c r="BK252" s="591"/>
      <c r="BL252" s="591"/>
      <c r="BM252" s="591"/>
      <c r="BN252" s="591"/>
      <c r="BO252" s="591"/>
      <c r="BP252" s="591"/>
      <c r="BQ252" s="591"/>
      <c r="BR252" s="591"/>
      <c r="BS252" s="591"/>
      <c r="BT252" s="591"/>
      <c r="BU252" s="591"/>
      <c r="BV252" s="591"/>
      <c r="BW252" s="591"/>
      <c r="BX252" s="591"/>
      <c r="BY252" s="591"/>
      <c r="BZ252" s="591"/>
      <c r="CA252" s="591"/>
      <c r="CB252" s="591"/>
      <c r="CC252" s="591"/>
      <c r="CD252" s="591"/>
      <c r="CE252" s="591"/>
      <c r="CF252" s="591"/>
    </row>
    <row r="253" spans="1:84">
      <c r="A253" s="590"/>
      <c r="B253" s="590"/>
      <c r="C253" s="590"/>
      <c r="D253" s="590"/>
      <c r="E253" s="590"/>
      <c r="F253" s="590"/>
      <c r="G253" s="590"/>
      <c r="H253" s="590"/>
      <c r="I253" s="590"/>
      <c r="J253" s="590"/>
      <c r="K253" s="590"/>
      <c r="L253" s="590"/>
      <c r="M253" s="590"/>
      <c r="N253" s="590"/>
      <c r="O253" s="590"/>
      <c r="P253" s="590"/>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0"/>
      <c r="AQ253" s="590"/>
      <c r="AR253" s="590"/>
      <c r="AS253" s="590"/>
      <c r="AT253" s="590"/>
      <c r="AU253" s="590"/>
      <c r="AV253" s="590"/>
      <c r="AW253" s="590"/>
      <c r="AX253" s="590"/>
      <c r="AY253" s="590"/>
      <c r="AZ253" s="590"/>
      <c r="BA253" s="590"/>
      <c r="BB253" s="590"/>
      <c r="BC253" s="590"/>
      <c r="BD253" s="590"/>
      <c r="BE253" s="590"/>
      <c r="BF253" s="590"/>
      <c r="BG253" s="590"/>
      <c r="BH253" s="590"/>
      <c r="BI253" s="590"/>
      <c r="BJ253" s="590"/>
      <c r="BK253" s="591"/>
      <c r="BL253" s="591"/>
      <c r="BM253" s="591"/>
      <c r="BN253" s="591"/>
      <c r="BO253" s="591"/>
      <c r="BP253" s="591"/>
      <c r="BQ253" s="591"/>
      <c r="BR253" s="591"/>
      <c r="BS253" s="591"/>
      <c r="BT253" s="591"/>
      <c r="BU253" s="591"/>
      <c r="BV253" s="591"/>
      <c r="BW253" s="591"/>
      <c r="BX253" s="591"/>
      <c r="BY253" s="591"/>
      <c r="BZ253" s="591"/>
      <c r="CA253" s="591"/>
      <c r="CB253" s="591"/>
      <c r="CC253" s="591"/>
      <c r="CD253" s="591"/>
      <c r="CE253" s="591"/>
      <c r="CF253" s="591"/>
    </row>
    <row r="254" spans="1:84">
      <c r="A254" s="590"/>
      <c r="B254" s="590"/>
      <c r="C254" s="590"/>
      <c r="D254" s="590"/>
      <c r="E254" s="590"/>
      <c r="F254" s="590"/>
      <c r="G254" s="590"/>
      <c r="H254" s="590"/>
      <c r="I254" s="590"/>
      <c r="J254" s="590"/>
      <c r="K254" s="590"/>
      <c r="L254" s="590"/>
      <c r="M254" s="590"/>
      <c r="N254" s="590"/>
      <c r="O254" s="590"/>
      <c r="P254" s="590"/>
      <c r="Q254" s="590"/>
      <c r="R254" s="590"/>
      <c r="S254" s="590"/>
      <c r="T254" s="590"/>
      <c r="U254" s="590"/>
      <c r="V254" s="590"/>
      <c r="W254" s="590"/>
      <c r="X254" s="590"/>
      <c r="Y254" s="590"/>
      <c r="Z254" s="590"/>
      <c r="AA254" s="590"/>
      <c r="AB254" s="590"/>
      <c r="AC254" s="590"/>
      <c r="AD254" s="590"/>
      <c r="AE254" s="590"/>
      <c r="AF254" s="590"/>
      <c r="AG254" s="590"/>
      <c r="AH254" s="590"/>
      <c r="AI254" s="590"/>
      <c r="AJ254" s="590"/>
      <c r="AK254" s="590"/>
      <c r="AL254" s="590"/>
      <c r="AM254" s="590"/>
      <c r="AN254" s="590"/>
      <c r="AO254" s="590"/>
      <c r="AP254" s="590"/>
      <c r="AQ254" s="590"/>
      <c r="AR254" s="590"/>
      <c r="AS254" s="590"/>
      <c r="AT254" s="590"/>
      <c r="AU254" s="590"/>
      <c r="AV254" s="590"/>
      <c r="AW254" s="590"/>
      <c r="AX254" s="590"/>
      <c r="AY254" s="590"/>
      <c r="AZ254" s="590"/>
      <c r="BA254" s="590"/>
      <c r="BB254" s="590"/>
      <c r="BC254" s="590"/>
      <c r="BD254" s="590"/>
      <c r="BE254" s="590"/>
      <c r="BF254" s="590"/>
      <c r="BG254" s="590"/>
      <c r="BH254" s="590"/>
      <c r="BI254" s="590"/>
      <c r="BJ254" s="590"/>
      <c r="BK254" s="591"/>
      <c r="BL254" s="591"/>
      <c r="BM254" s="591"/>
      <c r="BN254" s="591"/>
      <c r="BO254" s="591"/>
      <c r="BP254" s="591"/>
      <c r="BQ254" s="591"/>
      <c r="BR254" s="591"/>
      <c r="BS254" s="591"/>
      <c r="BT254" s="591"/>
      <c r="BU254" s="591"/>
      <c r="BV254" s="591"/>
      <c r="BW254" s="591"/>
      <c r="BX254" s="591"/>
      <c r="BY254" s="591"/>
      <c r="BZ254" s="591"/>
      <c r="CA254" s="591"/>
      <c r="CB254" s="591"/>
      <c r="CC254" s="591"/>
      <c r="CD254" s="591"/>
      <c r="CE254" s="591"/>
      <c r="CF254" s="591"/>
    </row>
    <row r="255" spans="1:84">
      <c r="A255" s="590"/>
      <c r="B255" s="590"/>
      <c r="C255" s="590"/>
      <c r="D255" s="590"/>
      <c r="E255" s="590"/>
      <c r="F255" s="590"/>
      <c r="G255" s="590"/>
      <c r="H255" s="590"/>
      <c r="I255" s="590"/>
      <c r="J255" s="590"/>
      <c r="K255" s="590"/>
      <c r="L255" s="590"/>
      <c r="M255" s="590"/>
      <c r="N255" s="590"/>
      <c r="O255" s="590"/>
      <c r="P255" s="590"/>
      <c r="Q255" s="590"/>
      <c r="R255" s="590"/>
      <c r="S255" s="590"/>
      <c r="T255" s="590"/>
      <c r="U255" s="590"/>
      <c r="V255" s="590"/>
      <c r="W255" s="590"/>
      <c r="X255" s="590"/>
      <c r="Y255" s="590"/>
      <c r="Z255" s="590"/>
      <c r="AA255" s="590"/>
      <c r="AB255" s="590"/>
      <c r="AC255" s="590"/>
      <c r="AD255" s="590"/>
      <c r="AE255" s="590"/>
      <c r="AF255" s="590"/>
      <c r="AG255" s="590"/>
      <c r="AH255" s="590"/>
      <c r="AI255" s="590"/>
      <c r="AJ255" s="590"/>
      <c r="AK255" s="590"/>
      <c r="AL255" s="590"/>
      <c r="AM255" s="590"/>
      <c r="AN255" s="590"/>
      <c r="AO255" s="590"/>
      <c r="AP255" s="590"/>
      <c r="AQ255" s="590"/>
      <c r="AR255" s="590"/>
      <c r="AS255" s="590"/>
      <c r="AT255" s="590"/>
      <c r="AU255" s="590"/>
      <c r="AV255" s="590"/>
      <c r="AW255" s="590"/>
      <c r="AX255" s="590"/>
      <c r="AY255" s="590"/>
      <c r="AZ255" s="590"/>
      <c r="BA255" s="590"/>
      <c r="BB255" s="590"/>
      <c r="BC255" s="590"/>
      <c r="BD255" s="590"/>
      <c r="BE255" s="590"/>
      <c r="BF255" s="590"/>
      <c r="BG255" s="590"/>
      <c r="BH255" s="590"/>
      <c r="BI255" s="590"/>
      <c r="BJ255" s="590"/>
      <c r="BK255" s="591"/>
      <c r="BL255" s="591"/>
      <c r="BM255" s="591"/>
      <c r="BN255" s="591"/>
      <c r="BO255" s="591"/>
      <c r="BP255" s="591"/>
      <c r="BQ255" s="591"/>
      <c r="BR255" s="591"/>
      <c r="BS255" s="591"/>
      <c r="BT255" s="591"/>
      <c r="BU255" s="591"/>
      <c r="BV255" s="591"/>
      <c r="BW255" s="591"/>
      <c r="BX255" s="591"/>
      <c r="BY255" s="591"/>
      <c r="BZ255" s="591"/>
      <c r="CA255" s="591"/>
      <c r="CB255" s="591"/>
      <c r="CC255" s="591"/>
      <c r="CD255" s="591"/>
      <c r="CE255" s="591"/>
      <c r="CF255" s="591"/>
    </row>
    <row r="256" spans="1:84">
      <c r="A256" s="590"/>
      <c r="B256" s="590"/>
      <c r="C256" s="590"/>
      <c r="D256" s="590"/>
      <c r="E256" s="590"/>
      <c r="F256" s="590"/>
      <c r="G256" s="590"/>
      <c r="H256" s="590"/>
      <c r="I256" s="590"/>
      <c r="J256" s="590"/>
      <c r="K256" s="590"/>
      <c r="L256" s="590"/>
      <c r="M256" s="590"/>
      <c r="N256" s="590"/>
      <c r="O256" s="590"/>
      <c r="P256" s="590"/>
      <c r="Q256" s="590"/>
      <c r="R256" s="590"/>
      <c r="S256" s="590"/>
      <c r="T256" s="590"/>
      <c r="U256" s="590"/>
      <c r="V256" s="590"/>
      <c r="W256" s="590"/>
      <c r="X256" s="590"/>
      <c r="Y256" s="590"/>
      <c r="Z256" s="590"/>
      <c r="AA256" s="590"/>
      <c r="AB256" s="590"/>
      <c r="AC256" s="590"/>
      <c r="AD256" s="590"/>
      <c r="AE256" s="590"/>
      <c r="AF256" s="590"/>
      <c r="AG256" s="590"/>
      <c r="AH256" s="590"/>
      <c r="AI256" s="590"/>
      <c r="AJ256" s="590"/>
      <c r="AK256" s="590"/>
      <c r="AL256" s="590"/>
      <c r="AM256" s="590"/>
      <c r="AN256" s="590"/>
      <c r="AO256" s="590"/>
      <c r="AP256" s="590"/>
      <c r="AQ256" s="590"/>
      <c r="AR256" s="590"/>
      <c r="AS256" s="590"/>
      <c r="AT256" s="590"/>
      <c r="AU256" s="590"/>
      <c r="AV256" s="590"/>
      <c r="AW256" s="590"/>
      <c r="AX256" s="590"/>
      <c r="AY256" s="590"/>
      <c r="AZ256" s="590"/>
      <c r="BA256" s="590"/>
      <c r="BB256" s="590"/>
      <c r="BC256" s="590"/>
      <c r="BD256" s="590"/>
      <c r="BE256" s="590"/>
      <c r="BF256" s="590"/>
      <c r="BG256" s="590"/>
      <c r="BH256" s="590"/>
      <c r="BI256" s="590"/>
      <c r="BJ256" s="590"/>
      <c r="BK256" s="591"/>
      <c r="BL256" s="591"/>
      <c r="BM256" s="591"/>
      <c r="BN256" s="591"/>
      <c r="BO256" s="591"/>
      <c r="BP256" s="591"/>
      <c r="BQ256" s="591"/>
      <c r="BR256" s="591"/>
      <c r="BS256" s="591"/>
      <c r="BT256" s="591"/>
      <c r="BU256" s="591"/>
      <c r="BV256" s="591"/>
      <c r="BW256" s="591"/>
      <c r="BX256" s="591"/>
      <c r="BY256" s="591"/>
      <c r="BZ256" s="591"/>
      <c r="CA256" s="591"/>
      <c r="CB256" s="591"/>
      <c r="CC256" s="591"/>
      <c r="CD256" s="591"/>
      <c r="CE256" s="591"/>
      <c r="CF256" s="591"/>
    </row>
    <row r="257" spans="1:84">
      <c r="A257" s="590"/>
      <c r="B257" s="590"/>
      <c r="C257" s="590"/>
      <c r="D257" s="590"/>
      <c r="E257" s="590"/>
      <c r="F257" s="590"/>
      <c r="G257" s="590"/>
      <c r="H257" s="590"/>
      <c r="I257" s="590"/>
      <c r="J257" s="590"/>
      <c r="K257" s="590"/>
      <c r="L257" s="590"/>
      <c r="M257" s="590"/>
      <c r="N257" s="590"/>
      <c r="O257" s="590"/>
      <c r="P257" s="590"/>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0"/>
      <c r="AQ257" s="590"/>
      <c r="AR257" s="590"/>
      <c r="AS257" s="590"/>
      <c r="AT257" s="590"/>
      <c r="AU257" s="590"/>
      <c r="AV257" s="590"/>
      <c r="AW257" s="590"/>
      <c r="AX257" s="590"/>
      <c r="AY257" s="590"/>
      <c r="AZ257" s="590"/>
      <c r="BA257" s="590"/>
      <c r="BB257" s="590"/>
      <c r="BC257" s="590"/>
      <c r="BD257" s="590"/>
      <c r="BE257" s="590"/>
      <c r="BF257" s="590"/>
      <c r="BG257" s="590"/>
      <c r="BH257" s="590"/>
      <c r="BI257" s="590"/>
      <c r="BJ257" s="590"/>
      <c r="BK257" s="591"/>
      <c r="BL257" s="591"/>
      <c r="BM257" s="591"/>
      <c r="BN257" s="591"/>
      <c r="BO257" s="591"/>
      <c r="BP257" s="591"/>
      <c r="BQ257" s="591"/>
      <c r="BR257" s="591"/>
      <c r="BS257" s="591"/>
      <c r="BT257" s="591"/>
      <c r="BU257" s="591"/>
      <c r="BV257" s="591"/>
      <c r="BW257" s="591"/>
      <c r="BX257" s="591"/>
      <c r="BY257" s="591"/>
      <c r="BZ257" s="591"/>
      <c r="CA257" s="591"/>
      <c r="CB257" s="591"/>
      <c r="CC257" s="591"/>
      <c r="CD257" s="591"/>
      <c r="CE257" s="591"/>
      <c r="CF257" s="591"/>
    </row>
    <row r="258" spans="1:84">
      <c r="A258" s="590"/>
      <c r="B258" s="590"/>
      <c r="C258" s="590"/>
      <c r="D258" s="590"/>
      <c r="E258" s="590"/>
      <c r="F258" s="590"/>
      <c r="G258" s="590"/>
      <c r="H258" s="590"/>
      <c r="I258" s="590"/>
      <c r="J258" s="590"/>
      <c r="K258" s="590"/>
      <c r="L258" s="590"/>
      <c r="M258" s="590"/>
      <c r="N258" s="590"/>
      <c r="O258" s="590"/>
      <c r="P258" s="590"/>
      <c r="Q258" s="590"/>
      <c r="R258" s="590"/>
      <c r="S258" s="590"/>
      <c r="T258" s="590"/>
      <c r="U258" s="590"/>
      <c r="V258" s="590"/>
      <c r="W258" s="590"/>
      <c r="X258" s="590"/>
      <c r="Y258" s="590"/>
      <c r="Z258" s="590"/>
      <c r="AA258" s="590"/>
      <c r="AB258" s="590"/>
      <c r="AC258" s="590"/>
      <c r="AD258" s="590"/>
      <c r="AE258" s="590"/>
      <c r="AF258" s="590"/>
      <c r="AG258" s="590"/>
      <c r="AH258" s="590"/>
      <c r="AI258" s="590"/>
      <c r="AJ258" s="590"/>
      <c r="AK258" s="590"/>
      <c r="AL258" s="590"/>
      <c r="AM258" s="590"/>
      <c r="AN258" s="590"/>
      <c r="AO258" s="590"/>
      <c r="AP258" s="590"/>
      <c r="AQ258" s="590"/>
      <c r="AR258" s="590"/>
      <c r="AS258" s="590"/>
      <c r="AT258" s="590"/>
      <c r="AU258" s="590"/>
      <c r="AV258" s="590"/>
      <c r="AW258" s="590"/>
      <c r="AX258" s="590"/>
      <c r="AY258" s="590"/>
      <c r="AZ258" s="590"/>
      <c r="BA258" s="590"/>
      <c r="BB258" s="590"/>
      <c r="BC258" s="590"/>
      <c r="BD258" s="590"/>
      <c r="BE258" s="590"/>
      <c r="BF258" s="590"/>
      <c r="BG258" s="590"/>
      <c r="BH258" s="590"/>
      <c r="BI258" s="590"/>
      <c r="BJ258" s="590"/>
      <c r="BK258" s="591"/>
      <c r="BL258" s="591"/>
      <c r="BM258" s="591"/>
      <c r="BN258" s="591"/>
      <c r="BO258" s="591"/>
      <c r="BP258" s="591"/>
      <c r="BQ258" s="591"/>
      <c r="BR258" s="591"/>
      <c r="BS258" s="591"/>
      <c r="BT258" s="591"/>
      <c r="BU258" s="591"/>
      <c r="BV258" s="591"/>
      <c r="BW258" s="591"/>
      <c r="BX258" s="591"/>
      <c r="BY258" s="591"/>
      <c r="BZ258" s="591"/>
      <c r="CA258" s="591"/>
      <c r="CB258" s="591"/>
      <c r="CC258" s="591"/>
      <c r="CD258" s="591"/>
      <c r="CE258" s="591"/>
      <c r="CF258" s="591"/>
    </row>
    <row r="259" spans="1:84">
      <c r="A259" s="590"/>
      <c r="B259" s="590"/>
      <c r="C259" s="590"/>
      <c r="D259" s="590"/>
      <c r="E259" s="590"/>
      <c r="F259" s="590"/>
      <c r="G259" s="590"/>
      <c r="H259" s="590"/>
      <c r="I259" s="590"/>
      <c r="J259" s="590"/>
      <c r="K259" s="590"/>
      <c r="L259" s="590"/>
      <c r="M259" s="590"/>
      <c r="N259" s="590"/>
      <c r="O259" s="590"/>
      <c r="P259" s="590"/>
      <c r="Q259" s="590"/>
      <c r="R259" s="590"/>
      <c r="S259" s="590"/>
      <c r="T259" s="590"/>
      <c r="U259" s="590"/>
      <c r="V259" s="590"/>
      <c r="W259" s="590"/>
      <c r="X259" s="590"/>
      <c r="Y259" s="590"/>
      <c r="Z259" s="590"/>
      <c r="AA259" s="590"/>
      <c r="AB259" s="590"/>
      <c r="AC259" s="590"/>
      <c r="AD259" s="590"/>
      <c r="AE259" s="590"/>
      <c r="AF259" s="590"/>
      <c r="AG259" s="590"/>
      <c r="AH259" s="590"/>
      <c r="AI259" s="590"/>
      <c r="AJ259" s="590"/>
      <c r="AK259" s="590"/>
      <c r="AL259" s="590"/>
      <c r="AM259" s="590"/>
      <c r="AN259" s="590"/>
      <c r="AO259" s="590"/>
      <c r="AP259" s="590"/>
      <c r="AQ259" s="590"/>
      <c r="AR259" s="590"/>
      <c r="AS259" s="590"/>
      <c r="AT259" s="590"/>
      <c r="AU259" s="590"/>
      <c r="AV259" s="590"/>
      <c r="AW259" s="590"/>
      <c r="AX259" s="590"/>
      <c r="AY259" s="590"/>
      <c r="AZ259" s="590"/>
      <c r="BA259" s="590"/>
      <c r="BB259" s="590"/>
      <c r="BC259" s="590"/>
      <c r="BD259" s="590"/>
      <c r="BE259" s="590"/>
      <c r="BF259" s="590"/>
      <c r="BG259" s="590"/>
      <c r="BH259" s="590"/>
      <c r="BI259" s="590"/>
      <c r="BJ259" s="590"/>
      <c r="BK259" s="591"/>
      <c r="BL259" s="591"/>
      <c r="BM259" s="591"/>
      <c r="BN259" s="591"/>
      <c r="BO259" s="591"/>
      <c r="BP259" s="591"/>
      <c r="BQ259" s="591"/>
      <c r="BR259" s="591"/>
      <c r="BS259" s="591"/>
      <c r="BT259" s="591"/>
      <c r="BU259" s="591"/>
      <c r="BV259" s="591"/>
      <c r="BW259" s="591"/>
      <c r="BX259" s="591"/>
      <c r="BY259" s="591"/>
      <c r="BZ259" s="591"/>
      <c r="CA259" s="591"/>
      <c r="CB259" s="591"/>
      <c r="CC259" s="591"/>
      <c r="CD259" s="591"/>
      <c r="CE259" s="591"/>
      <c r="CF259" s="591"/>
    </row>
    <row r="260" spans="1:84">
      <c r="A260" s="591"/>
      <c r="B260" s="591"/>
      <c r="C260" s="591"/>
      <c r="D260" s="591"/>
      <c r="E260" s="591"/>
      <c r="F260" s="591"/>
      <c r="G260" s="591"/>
      <c r="H260" s="591"/>
      <c r="I260" s="591"/>
      <c r="J260" s="591"/>
      <c r="K260" s="591"/>
      <c r="L260" s="591"/>
      <c r="M260" s="591"/>
      <c r="N260" s="591"/>
      <c r="O260" s="591"/>
      <c r="P260" s="591"/>
      <c r="Q260" s="591"/>
      <c r="R260" s="591"/>
      <c r="S260" s="591"/>
      <c r="T260" s="591"/>
      <c r="U260" s="591"/>
      <c r="V260" s="591"/>
      <c r="W260" s="591"/>
      <c r="X260" s="591"/>
      <c r="Y260" s="591"/>
      <c r="Z260" s="591"/>
      <c r="AA260" s="591"/>
      <c r="AB260" s="591"/>
      <c r="AC260" s="591"/>
      <c r="AD260" s="591"/>
      <c r="AE260" s="591"/>
      <c r="AF260" s="591"/>
      <c r="AG260" s="591"/>
      <c r="AH260" s="591"/>
      <c r="AI260" s="591"/>
      <c r="AJ260" s="591"/>
      <c r="AK260" s="591"/>
      <c r="AL260" s="591"/>
      <c r="AM260" s="591"/>
      <c r="AN260" s="591"/>
      <c r="AO260" s="591"/>
      <c r="AP260" s="591"/>
      <c r="AQ260" s="591"/>
      <c r="AR260" s="591"/>
      <c r="AS260" s="591"/>
      <c r="AT260" s="591"/>
      <c r="AU260" s="591"/>
      <c r="AV260" s="591"/>
      <c r="AW260" s="591"/>
      <c r="AX260" s="591"/>
      <c r="AY260" s="591"/>
      <c r="AZ260" s="591"/>
      <c r="BA260" s="591"/>
      <c r="BB260" s="591"/>
      <c r="BC260" s="591"/>
      <c r="BD260" s="591"/>
      <c r="BE260" s="591"/>
      <c r="BF260" s="591"/>
      <c r="BG260" s="591"/>
      <c r="BH260" s="591"/>
      <c r="BI260" s="591"/>
      <c r="BJ260" s="591"/>
      <c r="BK260" s="591"/>
      <c r="BL260" s="591"/>
      <c r="BM260" s="591"/>
      <c r="BN260" s="591"/>
      <c r="BO260" s="591"/>
      <c r="BP260" s="591"/>
      <c r="BQ260" s="591"/>
      <c r="BR260" s="591"/>
      <c r="BS260" s="591"/>
      <c r="BT260" s="591"/>
      <c r="BU260" s="591"/>
      <c r="BV260" s="591"/>
      <c r="BW260" s="591"/>
      <c r="BX260" s="591"/>
      <c r="BY260" s="591"/>
      <c r="BZ260" s="591"/>
      <c r="CA260" s="591"/>
      <c r="CB260" s="591"/>
      <c r="CC260" s="591"/>
      <c r="CD260" s="591"/>
      <c r="CE260" s="591"/>
      <c r="CF260" s="591"/>
    </row>
    <row r="261" spans="1:84">
      <c r="A261" s="591"/>
      <c r="B261" s="591"/>
      <c r="C261" s="591"/>
      <c r="D261" s="591"/>
      <c r="E261" s="591"/>
      <c r="F261" s="591"/>
      <c r="G261" s="591"/>
      <c r="H261" s="591"/>
      <c r="I261" s="591"/>
      <c r="J261" s="591"/>
      <c r="K261" s="591"/>
      <c r="L261" s="591"/>
      <c r="M261" s="591"/>
      <c r="N261" s="591"/>
      <c r="O261" s="591"/>
      <c r="P261" s="591"/>
      <c r="Q261" s="591"/>
      <c r="R261" s="591"/>
      <c r="S261" s="591"/>
      <c r="T261" s="591"/>
      <c r="U261" s="591"/>
      <c r="V261" s="591"/>
      <c r="W261" s="591"/>
      <c r="X261" s="591"/>
      <c r="Y261" s="591"/>
      <c r="Z261" s="591"/>
      <c r="AA261" s="591"/>
      <c r="AB261" s="591"/>
      <c r="AC261" s="591"/>
      <c r="AD261" s="591"/>
      <c r="AE261" s="591"/>
      <c r="AF261" s="591"/>
      <c r="AG261" s="591"/>
      <c r="AH261" s="591"/>
      <c r="AI261" s="591"/>
      <c r="AJ261" s="591"/>
      <c r="AK261" s="591"/>
      <c r="AL261" s="591"/>
      <c r="AM261" s="591"/>
      <c r="AN261" s="591"/>
      <c r="AO261" s="591"/>
      <c r="AP261" s="591"/>
      <c r="AQ261" s="591"/>
      <c r="AR261" s="591"/>
      <c r="AS261" s="591"/>
      <c r="AT261" s="591"/>
      <c r="AU261" s="591"/>
      <c r="AV261" s="591"/>
      <c r="AW261" s="591"/>
      <c r="AX261" s="591"/>
      <c r="AY261" s="591"/>
      <c r="AZ261" s="591"/>
      <c r="BA261" s="591"/>
      <c r="BB261" s="591"/>
      <c r="BC261" s="591"/>
      <c r="BD261" s="591"/>
      <c r="BE261" s="591"/>
      <c r="BF261" s="591"/>
      <c r="BG261" s="591"/>
      <c r="BH261" s="591"/>
      <c r="BI261" s="591"/>
      <c r="BJ261" s="591"/>
      <c r="BK261" s="591"/>
      <c r="BL261" s="591"/>
      <c r="BM261" s="591"/>
      <c r="BN261" s="591"/>
      <c r="BO261" s="591"/>
      <c r="BP261" s="591"/>
      <c r="BQ261" s="591"/>
      <c r="BR261" s="591"/>
      <c r="BS261" s="591"/>
      <c r="BT261" s="591"/>
      <c r="BU261" s="591"/>
      <c r="BV261" s="591"/>
      <c r="BW261" s="591"/>
      <c r="BX261" s="591"/>
      <c r="BY261" s="591"/>
      <c r="BZ261" s="591"/>
      <c r="CA261" s="591"/>
      <c r="CB261" s="591"/>
      <c r="CC261" s="591"/>
      <c r="CD261" s="591"/>
      <c r="CE261" s="591"/>
      <c r="CF261" s="591"/>
    </row>
    <row r="262" spans="1:84">
      <c r="A262" s="591"/>
      <c r="B262" s="591"/>
      <c r="C262" s="591"/>
      <c r="D262" s="591"/>
      <c r="E262" s="591"/>
      <c r="F262" s="591"/>
      <c r="G262" s="591"/>
      <c r="H262" s="591"/>
      <c r="I262" s="591"/>
      <c r="J262" s="591"/>
      <c r="K262" s="591"/>
      <c r="L262" s="591"/>
      <c r="M262" s="591"/>
      <c r="N262" s="591"/>
      <c r="O262" s="591"/>
      <c r="P262" s="591"/>
      <c r="Q262" s="591"/>
      <c r="R262" s="591"/>
      <c r="S262" s="591"/>
      <c r="T262" s="591"/>
      <c r="U262" s="591"/>
      <c r="V262" s="591"/>
      <c r="W262" s="591"/>
      <c r="X262" s="591"/>
      <c r="Y262" s="591"/>
      <c r="Z262" s="591"/>
      <c r="AA262" s="591"/>
      <c r="AB262" s="591"/>
      <c r="AC262" s="591"/>
      <c r="AD262" s="591"/>
      <c r="AE262" s="591"/>
      <c r="AF262" s="591"/>
      <c r="AG262" s="591"/>
      <c r="AH262" s="591"/>
      <c r="AI262" s="591"/>
      <c r="AJ262" s="591"/>
      <c r="AK262" s="591"/>
      <c r="AL262" s="591"/>
      <c r="AM262" s="591"/>
      <c r="AN262" s="591"/>
      <c r="AO262" s="591"/>
      <c r="AP262" s="591"/>
      <c r="AQ262" s="591"/>
      <c r="AR262" s="591"/>
      <c r="AS262" s="591"/>
      <c r="AT262" s="591"/>
      <c r="AU262" s="591"/>
      <c r="AV262" s="591"/>
      <c r="AW262" s="591"/>
      <c r="AX262" s="591"/>
      <c r="AY262" s="591"/>
      <c r="AZ262" s="591"/>
      <c r="BA262" s="591"/>
      <c r="BB262" s="591"/>
      <c r="BC262" s="591"/>
      <c r="BD262" s="591"/>
      <c r="BE262" s="591"/>
      <c r="BF262" s="591"/>
      <c r="BG262" s="591"/>
      <c r="BH262" s="591"/>
      <c r="BI262" s="591"/>
      <c r="BJ262" s="591"/>
      <c r="BK262" s="591"/>
      <c r="BL262" s="591"/>
      <c r="BM262" s="591"/>
      <c r="BN262" s="591"/>
      <c r="BO262" s="591"/>
      <c r="BP262" s="591"/>
      <c r="BQ262" s="591"/>
      <c r="BR262" s="591"/>
      <c r="BS262" s="591"/>
      <c r="BT262" s="591"/>
      <c r="BU262" s="591"/>
      <c r="BV262" s="591"/>
      <c r="BW262" s="591"/>
      <c r="BX262" s="591"/>
      <c r="BY262" s="591"/>
      <c r="BZ262" s="591"/>
      <c r="CA262" s="591"/>
      <c r="CB262" s="591"/>
      <c r="CC262" s="591"/>
      <c r="CD262" s="591"/>
      <c r="CE262" s="591"/>
      <c r="CF262" s="591"/>
    </row>
    <row r="263" spans="1:84">
      <c r="A263" s="591"/>
      <c r="B263" s="591"/>
      <c r="C263" s="591"/>
      <c r="D263" s="591"/>
      <c r="E263" s="591"/>
      <c r="F263" s="591"/>
      <c r="G263" s="591"/>
      <c r="H263" s="591"/>
      <c r="I263" s="591"/>
      <c r="J263" s="591"/>
      <c r="K263" s="591"/>
      <c r="L263" s="591"/>
      <c r="M263" s="591"/>
      <c r="N263" s="591"/>
      <c r="O263" s="591"/>
      <c r="P263" s="591"/>
      <c r="Q263" s="591"/>
      <c r="R263" s="591"/>
      <c r="S263" s="591"/>
      <c r="T263" s="591"/>
      <c r="U263" s="591"/>
      <c r="V263" s="591"/>
      <c r="W263" s="591"/>
      <c r="X263" s="591"/>
      <c r="Y263" s="591"/>
      <c r="Z263" s="591"/>
      <c r="AA263" s="591"/>
      <c r="AB263" s="591"/>
      <c r="AC263" s="591"/>
      <c r="AD263" s="591"/>
      <c r="AE263" s="591"/>
      <c r="AF263" s="591"/>
      <c r="AG263" s="591"/>
      <c r="AH263" s="591"/>
      <c r="AI263" s="591"/>
      <c r="AJ263" s="591"/>
      <c r="AK263" s="591"/>
      <c r="AL263" s="591"/>
      <c r="AM263" s="591"/>
      <c r="AN263" s="591"/>
      <c r="AO263" s="591"/>
      <c r="AP263" s="591"/>
      <c r="AQ263" s="591"/>
      <c r="AR263" s="591"/>
      <c r="AS263" s="591"/>
      <c r="AT263" s="591"/>
      <c r="AU263" s="591"/>
      <c r="AV263" s="591"/>
      <c r="AW263" s="591"/>
      <c r="AX263" s="591"/>
      <c r="AY263" s="591"/>
      <c r="AZ263" s="591"/>
      <c r="BA263" s="591"/>
      <c r="BB263" s="591"/>
      <c r="BC263" s="591"/>
      <c r="BD263" s="591"/>
      <c r="BE263" s="591"/>
      <c r="BF263" s="591"/>
      <c r="BG263" s="591"/>
      <c r="BH263" s="591"/>
      <c r="BI263" s="591"/>
      <c r="BJ263" s="591"/>
      <c r="BK263" s="591"/>
      <c r="BL263" s="591"/>
      <c r="BM263" s="591"/>
      <c r="BN263" s="591"/>
      <c r="BO263" s="591"/>
      <c r="BP263" s="591"/>
      <c r="BQ263" s="591"/>
      <c r="BR263" s="591"/>
      <c r="BS263" s="591"/>
      <c r="BT263" s="591"/>
      <c r="BU263" s="591"/>
      <c r="BV263" s="591"/>
      <c r="BW263" s="591"/>
      <c r="BX263" s="591"/>
      <c r="BY263" s="591"/>
      <c r="BZ263" s="591"/>
      <c r="CA263" s="591"/>
      <c r="CB263" s="591"/>
      <c r="CC263" s="591"/>
      <c r="CD263" s="591"/>
      <c r="CE263" s="591"/>
      <c r="CF263" s="591"/>
    </row>
    <row r="264" spans="1:84">
      <c r="A264" s="591"/>
      <c r="B264" s="591"/>
      <c r="C264" s="591"/>
      <c r="D264" s="591"/>
      <c r="E264" s="591"/>
      <c r="F264" s="591"/>
      <c r="G264" s="591"/>
      <c r="H264" s="591"/>
      <c r="I264" s="591"/>
      <c r="J264" s="591"/>
      <c r="K264" s="591"/>
      <c r="L264" s="591"/>
      <c r="M264" s="591"/>
      <c r="N264" s="591"/>
      <c r="O264" s="591"/>
      <c r="P264" s="591"/>
      <c r="Q264" s="591"/>
      <c r="R264" s="591"/>
      <c r="S264" s="591"/>
      <c r="T264" s="591"/>
      <c r="U264" s="591"/>
      <c r="V264" s="591"/>
      <c r="W264" s="591"/>
      <c r="X264" s="591"/>
      <c r="Y264" s="591"/>
      <c r="Z264" s="591"/>
      <c r="AA264" s="591"/>
      <c r="AB264" s="591"/>
      <c r="AC264" s="591"/>
      <c r="AD264" s="591"/>
      <c r="AE264" s="591"/>
      <c r="AF264" s="591"/>
      <c r="AG264" s="591"/>
      <c r="AH264" s="591"/>
      <c r="AI264" s="591"/>
      <c r="AJ264" s="591"/>
      <c r="AK264" s="591"/>
      <c r="AL264" s="591"/>
      <c r="AM264" s="591"/>
      <c r="AN264" s="591"/>
      <c r="AO264" s="591"/>
      <c r="AP264" s="591"/>
      <c r="AQ264" s="591"/>
      <c r="AR264" s="591"/>
      <c r="AS264" s="591"/>
      <c r="AT264" s="591"/>
      <c r="AU264" s="591"/>
      <c r="AV264" s="591"/>
      <c r="AW264" s="591"/>
      <c r="AX264" s="591"/>
      <c r="AY264" s="591"/>
      <c r="AZ264" s="591"/>
      <c r="BA264" s="591"/>
      <c r="BB264" s="591"/>
      <c r="BC264" s="591"/>
      <c r="BD264" s="591"/>
      <c r="BE264" s="591"/>
      <c r="BF264" s="591"/>
      <c r="BG264" s="591"/>
      <c r="BH264" s="591"/>
      <c r="BI264" s="591"/>
      <c r="BJ264" s="591"/>
      <c r="BK264" s="591"/>
      <c r="BL264" s="591"/>
      <c r="BM264" s="591"/>
      <c r="BN264" s="591"/>
      <c r="BO264" s="591"/>
      <c r="BP264" s="591"/>
      <c r="BQ264" s="591"/>
      <c r="BR264" s="591"/>
      <c r="BS264" s="591"/>
      <c r="BT264" s="591"/>
      <c r="BU264" s="591"/>
      <c r="BV264" s="591"/>
      <c r="BW264" s="591"/>
      <c r="BX264" s="591"/>
      <c r="BY264" s="591"/>
      <c r="BZ264" s="591"/>
      <c r="CA264" s="591"/>
      <c r="CB264" s="591"/>
      <c r="CC264" s="591"/>
      <c r="CD264" s="591"/>
      <c r="CE264" s="591"/>
      <c r="CF264" s="591"/>
    </row>
    <row r="265" spans="1:84">
      <c r="A265" s="591"/>
      <c r="B265" s="591"/>
      <c r="C265" s="591"/>
      <c r="D265" s="591"/>
      <c r="E265" s="591"/>
      <c r="F265" s="591"/>
      <c r="G265" s="591"/>
      <c r="H265" s="591"/>
      <c r="I265" s="591"/>
      <c r="J265" s="591"/>
      <c r="K265" s="591"/>
      <c r="L265" s="591"/>
      <c r="M265" s="591"/>
      <c r="N265" s="591"/>
      <c r="O265" s="591"/>
      <c r="P265" s="591"/>
      <c r="Q265" s="591"/>
      <c r="R265" s="591"/>
      <c r="S265" s="591"/>
      <c r="T265" s="591"/>
      <c r="U265" s="591"/>
      <c r="V265" s="591"/>
      <c r="W265" s="591"/>
      <c r="X265" s="591"/>
      <c r="Y265" s="591"/>
      <c r="Z265" s="591"/>
      <c r="AA265" s="591"/>
      <c r="AB265" s="591"/>
      <c r="AC265" s="591"/>
      <c r="AD265" s="591"/>
      <c r="AE265" s="591"/>
      <c r="AF265" s="591"/>
      <c r="AG265" s="591"/>
      <c r="AH265" s="591"/>
      <c r="AI265" s="591"/>
      <c r="AJ265" s="591"/>
      <c r="AK265" s="591"/>
      <c r="AL265" s="591"/>
      <c r="AM265" s="591"/>
      <c r="AN265" s="591"/>
      <c r="AO265" s="591"/>
      <c r="AP265" s="591"/>
      <c r="AQ265" s="591"/>
      <c r="AR265" s="591"/>
      <c r="AS265" s="591"/>
      <c r="AT265" s="591"/>
      <c r="AU265" s="591"/>
      <c r="AV265" s="591"/>
      <c r="AW265" s="591"/>
      <c r="AX265" s="591"/>
      <c r="AY265" s="591"/>
      <c r="AZ265" s="591"/>
      <c r="BA265" s="591"/>
      <c r="BB265" s="591"/>
      <c r="BC265" s="591"/>
      <c r="BD265" s="591"/>
      <c r="BE265" s="591"/>
      <c r="BF265" s="591"/>
      <c r="BG265" s="591"/>
      <c r="BH265" s="591"/>
      <c r="BI265" s="591"/>
      <c r="BJ265" s="591"/>
      <c r="BK265" s="591"/>
      <c r="BL265" s="591"/>
      <c r="BM265" s="591"/>
      <c r="BN265" s="591"/>
      <c r="BO265" s="591"/>
      <c r="BP265" s="591"/>
      <c r="BQ265" s="591"/>
      <c r="BR265" s="591"/>
      <c r="BS265" s="591"/>
      <c r="BT265" s="591"/>
      <c r="BU265" s="591"/>
      <c r="BV265" s="591"/>
      <c r="BW265" s="591"/>
      <c r="BX265" s="591"/>
      <c r="BY265" s="591"/>
      <c r="BZ265" s="591"/>
      <c r="CA265" s="591"/>
      <c r="CB265" s="591"/>
      <c r="CC265" s="591"/>
      <c r="CD265" s="591"/>
      <c r="CE265" s="591"/>
      <c r="CF265" s="591"/>
    </row>
    <row r="266" spans="1:84">
      <c r="A266" s="591"/>
      <c r="B266" s="591"/>
      <c r="C266" s="591"/>
      <c r="D266" s="591"/>
      <c r="E266" s="591"/>
      <c r="F266" s="591"/>
      <c r="G266" s="591"/>
      <c r="H266" s="591"/>
      <c r="I266" s="591"/>
      <c r="J266" s="591"/>
      <c r="K266" s="591"/>
      <c r="L266" s="591"/>
      <c r="M266" s="591"/>
      <c r="N266" s="591"/>
      <c r="O266" s="591"/>
      <c r="P266" s="591"/>
      <c r="Q266" s="591"/>
      <c r="R266" s="591"/>
      <c r="S266" s="591"/>
      <c r="T266" s="591"/>
      <c r="U266" s="591"/>
      <c r="V266" s="591"/>
      <c r="W266" s="591"/>
      <c r="X266" s="591"/>
      <c r="Y266" s="591"/>
      <c r="Z266" s="591"/>
      <c r="AA266" s="591"/>
      <c r="AB266" s="591"/>
      <c r="AC266" s="591"/>
      <c r="AD266" s="591"/>
      <c r="AE266" s="591"/>
      <c r="AF266" s="591"/>
      <c r="AG266" s="591"/>
      <c r="AH266" s="591"/>
      <c r="AI266" s="591"/>
      <c r="AJ266" s="591"/>
      <c r="AK266" s="591"/>
      <c r="AL266" s="591"/>
      <c r="AM266" s="591"/>
      <c r="AN266" s="591"/>
      <c r="AO266" s="591"/>
      <c r="AP266" s="591"/>
      <c r="AQ266" s="591"/>
      <c r="AR266" s="591"/>
      <c r="AS266" s="591"/>
      <c r="AT266" s="591"/>
      <c r="AU266" s="591"/>
      <c r="AV266" s="591"/>
      <c r="AW266" s="591"/>
      <c r="AX266" s="591"/>
      <c r="AY266" s="591"/>
      <c r="AZ266" s="591"/>
      <c r="BA266" s="591"/>
      <c r="BB266" s="591"/>
      <c r="BC266" s="591"/>
      <c r="BD266" s="591"/>
      <c r="BE266" s="591"/>
      <c r="BF266" s="591"/>
      <c r="BG266" s="591"/>
      <c r="BH266" s="591"/>
      <c r="BI266" s="591"/>
      <c r="BJ266" s="591"/>
      <c r="BK266" s="591"/>
      <c r="BL266" s="591"/>
      <c r="BM266" s="591"/>
      <c r="BN266" s="591"/>
      <c r="BO266" s="591"/>
      <c r="BP266" s="591"/>
      <c r="BQ266" s="591"/>
      <c r="BR266" s="591"/>
      <c r="BS266" s="591"/>
      <c r="BT266" s="591"/>
      <c r="BU266" s="591"/>
      <c r="BV266" s="591"/>
      <c r="BW266" s="591"/>
      <c r="BX266" s="591"/>
      <c r="BY266" s="591"/>
      <c r="BZ266" s="591"/>
      <c r="CA266" s="591"/>
      <c r="CB266" s="591"/>
      <c r="CC266" s="591"/>
      <c r="CD266" s="591"/>
      <c r="CE266" s="591"/>
      <c r="CF266" s="591"/>
    </row>
    <row r="267" spans="1:84">
      <c r="A267" s="591"/>
      <c r="B267" s="591"/>
      <c r="C267" s="591"/>
      <c r="D267" s="591"/>
      <c r="E267" s="591"/>
      <c r="F267" s="591"/>
      <c r="G267" s="591"/>
      <c r="H267" s="591"/>
      <c r="I267" s="591"/>
      <c r="J267" s="591"/>
      <c r="K267" s="591"/>
      <c r="L267" s="591"/>
      <c r="M267" s="591"/>
      <c r="N267" s="591"/>
      <c r="O267" s="591"/>
      <c r="P267" s="591"/>
      <c r="Q267" s="591"/>
      <c r="R267" s="591"/>
      <c r="S267" s="591"/>
      <c r="T267" s="591"/>
      <c r="U267" s="591"/>
      <c r="V267" s="591"/>
      <c r="W267" s="591"/>
      <c r="X267" s="591"/>
      <c r="Y267" s="591"/>
      <c r="Z267" s="591"/>
      <c r="AA267" s="591"/>
      <c r="AB267" s="591"/>
      <c r="AC267" s="591"/>
      <c r="AD267" s="591"/>
      <c r="AE267" s="591"/>
      <c r="AF267" s="591"/>
      <c r="AG267" s="591"/>
      <c r="AH267" s="591"/>
      <c r="AI267" s="591"/>
      <c r="AJ267" s="591"/>
      <c r="AK267" s="591"/>
      <c r="AL267" s="591"/>
      <c r="AM267" s="591"/>
      <c r="AN267" s="591"/>
      <c r="AO267" s="591"/>
      <c r="AP267" s="591"/>
      <c r="AQ267" s="591"/>
      <c r="AR267" s="591"/>
      <c r="AS267" s="591"/>
      <c r="AT267" s="591"/>
      <c r="AU267" s="591"/>
      <c r="AV267" s="591"/>
      <c r="AW267" s="591"/>
      <c r="AX267" s="591"/>
      <c r="AY267" s="591"/>
      <c r="AZ267" s="591"/>
      <c r="BA267" s="591"/>
      <c r="BB267" s="591"/>
      <c r="BC267" s="591"/>
      <c r="BD267" s="591"/>
      <c r="BE267" s="591"/>
      <c r="BF267" s="591"/>
      <c r="BG267" s="591"/>
      <c r="BH267" s="591"/>
      <c r="BI267" s="591"/>
      <c r="BJ267" s="591"/>
      <c r="BK267" s="591"/>
      <c r="BL267" s="591"/>
      <c r="BM267" s="591"/>
      <c r="BN267" s="591"/>
      <c r="BO267" s="591"/>
      <c r="BP267" s="591"/>
      <c r="BQ267" s="591"/>
      <c r="BR267" s="591"/>
      <c r="BS267" s="591"/>
      <c r="BT267" s="591"/>
      <c r="BU267" s="591"/>
      <c r="BV267" s="591"/>
      <c r="BW267" s="591"/>
      <c r="BX267" s="591"/>
      <c r="BY267" s="591"/>
      <c r="BZ267" s="591"/>
      <c r="CA267" s="591"/>
      <c r="CB267" s="591"/>
      <c r="CC267" s="591"/>
      <c r="CD267" s="591"/>
      <c r="CE267" s="591"/>
      <c r="CF267" s="591"/>
    </row>
    <row r="268" spans="1:84">
      <c r="A268" s="591"/>
      <c r="B268" s="591"/>
      <c r="C268" s="591"/>
      <c r="D268" s="591"/>
      <c r="E268" s="591"/>
      <c r="F268" s="591"/>
      <c r="G268" s="591"/>
      <c r="H268" s="591"/>
      <c r="I268" s="591"/>
      <c r="J268" s="591"/>
      <c r="K268" s="591"/>
      <c r="L268" s="591"/>
      <c r="M268" s="591"/>
      <c r="N268" s="591"/>
      <c r="O268" s="591"/>
      <c r="P268" s="591"/>
      <c r="Q268" s="591"/>
      <c r="R268" s="591"/>
      <c r="S268" s="591"/>
      <c r="T268" s="591"/>
      <c r="U268" s="591"/>
      <c r="V268" s="591"/>
      <c r="W268" s="591"/>
      <c r="X268" s="591"/>
      <c r="Y268" s="591"/>
      <c r="Z268" s="591"/>
      <c r="AA268" s="591"/>
      <c r="AB268" s="591"/>
      <c r="AC268" s="591"/>
      <c r="AD268" s="591"/>
      <c r="AE268" s="591"/>
      <c r="AF268" s="591"/>
      <c r="AG268" s="591"/>
      <c r="AH268" s="591"/>
      <c r="AI268" s="591"/>
      <c r="AJ268" s="591"/>
      <c r="AK268" s="591"/>
      <c r="AL268" s="591"/>
      <c r="AM268" s="591"/>
      <c r="AN268" s="591"/>
      <c r="AO268" s="591"/>
      <c r="AP268" s="591"/>
      <c r="AQ268" s="591"/>
      <c r="AR268" s="591"/>
      <c r="AS268" s="591"/>
      <c r="AT268" s="591"/>
      <c r="AU268" s="591"/>
      <c r="AV268" s="591"/>
      <c r="AW268" s="591"/>
      <c r="AX268" s="591"/>
      <c r="AY268" s="591"/>
      <c r="AZ268" s="591"/>
      <c r="BA268" s="591"/>
      <c r="BB268" s="591"/>
      <c r="BC268" s="591"/>
      <c r="BD268" s="591"/>
      <c r="BE268" s="591"/>
      <c r="BF268" s="591"/>
      <c r="BG268" s="591"/>
      <c r="BH268" s="591"/>
      <c r="BI268" s="591"/>
      <c r="BJ268" s="591"/>
      <c r="BK268" s="591"/>
      <c r="BL268" s="591"/>
      <c r="BM268" s="591"/>
      <c r="BN268" s="591"/>
      <c r="BO268" s="591"/>
      <c r="BP268" s="591"/>
      <c r="BQ268" s="591"/>
      <c r="BR268" s="591"/>
      <c r="BS268" s="591"/>
      <c r="BT268" s="591"/>
      <c r="BU268" s="591"/>
      <c r="BV268" s="591"/>
      <c r="BW268" s="591"/>
      <c r="BX268" s="591"/>
      <c r="BY268" s="591"/>
      <c r="BZ268" s="591"/>
      <c r="CA268" s="591"/>
      <c r="CB268" s="591"/>
      <c r="CC268" s="591"/>
      <c r="CD268" s="591"/>
      <c r="CE268" s="591"/>
      <c r="CF268" s="591"/>
    </row>
    <row r="269" spans="1:84">
      <c r="A269" s="591"/>
      <c r="B269" s="591"/>
      <c r="C269" s="591"/>
      <c r="D269" s="591"/>
      <c r="E269" s="591"/>
      <c r="F269" s="591"/>
      <c r="G269" s="591"/>
      <c r="H269" s="591"/>
      <c r="I269" s="591"/>
      <c r="J269" s="591"/>
      <c r="K269" s="591"/>
      <c r="L269" s="591"/>
      <c r="M269" s="591"/>
      <c r="N269" s="591"/>
      <c r="O269" s="591"/>
      <c r="P269" s="591"/>
      <c r="Q269" s="591"/>
      <c r="R269" s="591"/>
      <c r="S269" s="591"/>
      <c r="T269" s="591"/>
      <c r="U269" s="591"/>
      <c r="V269" s="591"/>
      <c r="W269" s="591"/>
      <c r="X269" s="591"/>
      <c r="Y269" s="591"/>
      <c r="Z269" s="591"/>
      <c r="AA269" s="591"/>
      <c r="AB269" s="591"/>
      <c r="AC269" s="591"/>
      <c r="AD269" s="591"/>
      <c r="AE269" s="591"/>
      <c r="AF269" s="591"/>
      <c r="AG269" s="591"/>
      <c r="AH269" s="591"/>
      <c r="AI269" s="591"/>
      <c r="AJ269" s="591"/>
      <c r="AK269" s="591"/>
      <c r="AL269" s="591"/>
      <c r="AM269" s="591"/>
      <c r="AN269" s="591"/>
      <c r="AO269" s="591"/>
      <c r="AP269" s="591"/>
      <c r="AQ269" s="591"/>
      <c r="AR269" s="591"/>
      <c r="AS269" s="591"/>
      <c r="AT269" s="591"/>
      <c r="AU269" s="591"/>
      <c r="AV269" s="591"/>
      <c r="AW269" s="591"/>
      <c r="AX269" s="591"/>
      <c r="AY269" s="591"/>
      <c r="AZ269" s="591"/>
      <c r="BA269" s="591"/>
      <c r="BB269" s="591"/>
      <c r="BC269" s="591"/>
      <c r="BD269" s="591"/>
      <c r="BE269" s="591"/>
      <c r="BF269" s="591"/>
      <c r="BG269" s="591"/>
      <c r="BH269" s="591"/>
      <c r="BI269" s="591"/>
      <c r="BJ269" s="591"/>
      <c r="BK269" s="591"/>
      <c r="BL269" s="591"/>
      <c r="BM269" s="591"/>
      <c r="BN269" s="591"/>
      <c r="BO269" s="591"/>
      <c r="BP269" s="591"/>
      <c r="BQ269" s="591"/>
      <c r="BR269" s="591"/>
      <c r="BS269" s="591"/>
      <c r="BT269" s="591"/>
      <c r="BU269" s="591"/>
      <c r="BV269" s="591"/>
      <c r="BW269" s="591"/>
      <c r="BX269" s="591"/>
      <c r="BY269" s="591"/>
      <c r="BZ269" s="591"/>
      <c r="CA269" s="591"/>
      <c r="CB269" s="591"/>
      <c r="CC269" s="591"/>
      <c r="CD269" s="591"/>
      <c r="CE269" s="591"/>
      <c r="CF269" s="591"/>
    </row>
    <row r="270" spans="1:84">
      <c r="A270" s="591"/>
      <c r="B270" s="591"/>
      <c r="C270" s="591"/>
      <c r="D270" s="591"/>
      <c r="E270" s="591"/>
      <c r="F270" s="591"/>
      <c r="G270" s="591"/>
      <c r="H270" s="591"/>
      <c r="I270" s="591"/>
      <c r="J270" s="591"/>
      <c r="K270" s="591"/>
      <c r="L270" s="591"/>
      <c r="M270" s="591"/>
      <c r="N270" s="591"/>
      <c r="O270" s="591"/>
      <c r="P270" s="591"/>
      <c r="Q270" s="591"/>
      <c r="R270" s="591"/>
      <c r="S270" s="591"/>
      <c r="T270" s="591"/>
      <c r="U270" s="591"/>
      <c r="V270" s="591"/>
      <c r="W270" s="591"/>
      <c r="X270" s="591"/>
      <c r="Y270" s="591"/>
      <c r="Z270" s="591"/>
      <c r="AA270" s="591"/>
      <c r="AB270" s="591"/>
      <c r="AC270" s="591"/>
      <c r="AD270" s="591"/>
      <c r="AE270" s="591"/>
      <c r="AF270" s="591"/>
      <c r="AG270" s="591"/>
      <c r="AH270" s="591"/>
      <c r="AI270" s="591"/>
      <c r="AJ270" s="591"/>
      <c r="AK270" s="591"/>
      <c r="AL270" s="591"/>
      <c r="AM270" s="591"/>
      <c r="AN270" s="591"/>
      <c r="AO270" s="591"/>
      <c r="AP270" s="591"/>
      <c r="AQ270" s="591"/>
      <c r="AR270" s="591"/>
      <c r="AS270" s="591"/>
      <c r="AT270" s="591"/>
      <c r="AU270" s="591"/>
      <c r="AV270" s="591"/>
      <c r="AW270" s="591"/>
      <c r="AX270" s="591"/>
      <c r="AY270" s="591"/>
      <c r="AZ270" s="591"/>
      <c r="BA270" s="591"/>
      <c r="BB270" s="591"/>
      <c r="BC270" s="591"/>
      <c r="BD270" s="591"/>
      <c r="BE270" s="591"/>
      <c r="BF270" s="591"/>
      <c r="BG270" s="591"/>
      <c r="BH270" s="591"/>
      <c r="BI270" s="591"/>
      <c r="BJ270" s="591"/>
      <c r="BK270" s="591"/>
      <c r="BL270" s="591"/>
      <c r="BM270" s="591"/>
      <c r="BN270" s="591"/>
      <c r="BO270" s="591"/>
      <c r="BP270" s="591"/>
      <c r="BQ270" s="591"/>
      <c r="BR270" s="591"/>
      <c r="BS270" s="591"/>
      <c r="BT270" s="591"/>
      <c r="BU270" s="591"/>
      <c r="BV270" s="591"/>
      <c r="BW270" s="591"/>
      <c r="BX270" s="591"/>
      <c r="BY270" s="591"/>
      <c r="BZ270" s="591"/>
      <c r="CA270" s="591"/>
      <c r="CB270" s="591"/>
      <c r="CC270" s="591"/>
      <c r="CD270" s="591"/>
      <c r="CE270" s="591"/>
      <c r="CF270" s="591"/>
    </row>
    <row r="271" spans="1:84">
      <c r="A271" s="591"/>
      <c r="B271" s="591"/>
      <c r="C271" s="591"/>
      <c r="D271" s="591"/>
      <c r="E271" s="591"/>
      <c r="F271" s="591"/>
      <c r="G271" s="591"/>
      <c r="H271" s="591"/>
      <c r="I271" s="591"/>
      <c r="J271" s="591"/>
      <c r="K271" s="591"/>
      <c r="L271" s="591"/>
      <c r="M271" s="591"/>
      <c r="N271" s="591"/>
      <c r="O271" s="591"/>
      <c r="P271" s="591"/>
      <c r="Q271" s="591"/>
      <c r="R271" s="591"/>
      <c r="S271" s="591"/>
      <c r="T271" s="591"/>
      <c r="U271" s="591"/>
      <c r="V271" s="591"/>
      <c r="W271" s="591"/>
      <c r="X271" s="591"/>
      <c r="Y271" s="591"/>
      <c r="Z271" s="591"/>
      <c r="AA271" s="591"/>
      <c r="AB271" s="591"/>
      <c r="AC271" s="591"/>
      <c r="AD271" s="591"/>
      <c r="AE271" s="591"/>
      <c r="AF271" s="591"/>
      <c r="AG271" s="591"/>
      <c r="AH271" s="591"/>
      <c r="AI271" s="591"/>
      <c r="AJ271" s="591"/>
      <c r="AK271" s="591"/>
      <c r="AL271" s="591"/>
      <c r="AM271" s="591"/>
      <c r="AN271" s="591"/>
      <c r="AO271" s="591"/>
      <c r="AP271" s="591"/>
      <c r="AQ271" s="591"/>
      <c r="AR271" s="591"/>
      <c r="AS271" s="591"/>
      <c r="AT271" s="591"/>
      <c r="AU271" s="591"/>
      <c r="AV271" s="591"/>
      <c r="AW271" s="591"/>
      <c r="AX271" s="591"/>
      <c r="AY271" s="591"/>
      <c r="AZ271" s="591"/>
      <c r="BA271" s="591"/>
      <c r="BB271" s="591"/>
      <c r="BC271" s="591"/>
      <c r="BD271" s="591"/>
      <c r="BE271" s="591"/>
      <c r="BF271" s="591"/>
      <c r="BG271" s="591"/>
      <c r="BH271" s="591"/>
      <c r="BI271" s="591"/>
      <c r="BJ271" s="591"/>
      <c r="BK271" s="591"/>
      <c r="BL271" s="591"/>
      <c r="BM271" s="591"/>
      <c r="BN271" s="591"/>
      <c r="BO271" s="591"/>
      <c r="BP271" s="591"/>
      <c r="BQ271" s="591"/>
      <c r="BR271" s="591"/>
      <c r="BS271" s="591"/>
      <c r="BT271" s="591"/>
      <c r="BU271" s="591"/>
      <c r="BV271" s="591"/>
      <c r="BW271" s="591"/>
      <c r="BX271" s="591"/>
      <c r="BY271" s="591"/>
      <c r="BZ271" s="591"/>
      <c r="CA271" s="591"/>
      <c r="CB271" s="591"/>
      <c r="CC271" s="591"/>
      <c r="CD271" s="591"/>
      <c r="CE271" s="591"/>
      <c r="CF271" s="591"/>
    </row>
    <row r="272" spans="1:84">
      <c r="A272" s="591"/>
      <c r="B272" s="591"/>
      <c r="C272" s="591"/>
      <c r="D272" s="591"/>
      <c r="E272" s="591"/>
      <c r="F272" s="591"/>
      <c r="G272" s="591"/>
      <c r="H272" s="591"/>
      <c r="I272" s="591"/>
      <c r="J272" s="591"/>
      <c r="K272" s="591"/>
      <c r="L272" s="591"/>
      <c r="M272" s="591"/>
      <c r="N272" s="591"/>
      <c r="O272" s="591"/>
      <c r="P272" s="591"/>
      <c r="Q272" s="591"/>
      <c r="R272" s="591"/>
      <c r="S272" s="591"/>
      <c r="T272" s="591"/>
      <c r="U272" s="591"/>
      <c r="V272" s="591"/>
      <c r="W272" s="591"/>
      <c r="X272" s="591"/>
      <c r="Y272" s="591"/>
      <c r="Z272" s="591"/>
      <c r="AA272" s="591"/>
      <c r="AB272" s="591"/>
      <c r="AC272" s="591"/>
      <c r="AD272" s="591"/>
      <c r="AE272" s="591"/>
      <c r="AF272" s="591"/>
      <c r="AG272" s="591"/>
      <c r="AH272" s="591"/>
      <c r="AI272" s="591"/>
      <c r="AJ272" s="591"/>
      <c r="AK272" s="591"/>
      <c r="AL272" s="591"/>
      <c r="AM272" s="591"/>
      <c r="AN272" s="591"/>
      <c r="AO272" s="591"/>
      <c r="AP272" s="591"/>
      <c r="AQ272" s="591"/>
      <c r="AR272" s="591"/>
      <c r="AS272" s="591"/>
      <c r="AT272" s="591"/>
      <c r="AU272" s="591"/>
      <c r="AV272" s="591"/>
      <c r="AW272" s="591"/>
      <c r="AX272" s="591"/>
      <c r="AY272" s="591"/>
      <c r="AZ272" s="591"/>
      <c r="BA272" s="591"/>
      <c r="BB272" s="591"/>
      <c r="BC272" s="591"/>
      <c r="BD272" s="591"/>
      <c r="BE272" s="591"/>
      <c r="BF272" s="591"/>
      <c r="BG272" s="591"/>
      <c r="BH272" s="591"/>
      <c r="BI272" s="591"/>
      <c r="BJ272" s="591"/>
      <c r="BK272" s="591"/>
      <c r="BL272" s="591"/>
      <c r="BM272" s="591"/>
      <c r="BN272" s="591"/>
      <c r="BO272" s="591"/>
      <c r="BP272" s="591"/>
      <c r="BQ272" s="591"/>
      <c r="BR272" s="591"/>
      <c r="BS272" s="591"/>
      <c r="BT272" s="591"/>
      <c r="BU272" s="591"/>
      <c r="BV272" s="591"/>
      <c r="BW272" s="591"/>
      <c r="BX272" s="591"/>
      <c r="BY272" s="591"/>
      <c r="BZ272" s="591"/>
      <c r="CA272" s="591"/>
      <c r="CB272" s="591"/>
      <c r="CC272" s="591"/>
      <c r="CD272" s="591"/>
      <c r="CE272" s="591"/>
      <c r="CF272" s="591"/>
    </row>
    <row r="273" spans="1:84">
      <c r="A273" s="591"/>
      <c r="B273" s="591"/>
      <c r="C273" s="591"/>
      <c r="D273" s="591"/>
      <c r="E273" s="591"/>
      <c r="F273" s="591"/>
      <c r="G273" s="591"/>
      <c r="H273" s="591"/>
      <c r="I273" s="591"/>
      <c r="J273" s="591"/>
      <c r="K273" s="591"/>
      <c r="L273" s="591"/>
      <c r="M273" s="591"/>
      <c r="N273" s="591"/>
      <c r="O273" s="591"/>
      <c r="P273" s="591"/>
      <c r="Q273" s="591"/>
      <c r="R273" s="591"/>
      <c r="S273" s="591"/>
      <c r="T273" s="591"/>
      <c r="U273" s="591"/>
      <c r="V273" s="591"/>
      <c r="W273" s="591"/>
      <c r="X273" s="591"/>
      <c r="Y273" s="591"/>
      <c r="Z273" s="591"/>
      <c r="AA273" s="591"/>
      <c r="AB273" s="591"/>
      <c r="AC273" s="591"/>
      <c r="AD273" s="591"/>
      <c r="AE273" s="591"/>
      <c r="AF273" s="591"/>
      <c r="AG273" s="591"/>
      <c r="AH273" s="591"/>
      <c r="AI273" s="591"/>
      <c r="AJ273" s="591"/>
      <c r="AK273" s="591"/>
      <c r="AL273" s="591"/>
      <c r="AM273" s="591"/>
      <c r="AN273" s="591"/>
      <c r="AO273" s="591"/>
      <c r="AP273" s="591"/>
      <c r="AQ273" s="591"/>
      <c r="AR273" s="591"/>
      <c r="AS273" s="591"/>
      <c r="AT273" s="591"/>
      <c r="AU273" s="591"/>
      <c r="AV273" s="591"/>
      <c r="AW273" s="591"/>
      <c r="AX273" s="591"/>
      <c r="AY273" s="591"/>
      <c r="AZ273" s="591"/>
      <c r="BA273" s="591"/>
      <c r="BB273" s="591"/>
      <c r="BC273" s="591"/>
      <c r="BD273" s="591"/>
      <c r="BE273" s="591"/>
      <c r="BF273" s="591"/>
      <c r="BG273" s="591"/>
      <c r="BH273" s="591"/>
      <c r="BI273" s="591"/>
      <c r="BJ273" s="591"/>
      <c r="BK273" s="591"/>
      <c r="BL273" s="591"/>
      <c r="BM273" s="591"/>
      <c r="BN273" s="591"/>
      <c r="BO273" s="591"/>
      <c r="BP273" s="591"/>
      <c r="BQ273" s="591"/>
      <c r="BR273" s="591"/>
      <c r="BS273" s="591"/>
      <c r="BT273" s="591"/>
      <c r="BU273" s="591"/>
      <c r="BV273" s="591"/>
      <c r="BW273" s="591"/>
      <c r="BX273" s="591"/>
      <c r="BY273" s="591"/>
      <c r="BZ273" s="591"/>
      <c r="CA273" s="591"/>
      <c r="CB273" s="591"/>
      <c r="CC273" s="591"/>
      <c r="CD273" s="591"/>
      <c r="CE273" s="591"/>
      <c r="CF273" s="591"/>
    </row>
    <row r="274" spans="1:84">
      <c r="A274" s="591"/>
      <c r="B274" s="591"/>
      <c r="C274" s="591"/>
      <c r="D274" s="591"/>
      <c r="E274" s="591"/>
      <c r="F274" s="591"/>
      <c r="G274" s="591"/>
      <c r="H274" s="591"/>
      <c r="I274" s="591"/>
      <c r="J274" s="591"/>
      <c r="K274" s="591"/>
      <c r="L274" s="591"/>
      <c r="M274" s="591"/>
      <c r="N274" s="591"/>
      <c r="O274" s="591"/>
      <c r="P274" s="591"/>
      <c r="Q274" s="591"/>
      <c r="R274" s="591"/>
      <c r="S274" s="591"/>
      <c r="T274" s="591"/>
      <c r="U274" s="591"/>
      <c r="V274" s="591"/>
      <c r="W274" s="591"/>
      <c r="X274" s="591"/>
      <c r="Y274" s="591"/>
      <c r="Z274" s="591"/>
      <c r="AA274" s="591"/>
      <c r="AB274" s="591"/>
      <c r="AC274" s="591"/>
      <c r="AD274" s="591"/>
      <c r="AE274" s="591"/>
      <c r="AF274" s="591"/>
      <c r="AG274" s="591"/>
      <c r="AH274" s="591"/>
      <c r="AI274" s="591"/>
      <c r="AJ274" s="591"/>
      <c r="AK274" s="591"/>
      <c r="AL274" s="591"/>
      <c r="AM274" s="591"/>
      <c r="AN274" s="591"/>
      <c r="AO274" s="591"/>
      <c r="AP274" s="591"/>
      <c r="AQ274" s="591"/>
      <c r="AR274" s="591"/>
      <c r="AS274" s="591"/>
      <c r="AT274" s="591"/>
      <c r="AU274" s="591"/>
      <c r="AV274" s="591"/>
      <c r="AW274" s="591"/>
      <c r="AX274" s="591"/>
      <c r="AY274" s="591"/>
      <c r="AZ274" s="591"/>
      <c r="BA274" s="591"/>
      <c r="BB274" s="591"/>
      <c r="BC274" s="591"/>
      <c r="BD274" s="591"/>
      <c r="BE274" s="591"/>
      <c r="BF274" s="591"/>
      <c r="BG274" s="591"/>
      <c r="BH274" s="591"/>
      <c r="BI274" s="591"/>
      <c r="BJ274" s="591"/>
      <c r="BK274" s="591"/>
      <c r="BL274" s="591"/>
      <c r="BM274" s="591"/>
      <c r="BN274" s="591"/>
      <c r="BO274" s="591"/>
      <c r="BP274" s="591"/>
      <c r="BQ274" s="591"/>
      <c r="BR274" s="591"/>
      <c r="BS274" s="591"/>
      <c r="BT274" s="591"/>
      <c r="BU274" s="591"/>
      <c r="BV274" s="591"/>
      <c r="BW274" s="591"/>
      <c r="BX274" s="591"/>
      <c r="BY274" s="591"/>
      <c r="BZ274" s="591"/>
      <c r="CA274" s="591"/>
      <c r="CB274" s="591"/>
      <c r="CC274" s="591"/>
      <c r="CD274" s="591"/>
      <c r="CE274" s="591"/>
      <c r="CF274" s="591"/>
    </row>
    <row r="275" spans="1:84">
      <c r="A275" s="591"/>
      <c r="B275" s="591"/>
      <c r="C275" s="591"/>
      <c r="D275" s="591"/>
      <c r="E275" s="591"/>
      <c r="F275" s="591"/>
      <c r="G275" s="591"/>
      <c r="H275" s="591"/>
      <c r="I275" s="591"/>
      <c r="J275" s="591"/>
      <c r="K275" s="591"/>
      <c r="L275" s="591"/>
      <c r="M275" s="591"/>
      <c r="N275" s="591"/>
      <c r="O275" s="591"/>
      <c r="P275" s="591"/>
      <c r="Q275" s="591"/>
      <c r="R275" s="591"/>
      <c r="S275" s="591"/>
      <c r="T275" s="591"/>
      <c r="U275" s="591"/>
      <c r="V275" s="591"/>
      <c r="W275" s="591"/>
      <c r="X275" s="591"/>
      <c r="Y275" s="591"/>
      <c r="Z275" s="591"/>
      <c r="AA275" s="591"/>
      <c r="AB275" s="591"/>
      <c r="AC275" s="591"/>
      <c r="AD275" s="591"/>
      <c r="AE275" s="591"/>
      <c r="AF275" s="591"/>
      <c r="AG275" s="591"/>
      <c r="AH275" s="591"/>
      <c r="AI275" s="591"/>
      <c r="AJ275" s="591"/>
      <c r="AK275" s="591"/>
      <c r="AL275" s="591"/>
      <c r="AM275" s="591"/>
      <c r="AN275" s="591"/>
      <c r="AO275" s="591"/>
      <c r="AP275" s="591"/>
      <c r="AQ275" s="591"/>
      <c r="AR275" s="591"/>
      <c r="AS275" s="591"/>
      <c r="AT275" s="591"/>
      <c r="AU275" s="591"/>
      <c r="AV275" s="591"/>
      <c r="AW275" s="591"/>
      <c r="AX275" s="591"/>
      <c r="AY275" s="591"/>
      <c r="AZ275" s="591"/>
      <c r="BA275" s="591"/>
      <c r="BB275" s="591"/>
      <c r="BC275" s="591"/>
      <c r="BD275" s="591"/>
      <c r="BE275" s="591"/>
      <c r="BF275" s="591"/>
      <c r="BG275" s="591"/>
      <c r="BH275" s="591"/>
      <c r="BI275" s="591"/>
      <c r="BJ275" s="591"/>
      <c r="BK275" s="591"/>
      <c r="BL275" s="591"/>
      <c r="BM275" s="591"/>
      <c r="BN275" s="591"/>
      <c r="BO275" s="591"/>
      <c r="BP275" s="591"/>
      <c r="BQ275" s="591"/>
      <c r="BR275" s="591"/>
      <c r="BS275" s="591"/>
      <c r="BT275" s="591"/>
      <c r="BU275" s="591"/>
      <c r="BV275" s="591"/>
      <c r="BW275" s="591"/>
      <c r="BX275" s="591"/>
      <c r="BY275" s="591"/>
      <c r="BZ275" s="591"/>
      <c r="CA275" s="591"/>
      <c r="CB275" s="591"/>
      <c r="CC275" s="591"/>
      <c r="CD275" s="591"/>
      <c r="CE275" s="591"/>
      <c r="CF275" s="591"/>
    </row>
    <row r="276" spans="1:84">
      <c r="A276" s="591"/>
      <c r="B276" s="591"/>
      <c r="C276" s="591"/>
      <c r="D276" s="591"/>
      <c r="E276" s="591"/>
      <c r="F276" s="591"/>
      <c r="G276" s="591"/>
      <c r="H276" s="591"/>
      <c r="I276" s="591"/>
      <c r="J276" s="591"/>
      <c r="K276" s="591"/>
      <c r="L276" s="591"/>
      <c r="M276" s="591"/>
      <c r="N276" s="591"/>
      <c r="O276" s="591"/>
      <c r="P276" s="591"/>
      <c r="Q276" s="591"/>
      <c r="R276" s="591"/>
      <c r="S276" s="591"/>
      <c r="T276" s="591"/>
      <c r="U276" s="591"/>
      <c r="V276" s="591"/>
      <c r="W276" s="591"/>
      <c r="X276" s="591"/>
      <c r="Y276" s="591"/>
      <c r="Z276" s="591"/>
      <c r="AA276" s="591"/>
      <c r="AB276" s="591"/>
      <c r="AC276" s="591"/>
      <c r="AD276" s="591"/>
      <c r="AE276" s="591"/>
      <c r="AF276" s="591"/>
      <c r="AG276" s="591"/>
      <c r="AH276" s="591"/>
      <c r="AI276" s="591"/>
      <c r="AJ276" s="591"/>
      <c r="AK276" s="591"/>
      <c r="AL276" s="591"/>
      <c r="AM276" s="591"/>
      <c r="AN276" s="591"/>
      <c r="AO276" s="591"/>
      <c r="AP276" s="591"/>
      <c r="AQ276" s="591"/>
      <c r="AR276" s="591"/>
      <c r="AS276" s="591"/>
      <c r="AT276" s="591"/>
      <c r="AU276" s="591"/>
      <c r="AV276" s="591"/>
      <c r="AW276" s="591"/>
      <c r="AX276" s="591"/>
      <c r="AY276" s="591"/>
      <c r="AZ276" s="591"/>
      <c r="BA276" s="591"/>
      <c r="BB276" s="591"/>
      <c r="BC276" s="591"/>
      <c r="BD276" s="591"/>
      <c r="BE276" s="591"/>
      <c r="BF276" s="591"/>
      <c r="BG276" s="591"/>
      <c r="BH276" s="591"/>
      <c r="BI276" s="591"/>
      <c r="BJ276" s="591"/>
      <c r="BK276" s="591"/>
      <c r="BL276" s="591"/>
      <c r="BM276" s="591"/>
      <c r="BN276" s="591"/>
      <c r="BO276" s="591"/>
      <c r="BP276" s="591"/>
      <c r="BQ276" s="591"/>
      <c r="BR276" s="591"/>
      <c r="BS276" s="591"/>
      <c r="BT276" s="591"/>
      <c r="BU276" s="591"/>
      <c r="BV276" s="591"/>
      <c r="BW276" s="591"/>
      <c r="BX276" s="591"/>
      <c r="BY276" s="591"/>
      <c r="BZ276" s="591"/>
      <c r="CA276" s="591"/>
      <c r="CB276" s="591"/>
      <c r="CC276" s="591"/>
      <c r="CD276" s="591"/>
      <c r="CE276" s="591"/>
      <c r="CF276" s="591"/>
    </row>
    <row r="277" spans="1:84">
      <c r="A277" s="591"/>
      <c r="B277" s="591"/>
      <c r="C277" s="591"/>
      <c r="D277" s="591"/>
      <c r="E277" s="591"/>
      <c r="F277" s="591"/>
      <c r="G277" s="591"/>
      <c r="H277" s="591"/>
      <c r="I277" s="591"/>
      <c r="J277" s="591"/>
      <c r="K277" s="591"/>
      <c r="L277" s="591"/>
      <c r="M277" s="591"/>
      <c r="N277" s="591"/>
      <c r="O277" s="591"/>
      <c r="P277" s="591"/>
      <c r="Q277" s="591"/>
      <c r="R277" s="591"/>
      <c r="S277" s="591"/>
      <c r="T277" s="591"/>
      <c r="U277" s="591"/>
      <c r="V277" s="591"/>
      <c r="W277" s="591"/>
      <c r="X277" s="591"/>
      <c r="Y277" s="591"/>
      <c r="Z277" s="591"/>
      <c r="AA277" s="591"/>
      <c r="AB277" s="591"/>
      <c r="AC277" s="591"/>
      <c r="AD277" s="591"/>
      <c r="AE277" s="591"/>
      <c r="AF277" s="591"/>
      <c r="AG277" s="591"/>
      <c r="AH277" s="591"/>
      <c r="AI277" s="591"/>
      <c r="AJ277" s="591"/>
      <c r="AK277" s="591"/>
      <c r="AL277" s="591"/>
      <c r="AM277" s="591"/>
      <c r="AN277" s="591"/>
      <c r="AO277" s="591"/>
      <c r="AP277" s="591"/>
      <c r="AQ277" s="591"/>
      <c r="AR277" s="591"/>
      <c r="AS277" s="591"/>
      <c r="AT277" s="591"/>
      <c r="AU277" s="591"/>
      <c r="AV277" s="591"/>
      <c r="AW277" s="591"/>
      <c r="AX277" s="591"/>
      <c r="AY277" s="591"/>
      <c r="AZ277" s="591"/>
      <c r="BA277" s="591"/>
      <c r="BB277" s="591"/>
      <c r="BC277" s="591"/>
      <c r="BD277" s="591"/>
      <c r="BE277" s="591"/>
      <c r="BF277" s="591"/>
      <c r="BG277" s="591"/>
      <c r="BH277" s="591"/>
      <c r="BI277" s="591"/>
      <c r="BJ277" s="591"/>
      <c r="BK277" s="591"/>
      <c r="BL277" s="591"/>
      <c r="BM277" s="591"/>
      <c r="BN277" s="591"/>
      <c r="BO277" s="591"/>
      <c r="BP277" s="591"/>
      <c r="BQ277" s="591"/>
      <c r="BR277" s="591"/>
      <c r="BS277" s="591"/>
      <c r="BT277" s="591"/>
      <c r="BU277" s="591"/>
      <c r="BV277" s="591"/>
      <c r="BW277" s="591"/>
      <c r="BX277" s="591"/>
      <c r="BY277" s="591"/>
      <c r="BZ277" s="591"/>
      <c r="CA277" s="591"/>
      <c r="CB277" s="591"/>
      <c r="CC277" s="591"/>
      <c r="CD277" s="591"/>
      <c r="CE277" s="591"/>
      <c r="CF277" s="591"/>
    </row>
    <row r="278" spans="1:84">
      <c r="A278" s="591"/>
      <c r="B278" s="591"/>
      <c r="C278" s="591"/>
      <c r="D278" s="591"/>
      <c r="E278" s="591"/>
      <c r="F278" s="591"/>
      <c r="G278" s="591"/>
      <c r="H278" s="591"/>
      <c r="I278" s="591"/>
      <c r="J278" s="591"/>
      <c r="K278" s="591"/>
      <c r="L278" s="591"/>
      <c r="M278" s="591"/>
      <c r="N278" s="591"/>
      <c r="O278" s="591"/>
      <c r="P278" s="591"/>
      <c r="Q278" s="591"/>
      <c r="R278" s="591"/>
      <c r="S278" s="591"/>
      <c r="T278" s="591"/>
      <c r="U278" s="591"/>
      <c r="V278" s="591"/>
      <c r="W278" s="591"/>
      <c r="X278" s="591"/>
      <c r="Y278" s="591"/>
      <c r="Z278" s="591"/>
      <c r="AA278" s="591"/>
      <c r="AB278" s="591"/>
      <c r="AC278" s="591"/>
      <c r="AD278" s="591"/>
      <c r="AE278" s="591"/>
      <c r="AF278" s="591"/>
      <c r="AG278" s="591"/>
      <c r="AH278" s="591"/>
      <c r="AI278" s="591"/>
      <c r="AJ278" s="591"/>
      <c r="AK278" s="591"/>
      <c r="AL278" s="591"/>
      <c r="AM278" s="591"/>
      <c r="AN278" s="591"/>
      <c r="AO278" s="591"/>
      <c r="AP278" s="591"/>
      <c r="AQ278" s="591"/>
      <c r="AR278" s="591"/>
      <c r="AS278" s="591"/>
      <c r="AT278" s="591"/>
      <c r="AU278" s="591"/>
      <c r="AV278" s="591"/>
      <c r="AW278" s="591"/>
      <c r="AX278" s="591"/>
      <c r="AY278" s="591"/>
      <c r="AZ278" s="591"/>
      <c r="BA278" s="591"/>
      <c r="BB278" s="591"/>
      <c r="BC278" s="591"/>
      <c r="BD278" s="591"/>
      <c r="BE278" s="591"/>
      <c r="BF278" s="591"/>
      <c r="BG278" s="591"/>
      <c r="BH278" s="591"/>
      <c r="BI278" s="591"/>
      <c r="BJ278" s="591"/>
      <c r="BK278" s="591"/>
      <c r="BL278" s="591"/>
      <c r="BM278" s="591"/>
      <c r="BN278" s="591"/>
      <c r="BO278" s="591"/>
      <c r="BP278" s="591"/>
      <c r="BQ278" s="591"/>
      <c r="BR278" s="591"/>
      <c r="BS278" s="591"/>
      <c r="BT278" s="591"/>
      <c r="BU278" s="591"/>
      <c r="BV278" s="591"/>
      <c r="BW278" s="591"/>
      <c r="BX278" s="591"/>
      <c r="BY278" s="591"/>
      <c r="BZ278" s="591"/>
      <c r="CA278" s="591"/>
      <c r="CB278" s="591"/>
      <c r="CC278" s="591"/>
      <c r="CD278" s="591"/>
      <c r="CE278" s="591"/>
      <c r="CF278" s="591"/>
    </row>
    <row r="279" spans="1:84">
      <c r="A279" s="591"/>
      <c r="B279" s="591"/>
      <c r="C279" s="591"/>
      <c r="D279" s="591"/>
      <c r="E279" s="591"/>
      <c r="F279" s="591"/>
      <c r="G279" s="591"/>
      <c r="H279" s="591"/>
      <c r="I279" s="591"/>
      <c r="J279" s="591"/>
      <c r="K279" s="591"/>
      <c r="L279" s="591"/>
      <c r="M279" s="591"/>
      <c r="N279" s="591"/>
      <c r="O279" s="591"/>
      <c r="P279" s="591"/>
      <c r="Q279" s="591"/>
      <c r="R279" s="591"/>
      <c r="S279" s="591"/>
      <c r="T279" s="591"/>
      <c r="U279" s="591"/>
      <c r="V279" s="591"/>
      <c r="W279" s="591"/>
      <c r="X279" s="591"/>
      <c r="Y279" s="591"/>
      <c r="Z279" s="591"/>
      <c r="AA279" s="591"/>
      <c r="AB279" s="591"/>
      <c r="AC279" s="591"/>
      <c r="AD279" s="591"/>
      <c r="AE279" s="591"/>
      <c r="AF279" s="591"/>
      <c r="AG279" s="591"/>
      <c r="AH279" s="591"/>
      <c r="AI279" s="591"/>
      <c r="AJ279" s="591"/>
      <c r="AK279" s="591"/>
      <c r="AL279" s="591"/>
      <c r="AM279" s="591"/>
      <c r="AN279" s="591"/>
      <c r="AO279" s="591"/>
      <c r="AP279" s="591"/>
      <c r="AQ279" s="591"/>
      <c r="AR279" s="591"/>
      <c r="AS279" s="591"/>
      <c r="AT279" s="591"/>
      <c r="AU279" s="591"/>
      <c r="AV279" s="591"/>
      <c r="AW279" s="591"/>
      <c r="AX279" s="591"/>
      <c r="AY279" s="591"/>
      <c r="AZ279" s="591"/>
      <c r="BA279" s="591"/>
      <c r="BB279" s="591"/>
      <c r="BC279" s="591"/>
      <c r="BD279" s="591"/>
      <c r="BE279" s="591"/>
      <c r="BF279" s="591"/>
      <c r="BG279" s="591"/>
      <c r="BH279" s="591"/>
      <c r="BI279" s="591"/>
      <c r="BJ279" s="591"/>
      <c r="BK279" s="591"/>
      <c r="BL279" s="591"/>
      <c r="BM279" s="591"/>
      <c r="BN279" s="591"/>
      <c r="BO279" s="591"/>
      <c r="BP279" s="591"/>
      <c r="BQ279" s="591"/>
      <c r="BR279" s="591"/>
      <c r="BS279" s="591"/>
      <c r="BT279" s="591"/>
      <c r="BU279" s="591"/>
      <c r="BV279" s="591"/>
      <c r="BW279" s="591"/>
      <c r="BX279" s="591"/>
      <c r="BY279" s="591"/>
      <c r="BZ279" s="591"/>
      <c r="CA279" s="591"/>
      <c r="CB279" s="591"/>
      <c r="CC279" s="591"/>
      <c r="CD279" s="591"/>
      <c r="CE279" s="591"/>
      <c r="CF279" s="591"/>
    </row>
    <row r="280" spans="1:84">
      <c r="A280" s="591"/>
      <c r="B280" s="591"/>
      <c r="C280" s="591"/>
      <c r="D280" s="591"/>
      <c r="E280" s="591"/>
      <c r="F280" s="591"/>
      <c r="G280" s="591"/>
      <c r="H280" s="591"/>
      <c r="I280" s="591"/>
      <c r="J280" s="591"/>
      <c r="K280" s="591"/>
      <c r="L280" s="591"/>
      <c r="M280" s="591"/>
      <c r="N280" s="591"/>
      <c r="O280" s="591"/>
      <c r="P280" s="591"/>
      <c r="Q280" s="591"/>
      <c r="R280" s="591"/>
      <c r="S280" s="591"/>
      <c r="T280" s="591"/>
      <c r="U280" s="591"/>
      <c r="V280" s="591"/>
      <c r="W280" s="591"/>
      <c r="X280" s="591"/>
      <c r="Y280" s="591"/>
      <c r="Z280" s="591"/>
      <c r="AA280" s="591"/>
      <c r="AB280" s="591"/>
      <c r="AC280" s="591"/>
      <c r="AD280" s="591"/>
      <c r="AE280" s="591"/>
      <c r="AF280" s="591"/>
      <c r="AG280" s="591"/>
      <c r="AH280" s="591"/>
      <c r="AI280" s="591"/>
      <c r="AJ280" s="591"/>
      <c r="AK280" s="591"/>
      <c r="AL280" s="591"/>
      <c r="AM280" s="591"/>
      <c r="AN280" s="591"/>
      <c r="AO280" s="591"/>
      <c r="AP280" s="591"/>
      <c r="AQ280" s="591"/>
      <c r="AR280" s="591"/>
      <c r="AS280" s="591"/>
      <c r="AT280" s="591"/>
      <c r="AU280" s="591"/>
      <c r="AV280" s="591"/>
      <c r="AW280" s="591"/>
      <c r="AX280" s="591"/>
      <c r="AY280" s="591"/>
      <c r="AZ280" s="591"/>
      <c r="BA280" s="591"/>
      <c r="BB280" s="591"/>
      <c r="BC280" s="591"/>
      <c r="BD280" s="591"/>
      <c r="BE280" s="591"/>
      <c r="BF280" s="591"/>
      <c r="BG280" s="591"/>
      <c r="BH280" s="591"/>
      <c r="BI280" s="591"/>
      <c r="BJ280" s="591"/>
      <c r="BK280" s="591"/>
      <c r="BL280" s="591"/>
      <c r="BM280" s="591"/>
      <c r="BN280" s="591"/>
      <c r="BO280" s="591"/>
      <c r="BP280" s="591"/>
      <c r="BQ280" s="591"/>
      <c r="BR280" s="591"/>
      <c r="BS280" s="591"/>
      <c r="BT280" s="591"/>
      <c r="BU280" s="591"/>
      <c r="BV280" s="591"/>
      <c r="BW280" s="591"/>
      <c r="BX280" s="591"/>
      <c r="BY280" s="591"/>
      <c r="BZ280" s="591"/>
      <c r="CA280" s="591"/>
      <c r="CB280" s="591"/>
      <c r="CC280" s="591"/>
      <c r="CD280" s="591"/>
      <c r="CE280" s="591"/>
      <c r="CF280" s="591"/>
    </row>
    <row r="281" spans="1:84">
      <c r="A281" s="591"/>
      <c r="B281" s="591"/>
      <c r="C281" s="591"/>
      <c r="D281" s="591"/>
      <c r="E281" s="591"/>
      <c r="F281" s="591"/>
      <c r="G281" s="591"/>
      <c r="H281" s="591"/>
      <c r="I281" s="591"/>
      <c r="J281" s="591"/>
      <c r="K281" s="591"/>
      <c r="L281" s="591"/>
      <c r="M281" s="591"/>
      <c r="N281" s="591"/>
      <c r="O281" s="591"/>
      <c r="P281" s="591"/>
      <c r="Q281" s="591"/>
      <c r="R281" s="591"/>
      <c r="S281" s="591"/>
      <c r="T281" s="591"/>
      <c r="U281" s="591"/>
      <c r="V281" s="591"/>
      <c r="W281" s="591"/>
      <c r="X281" s="591"/>
      <c r="Y281" s="591"/>
      <c r="Z281" s="591"/>
      <c r="AA281" s="591"/>
      <c r="AB281" s="591"/>
      <c r="AC281" s="591"/>
      <c r="AD281" s="591"/>
      <c r="AE281" s="591"/>
      <c r="AF281" s="591"/>
      <c r="AG281" s="591"/>
      <c r="AH281" s="591"/>
      <c r="AI281" s="591"/>
      <c r="AJ281" s="591"/>
      <c r="AK281" s="591"/>
      <c r="AL281" s="591"/>
      <c r="AM281" s="591"/>
      <c r="AN281" s="591"/>
      <c r="AO281" s="591"/>
      <c r="AP281" s="591"/>
      <c r="AQ281" s="591"/>
      <c r="AR281" s="591"/>
      <c r="AS281" s="591"/>
      <c r="AT281" s="591"/>
      <c r="AU281" s="591"/>
      <c r="AV281" s="591"/>
      <c r="AW281" s="591"/>
      <c r="AX281" s="591"/>
      <c r="AY281" s="591"/>
      <c r="AZ281" s="591"/>
      <c r="BA281" s="591"/>
      <c r="BB281" s="591"/>
      <c r="BC281" s="591"/>
      <c r="BD281" s="591"/>
      <c r="BE281" s="591"/>
      <c r="BF281" s="591"/>
      <c r="BG281" s="591"/>
      <c r="BH281" s="591"/>
      <c r="BI281" s="591"/>
      <c r="BJ281" s="591"/>
      <c r="BK281" s="591"/>
      <c r="BL281" s="591"/>
      <c r="BM281" s="591"/>
      <c r="BN281" s="591"/>
      <c r="BO281" s="591"/>
      <c r="BP281" s="591"/>
      <c r="BQ281" s="591"/>
      <c r="BR281" s="591"/>
      <c r="BS281" s="591"/>
      <c r="BT281" s="591"/>
      <c r="BU281" s="591"/>
      <c r="BV281" s="591"/>
      <c r="BW281" s="591"/>
      <c r="BX281" s="591"/>
      <c r="BY281" s="591"/>
      <c r="BZ281" s="591"/>
      <c r="CA281" s="591"/>
      <c r="CB281" s="591"/>
      <c r="CC281" s="591"/>
      <c r="CD281" s="591"/>
      <c r="CE281" s="591"/>
      <c r="CF281" s="591"/>
    </row>
    <row r="282" spans="1:84">
      <c r="A282" s="591"/>
      <c r="B282" s="591"/>
      <c r="C282" s="591"/>
      <c r="D282" s="591"/>
      <c r="E282" s="591"/>
      <c r="F282" s="591"/>
      <c r="G282" s="591"/>
      <c r="H282" s="591"/>
      <c r="I282" s="591"/>
      <c r="J282" s="591"/>
      <c r="K282" s="591"/>
      <c r="L282" s="591"/>
      <c r="M282" s="591"/>
      <c r="N282" s="591"/>
      <c r="O282" s="591"/>
      <c r="P282" s="591"/>
      <c r="Q282" s="591"/>
      <c r="R282" s="591"/>
      <c r="S282" s="591"/>
      <c r="T282" s="591"/>
      <c r="U282" s="591"/>
      <c r="V282" s="591"/>
      <c r="W282" s="591"/>
      <c r="X282" s="591"/>
      <c r="Y282" s="591"/>
      <c r="Z282" s="591"/>
      <c r="AA282" s="591"/>
      <c r="AB282" s="591"/>
      <c r="AC282" s="591"/>
      <c r="AD282" s="591"/>
      <c r="AE282" s="591"/>
      <c r="AF282" s="591"/>
      <c r="AG282" s="591"/>
      <c r="AH282" s="591"/>
      <c r="AI282" s="591"/>
      <c r="AJ282" s="591"/>
      <c r="AK282" s="591"/>
      <c r="AL282" s="591"/>
      <c r="AM282" s="591"/>
      <c r="AN282" s="591"/>
      <c r="AO282" s="591"/>
      <c r="AP282" s="591"/>
      <c r="AQ282" s="591"/>
      <c r="AR282" s="591"/>
      <c r="AS282" s="591"/>
      <c r="AT282" s="591"/>
      <c r="AU282" s="591"/>
      <c r="AV282" s="591"/>
      <c r="AW282" s="591"/>
      <c r="AX282" s="591"/>
      <c r="AY282" s="591"/>
      <c r="AZ282" s="591"/>
      <c r="BA282" s="591"/>
      <c r="BB282" s="591"/>
      <c r="BC282" s="591"/>
      <c r="BD282" s="591"/>
      <c r="BE282" s="591"/>
      <c r="BF282" s="591"/>
      <c r="BG282" s="591"/>
      <c r="BH282" s="591"/>
      <c r="BI282" s="591"/>
      <c r="BJ282" s="591"/>
      <c r="BK282" s="591"/>
      <c r="BL282" s="591"/>
      <c r="BM282" s="591"/>
      <c r="BN282" s="591"/>
      <c r="BO282" s="591"/>
      <c r="BP282" s="591"/>
      <c r="BQ282" s="591"/>
      <c r="BR282" s="591"/>
      <c r="BS282" s="591"/>
      <c r="BT282" s="591"/>
      <c r="BU282" s="591"/>
      <c r="BV282" s="591"/>
      <c r="BW282" s="591"/>
      <c r="BX282" s="591"/>
      <c r="BY282" s="591"/>
      <c r="BZ282" s="591"/>
      <c r="CA282" s="591"/>
      <c r="CB282" s="591"/>
      <c r="CC282" s="591"/>
      <c r="CD282" s="591"/>
      <c r="CE282" s="591"/>
      <c r="CF282" s="591"/>
    </row>
    <row r="283" spans="1:84">
      <c r="A283" s="591"/>
      <c r="B283" s="591"/>
      <c r="C283" s="591"/>
      <c r="D283" s="591"/>
      <c r="E283" s="591"/>
      <c r="F283" s="591"/>
      <c r="G283" s="591"/>
      <c r="H283" s="591"/>
      <c r="I283" s="591"/>
      <c r="J283" s="591"/>
      <c r="K283" s="591"/>
      <c r="L283" s="591"/>
      <c r="M283" s="591"/>
      <c r="N283" s="591"/>
      <c r="O283" s="591"/>
      <c r="P283" s="591"/>
      <c r="Q283" s="591"/>
      <c r="R283" s="591"/>
      <c r="S283" s="591"/>
      <c r="T283" s="591"/>
      <c r="U283" s="591"/>
      <c r="V283" s="591"/>
      <c r="W283" s="591"/>
      <c r="X283" s="591"/>
      <c r="Y283" s="591"/>
      <c r="Z283" s="591"/>
      <c r="AA283" s="591"/>
      <c r="AB283" s="591"/>
      <c r="AC283" s="591"/>
      <c r="AD283" s="591"/>
      <c r="AE283" s="591"/>
      <c r="AF283" s="591"/>
      <c r="AG283" s="591"/>
      <c r="AH283" s="591"/>
      <c r="AI283" s="591"/>
      <c r="AJ283" s="591"/>
      <c r="AK283" s="591"/>
      <c r="AL283" s="591"/>
      <c r="AM283" s="591"/>
      <c r="AN283" s="591"/>
      <c r="AO283" s="591"/>
      <c r="AP283" s="591"/>
      <c r="AQ283" s="591"/>
      <c r="AR283" s="591"/>
      <c r="AS283" s="591"/>
      <c r="AT283" s="591"/>
      <c r="AU283" s="591"/>
      <c r="AV283" s="591"/>
      <c r="AW283" s="591"/>
      <c r="AX283" s="591"/>
      <c r="AY283" s="591"/>
      <c r="AZ283" s="591"/>
      <c r="BA283" s="591"/>
      <c r="BB283" s="591"/>
      <c r="BC283" s="591"/>
      <c r="BD283" s="591"/>
      <c r="BE283" s="591"/>
      <c r="BF283" s="591"/>
      <c r="BG283" s="591"/>
      <c r="BH283" s="591"/>
      <c r="BI283" s="591"/>
      <c r="BJ283" s="591"/>
      <c r="BK283" s="591"/>
      <c r="BL283" s="591"/>
      <c r="BM283" s="591"/>
      <c r="BN283" s="591"/>
      <c r="BO283" s="591"/>
      <c r="BP283" s="591"/>
      <c r="BQ283" s="591"/>
      <c r="BR283" s="591"/>
      <c r="BS283" s="591"/>
      <c r="BT283" s="591"/>
      <c r="BU283" s="591"/>
      <c r="BV283" s="591"/>
      <c r="BW283" s="591"/>
      <c r="BX283" s="591"/>
      <c r="BY283" s="591"/>
      <c r="BZ283" s="591"/>
      <c r="CA283" s="591"/>
      <c r="CB283" s="591"/>
      <c r="CC283" s="591"/>
      <c r="CD283" s="591"/>
      <c r="CE283" s="591"/>
      <c r="CF283" s="591"/>
    </row>
    <row r="284" spans="1:84">
      <c r="A284" s="591"/>
      <c r="B284" s="591"/>
      <c r="C284" s="591"/>
      <c r="D284" s="591"/>
      <c r="E284" s="591"/>
      <c r="F284" s="591"/>
      <c r="G284" s="591"/>
      <c r="H284" s="591"/>
      <c r="I284" s="591"/>
      <c r="J284" s="591"/>
      <c r="K284" s="591"/>
      <c r="L284" s="591"/>
      <c r="M284" s="591"/>
      <c r="N284" s="591"/>
      <c r="O284" s="591"/>
      <c r="P284" s="591"/>
      <c r="Q284" s="591"/>
      <c r="R284" s="591"/>
      <c r="S284" s="591"/>
      <c r="T284" s="591"/>
      <c r="U284" s="591"/>
      <c r="V284" s="591"/>
      <c r="W284" s="591"/>
      <c r="X284" s="591"/>
      <c r="Y284" s="591"/>
      <c r="Z284" s="591"/>
      <c r="AA284" s="591"/>
      <c r="AB284" s="591"/>
      <c r="AC284" s="591"/>
      <c r="AD284" s="591"/>
      <c r="AE284" s="591"/>
      <c r="AF284" s="591"/>
      <c r="AG284" s="591"/>
      <c r="AH284" s="591"/>
      <c r="AI284" s="591"/>
      <c r="AJ284" s="591"/>
      <c r="AK284" s="591"/>
      <c r="AL284" s="591"/>
      <c r="AM284" s="591"/>
      <c r="AN284" s="591"/>
      <c r="AO284" s="591"/>
      <c r="AP284" s="591"/>
      <c r="AQ284" s="591"/>
      <c r="AR284" s="591"/>
      <c r="AS284" s="591"/>
      <c r="AT284" s="591"/>
      <c r="AU284" s="591"/>
      <c r="AV284" s="591"/>
      <c r="AW284" s="591"/>
      <c r="AX284" s="591"/>
      <c r="AY284" s="591"/>
      <c r="AZ284" s="591"/>
      <c r="BA284" s="591"/>
      <c r="BB284" s="591"/>
      <c r="BC284" s="591"/>
      <c r="BD284" s="591"/>
      <c r="BE284" s="591"/>
      <c r="BF284" s="591"/>
      <c r="BG284" s="591"/>
      <c r="BH284" s="591"/>
      <c r="BI284" s="591"/>
      <c r="BJ284" s="591"/>
      <c r="BK284" s="591"/>
      <c r="BL284" s="591"/>
      <c r="BM284" s="591"/>
      <c r="BN284" s="591"/>
      <c r="BO284" s="591"/>
      <c r="BP284" s="591"/>
      <c r="BQ284" s="591"/>
      <c r="BR284" s="591"/>
      <c r="BS284" s="591"/>
      <c r="BT284" s="591"/>
      <c r="BU284" s="591"/>
      <c r="BV284" s="591"/>
      <c r="BW284" s="591"/>
      <c r="BX284" s="591"/>
      <c r="BY284" s="591"/>
      <c r="BZ284" s="591"/>
      <c r="CA284" s="591"/>
      <c r="CB284" s="591"/>
      <c r="CC284" s="591"/>
      <c r="CD284" s="591"/>
      <c r="CE284" s="591"/>
      <c r="CF284" s="591"/>
    </row>
    <row r="285" spans="1:84">
      <c r="A285" s="591"/>
      <c r="B285" s="591"/>
      <c r="C285" s="591"/>
      <c r="D285" s="591"/>
      <c r="E285" s="591"/>
      <c r="F285" s="591"/>
      <c r="G285" s="591"/>
      <c r="H285" s="591"/>
      <c r="I285" s="591"/>
      <c r="J285" s="591"/>
      <c r="K285" s="591"/>
      <c r="L285" s="591"/>
      <c r="M285" s="591"/>
      <c r="N285" s="591"/>
      <c r="O285" s="591"/>
      <c r="P285" s="591"/>
      <c r="Q285" s="591"/>
      <c r="R285" s="591"/>
      <c r="S285" s="591"/>
      <c r="T285" s="591"/>
      <c r="U285" s="591"/>
      <c r="V285" s="591"/>
      <c r="W285" s="591"/>
      <c r="X285" s="591"/>
      <c r="Y285" s="591"/>
      <c r="Z285" s="591"/>
      <c r="AA285" s="591"/>
      <c r="AB285" s="591"/>
      <c r="AC285" s="591"/>
      <c r="AD285" s="591"/>
      <c r="AE285" s="591"/>
      <c r="AF285" s="591"/>
      <c r="AG285" s="591"/>
      <c r="AH285" s="591"/>
      <c r="AI285" s="591"/>
      <c r="AJ285" s="591"/>
      <c r="AK285" s="591"/>
      <c r="AL285" s="591"/>
      <c r="AM285" s="591"/>
      <c r="AN285" s="591"/>
      <c r="AO285" s="591"/>
      <c r="AP285" s="591"/>
      <c r="AQ285" s="591"/>
      <c r="AR285" s="591"/>
      <c r="AS285" s="591"/>
      <c r="AT285" s="591"/>
      <c r="AU285" s="591"/>
      <c r="AV285" s="591"/>
      <c r="AW285" s="591"/>
      <c r="AX285" s="591"/>
      <c r="AY285" s="591"/>
      <c r="AZ285" s="591"/>
      <c r="BA285" s="591"/>
      <c r="BB285" s="591"/>
      <c r="BC285" s="591"/>
      <c r="BD285" s="591"/>
      <c r="BE285" s="591"/>
      <c r="BF285" s="591"/>
      <c r="BG285" s="591"/>
      <c r="BH285" s="591"/>
      <c r="BI285" s="591"/>
      <c r="BJ285" s="591"/>
      <c r="BK285" s="591"/>
      <c r="BL285" s="591"/>
      <c r="BM285" s="591"/>
      <c r="BN285" s="591"/>
      <c r="BO285" s="591"/>
      <c r="BP285" s="591"/>
      <c r="BQ285" s="591"/>
      <c r="BR285" s="591"/>
      <c r="BS285" s="591"/>
      <c r="BT285" s="591"/>
      <c r="BU285" s="591"/>
      <c r="BV285" s="591"/>
      <c r="BW285" s="591"/>
      <c r="BX285" s="591"/>
      <c r="BY285" s="591"/>
      <c r="BZ285" s="591"/>
      <c r="CA285" s="591"/>
      <c r="CB285" s="591"/>
      <c r="CC285" s="591"/>
      <c r="CD285" s="591"/>
      <c r="CE285" s="591"/>
      <c r="CF285" s="591"/>
    </row>
    <row r="286" spans="1:84">
      <c r="A286" s="591"/>
      <c r="B286" s="591"/>
      <c r="C286" s="591"/>
      <c r="D286" s="591"/>
      <c r="E286" s="591"/>
      <c r="F286" s="591"/>
      <c r="G286" s="591"/>
      <c r="H286" s="591"/>
      <c r="I286" s="591"/>
      <c r="J286" s="591"/>
      <c r="K286" s="591"/>
      <c r="L286" s="591"/>
      <c r="M286" s="591"/>
      <c r="N286" s="591"/>
      <c r="O286" s="591"/>
      <c r="P286" s="591"/>
      <c r="Q286" s="591"/>
      <c r="R286" s="591"/>
      <c r="S286" s="591"/>
      <c r="T286" s="591"/>
      <c r="U286" s="591"/>
      <c r="V286" s="591"/>
      <c r="W286" s="591"/>
      <c r="X286" s="591"/>
      <c r="Y286" s="591"/>
      <c r="Z286" s="591"/>
      <c r="AA286" s="591"/>
      <c r="AB286" s="591"/>
      <c r="AC286" s="591"/>
      <c r="AD286" s="591"/>
      <c r="AE286" s="591"/>
      <c r="AF286" s="591"/>
      <c r="AG286" s="591"/>
      <c r="AH286" s="591"/>
      <c r="AI286" s="591"/>
      <c r="AJ286" s="591"/>
      <c r="AK286" s="591"/>
      <c r="AL286" s="591"/>
      <c r="AM286" s="591"/>
      <c r="AN286" s="591"/>
      <c r="AO286" s="591"/>
      <c r="AP286" s="591"/>
      <c r="AQ286" s="591"/>
      <c r="AR286" s="591"/>
      <c r="AS286" s="591"/>
      <c r="AT286" s="591"/>
      <c r="AU286" s="591"/>
      <c r="AV286" s="591"/>
      <c r="AW286" s="591"/>
      <c r="AX286" s="591"/>
      <c r="AY286" s="591"/>
      <c r="AZ286" s="591"/>
      <c r="BA286" s="591"/>
      <c r="BB286" s="591"/>
      <c r="BC286" s="591"/>
      <c r="BD286" s="591"/>
      <c r="BE286" s="591"/>
      <c r="BF286" s="591"/>
      <c r="BG286" s="591"/>
      <c r="BH286" s="591"/>
      <c r="BI286" s="591"/>
      <c r="BJ286" s="591"/>
      <c r="BK286" s="591"/>
      <c r="BL286" s="591"/>
      <c r="BM286" s="591"/>
      <c r="BN286" s="591"/>
      <c r="BO286" s="591"/>
      <c r="BP286" s="591"/>
      <c r="BQ286" s="591"/>
      <c r="BR286" s="591"/>
      <c r="BS286" s="591"/>
      <c r="BT286" s="591"/>
      <c r="BU286" s="591"/>
      <c r="BV286" s="591"/>
      <c r="BW286" s="591"/>
      <c r="BX286" s="591"/>
      <c r="BY286" s="591"/>
      <c r="BZ286" s="591"/>
      <c r="CA286" s="591"/>
      <c r="CB286" s="591"/>
      <c r="CC286" s="591"/>
      <c r="CD286" s="591"/>
      <c r="CE286" s="591"/>
      <c r="CF286" s="591"/>
    </row>
    <row r="287" spans="1:84">
      <c r="A287" s="591"/>
      <c r="B287" s="591"/>
      <c r="C287" s="591"/>
      <c r="D287" s="591"/>
      <c r="E287" s="591"/>
      <c r="F287" s="591"/>
      <c r="G287" s="591"/>
      <c r="H287" s="591"/>
      <c r="I287" s="591"/>
      <c r="J287" s="591"/>
      <c r="K287" s="591"/>
      <c r="L287" s="591"/>
      <c r="M287" s="591"/>
      <c r="N287" s="591"/>
      <c r="O287" s="591"/>
      <c r="P287" s="591"/>
      <c r="Q287" s="591"/>
      <c r="R287" s="591"/>
      <c r="S287" s="591"/>
      <c r="T287" s="591"/>
      <c r="U287" s="591"/>
      <c r="V287" s="591"/>
      <c r="W287" s="591"/>
      <c r="X287" s="591"/>
      <c r="Y287" s="591"/>
      <c r="Z287" s="591"/>
      <c r="AA287" s="591"/>
      <c r="AB287" s="591"/>
      <c r="AC287" s="591"/>
      <c r="AD287" s="591"/>
      <c r="AE287" s="591"/>
      <c r="AF287" s="591"/>
      <c r="AG287" s="591"/>
      <c r="AH287" s="591"/>
      <c r="AI287" s="591"/>
      <c r="AJ287" s="591"/>
      <c r="AK287" s="591"/>
      <c r="AL287" s="591"/>
      <c r="AM287" s="591"/>
      <c r="AN287" s="591"/>
      <c r="AO287" s="591"/>
      <c r="AP287" s="591"/>
      <c r="AQ287" s="591"/>
      <c r="AR287" s="591"/>
      <c r="AS287" s="591"/>
      <c r="AT287" s="591"/>
      <c r="AU287" s="591"/>
      <c r="AV287" s="591"/>
      <c r="AW287" s="591"/>
      <c r="AX287" s="591"/>
      <c r="AY287" s="591"/>
      <c r="AZ287" s="591"/>
      <c r="BA287" s="591"/>
      <c r="BB287" s="591"/>
      <c r="BC287" s="591"/>
      <c r="BD287" s="591"/>
      <c r="BE287" s="591"/>
      <c r="BF287" s="591"/>
      <c r="BG287" s="591"/>
      <c r="BH287" s="591"/>
      <c r="BI287" s="591"/>
      <c r="BJ287" s="591"/>
      <c r="BK287" s="591"/>
      <c r="BL287" s="591"/>
      <c r="BM287" s="591"/>
      <c r="BN287" s="591"/>
      <c r="BO287" s="591"/>
      <c r="BP287" s="591"/>
      <c r="BQ287" s="591"/>
      <c r="BR287" s="591"/>
      <c r="BS287" s="591"/>
      <c r="BT287" s="591"/>
      <c r="BU287" s="591"/>
      <c r="BV287" s="591"/>
      <c r="BW287" s="591"/>
      <c r="BX287" s="591"/>
      <c r="BY287" s="591"/>
      <c r="BZ287" s="591"/>
      <c r="CA287" s="591"/>
      <c r="CB287" s="591"/>
      <c r="CC287" s="591"/>
      <c r="CD287" s="591"/>
      <c r="CE287" s="591"/>
      <c r="CF287" s="591"/>
    </row>
    <row r="288" spans="1:84">
      <c r="A288" s="591"/>
      <c r="B288" s="591"/>
      <c r="C288" s="591"/>
      <c r="D288" s="591"/>
      <c r="E288" s="591"/>
      <c r="F288" s="591"/>
      <c r="G288" s="591"/>
      <c r="H288" s="591"/>
      <c r="I288" s="591"/>
      <c r="J288" s="591"/>
      <c r="K288" s="591"/>
      <c r="L288" s="591"/>
      <c r="M288" s="591"/>
      <c r="N288" s="591"/>
      <c r="O288" s="591"/>
      <c r="P288" s="591"/>
      <c r="Q288" s="591"/>
      <c r="R288" s="591"/>
      <c r="S288" s="591"/>
      <c r="T288" s="591"/>
      <c r="U288" s="591"/>
      <c r="V288" s="591"/>
      <c r="W288" s="591"/>
      <c r="X288" s="591"/>
      <c r="Y288" s="591"/>
      <c r="Z288" s="591"/>
      <c r="AA288" s="591"/>
      <c r="AB288" s="591"/>
      <c r="AC288" s="591"/>
      <c r="AD288" s="591"/>
      <c r="AE288" s="591"/>
      <c r="AF288" s="591"/>
      <c r="AG288" s="591"/>
      <c r="AH288" s="591"/>
      <c r="AI288" s="591"/>
      <c r="AJ288" s="591"/>
      <c r="AK288" s="591"/>
      <c r="AL288" s="591"/>
      <c r="AM288" s="591"/>
      <c r="AN288" s="591"/>
      <c r="AO288" s="591"/>
      <c r="AP288" s="591"/>
      <c r="AQ288" s="591"/>
      <c r="AR288" s="591"/>
      <c r="AS288" s="591"/>
      <c r="AT288" s="591"/>
      <c r="AU288" s="591"/>
      <c r="AV288" s="591"/>
      <c r="AW288" s="591"/>
      <c r="AX288" s="591"/>
      <c r="AY288" s="591"/>
      <c r="AZ288" s="591"/>
      <c r="BA288" s="591"/>
      <c r="BB288" s="591"/>
      <c r="BC288" s="591"/>
      <c r="BD288" s="591"/>
      <c r="BE288" s="591"/>
      <c r="BF288" s="591"/>
      <c r="BG288" s="591"/>
      <c r="BH288" s="591"/>
      <c r="BI288" s="591"/>
      <c r="BJ288" s="591"/>
      <c r="BK288" s="591"/>
      <c r="BL288" s="591"/>
      <c r="BM288" s="591"/>
      <c r="BN288" s="591"/>
      <c r="BO288" s="591"/>
      <c r="BP288" s="591"/>
      <c r="BQ288" s="591"/>
      <c r="BR288" s="591"/>
      <c r="BS288" s="591"/>
      <c r="BT288" s="591"/>
      <c r="BU288" s="591"/>
      <c r="BV288" s="591"/>
      <c r="BW288" s="591"/>
      <c r="BX288" s="591"/>
      <c r="BY288" s="591"/>
      <c r="BZ288" s="591"/>
      <c r="CA288" s="591"/>
      <c r="CB288" s="591"/>
      <c r="CC288" s="591"/>
      <c r="CD288" s="591"/>
      <c r="CE288" s="591"/>
      <c r="CF288" s="591"/>
    </row>
    <row r="289" spans="1:84">
      <c r="A289" s="591"/>
      <c r="B289" s="591"/>
      <c r="C289" s="591"/>
      <c r="D289" s="591"/>
      <c r="E289" s="591"/>
      <c r="F289" s="591"/>
      <c r="G289" s="591"/>
      <c r="H289" s="591"/>
      <c r="I289" s="591"/>
      <c r="J289" s="591"/>
      <c r="K289" s="591"/>
      <c r="L289" s="591"/>
      <c r="M289" s="591"/>
      <c r="N289" s="591"/>
      <c r="O289" s="591"/>
      <c r="P289" s="591"/>
      <c r="Q289" s="591"/>
      <c r="R289" s="591"/>
      <c r="S289" s="591"/>
      <c r="T289" s="591"/>
      <c r="U289" s="591"/>
      <c r="V289" s="591"/>
      <c r="W289" s="591"/>
      <c r="X289" s="591"/>
      <c r="Y289" s="591"/>
      <c r="Z289" s="591"/>
      <c r="AA289" s="591"/>
      <c r="AB289" s="591"/>
      <c r="AC289" s="591"/>
      <c r="AD289" s="591"/>
      <c r="AE289" s="591"/>
      <c r="AF289" s="591"/>
      <c r="AG289" s="591"/>
      <c r="AH289" s="591"/>
      <c r="AI289" s="591"/>
      <c r="AJ289" s="591"/>
      <c r="AK289" s="591"/>
      <c r="AL289" s="591"/>
      <c r="AM289" s="591"/>
      <c r="AN289" s="591"/>
      <c r="AO289" s="591"/>
      <c r="AP289" s="591"/>
      <c r="AQ289" s="591"/>
      <c r="AR289" s="591"/>
      <c r="AS289" s="591"/>
      <c r="AT289" s="591"/>
      <c r="AU289" s="591"/>
      <c r="AV289" s="591"/>
      <c r="AW289" s="591"/>
      <c r="AX289" s="591"/>
      <c r="AY289" s="591"/>
      <c r="AZ289" s="591"/>
      <c r="BA289" s="591"/>
      <c r="BB289" s="591"/>
      <c r="BC289" s="591"/>
      <c r="BD289" s="591"/>
      <c r="BE289" s="591"/>
      <c r="BF289" s="591"/>
      <c r="BG289" s="591"/>
      <c r="BH289" s="591"/>
      <c r="BI289" s="591"/>
      <c r="BJ289" s="591"/>
      <c r="BK289" s="591"/>
      <c r="BL289" s="591"/>
      <c r="BM289" s="591"/>
      <c r="BN289" s="591"/>
      <c r="BO289" s="591"/>
      <c r="BP289" s="591"/>
      <c r="BQ289" s="591"/>
      <c r="BR289" s="591"/>
      <c r="BS289" s="591"/>
      <c r="BT289" s="591"/>
      <c r="BU289" s="591"/>
      <c r="BV289" s="591"/>
      <c r="BW289" s="591"/>
      <c r="BX289" s="591"/>
      <c r="BY289" s="591"/>
      <c r="BZ289" s="591"/>
      <c r="CA289" s="591"/>
      <c r="CB289" s="591"/>
      <c r="CC289" s="591"/>
      <c r="CD289" s="591"/>
      <c r="CE289" s="591"/>
      <c r="CF289" s="591"/>
    </row>
    <row r="290" spans="1:84">
      <c r="A290" s="591"/>
      <c r="B290" s="591"/>
      <c r="C290" s="591"/>
      <c r="D290" s="591"/>
      <c r="E290" s="591"/>
      <c r="F290" s="591"/>
      <c r="G290" s="591"/>
      <c r="H290" s="591"/>
      <c r="I290" s="591"/>
      <c r="J290" s="591"/>
      <c r="K290" s="591"/>
      <c r="L290" s="591"/>
      <c r="M290" s="591"/>
      <c r="N290" s="591"/>
      <c r="O290" s="591"/>
      <c r="P290" s="591"/>
      <c r="Q290" s="591"/>
      <c r="R290" s="591"/>
      <c r="S290" s="591"/>
      <c r="T290" s="591"/>
      <c r="U290" s="591"/>
      <c r="V290" s="591"/>
      <c r="W290" s="591"/>
      <c r="X290" s="591"/>
      <c r="Y290" s="591"/>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c r="BD290" s="591"/>
      <c r="BE290" s="591"/>
      <c r="BF290" s="591"/>
      <c r="BG290" s="591"/>
      <c r="BH290" s="591"/>
      <c r="BI290" s="591"/>
      <c r="BJ290" s="591"/>
      <c r="BK290" s="591"/>
      <c r="BL290" s="591"/>
      <c r="BM290" s="591"/>
      <c r="BN290" s="591"/>
      <c r="BO290" s="591"/>
      <c r="BP290" s="591"/>
      <c r="BQ290" s="591"/>
      <c r="BR290" s="591"/>
      <c r="BS290" s="591"/>
      <c r="BT290" s="591"/>
      <c r="BU290" s="591"/>
      <c r="BV290" s="591"/>
      <c r="BW290" s="591"/>
      <c r="BX290" s="591"/>
      <c r="BY290" s="591"/>
      <c r="BZ290" s="591"/>
      <c r="CA290" s="591"/>
      <c r="CB290" s="591"/>
      <c r="CC290" s="591"/>
      <c r="CD290" s="591"/>
      <c r="CE290" s="591"/>
      <c r="CF290" s="591"/>
    </row>
    <row r="291" spans="1:84">
      <c r="A291" s="591"/>
      <c r="B291" s="591"/>
      <c r="C291" s="591"/>
      <c r="D291" s="591"/>
      <c r="E291" s="591"/>
      <c r="F291" s="591"/>
      <c r="G291" s="591"/>
      <c r="H291" s="591"/>
      <c r="I291" s="591"/>
      <c r="J291" s="591"/>
      <c r="K291" s="591"/>
      <c r="L291" s="591"/>
      <c r="M291" s="591"/>
      <c r="N291" s="591"/>
      <c r="O291" s="591"/>
      <c r="P291" s="591"/>
      <c r="Q291" s="591"/>
      <c r="R291" s="591"/>
      <c r="S291" s="591"/>
      <c r="T291" s="591"/>
      <c r="U291" s="591"/>
      <c r="V291" s="591"/>
      <c r="W291" s="591"/>
      <c r="X291" s="591"/>
      <c r="Y291" s="591"/>
      <c r="Z291" s="591"/>
      <c r="AA291" s="591"/>
      <c r="AB291" s="591"/>
      <c r="AC291" s="591"/>
      <c r="AD291" s="591"/>
      <c r="AE291" s="591"/>
      <c r="AF291" s="591"/>
      <c r="AG291" s="591"/>
      <c r="AH291" s="591"/>
      <c r="AI291" s="591"/>
      <c r="AJ291" s="591"/>
      <c r="AK291" s="591"/>
      <c r="AL291" s="591"/>
      <c r="AM291" s="591"/>
      <c r="AN291" s="591"/>
      <c r="AO291" s="591"/>
      <c r="AP291" s="591"/>
      <c r="AQ291" s="591"/>
      <c r="AR291" s="591"/>
      <c r="AS291" s="591"/>
      <c r="AT291" s="591"/>
      <c r="AU291" s="591"/>
      <c r="AV291" s="591"/>
      <c r="AW291" s="591"/>
      <c r="AX291" s="591"/>
      <c r="AY291" s="591"/>
      <c r="AZ291" s="591"/>
      <c r="BA291" s="591"/>
      <c r="BB291" s="591"/>
      <c r="BC291" s="591"/>
      <c r="BD291" s="591"/>
      <c r="BE291" s="591"/>
      <c r="BF291" s="591"/>
      <c r="BG291" s="591"/>
      <c r="BH291" s="591"/>
      <c r="BI291" s="591"/>
      <c r="BJ291" s="591"/>
      <c r="BK291" s="591"/>
      <c r="BL291" s="591"/>
      <c r="BM291" s="591"/>
      <c r="BN291" s="591"/>
      <c r="BO291" s="591"/>
      <c r="BP291" s="591"/>
      <c r="BQ291" s="591"/>
      <c r="BR291" s="591"/>
      <c r="BS291" s="591"/>
      <c r="BT291" s="591"/>
      <c r="BU291" s="591"/>
      <c r="BV291" s="591"/>
      <c r="BW291" s="591"/>
      <c r="BX291" s="591"/>
      <c r="BY291" s="591"/>
      <c r="BZ291" s="591"/>
      <c r="CA291" s="591"/>
      <c r="CB291" s="591"/>
      <c r="CC291" s="591"/>
      <c r="CD291" s="591"/>
      <c r="CE291" s="591"/>
      <c r="CF291" s="591"/>
    </row>
    <row r="292" spans="1:84">
      <c r="A292" s="591"/>
      <c r="B292" s="591"/>
      <c r="C292" s="591"/>
      <c r="D292" s="591"/>
      <c r="E292" s="591"/>
      <c r="F292" s="591"/>
      <c r="G292" s="591"/>
      <c r="H292" s="591"/>
      <c r="I292" s="591"/>
      <c r="J292" s="591"/>
      <c r="K292" s="591"/>
      <c r="L292" s="591"/>
      <c r="M292" s="591"/>
      <c r="N292" s="591"/>
      <c r="O292" s="591"/>
      <c r="P292" s="591"/>
      <c r="Q292" s="591"/>
      <c r="R292" s="591"/>
      <c r="S292" s="591"/>
      <c r="T292" s="591"/>
      <c r="U292" s="591"/>
      <c r="V292" s="591"/>
      <c r="W292" s="591"/>
      <c r="X292" s="591"/>
      <c r="Y292" s="591"/>
      <c r="Z292" s="591"/>
      <c r="AA292" s="591"/>
      <c r="AB292" s="591"/>
      <c r="AC292" s="591"/>
      <c r="AD292" s="591"/>
      <c r="AE292" s="591"/>
      <c r="AF292" s="591"/>
      <c r="AG292" s="591"/>
      <c r="AH292" s="591"/>
      <c r="AI292" s="591"/>
      <c r="AJ292" s="591"/>
      <c r="AK292" s="591"/>
      <c r="AL292" s="591"/>
      <c r="AM292" s="591"/>
      <c r="AN292" s="591"/>
      <c r="AO292" s="591"/>
      <c r="AP292" s="591"/>
      <c r="AQ292" s="591"/>
      <c r="AR292" s="591"/>
      <c r="AS292" s="591"/>
      <c r="AT292" s="591"/>
      <c r="AU292" s="591"/>
      <c r="AV292" s="591"/>
      <c r="AW292" s="591"/>
      <c r="AX292" s="591"/>
      <c r="AY292" s="591"/>
      <c r="AZ292" s="591"/>
      <c r="BA292" s="591"/>
      <c r="BB292" s="591"/>
      <c r="BC292" s="591"/>
      <c r="BD292" s="591"/>
      <c r="BE292" s="591"/>
      <c r="BF292" s="591"/>
      <c r="BG292" s="591"/>
      <c r="BH292" s="591"/>
      <c r="BI292" s="591"/>
      <c r="BJ292" s="591"/>
      <c r="BK292" s="591"/>
      <c r="BL292" s="591"/>
      <c r="BM292" s="591"/>
      <c r="BN292" s="591"/>
      <c r="BO292" s="591"/>
      <c r="BP292" s="591"/>
      <c r="BQ292" s="591"/>
      <c r="BR292" s="591"/>
      <c r="BS292" s="591"/>
      <c r="BT292" s="591"/>
      <c r="BU292" s="591"/>
      <c r="BV292" s="591"/>
      <c r="BW292" s="591"/>
      <c r="BX292" s="591"/>
      <c r="BY292" s="591"/>
      <c r="BZ292" s="591"/>
      <c r="CA292" s="591"/>
      <c r="CB292" s="591"/>
      <c r="CC292" s="591"/>
      <c r="CD292" s="591"/>
      <c r="CE292" s="591"/>
      <c r="CF292" s="591"/>
    </row>
    <row r="293" spans="1:84">
      <c r="A293" s="591"/>
      <c r="B293" s="591"/>
      <c r="C293" s="591"/>
      <c r="D293" s="591"/>
      <c r="E293" s="591"/>
      <c r="F293" s="591"/>
      <c r="G293" s="591"/>
      <c r="H293" s="591"/>
      <c r="I293" s="591"/>
      <c r="J293" s="591"/>
      <c r="K293" s="591"/>
      <c r="L293" s="591"/>
      <c r="M293" s="591"/>
      <c r="N293" s="591"/>
      <c r="O293" s="591"/>
      <c r="P293" s="591"/>
      <c r="Q293" s="591"/>
      <c r="R293" s="591"/>
      <c r="S293" s="591"/>
      <c r="T293" s="591"/>
      <c r="U293" s="591"/>
      <c r="V293" s="591"/>
      <c r="W293" s="591"/>
      <c r="X293" s="591"/>
      <c r="Y293" s="591"/>
      <c r="Z293" s="591"/>
      <c r="AA293" s="591"/>
      <c r="AB293" s="591"/>
      <c r="AC293" s="591"/>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1"/>
      <c r="AY293" s="591"/>
      <c r="AZ293" s="591"/>
      <c r="BA293" s="591"/>
      <c r="BB293" s="591"/>
      <c r="BC293" s="591"/>
      <c r="BD293" s="591"/>
      <c r="BE293" s="591"/>
      <c r="BF293" s="591"/>
      <c r="BG293" s="591"/>
      <c r="BH293" s="591"/>
      <c r="BI293" s="591"/>
      <c r="BJ293" s="591"/>
      <c r="BK293" s="591"/>
      <c r="BL293" s="591"/>
      <c r="BM293" s="591"/>
      <c r="BN293" s="591"/>
      <c r="BO293" s="591"/>
      <c r="BP293" s="591"/>
      <c r="BQ293" s="591"/>
      <c r="BR293" s="591"/>
      <c r="BS293" s="591"/>
      <c r="BT293" s="591"/>
      <c r="BU293" s="591"/>
      <c r="BV293" s="591"/>
      <c r="BW293" s="591"/>
      <c r="BX293" s="591"/>
      <c r="BY293" s="591"/>
      <c r="BZ293" s="591"/>
      <c r="CA293" s="591"/>
      <c r="CB293" s="591"/>
      <c r="CC293" s="591"/>
      <c r="CD293" s="591"/>
      <c r="CE293" s="591"/>
      <c r="CF293" s="591"/>
    </row>
    <row r="294" spans="1:84">
      <c r="A294" s="591"/>
      <c r="B294" s="591"/>
      <c r="C294" s="591"/>
      <c r="D294" s="591"/>
      <c r="E294" s="591"/>
      <c r="F294" s="591"/>
      <c r="G294" s="591"/>
      <c r="H294" s="591"/>
      <c r="I294" s="591"/>
      <c r="J294" s="591"/>
      <c r="K294" s="591"/>
      <c r="L294" s="591"/>
      <c r="M294" s="591"/>
      <c r="N294" s="591"/>
      <c r="O294" s="591"/>
      <c r="P294" s="591"/>
      <c r="Q294" s="591"/>
      <c r="R294" s="591"/>
      <c r="S294" s="591"/>
      <c r="T294" s="591"/>
      <c r="U294" s="591"/>
      <c r="V294" s="591"/>
      <c r="W294" s="591"/>
      <c r="X294" s="591"/>
      <c r="Y294" s="591"/>
      <c r="Z294" s="591"/>
      <c r="AA294" s="591"/>
      <c r="AB294" s="591"/>
      <c r="AC294" s="591"/>
      <c r="AD294" s="591"/>
      <c r="AE294" s="591"/>
      <c r="AF294" s="591"/>
      <c r="AG294" s="591"/>
      <c r="AH294" s="591"/>
      <c r="AI294" s="591"/>
      <c r="AJ294" s="591"/>
      <c r="AK294" s="591"/>
      <c r="AL294" s="591"/>
      <c r="AM294" s="591"/>
      <c r="AN294" s="591"/>
      <c r="AO294" s="591"/>
      <c r="AP294" s="591"/>
      <c r="AQ294" s="591"/>
      <c r="AR294" s="591"/>
      <c r="AS294" s="591"/>
      <c r="AT294" s="591"/>
      <c r="AU294" s="591"/>
      <c r="AV294" s="591"/>
      <c r="AW294" s="591"/>
      <c r="AX294" s="591"/>
      <c r="AY294" s="591"/>
      <c r="AZ294" s="591"/>
      <c r="BA294" s="591"/>
      <c r="BB294" s="591"/>
      <c r="BC294" s="591"/>
      <c r="BD294" s="591"/>
      <c r="BE294" s="591"/>
      <c r="BF294" s="591"/>
      <c r="BG294" s="591"/>
      <c r="BH294" s="591"/>
      <c r="BI294" s="591"/>
      <c r="BJ294" s="591"/>
      <c r="BK294" s="591"/>
      <c r="BL294" s="591"/>
      <c r="BM294" s="591"/>
      <c r="BN294" s="591"/>
      <c r="BO294" s="591"/>
      <c r="BP294" s="591"/>
      <c r="BQ294" s="591"/>
      <c r="BR294" s="591"/>
      <c r="BS294" s="591"/>
      <c r="BT294" s="591"/>
      <c r="BU294" s="591"/>
      <c r="BV294" s="591"/>
      <c r="BW294" s="591"/>
      <c r="BX294" s="591"/>
      <c r="BY294" s="591"/>
      <c r="BZ294" s="591"/>
      <c r="CA294" s="591"/>
      <c r="CB294" s="591"/>
      <c r="CC294" s="591"/>
      <c r="CD294" s="591"/>
      <c r="CE294" s="591"/>
      <c r="CF294" s="591"/>
    </row>
    <row r="295" spans="1:84">
      <c r="A295" s="591"/>
      <c r="B295" s="591"/>
      <c r="C295" s="591"/>
      <c r="D295" s="591"/>
      <c r="E295" s="591"/>
      <c r="F295" s="591"/>
      <c r="G295" s="591"/>
      <c r="H295" s="591"/>
      <c r="I295" s="591"/>
      <c r="J295" s="591"/>
      <c r="K295" s="591"/>
      <c r="L295" s="591"/>
      <c r="M295" s="591"/>
      <c r="N295" s="591"/>
      <c r="O295" s="591"/>
      <c r="P295" s="591"/>
      <c r="Q295" s="591"/>
      <c r="R295" s="591"/>
      <c r="S295" s="591"/>
      <c r="T295" s="591"/>
      <c r="U295" s="591"/>
      <c r="V295" s="591"/>
      <c r="W295" s="591"/>
      <c r="X295" s="591"/>
      <c r="Y295" s="591"/>
      <c r="Z295" s="591"/>
      <c r="AA295" s="591"/>
      <c r="AB295" s="591"/>
      <c r="AC295" s="591"/>
      <c r="AD295" s="591"/>
      <c r="AE295" s="591"/>
      <c r="AF295" s="591"/>
      <c r="AG295" s="591"/>
      <c r="AH295" s="591"/>
      <c r="AI295" s="591"/>
      <c r="AJ295" s="591"/>
      <c r="AK295" s="591"/>
      <c r="AL295" s="591"/>
      <c r="AM295" s="591"/>
      <c r="AN295" s="591"/>
      <c r="AO295" s="591"/>
      <c r="AP295" s="591"/>
      <c r="AQ295" s="591"/>
      <c r="AR295" s="591"/>
      <c r="AS295" s="591"/>
      <c r="AT295" s="591"/>
      <c r="AU295" s="591"/>
      <c r="AV295" s="591"/>
      <c r="AW295" s="591"/>
      <c r="AX295" s="591"/>
      <c r="AY295" s="591"/>
      <c r="AZ295" s="591"/>
      <c r="BA295" s="591"/>
      <c r="BB295" s="591"/>
      <c r="BC295" s="591"/>
      <c r="BD295" s="591"/>
      <c r="BE295" s="591"/>
      <c r="BF295" s="591"/>
      <c r="BG295" s="591"/>
      <c r="BH295" s="591"/>
      <c r="BI295" s="591"/>
      <c r="BJ295" s="591"/>
      <c r="BK295" s="591"/>
      <c r="BL295" s="591"/>
      <c r="BM295" s="591"/>
      <c r="BN295" s="591"/>
      <c r="BO295" s="591"/>
      <c r="BP295" s="591"/>
      <c r="BQ295" s="591"/>
      <c r="BR295" s="591"/>
      <c r="BS295" s="591"/>
      <c r="BT295" s="591"/>
      <c r="BU295" s="591"/>
      <c r="BV295" s="591"/>
      <c r="BW295" s="591"/>
      <c r="BX295" s="591"/>
      <c r="BY295" s="591"/>
      <c r="BZ295" s="591"/>
      <c r="CA295" s="591"/>
      <c r="CB295" s="591"/>
      <c r="CC295" s="591"/>
      <c r="CD295" s="591"/>
      <c r="CE295" s="591"/>
      <c r="CF295" s="591"/>
    </row>
    <row r="296" spans="1:84">
      <c r="A296" s="591"/>
      <c r="B296" s="591"/>
      <c r="C296" s="591"/>
      <c r="D296" s="591"/>
      <c r="E296" s="591"/>
      <c r="F296" s="591"/>
      <c r="G296" s="591"/>
      <c r="H296" s="591"/>
      <c r="I296" s="591"/>
      <c r="J296" s="591"/>
      <c r="K296" s="591"/>
      <c r="L296" s="591"/>
      <c r="M296" s="591"/>
      <c r="N296" s="591"/>
      <c r="O296" s="591"/>
      <c r="P296" s="591"/>
      <c r="Q296" s="591"/>
      <c r="R296" s="591"/>
      <c r="S296" s="591"/>
      <c r="T296" s="591"/>
      <c r="U296" s="591"/>
      <c r="V296" s="591"/>
      <c r="W296" s="591"/>
      <c r="X296" s="591"/>
      <c r="Y296" s="591"/>
      <c r="Z296" s="591"/>
      <c r="AA296" s="591"/>
      <c r="AB296" s="591"/>
      <c r="AC296" s="591"/>
      <c r="AD296" s="591"/>
      <c r="AE296" s="591"/>
      <c r="AF296" s="591"/>
      <c r="AG296" s="591"/>
      <c r="AH296" s="591"/>
      <c r="AI296" s="591"/>
      <c r="AJ296" s="591"/>
      <c r="AK296" s="591"/>
      <c r="AL296" s="591"/>
      <c r="AM296" s="591"/>
      <c r="AN296" s="591"/>
      <c r="AO296" s="591"/>
      <c r="AP296" s="591"/>
      <c r="AQ296" s="591"/>
      <c r="AR296" s="591"/>
      <c r="AS296" s="591"/>
      <c r="AT296" s="591"/>
      <c r="AU296" s="591"/>
      <c r="AV296" s="591"/>
      <c r="AW296" s="591"/>
      <c r="AX296" s="591"/>
      <c r="AY296" s="591"/>
      <c r="AZ296" s="591"/>
      <c r="BA296" s="591"/>
      <c r="BB296" s="591"/>
      <c r="BC296" s="591"/>
      <c r="BD296" s="591"/>
      <c r="BE296" s="591"/>
      <c r="BF296" s="591"/>
      <c r="BG296" s="591"/>
      <c r="BH296" s="591"/>
      <c r="BI296" s="591"/>
      <c r="BJ296" s="591"/>
      <c r="BK296" s="591"/>
      <c r="BL296" s="591"/>
      <c r="BM296" s="591"/>
      <c r="BN296" s="591"/>
      <c r="BO296" s="591"/>
      <c r="BP296" s="591"/>
      <c r="BQ296" s="591"/>
      <c r="BR296" s="591"/>
      <c r="BS296" s="591"/>
      <c r="BT296" s="591"/>
      <c r="BU296" s="591"/>
      <c r="BV296" s="591"/>
      <c r="BW296" s="591"/>
      <c r="BX296" s="591"/>
      <c r="BY296" s="591"/>
      <c r="BZ296" s="591"/>
      <c r="CA296" s="591"/>
      <c r="CB296" s="591"/>
      <c r="CC296" s="591"/>
      <c r="CD296" s="591"/>
      <c r="CE296" s="591"/>
      <c r="CF296" s="591"/>
    </row>
    <row r="297" spans="1:84">
      <c r="A297" s="591"/>
      <c r="B297" s="591"/>
      <c r="C297" s="591"/>
      <c r="D297" s="591"/>
      <c r="E297" s="591"/>
      <c r="F297" s="591"/>
      <c r="G297" s="591"/>
      <c r="H297" s="591"/>
      <c r="I297" s="591"/>
      <c r="J297" s="591"/>
      <c r="K297" s="591"/>
      <c r="L297" s="591"/>
      <c r="M297" s="591"/>
      <c r="N297" s="591"/>
      <c r="O297" s="591"/>
      <c r="P297" s="591"/>
      <c r="Q297" s="591"/>
      <c r="R297" s="591"/>
      <c r="S297" s="591"/>
      <c r="T297" s="591"/>
      <c r="U297" s="591"/>
      <c r="V297" s="591"/>
      <c r="W297" s="591"/>
      <c r="X297" s="591"/>
      <c r="Y297" s="591"/>
      <c r="Z297" s="591"/>
      <c r="AA297" s="591"/>
      <c r="AB297" s="591"/>
      <c r="AC297" s="591"/>
      <c r="AD297" s="591"/>
      <c r="AE297" s="591"/>
      <c r="AF297" s="591"/>
      <c r="AG297" s="591"/>
      <c r="AH297" s="591"/>
      <c r="AI297" s="591"/>
      <c r="AJ297" s="591"/>
      <c r="AK297" s="591"/>
      <c r="AL297" s="591"/>
      <c r="AM297" s="591"/>
      <c r="AN297" s="591"/>
      <c r="AO297" s="591"/>
      <c r="AP297" s="591"/>
      <c r="AQ297" s="591"/>
      <c r="AR297" s="591"/>
      <c r="AS297" s="591"/>
      <c r="AT297" s="591"/>
      <c r="AU297" s="591"/>
      <c r="AV297" s="591"/>
      <c r="AW297" s="591"/>
      <c r="AX297" s="591"/>
      <c r="AY297" s="591"/>
      <c r="AZ297" s="591"/>
      <c r="BA297" s="591"/>
      <c r="BB297" s="591"/>
      <c r="BC297" s="591"/>
      <c r="BD297" s="591"/>
      <c r="BE297" s="591"/>
      <c r="BF297" s="591"/>
      <c r="BG297" s="591"/>
      <c r="BH297" s="591"/>
      <c r="BI297" s="591"/>
      <c r="BJ297" s="591"/>
      <c r="BK297" s="591"/>
      <c r="BL297" s="591"/>
      <c r="BM297" s="591"/>
      <c r="BN297" s="591"/>
      <c r="BO297" s="591"/>
      <c r="BP297" s="591"/>
      <c r="BQ297" s="591"/>
      <c r="BR297" s="591"/>
      <c r="BS297" s="591"/>
      <c r="BT297" s="591"/>
      <c r="BU297" s="591"/>
      <c r="BV297" s="591"/>
      <c r="BW297" s="591"/>
      <c r="BX297" s="591"/>
      <c r="BY297" s="591"/>
      <c r="BZ297" s="591"/>
      <c r="CA297" s="591"/>
      <c r="CB297" s="591"/>
      <c r="CC297" s="591"/>
      <c r="CD297" s="591"/>
      <c r="CE297" s="591"/>
      <c r="CF297" s="591"/>
    </row>
    <row r="298" spans="1:84">
      <c r="A298" s="591"/>
      <c r="B298" s="591"/>
      <c r="C298" s="591"/>
      <c r="D298" s="591"/>
      <c r="E298" s="591"/>
      <c r="F298" s="591"/>
      <c r="G298" s="591"/>
      <c r="H298" s="591"/>
      <c r="I298" s="591"/>
      <c r="J298" s="591"/>
      <c r="K298" s="591"/>
      <c r="L298" s="591"/>
      <c r="M298" s="591"/>
      <c r="N298" s="591"/>
      <c r="O298" s="591"/>
      <c r="P298" s="591"/>
      <c r="Q298" s="591"/>
      <c r="R298" s="591"/>
      <c r="S298" s="591"/>
      <c r="T298" s="591"/>
      <c r="U298" s="591"/>
      <c r="V298" s="591"/>
      <c r="W298" s="591"/>
      <c r="X298" s="591"/>
      <c r="Y298" s="591"/>
      <c r="Z298" s="591"/>
      <c r="AA298" s="591"/>
      <c r="AB298" s="591"/>
      <c r="AC298" s="591"/>
      <c r="AD298" s="591"/>
      <c r="AE298" s="591"/>
      <c r="AF298" s="591"/>
      <c r="AG298" s="591"/>
      <c r="AH298" s="591"/>
      <c r="AI298" s="591"/>
      <c r="AJ298" s="591"/>
      <c r="AK298" s="591"/>
      <c r="AL298" s="591"/>
      <c r="AM298" s="591"/>
      <c r="AN298" s="591"/>
      <c r="AO298" s="591"/>
      <c r="AP298" s="591"/>
      <c r="AQ298" s="591"/>
      <c r="AR298" s="591"/>
      <c r="AS298" s="591"/>
      <c r="AT298" s="591"/>
      <c r="AU298" s="591"/>
      <c r="AV298" s="591"/>
      <c r="AW298" s="591"/>
      <c r="AX298" s="591"/>
      <c r="AY298" s="591"/>
      <c r="AZ298" s="591"/>
      <c r="BA298" s="591"/>
      <c r="BB298" s="591"/>
      <c r="BC298" s="591"/>
      <c r="BD298" s="591"/>
      <c r="BE298" s="591"/>
      <c r="BF298" s="591"/>
      <c r="BG298" s="591"/>
      <c r="BH298" s="591"/>
      <c r="BI298" s="591"/>
      <c r="BJ298" s="591"/>
      <c r="BK298" s="591"/>
      <c r="BL298" s="591"/>
      <c r="BM298" s="591"/>
      <c r="BN298" s="591"/>
      <c r="BO298" s="591"/>
      <c r="BP298" s="591"/>
      <c r="BQ298" s="591"/>
      <c r="BR298" s="591"/>
      <c r="BS298" s="591"/>
      <c r="BT298" s="591"/>
      <c r="BU298" s="591"/>
      <c r="BV298" s="591"/>
      <c r="BW298" s="591"/>
      <c r="BX298" s="591"/>
      <c r="BY298" s="591"/>
      <c r="BZ298" s="591"/>
      <c r="CA298" s="591"/>
      <c r="CB298" s="591"/>
      <c r="CC298" s="591"/>
      <c r="CD298" s="591"/>
      <c r="CE298" s="591"/>
      <c r="CF298" s="591"/>
    </row>
    <row r="299" spans="1:84">
      <c r="A299" s="591"/>
      <c r="B299" s="591"/>
      <c r="C299" s="591"/>
      <c r="D299" s="591"/>
      <c r="E299" s="591"/>
      <c r="F299" s="591"/>
      <c r="G299" s="591"/>
      <c r="H299" s="591"/>
      <c r="I299" s="591"/>
      <c r="J299" s="591"/>
      <c r="K299" s="591"/>
      <c r="L299" s="591"/>
      <c r="M299" s="591"/>
      <c r="N299" s="591"/>
      <c r="O299" s="591"/>
      <c r="P299" s="591"/>
      <c r="Q299" s="591"/>
      <c r="R299" s="591"/>
      <c r="S299" s="591"/>
      <c r="T299" s="591"/>
      <c r="U299" s="591"/>
      <c r="V299" s="591"/>
      <c r="W299" s="591"/>
      <c r="X299" s="591"/>
      <c r="Y299" s="591"/>
      <c r="Z299" s="591"/>
      <c r="AA299" s="591"/>
      <c r="AB299" s="591"/>
      <c r="AC299" s="591"/>
      <c r="AD299" s="591"/>
      <c r="AE299" s="591"/>
      <c r="AF299" s="591"/>
      <c r="AG299" s="591"/>
      <c r="AH299" s="591"/>
      <c r="AI299" s="591"/>
      <c r="AJ299" s="591"/>
      <c r="AK299" s="591"/>
      <c r="AL299" s="591"/>
      <c r="AM299" s="591"/>
      <c r="AN299" s="591"/>
      <c r="AO299" s="591"/>
      <c r="AP299" s="591"/>
      <c r="AQ299" s="591"/>
      <c r="AR299" s="591"/>
      <c r="AS299" s="591"/>
      <c r="AT299" s="591"/>
      <c r="AU299" s="591"/>
      <c r="AV299" s="591"/>
      <c r="AW299" s="591"/>
      <c r="AX299" s="591"/>
      <c r="AY299" s="591"/>
      <c r="AZ299" s="591"/>
      <c r="BA299" s="591"/>
      <c r="BB299" s="591"/>
      <c r="BC299" s="591"/>
      <c r="BD299" s="591"/>
      <c r="BE299" s="591"/>
      <c r="BF299" s="591"/>
      <c r="BG299" s="591"/>
      <c r="BH299" s="591"/>
      <c r="BI299" s="591"/>
      <c r="BJ299" s="591"/>
      <c r="BK299" s="591"/>
      <c r="BL299" s="591"/>
      <c r="BM299" s="591"/>
      <c r="BN299" s="591"/>
      <c r="BO299" s="591"/>
      <c r="BP299" s="591"/>
      <c r="BQ299" s="591"/>
      <c r="BR299" s="591"/>
      <c r="BS299" s="591"/>
      <c r="BT299" s="591"/>
      <c r="BU299" s="591"/>
      <c r="BV299" s="591"/>
      <c r="BW299" s="591"/>
      <c r="BX299" s="591"/>
      <c r="BY299" s="591"/>
      <c r="BZ299" s="591"/>
      <c r="CA299" s="591"/>
      <c r="CB299" s="591"/>
      <c r="CC299" s="591"/>
      <c r="CD299" s="591"/>
      <c r="CE299" s="591"/>
      <c r="CF299" s="591"/>
    </row>
    <row r="300" spans="1:84">
      <c r="A300" s="591"/>
      <c r="B300" s="591"/>
      <c r="C300" s="591"/>
      <c r="D300" s="591"/>
      <c r="E300" s="591"/>
      <c r="F300" s="591"/>
      <c r="G300" s="591"/>
      <c r="H300" s="591"/>
      <c r="I300" s="591"/>
      <c r="J300" s="591"/>
      <c r="K300" s="591"/>
      <c r="L300" s="591"/>
      <c r="M300" s="591"/>
      <c r="N300" s="591"/>
      <c r="O300" s="591"/>
      <c r="P300" s="591"/>
      <c r="Q300" s="591"/>
      <c r="R300" s="591"/>
      <c r="S300" s="591"/>
      <c r="T300" s="591"/>
      <c r="U300" s="591"/>
      <c r="V300" s="591"/>
      <c r="W300" s="591"/>
      <c r="X300" s="591"/>
      <c r="Y300" s="591"/>
      <c r="Z300" s="591"/>
      <c r="AA300" s="591"/>
      <c r="AB300" s="591"/>
      <c r="AC300" s="591"/>
      <c r="AD300" s="591"/>
      <c r="AE300" s="591"/>
      <c r="AF300" s="591"/>
      <c r="AG300" s="591"/>
      <c r="AH300" s="591"/>
      <c r="AI300" s="591"/>
      <c r="AJ300" s="591"/>
      <c r="AK300" s="591"/>
      <c r="AL300" s="591"/>
      <c r="AM300" s="591"/>
      <c r="AN300" s="591"/>
      <c r="AO300" s="591"/>
      <c r="AP300" s="591"/>
      <c r="AQ300" s="591"/>
      <c r="AR300" s="591"/>
      <c r="AS300" s="591"/>
      <c r="AT300" s="591"/>
      <c r="AU300" s="591"/>
      <c r="AV300" s="591"/>
      <c r="AW300" s="591"/>
      <c r="AX300" s="591"/>
      <c r="AY300" s="591"/>
      <c r="AZ300" s="591"/>
      <c r="BA300" s="591"/>
      <c r="BB300" s="591"/>
      <c r="BC300" s="591"/>
      <c r="BD300" s="591"/>
      <c r="BE300" s="591"/>
      <c r="BF300" s="591"/>
      <c r="BG300" s="591"/>
      <c r="BH300" s="591"/>
      <c r="BI300" s="591"/>
      <c r="BJ300" s="591"/>
      <c r="BK300" s="591"/>
      <c r="BL300" s="591"/>
      <c r="BM300" s="591"/>
      <c r="BN300" s="591"/>
      <c r="BO300" s="591"/>
      <c r="BP300" s="591"/>
      <c r="BQ300" s="591"/>
      <c r="BR300" s="591"/>
      <c r="BS300" s="591"/>
      <c r="BT300" s="591"/>
      <c r="BU300" s="591"/>
      <c r="BV300" s="591"/>
      <c r="BW300" s="591"/>
      <c r="BX300" s="591"/>
      <c r="BY300" s="591"/>
      <c r="BZ300" s="591"/>
      <c r="CA300" s="591"/>
      <c r="CB300" s="591"/>
      <c r="CC300" s="591"/>
      <c r="CD300" s="591"/>
      <c r="CE300" s="591"/>
      <c r="CF300" s="591"/>
    </row>
    <row r="301" spans="1:84">
      <c r="A301" s="591"/>
      <c r="B301" s="591"/>
      <c r="C301" s="591"/>
      <c r="D301" s="591"/>
      <c r="E301" s="591"/>
      <c r="F301" s="591"/>
      <c r="G301" s="591"/>
      <c r="H301" s="591"/>
      <c r="I301" s="591"/>
      <c r="J301" s="591"/>
      <c r="K301" s="591"/>
      <c r="L301" s="591"/>
      <c r="M301" s="591"/>
      <c r="N301" s="591"/>
      <c r="O301" s="591"/>
      <c r="P301" s="591"/>
      <c r="Q301" s="591"/>
      <c r="R301" s="591"/>
      <c r="S301" s="591"/>
      <c r="T301" s="591"/>
      <c r="U301" s="591"/>
      <c r="V301" s="591"/>
      <c r="W301" s="591"/>
      <c r="X301" s="591"/>
      <c r="Y301" s="591"/>
      <c r="Z301" s="591"/>
      <c r="AA301" s="591"/>
      <c r="AB301" s="591"/>
      <c r="AC301" s="591"/>
      <c r="AD301" s="591"/>
      <c r="AE301" s="591"/>
      <c r="AF301" s="591"/>
      <c r="AG301" s="591"/>
      <c r="AH301" s="591"/>
      <c r="AI301" s="591"/>
      <c r="AJ301" s="591"/>
      <c r="AK301" s="591"/>
      <c r="AL301" s="591"/>
      <c r="AM301" s="591"/>
      <c r="AN301" s="591"/>
      <c r="AO301" s="591"/>
      <c r="AP301" s="591"/>
      <c r="AQ301" s="591"/>
      <c r="AR301" s="591"/>
      <c r="AS301" s="591"/>
      <c r="AT301" s="591"/>
      <c r="AU301" s="591"/>
      <c r="AV301" s="591"/>
      <c r="AW301" s="591"/>
      <c r="AX301" s="591"/>
      <c r="AY301" s="591"/>
      <c r="AZ301" s="591"/>
      <c r="BA301" s="591"/>
      <c r="BB301" s="591"/>
      <c r="BC301" s="591"/>
      <c r="BD301" s="591"/>
      <c r="BE301" s="591"/>
      <c r="BF301" s="591"/>
      <c r="BG301" s="591"/>
      <c r="BH301" s="591"/>
      <c r="BI301" s="591"/>
      <c r="BJ301" s="591"/>
      <c r="BK301" s="591"/>
      <c r="BL301" s="591"/>
      <c r="BM301" s="591"/>
      <c r="BN301" s="591"/>
      <c r="BO301" s="591"/>
      <c r="BP301" s="591"/>
      <c r="BQ301" s="591"/>
      <c r="BR301" s="591"/>
      <c r="BS301" s="591"/>
      <c r="BT301" s="591"/>
      <c r="BU301" s="591"/>
      <c r="BV301" s="591"/>
      <c r="BW301" s="591"/>
      <c r="BX301" s="591"/>
      <c r="BY301" s="591"/>
      <c r="BZ301" s="591"/>
      <c r="CA301" s="591"/>
      <c r="CB301" s="591"/>
      <c r="CC301" s="591"/>
      <c r="CD301" s="591"/>
      <c r="CE301" s="591"/>
      <c r="CF301" s="591"/>
    </row>
    <row r="302" spans="1:84">
      <c r="A302" s="591"/>
      <c r="B302" s="591"/>
      <c r="C302" s="591"/>
      <c r="D302" s="591"/>
      <c r="E302" s="591"/>
      <c r="F302" s="591"/>
      <c r="G302" s="591"/>
      <c r="H302" s="591"/>
      <c r="I302" s="591"/>
      <c r="J302" s="591"/>
      <c r="K302" s="591"/>
      <c r="L302" s="591"/>
      <c r="M302" s="591"/>
      <c r="N302" s="591"/>
      <c r="O302" s="591"/>
      <c r="P302" s="591"/>
      <c r="Q302" s="591"/>
      <c r="R302" s="591"/>
      <c r="S302" s="591"/>
      <c r="T302" s="591"/>
      <c r="U302" s="591"/>
      <c r="V302" s="591"/>
      <c r="W302" s="591"/>
      <c r="X302" s="591"/>
      <c r="Y302" s="591"/>
      <c r="Z302" s="591"/>
      <c r="AA302" s="591"/>
      <c r="AB302" s="591"/>
      <c r="AC302" s="591"/>
      <c r="AD302" s="591"/>
      <c r="AE302" s="591"/>
      <c r="AF302" s="591"/>
      <c r="AG302" s="591"/>
      <c r="AH302" s="591"/>
      <c r="AI302" s="591"/>
      <c r="AJ302" s="591"/>
      <c r="AK302" s="591"/>
      <c r="AL302" s="591"/>
      <c r="AM302" s="591"/>
      <c r="AN302" s="591"/>
      <c r="AO302" s="591"/>
      <c r="AP302" s="591"/>
      <c r="AQ302" s="591"/>
      <c r="AR302" s="591"/>
      <c r="AS302" s="591"/>
      <c r="AT302" s="591"/>
      <c r="AU302" s="591"/>
      <c r="AV302" s="591"/>
      <c r="AW302" s="591"/>
      <c r="AX302" s="591"/>
      <c r="AY302" s="591"/>
      <c r="AZ302" s="591"/>
      <c r="BA302" s="591"/>
      <c r="BB302" s="591"/>
      <c r="BC302" s="591"/>
      <c r="BD302" s="591"/>
      <c r="BE302" s="591"/>
      <c r="BF302" s="591"/>
      <c r="BG302" s="591"/>
      <c r="BH302" s="591"/>
      <c r="BI302" s="591"/>
      <c r="BJ302" s="591"/>
      <c r="BK302" s="591"/>
      <c r="BL302" s="591"/>
      <c r="BM302" s="591"/>
      <c r="BN302" s="591"/>
      <c r="BO302" s="591"/>
      <c r="BP302" s="591"/>
      <c r="BQ302" s="591"/>
      <c r="BR302" s="591"/>
      <c r="BS302" s="591"/>
      <c r="BT302" s="591"/>
      <c r="BU302" s="591"/>
      <c r="BV302" s="591"/>
      <c r="BW302" s="591"/>
      <c r="BX302" s="591"/>
      <c r="BY302" s="591"/>
      <c r="BZ302" s="591"/>
      <c r="CA302" s="591"/>
      <c r="CB302" s="591"/>
      <c r="CC302" s="591"/>
      <c r="CD302" s="591"/>
      <c r="CE302" s="591"/>
      <c r="CF302" s="591"/>
    </row>
    <row r="303" spans="1:84">
      <c r="A303" s="591"/>
      <c r="B303" s="591"/>
      <c r="C303" s="591"/>
      <c r="D303" s="591"/>
      <c r="E303" s="591"/>
      <c r="F303" s="591"/>
      <c r="G303" s="591"/>
      <c r="H303" s="591"/>
      <c r="I303" s="591"/>
      <c r="J303" s="591"/>
      <c r="K303" s="591"/>
      <c r="L303" s="591"/>
      <c r="M303" s="591"/>
      <c r="N303" s="591"/>
      <c r="O303" s="591"/>
      <c r="P303" s="591"/>
      <c r="Q303" s="591"/>
      <c r="R303" s="591"/>
      <c r="S303" s="591"/>
      <c r="T303" s="591"/>
      <c r="U303" s="591"/>
      <c r="V303" s="591"/>
      <c r="W303" s="591"/>
      <c r="X303" s="591"/>
      <c r="Y303" s="591"/>
      <c r="Z303" s="591"/>
      <c r="AA303" s="591"/>
      <c r="AB303" s="591"/>
      <c r="AC303" s="591"/>
      <c r="AD303" s="591"/>
      <c r="AE303" s="591"/>
      <c r="AF303" s="591"/>
      <c r="AG303" s="591"/>
      <c r="AH303" s="591"/>
      <c r="AI303" s="591"/>
      <c r="AJ303" s="591"/>
      <c r="AK303" s="591"/>
      <c r="AL303" s="591"/>
      <c r="AM303" s="591"/>
      <c r="AN303" s="591"/>
      <c r="AO303" s="591"/>
      <c r="AP303" s="591"/>
      <c r="AQ303" s="591"/>
      <c r="AR303" s="591"/>
      <c r="AS303" s="591"/>
      <c r="AT303" s="591"/>
      <c r="AU303" s="591"/>
      <c r="AV303" s="591"/>
      <c r="AW303" s="591"/>
      <c r="AX303" s="591"/>
      <c r="AY303" s="591"/>
      <c r="AZ303" s="591"/>
      <c r="BA303" s="591"/>
      <c r="BB303" s="591"/>
      <c r="BC303" s="591"/>
      <c r="BD303" s="591"/>
      <c r="BE303" s="591"/>
      <c r="BF303" s="591"/>
      <c r="BG303" s="591"/>
      <c r="BH303" s="591"/>
      <c r="BI303" s="591"/>
      <c r="BJ303" s="591"/>
      <c r="BK303" s="591"/>
      <c r="BL303" s="591"/>
      <c r="BM303" s="591"/>
      <c r="BN303" s="591"/>
      <c r="BO303" s="591"/>
      <c r="BP303" s="591"/>
      <c r="BQ303" s="591"/>
      <c r="BR303" s="591"/>
      <c r="BS303" s="591"/>
      <c r="BT303" s="591"/>
      <c r="BU303" s="591"/>
      <c r="BV303" s="591"/>
      <c r="BW303" s="591"/>
      <c r="BX303" s="591"/>
      <c r="BY303" s="591"/>
      <c r="BZ303" s="591"/>
      <c r="CA303" s="591"/>
      <c r="CB303" s="591"/>
      <c r="CC303" s="591"/>
      <c r="CD303" s="591"/>
      <c r="CE303" s="591"/>
      <c r="CF303" s="591"/>
    </row>
    <row r="304" spans="1:84">
      <c r="A304" s="591"/>
      <c r="B304" s="591"/>
      <c r="C304" s="591"/>
      <c r="D304" s="591"/>
      <c r="E304" s="591"/>
      <c r="F304" s="591"/>
      <c r="G304" s="591"/>
      <c r="H304" s="591"/>
      <c r="I304" s="591"/>
      <c r="J304" s="591"/>
      <c r="K304" s="591"/>
      <c r="L304" s="591"/>
      <c r="M304" s="591"/>
      <c r="N304" s="591"/>
      <c r="O304" s="591"/>
      <c r="P304" s="591"/>
      <c r="Q304" s="591"/>
      <c r="R304" s="591"/>
      <c r="S304" s="591"/>
      <c r="T304" s="591"/>
      <c r="U304" s="591"/>
      <c r="V304" s="591"/>
      <c r="W304" s="591"/>
      <c r="X304" s="591"/>
      <c r="Y304" s="591"/>
      <c r="Z304" s="591"/>
      <c r="AA304" s="591"/>
      <c r="AB304" s="591"/>
      <c r="AC304" s="591"/>
      <c r="AD304" s="591"/>
      <c r="AE304" s="591"/>
      <c r="AF304" s="591"/>
      <c r="AG304" s="591"/>
      <c r="AH304" s="591"/>
      <c r="AI304" s="591"/>
      <c r="AJ304" s="591"/>
      <c r="AK304" s="591"/>
      <c r="AL304" s="591"/>
      <c r="AM304" s="591"/>
      <c r="AN304" s="591"/>
      <c r="AO304" s="591"/>
      <c r="AP304" s="591"/>
      <c r="AQ304" s="591"/>
      <c r="AR304" s="591"/>
      <c r="AS304" s="591"/>
      <c r="AT304" s="591"/>
      <c r="AU304" s="591"/>
      <c r="AV304" s="591"/>
      <c r="AW304" s="591"/>
      <c r="AX304" s="591"/>
      <c r="AY304" s="591"/>
      <c r="AZ304" s="591"/>
      <c r="BA304" s="591"/>
      <c r="BB304" s="591"/>
      <c r="BC304" s="591"/>
      <c r="BD304" s="591"/>
      <c r="BE304" s="591"/>
      <c r="BF304" s="591"/>
      <c r="BG304" s="591"/>
      <c r="BH304" s="591"/>
      <c r="BI304" s="591"/>
      <c r="BJ304" s="591"/>
      <c r="BK304" s="591"/>
      <c r="BL304" s="591"/>
      <c r="BM304" s="591"/>
      <c r="BN304" s="591"/>
      <c r="BO304" s="591"/>
      <c r="BP304" s="591"/>
      <c r="BQ304" s="591"/>
      <c r="BR304" s="591"/>
      <c r="BS304" s="591"/>
      <c r="BT304" s="591"/>
      <c r="BU304" s="591"/>
      <c r="BV304" s="591"/>
      <c r="BW304" s="591"/>
      <c r="BX304" s="591"/>
      <c r="BY304" s="591"/>
      <c r="BZ304" s="591"/>
      <c r="CA304" s="591"/>
      <c r="CB304" s="591"/>
      <c r="CC304" s="591"/>
      <c r="CD304" s="591"/>
      <c r="CE304" s="591"/>
      <c r="CF304" s="591"/>
    </row>
    <row r="305" spans="1:84">
      <c r="A305" s="591"/>
      <c r="B305" s="591"/>
      <c r="C305" s="591"/>
      <c r="D305" s="591"/>
      <c r="E305" s="591"/>
      <c r="F305" s="591"/>
      <c r="G305" s="591"/>
      <c r="H305" s="591"/>
      <c r="I305" s="591"/>
      <c r="J305" s="591"/>
      <c r="K305" s="591"/>
      <c r="L305" s="591"/>
      <c r="M305" s="591"/>
      <c r="N305" s="591"/>
      <c r="O305" s="591"/>
      <c r="P305" s="591"/>
      <c r="Q305" s="591"/>
      <c r="R305" s="591"/>
      <c r="S305" s="591"/>
      <c r="T305" s="591"/>
      <c r="U305" s="591"/>
      <c r="V305" s="591"/>
      <c r="W305" s="591"/>
      <c r="X305" s="591"/>
      <c r="Y305" s="591"/>
      <c r="Z305" s="591"/>
      <c r="AA305" s="591"/>
      <c r="AB305" s="591"/>
      <c r="AC305" s="591"/>
      <c r="AD305" s="591"/>
      <c r="AE305" s="591"/>
      <c r="AF305" s="591"/>
      <c r="AG305" s="591"/>
      <c r="AH305" s="591"/>
      <c r="AI305" s="591"/>
      <c r="AJ305" s="591"/>
      <c r="AK305" s="591"/>
      <c r="AL305" s="591"/>
      <c r="AM305" s="591"/>
      <c r="AN305" s="591"/>
      <c r="AO305" s="591"/>
      <c r="AP305" s="591"/>
      <c r="AQ305" s="591"/>
      <c r="AR305" s="591"/>
      <c r="AS305" s="591"/>
      <c r="AT305" s="591"/>
      <c r="AU305" s="591"/>
      <c r="AV305" s="591"/>
      <c r="AW305" s="591"/>
      <c r="AX305" s="591"/>
      <c r="AY305" s="591"/>
      <c r="AZ305" s="591"/>
      <c r="BA305" s="591"/>
      <c r="BB305" s="591"/>
      <c r="BC305" s="591"/>
      <c r="BD305" s="591"/>
      <c r="BE305" s="591"/>
      <c r="BF305" s="591"/>
      <c r="BG305" s="591"/>
      <c r="BH305" s="591"/>
      <c r="BI305" s="591"/>
      <c r="BJ305" s="591"/>
      <c r="BK305" s="591"/>
      <c r="BL305" s="591"/>
      <c r="BM305" s="591"/>
      <c r="BN305" s="591"/>
      <c r="BO305" s="591"/>
      <c r="BP305" s="591"/>
      <c r="BQ305" s="591"/>
      <c r="BR305" s="591"/>
      <c r="BS305" s="591"/>
      <c r="BT305" s="591"/>
      <c r="BU305" s="591"/>
      <c r="BV305" s="591"/>
      <c r="BW305" s="591"/>
      <c r="BX305" s="591"/>
      <c r="BY305" s="591"/>
      <c r="BZ305" s="591"/>
      <c r="CA305" s="591"/>
      <c r="CB305" s="591"/>
      <c r="CC305" s="591"/>
      <c r="CD305" s="591"/>
      <c r="CE305" s="591"/>
      <c r="CF305" s="591"/>
    </row>
    <row r="306" spans="1:84">
      <c r="A306" s="591"/>
      <c r="B306" s="591"/>
      <c r="C306" s="591"/>
      <c r="D306" s="591"/>
      <c r="E306" s="591"/>
      <c r="F306" s="591"/>
      <c r="G306" s="591"/>
      <c r="H306" s="591"/>
      <c r="I306" s="591"/>
      <c r="J306" s="591"/>
      <c r="K306" s="591"/>
      <c r="L306" s="591"/>
      <c r="M306" s="591"/>
      <c r="N306" s="591"/>
      <c r="O306" s="591"/>
      <c r="P306" s="591"/>
      <c r="Q306" s="591"/>
      <c r="R306" s="591"/>
      <c r="S306" s="591"/>
      <c r="T306" s="591"/>
      <c r="U306" s="591"/>
      <c r="V306" s="591"/>
      <c r="W306" s="591"/>
      <c r="X306" s="591"/>
      <c r="Y306" s="591"/>
      <c r="Z306" s="591"/>
      <c r="AA306" s="591"/>
      <c r="AB306" s="591"/>
      <c r="AC306" s="591"/>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1"/>
      <c r="AY306" s="591"/>
      <c r="AZ306" s="591"/>
      <c r="BA306" s="591"/>
      <c r="BB306" s="591"/>
      <c r="BC306" s="591"/>
      <c r="BD306" s="591"/>
      <c r="BE306" s="591"/>
      <c r="BF306" s="591"/>
      <c r="BG306" s="591"/>
      <c r="BH306" s="591"/>
      <c r="BI306" s="591"/>
      <c r="BJ306" s="591"/>
      <c r="BK306" s="591"/>
      <c r="BL306" s="591"/>
      <c r="BM306" s="591"/>
      <c r="BN306" s="591"/>
      <c r="BO306" s="591"/>
      <c r="BP306" s="591"/>
      <c r="BQ306" s="591"/>
      <c r="BR306" s="591"/>
      <c r="BS306" s="591"/>
      <c r="BT306" s="591"/>
      <c r="BU306" s="591"/>
      <c r="BV306" s="591"/>
      <c r="BW306" s="591"/>
      <c r="BX306" s="591"/>
      <c r="BY306" s="591"/>
      <c r="BZ306" s="591"/>
      <c r="CA306" s="591"/>
      <c r="CB306" s="591"/>
      <c r="CC306" s="591"/>
      <c r="CD306" s="591"/>
      <c r="CE306" s="591"/>
      <c r="CF306" s="591"/>
    </row>
    <row r="307" spans="1:84">
      <c r="A307" s="591"/>
      <c r="B307" s="591"/>
      <c r="C307" s="591"/>
      <c r="D307" s="591"/>
      <c r="E307" s="591"/>
      <c r="F307" s="591"/>
      <c r="G307" s="591"/>
      <c r="H307" s="591"/>
      <c r="I307" s="591"/>
      <c r="J307" s="591"/>
      <c r="K307" s="591"/>
      <c r="L307" s="591"/>
      <c r="M307" s="591"/>
      <c r="N307" s="591"/>
      <c r="O307" s="591"/>
      <c r="P307" s="591"/>
      <c r="Q307" s="591"/>
      <c r="R307" s="591"/>
      <c r="S307" s="591"/>
      <c r="T307" s="591"/>
      <c r="U307" s="591"/>
      <c r="V307" s="591"/>
      <c r="W307" s="591"/>
      <c r="X307" s="591"/>
      <c r="Y307" s="591"/>
      <c r="Z307" s="591"/>
      <c r="AA307" s="591"/>
      <c r="AB307" s="591"/>
      <c r="AC307" s="591"/>
      <c r="AD307" s="591"/>
      <c r="AE307" s="591"/>
      <c r="AF307" s="591"/>
      <c r="AG307" s="591"/>
      <c r="AH307" s="591"/>
      <c r="AI307" s="591"/>
      <c r="AJ307" s="591"/>
      <c r="AK307" s="591"/>
      <c r="AL307" s="591"/>
      <c r="AM307" s="591"/>
      <c r="AN307" s="591"/>
      <c r="AO307" s="591"/>
      <c r="AP307" s="591"/>
      <c r="AQ307" s="591"/>
      <c r="AR307" s="591"/>
      <c r="AS307" s="591"/>
      <c r="AT307" s="591"/>
      <c r="AU307" s="591"/>
      <c r="AV307" s="591"/>
      <c r="AW307" s="591"/>
      <c r="AX307" s="591"/>
      <c r="AY307" s="591"/>
      <c r="AZ307" s="591"/>
      <c r="BA307" s="591"/>
      <c r="BB307" s="591"/>
      <c r="BC307" s="591"/>
      <c r="BD307" s="591"/>
      <c r="BE307" s="591"/>
      <c r="BF307" s="591"/>
      <c r="BG307" s="591"/>
      <c r="BH307" s="591"/>
      <c r="BI307" s="591"/>
      <c r="BJ307" s="591"/>
      <c r="BK307" s="591"/>
      <c r="BL307" s="591"/>
      <c r="BM307" s="591"/>
      <c r="BN307" s="591"/>
      <c r="BO307" s="591"/>
      <c r="BP307" s="591"/>
      <c r="BQ307" s="591"/>
      <c r="BR307" s="591"/>
      <c r="BS307" s="591"/>
      <c r="BT307" s="591"/>
      <c r="BU307" s="591"/>
      <c r="BV307" s="591"/>
      <c r="BW307" s="591"/>
      <c r="BX307" s="591"/>
      <c r="BY307" s="591"/>
      <c r="BZ307" s="591"/>
      <c r="CA307" s="591"/>
      <c r="CB307" s="591"/>
      <c r="CC307" s="591"/>
      <c r="CD307" s="591"/>
      <c r="CE307" s="591"/>
      <c r="CF307" s="591"/>
    </row>
    <row r="308" spans="1:84">
      <c r="A308" s="591"/>
      <c r="B308" s="591"/>
      <c r="C308" s="591"/>
      <c r="D308" s="591"/>
      <c r="E308" s="591"/>
      <c r="F308" s="591"/>
      <c r="G308" s="591"/>
      <c r="H308" s="591"/>
      <c r="I308" s="591"/>
      <c r="J308" s="591"/>
      <c r="K308" s="591"/>
      <c r="L308" s="591"/>
      <c r="M308" s="591"/>
      <c r="N308" s="591"/>
      <c r="O308" s="591"/>
      <c r="P308" s="591"/>
      <c r="Q308" s="591"/>
      <c r="R308" s="591"/>
      <c r="S308" s="591"/>
      <c r="T308" s="591"/>
      <c r="U308" s="591"/>
      <c r="V308" s="591"/>
      <c r="W308" s="591"/>
      <c r="X308" s="591"/>
      <c r="Y308" s="591"/>
      <c r="Z308" s="591"/>
      <c r="AA308" s="591"/>
      <c r="AB308" s="591"/>
      <c r="AC308" s="591"/>
      <c r="AD308" s="591"/>
      <c r="AE308" s="591"/>
      <c r="AF308" s="591"/>
      <c r="AG308" s="591"/>
      <c r="AH308" s="591"/>
      <c r="AI308" s="591"/>
      <c r="AJ308" s="591"/>
      <c r="AK308" s="591"/>
      <c r="AL308" s="591"/>
      <c r="AM308" s="591"/>
      <c r="AN308" s="591"/>
      <c r="AO308" s="591"/>
      <c r="AP308" s="591"/>
      <c r="AQ308" s="591"/>
      <c r="AR308" s="591"/>
      <c r="AS308" s="591"/>
      <c r="AT308" s="591"/>
      <c r="AU308" s="591"/>
      <c r="AV308" s="591"/>
      <c r="AW308" s="591"/>
      <c r="AX308" s="591"/>
      <c r="AY308" s="591"/>
      <c r="AZ308" s="591"/>
      <c r="BA308" s="591"/>
      <c r="BB308" s="591"/>
      <c r="BC308" s="591"/>
      <c r="BD308" s="591"/>
      <c r="BE308" s="591"/>
      <c r="BF308" s="591"/>
      <c r="BG308" s="591"/>
      <c r="BH308" s="591"/>
      <c r="BI308" s="591"/>
      <c r="BJ308" s="591"/>
      <c r="BK308" s="591"/>
      <c r="BL308" s="591"/>
      <c r="BM308" s="591"/>
      <c r="BN308" s="591"/>
      <c r="BO308" s="591"/>
      <c r="BP308" s="591"/>
      <c r="BQ308" s="591"/>
      <c r="BR308" s="591"/>
      <c r="BS308" s="591"/>
      <c r="BT308" s="591"/>
      <c r="BU308" s="591"/>
      <c r="BV308" s="591"/>
      <c r="BW308" s="591"/>
      <c r="BX308" s="591"/>
      <c r="BY308" s="591"/>
      <c r="BZ308" s="591"/>
      <c r="CA308" s="591"/>
      <c r="CB308" s="591"/>
      <c r="CC308" s="591"/>
      <c r="CD308" s="591"/>
      <c r="CE308" s="591"/>
      <c r="CF308" s="591"/>
    </row>
    <row r="309" spans="1:84">
      <c r="A309" s="591"/>
      <c r="B309" s="591"/>
      <c r="C309" s="591"/>
      <c r="D309" s="591"/>
      <c r="E309" s="591"/>
      <c r="F309" s="591"/>
      <c r="G309" s="591"/>
      <c r="H309" s="591"/>
      <c r="I309" s="591"/>
      <c r="J309" s="591"/>
      <c r="K309" s="591"/>
      <c r="L309" s="591"/>
      <c r="M309" s="591"/>
      <c r="N309" s="591"/>
      <c r="O309" s="591"/>
      <c r="P309" s="591"/>
      <c r="Q309" s="591"/>
      <c r="R309" s="591"/>
      <c r="S309" s="591"/>
      <c r="T309" s="591"/>
      <c r="U309" s="591"/>
      <c r="V309" s="591"/>
      <c r="W309" s="591"/>
      <c r="X309" s="591"/>
      <c r="Y309" s="591"/>
      <c r="Z309" s="591"/>
      <c r="AA309" s="591"/>
      <c r="AB309" s="591"/>
      <c r="AC309" s="591"/>
      <c r="AD309" s="591"/>
      <c r="AE309" s="591"/>
      <c r="AF309" s="591"/>
      <c r="AG309" s="591"/>
      <c r="AH309" s="591"/>
      <c r="AI309" s="591"/>
      <c r="AJ309" s="591"/>
      <c r="AK309" s="591"/>
      <c r="AL309" s="591"/>
      <c r="AM309" s="591"/>
      <c r="AN309" s="591"/>
      <c r="AO309" s="591"/>
      <c r="AP309" s="591"/>
      <c r="AQ309" s="591"/>
      <c r="AR309" s="591"/>
      <c r="AS309" s="591"/>
      <c r="AT309" s="591"/>
      <c r="AU309" s="591"/>
      <c r="AV309" s="591"/>
      <c r="AW309" s="591"/>
      <c r="AX309" s="591"/>
      <c r="AY309" s="591"/>
      <c r="AZ309" s="591"/>
      <c r="BA309" s="591"/>
      <c r="BB309" s="591"/>
      <c r="BC309" s="591"/>
      <c r="BD309" s="591"/>
      <c r="BE309" s="591"/>
      <c r="BF309" s="591"/>
      <c r="BG309" s="591"/>
      <c r="BH309" s="591"/>
      <c r="BI309" s="591"/>
      <c r="BJ309" s="591"/>
      <c r="BK309" s="591"/>
      <c r="BL309" s="591"/>
      <c r="BM309" s="591"/>
      <c r="BN309" s="591"/>
      <c r="BO309" s="591"/>
      <c r="BP309" s="591"/>
      <c r="BQ309" s="591"/>
      <c r="BR309" s="591"/>
      <c r="BS309" s="591"/>
      <c r="BT309" s="591"/>
      <c r="BU309" s="591"/>
      <c r="BV309" s="591"/>
      <c r="BW309" s="591"/>
      <c r="BX309" s="591"/>
      <c r="BY309" s="591"/>
      <c r="BZ309" s="591"/>
      <c r="CA309" s="591"/>
      <c r="CB309" s="591"/>
      <c r="CC309" s="591"/>
      <c r="CD309" s="591"/>
      <c r="CE309" s="591"/>
      <c r="CF309" s="591"/>
    </row>
    <row r="310" spans="1:84">
      <c r="A310" s="591"/>
      <c r="B310" s="591"/>
      <c r="C310" s="591"/>
      <c r="D310" s="591"/>
      <c r="E310" s="591"/>
      <c r="F310" s="591"/>
      <c r="G310" s="591"/>
      <c r="H310" s="591"/>
      <c r="I310" s="591"/>
      <c r="J310" s="591"/>
      <c r="K310" s="591"/>
      <c r="L310" s="591"/>
      <c r="M310" s="591"/>
      <c r="N310" s="591"/>
      <c r="O310" s="591"/>
      <c r="P310" s="591"/>
      <c r="Q310" s="591"/>
      <c r="R310" s="591"/>
      <c r="S310" s="591"/>
      <c r="T310" s="591"/>
      <c r="U310" s="591"/>
      <c r="V310" s="591"/>
      <c r="W310" s="591"/>
      <c r="X310" s="591"/>
      <c r="Y310" s="591"/>
      <c r="Z310" s="591"/>
      <c r="AA310" s="591"/>
      <c r="AB310" s="591"/>
      <c r="AC310" s="591"/>
      <c r="AD310" s="591"/>
      <c r="AE310" s="591"/>
      <c r="AF310" s="591"/>
      <c r="AG310" s="591"/>
      <c r="AH310" s="591"/>
      <c r="AI310" s="591"/>
      <c r="AJ310" s="591"/>
      <c r="AK310" s="591"/>
      <c r="AL310" s="591"/>
      <c r="AM310" s="591"/>
      <c r="AN310" s="591"/>
      <c r="AO310" s="591"/>
      <c r="AP310" s="591"/>
      <c r="AQ310" s="591"/>
      <c r="AR310" s="591"/>
      <c r="AS310" s="591"/>
      <c r="AT310" s="591"/>
      <c r="AU310" s="591"/>
      <c r="AV310" s="591"/>
      <c r="AW310" s="591"/>
      <c r="AX310" s="591"/>
      <c r="AY310" s="591"/>
      <c r="AZ310" s="591"/>
      <c r="BA310" s="591"/>
      <c r="BB310" s="591"/>
      <c r="BC310" s="591"/>
      <c r="BD310" s="591"/>
      <c r="BE310" s="591"/>
      <c r="BF310" s="591"/>
      <c r="BG310" s="591"/>
      <c r="BH310" s="591"/>
      <c r="BI310" s="591"/>
      <c r="BJ310" s="591"/>
      <c r="BK310" s="591"/>
      <c r="BL310" s="591"/>
      <c r="BM310" s="591"/>
      <c r="BN310" s="591"/>
      <c r="BO310" s="591"/>
      <c r="BP310" s="591"/>
      <c r="BQ310" s="591"/>
      <c r="BR310" s="591"/>
      <c r="BS310" s="591"/>
      <c r="BT310" s="591"/>
      <c r="BU310" s="591"/>
      <c r="BV310" s="591"/>
      <c r="BW310" s="591"/>
      <c r="BX310" s="591"/>
      <c r="BY310" s="591"/>
      <c r="BZ310" s="591"/>
      <c r="CA310" s="591"/>
      <c r="CB310" s="591"/>
      <c r="CC310" s="591"/>
      <c r="CD310" s="591"/>
      <c r="CE310" s="591"/>
      <c r="CF310" s="591"/>
    </row>
    <row r="311" spans="1:84">
      <c r="A311" s="591"/>
      <c r="B311" s="591"/>
      <c r="C311" s="591"/>
      <c r="D311" s="591"/>
      <c r="E311" s="591"/>
      <c r="F311" s="591"/>
      <c r="G311" s="591"/>
      <c r="H311" s="591"/>
      <c r="I311" s="591"/>
      <c r="J311" s="591"/>
      <c r="K311" s="591"/>
      <c r="L311" s="591"/>
      <c r="M311" s="591"/>
      <c r="N311" s="591"/>
      <c r="O311" s="591"/>
      <c r="P311" s="591"/>
      <c r="Q311" s="591"/>
      <c r="R311" s="591"/>
      <c r="S311" s="591"/>
      <c r="T311" s="591"/>
      <c r="U311" s="591"/>
      <c r="V311" s="591"/>
      <c r="W311" s="591"/>
      <c r="X311" s="591"/>
      <c r="Y311" s="591"/>
      <c r="Z311" s="591"/>
      <c r="AA311" s="591"/>
      <c r="AB311" s="591"/>
      <c r="AC311" s="591"/>
      <c r="AD311" s="591"/>
      <c r="AE311" s="591"/>
      <c r="AF311" s="591"/>
      <c r="AG311" s="591"/>
      <c r="AH311" s="591"/>
      <c r="AI311" s="591"/>
      <c r="AJ311" s="591"/>
      <c r="AK311" s="591"/>
      <c r="AL311" s="591"/>
      <c r="AM311" s="591"/>
      <c r="AN311" s="591"/>
      <c r="AO311" s="591"/>
      <c r="AP311" s="591"/>
      <c r="AQ311" s="591"/>
      <c r="AR311" s="591"/>
      <c r="AS311" s="591"/>
      <c r="AT311" s="591"/>
      <c r="AU311" s="591"/>
      <c r="AV311" s="591"/>
      <c r="AW311" s="591"/>
      <c r="AX311" s="591"/>
      <c r="AY311" s="591"/>
      <c r="AZ311" s="591"/>
      <c r="BA311" s="591"/>
      <c r="BB311" s="591"/>
      <c r="BC311" s="591"/>
      <c r="BD311" s="591"/>
      <c r="BE311" s="591"/>
      <c r="BF311" s="591"/>
      <c r="BG311" s="591"/>
      <c r="BH311" s="591"/>
      <c r="BI311" s="591"/>
      <c r="BJ311" s="591"/>
      <c r="BK311" s="591"/>
      <c r="BL311" s="591"/>
      <c r="BM311" s="591"/>
      <c r="BN311" s="591"/>
      <c r="BO311" s="591"/>
      <c r="BP311" s="591"/>
      <c r="BQ311" s="591"/>
      <c r="BR311" s="591"/>
      <c r="BS311" s="591"/>
      <c r="BT311" s="591"/>
      <c r="BU311" s="591"/>
      <c r="BV311" s="591"/>
      <c r="BW311" s="591"/>
      <c r="BX311" s="591"/>
      <c r="BY311" s="591"/>
      <c r="BZ311" s="591"/>
      <c r="CA311" s="591"/>
      <c r="CB311" s="591"/>
      <c r="CC311" s="591"/>
      <c r="CD311" s="591"/>
      <c r="CE311" s="591"/>
      <c r="CF311" s="591"/>
    </row>
    <row r="312" spans="1:84">
      <c r="A312" s="591"/>
      <c r="B312" s="591"/>
      <c r="C312" s="591"/>
      <c r="D312" s="591"/>
      <c r="E312" s="591"/>
      <c r="F312" s="591"/>
      <c r="G312" s="591"/>
      <c r="H312" s="591"/>
      <c r="I312" s="591"/>
      <c r="J312" s="591"/>
      <c r="K312" s="591"/>
      <c r="L312" s="591"/>
      <c r="M312" s="591"/>
      <c r="N312" s="591"/>
      <c r="O312" s="591"/>
      <c r="P312" s="591"/>
      <c r="Q312" s="591"/>
      <c r="R312" s="591"/>
      <c r="S312" s="591"/>
      <c r="T312" s="591"/>
      <c r="U312" s="591"/>
      <c r="V312" s="591"/>
      <c r="W312" s="591"/>
      <c r="X312" s="591"/>
      <c r="Y312" s="591"/>
      <c r="Z312" s="591"/>
      <c r="AA312" s="591"/>
      <c r="AB312" s="591"/>
      <c r="AC312" s="591"/>
      <c r="AD312" s="591"/>
      <c r="AE312" s="591"/>
      <c r="AF312" s="591"/>
      <c r="AG312" s="591"/>
      <c r="AH312" s="591"/>
      <c r="AI312" s="591"/>
      <c r="AJ312" s="591"/>
      <c r="AK312" s="591"/>
      <c r="AL312" s="591"/>
      <c r="AM312" s="591"/>
      <c r="AN312" s="591"/>
      <c r="AO312" s="591"/>
      <c r="AP312" s="591"/>
      <c r="AQ312" s="591"/>
      <c r="AR312" s="591"/>
      <c r="AS312" s="591"/>
      <c r="AT312" s="591"/>
      <c r="AU312" s="591"/>
      <c r="AV312" s="591"/>
      <c r="AW312" s="591"/>
      <c r="AX312" s="591"/>
      <c r="AY312" s="591"/>
      <c r="AZ312" s="591"/>
      <c r="BA312" s="591"/>
      <c r="BB312" s="591"/>
      <c r="BC312" s="591"/>
      <c r="BD312" s="591"/>
      <c r="BE312" s="591"/>
      <c r="BF312" s="591"/>
      <c r="BG312" s="591"/>
      <c r="BH312" s="591"/>
      <c r="BI312" s="591"/>
      <c r="BJ312" s="591"/>
      <c r="BK312" s="591"/>
      <c r="BL312" s="591"/>
      <c r="BM312" s="591"/>
      <c r="BN312" s="591"/>
      <c r="BO312" s="591"/>
      <c r="BP312" s="591"/>
      <c r="BQ312" s="591"/>
      <c r="BR312" s="591"/>
      <c r="BS312" s="591"/>
      <c r="BT312" s="591"/>
      <c r="BU312" s="591"/>
      <c r="BV312" s="591"/>
      <c r="BW312" s="591"/>
      <c r="BX312" s="591"/>
      <c r="BY312" s="591"/>
      <c r="BZ312" s="591"/>
      <c r="CA312" s="591"/>
      <c r="CB312" s="591"/>
      <c r="CC312" s="591"/>
      <c r="CD312" s="591"/>
      <c r="CE312" s="591"/>
      <c r="CF312" s="591"/>
    </row>
    <row r="313" spans="1:84">
      <c r="A313" s="591"/>
      <c r="B313" s="591"/>
      <c r="C313" s="591"/>
      <c r="D313" s="591"/>
      <c r="E313" s="591"/>
      <c r="F313" s="591"/>
      <c r="G313" s="591"/>
      <c r="H313" s="591"/>
      <c r="I313" s="591"/>
      <c r="J313" s="591"/>
      <c r="K313" s="591"/>
      <c r="L313" s="591"/>
      <c r="M313" s="591"/>
      <c r="N313" s="591"/>
      <c r="O313" s="591"/>
      <c r="P313" s="591"/>
      <c r="Q313" s="591"/>
      <c r="R313" s="591"/>
      <c r="S313" s="591"/>
      <c r="T313" s="591"/>
      <c r="U313" s="591"/>
      <c r="V313" s="591"/>
      <c r="W313" s="591"/>
      <c r="X313" s="591"/>
      <c r="Y313" s="591"/>
      <c r="Z313" s="591"/>
      <c r="AA313" s="591"/>
      <c r="AB313" s="591"/>
      <c r="AC313" s="591"/>
      <c r="AD313" s="591"/>
      <c r="AE313" s="591"/>
      <c r="AF313" s="591"/>
      <c r="AG313" s="591"/>
      <c r="AH313" s="591"/>
      <c r="AI313" s="591"/>
      <c r="AJ313" s="591"/>
      <c r="AK313" s="591"/>
      <c r="AL313" s="591"/>
      <c r="AM313" s="591"/>
      <c r="AN313" s="591"/>
      <c r="AO313" s="591"/>
      <c r="AP313" s="591"/>
      <c r="AQ313" s="591"/>
      <c r="AR313" s="591"/>
      <c r="AS313" s="591"/>
      <c r="AT313" s="591"/>
      <c r="AU313" s="591"/>
      <c r="AV313" s="591"/>
      <c r="AW313" s="591"/>
      <c r="AX313" s="591"/>
      <c r="AY313" s="591"/>
      <c r="AZ313" s="591"/>
      <c r="BA313" s="591"/>
      <c r="BB313" s="591"/>
      <c r="BC313" s="591"/>
      <c r="BD313" s="591"/>
      <c r="BE313" s="591"/>
      <c r="BF313" s="591"/>
      <c r="BG313" s="591"/>
      <c r="BH313" s="591"/>
      <c r="BI313" s="591"/>
      <c r="BJ313" s="591"/>
      <c r="BK313" s="591"/>
      <c r="BL313" s="591"/>
      <c r="BM313" s="591"/>
      <c r="BN313" s="591"/>
      <c r="BO313" s="591"/>
      <c r="BP313" s="591"/>
      <c r="BQ313" s="591"/>
      <c r="BR313" s="591"/>
      <c r="BS313" s="591"/>
      <c r="BT313" s="591"/>
      <c r="BU313" s="591"/>
      <c r="BV313" s="591"/>
      <c r="BW313" s="591"/>
      <c r="BX313" s="591"/>
      <c r="BY313" s="591"/>
      <c r="BZ313" s="591"/>
      <c r="CA313" s="591"/>
      <c r="CB313" s="591"/>
      <c r="CC313" s="591"/>
      <c r="CD313" s="591"/>
      <c r="CE313" s="591"/>
      <c r="CF313" s="591"/>
    </row>
    <row r="314" spans="1:84">
      <c r="A314" s="591"/>
      <c r="B314" s="591"/>
      <c r="C314" s="591"/>
      <c r="D314" s="591"/>
      <c r="E314" s="591"/>
      <c r="F314" s="591"/>
      <c r="G314" s="591"/>
      <c r="H314" s="591"/>
      <c r="I314" s="591"/>
      <c r="J314" s="591"/>
      <c r="K314" s="591"/>
      <c r="L314" s="591"/>
      <c r="M314" s="591"/>
      <c r="N314" s="591"/>
      <c r="O314" s="591"/>
      <c r="P314" s="591"/>
      <c r="Q314" s="591"/>
      <c r="R314" s="591"/>
      <c r="S314" s="591"/>
      <c r="T314" s="591"/>
      <c r="U314" s="591"/>
      <c r="V314" s="591"/>
      <c r="W314" s="591"/>
      <c r="X314" s="591"/>
      <c r="Y314" s="591"/>
      <c r="Z314" s="591"/>
      <c r="AA314" s="591"/>
      <c r="AB314" s="591"/>
      <c r="AC314" s="591"/>
      <c r="AD314" s="591"/>
      <c r="AE314" s="591"/>
      <c r="AF314" s="591"/>
      <c r="AG314" s="591"/>
      <c r="AH314" s="591"/>
      <c r="AI314" s="591"/>
      <c r="AJ314" s="591"/>
      <c r="AK314" s="591"/>
      <c r="AL314" s="591"/>
      <c r="AM314" s="591"/>
      <c r="AN314" s="591"/>
      <c r="AO314" s="591"/>
      <c r="AP314" s="591"/>
      <c r="AQ314" s="591"/>
      <c r="AR314" s="591"/>
      <c r="AS314" s="591"/>
      <c r="AT314" s="591"/>
      <c r="AU314" s="591"/>
      <c r="AV314" s="591"/>
      <c r="AW314" s="591"/>
      <c r="AX314" s="591"/>
      <c r="AY314" s="591"/>
      <c r="AZ314" s="591"/>
      <c r="BA314" s="591"/>
      <c r="BB314" s="591"/>
      <c r="BC314" s="591"/>
      <c r="BD314" s="591"/>
      <c r="BE314" s="591"/>
      <c r="BF314" s="591"/>
      <c r="BG314" s="591"/>
      <c r="BH314" s="591"/>
      <c r="BI314" s="591"/>
      <c r="BJ314" s="591"/>
      <c r="BK314" s="591"/>
      <c r="BL314" s="591"/>
      <c r="BM314" s="591"/>
      <c r="BN314" s="591"/>
      <c r="BO314" s="591"/>
      <c r="BP314" s="591"/>
      <c r="BQ314" s="591"/>
      <c r="BR314" s="591"/>
      <c r="BS314" s="591"/>
      <c r="BT314" s="591"/>
      <c r="BU314" s="591"/>
      <c r="BV314" s="591"/>
      <c r="BW314" s="591"/>
      <c r="BX314" s="591"/>
      <c r="BY314" s="591"/>
      <c r="BZ314" s="591"/>
      <c r="CA314" s="591"/>
      <c r="CB314" s="591"/>
      <c r="CC314" s="591"/>
      <c r="CD314" s="591"/>
      <c r="CE314" s="591"/>
      <c r="CF314" s="591"/>
    </row>
    <row r="315" spans="1:84">
      <c r="A315" s="591"/>
      <c r="B315" s="591"/>
      <c r="C315" s="591"/>
      <c r="D315" s="591"/>
      <c r="E315" s="591"/>
      <c r="F315" s="591"/>
      <c r="G315" s="591"/>
      <c r="H315" s="591"/>
      <c r="I315" s="591"/>
      <c r="J315" s="591"/>
      <c r="K315" s="591"/>
      <c r="L315" s="591"/>
      <c r="M315" s="591"/>
      <c r="N315" s="591"/>
      <c r="O315" s="591"/>
      <c r="P315" s="591"/>
      <c r="Q315" s="591"/>
      <c r="R315" s="591"/>
      <c r="S315" s="591"/>
      <c r="T315" s="591"/>
      <c r="U315" s="591"/>
      <c r="V315" s="591"/>
      <c r="W315" s="591"/>
      <c r="X315" s="591"/>
      <c r="Y315" s="591"/>
      <c r="Z315" s="591"/>
      <c r="AA315" s="591"/>
      <c r="AB315" s="591"/>
      <c r="AC315" s="591"/>
      <c r="AD315" s="591"/>
      <c r="AE315" s="591"/>
      <c r="AF315" s="591"/>
      <c r="AG315" s="591"/>
      <c r="AH315" s="591"/>
      <c r="AI315" s="591"/>
      <c r="AJ315" s="591"/>
      <c r="AK315" s="591"/>
      <c r="AL315" s="591"/>
      <c r="AM315" s="591"/>
      <c r="AN315" s="591"/>
      <c r="AO315" s="591"/>
      <c r="AP315" s="591"/>
      <c r="AQ315" s="591"/>
      <c r="AR315" s="591"/>
      <c r="AS315" s="591"/>
      <c r="AT315" s="591"/>
      <c r="AU315" s="591"/>
      <c r="AV315" s="591"/>
      <c r="AW315" s="591"/>
      <c r="AX315" s="591"/>
      <c r="AY315" s="591"/>
      <c r="AZ315" s="591"/>
      <c r="BA315" s="591"/>
      <c r="BB315" s="591"/>
      <c r="BC315" s="591"/>
      <c r="BD315" s="591"/>
      <c r="BE315" s="591"/>
      <c r="BF315" s="591"/>
      <c r="BG315" s="591"/>
      <c r="BH315" s="591"/>
      <c r="BI315" s="591"/>
      <c r="BJ315" s="591"/>
      <c r="BK315" s="591"/>
      <c r="BL315" s="591"/>
      <c r="BM315" s="591"/>
      <c r="BN315" s="591"/>
      <c r="BO315" s="591"/>
      <c r="BP315" s="591"/>
      <c r="BQ315" s="591"/>
      <c r="BR315" s="591"/>
      <c r="BS315" s="591"/>
      <c r="BT315" s="591"/>
      <c r="BU315" s="591"/>
      <c r="BV315" s="591"/>
      <c r="BW315" s="591"/>
      <c r="BX315" s="591"/>
      <c r="BY315" s="591"/>
      <c r="BZ315" s="591"/>
      <c r="CA315" s="591"/>
      <c r="CB315" s="591"/>
      <c r="CC315" s="591"/>
      <c r="CD315" s="591"/>
      <c r="CE315" s="591"/>
      <c r="CF315" s="591"/>
    </row>
    <row r="316" spans="1:84">
      <c r="A316" s="591"/>
      <c r="B316" s="591"/>
      <c r="C316" s="591"/>
      <c r="D316" s="591"/>
      <c r="E316" s="591"/>
      <c r="F316" s="591"/>
      <c r="G316" s="591"/>
      <c r="H316" s="591"/>
      <c r="I316" s="591"/>
      <c r="J316" s="591"/>
      <c r="K316" s="591"/>
      <c r="L316" s="591"/>
      <c r="M316" s="591"/>
      <c r="N316" s="591"/>
      <c r="O316" s="591"/>
      <c r="P316" s="591"/>
      <c r="Q316" s="591"/>
      <c r="R316" s="591"/>
      <c r="S316" s="591"/>
      <c r="T316" s="591"/>
      <c r="U316" s="591"/>
      <c r="V316" s="591"/>
      <c r="W316" s="591"/>
      <c r="X316" s="591"/>
      <c r="Y316" s="591"/>
      <c r="Z316" s="591"/>
      <c r="AA316" s="591"/>
      <c r="AB316" s="591"/>
      <c r="AC316" s="591"/>
      <c r="AD316" s="591"/>
      <c r="AE316" s="591"/>
      <c r="AF316" s="591"/>
      <c r="AG316" s="591"/>
      <c r="AH316" s="591"/>
      <c r="AI316" s="591"/>
      <c r="AJ316" s="591"/>
      <c r="AK316" s="591"/>
      <c r="AL316" s="591"/>
      <c r="AM316" s="591"/>
      <c r="AN316" s="591"/>
      <c r="AO316" s="591"/>
      <c r="AP316" s="591"/>
      <c r="AQ316" s="591"/>
      <c r="AR316" s="591"/>
      <c r="AS316" s="591"/>
      <c r="AT316" s="591"/>
      <c r="AU316" s="591"/>
      <c r="AV316" s="591"/>
      <c r="AW316" s="591"/>
      <c r="AX316" s="591"/>
      <c r="AY316" s="591"/>
      <c r="AZ316" s="591"/>
      <c r="BA316" s="591"/>
      <c r="BB316" s="591"/>
      <c r="BC316" s="591"/>
      <c r="BD316" s="591"/>
      <c r="BE316" s="591"/>
      <c r="BF316" s="591"/>
      <c r="BG316" s="591"/>
      <c r="BH316" s="591"/>
      <c r="BI316" s="591"/>
      <c r="BJ316" s="591"/>
      <c r="BK316" s="591"/>
      <c r="BL316" s="591"/>
      <c r="BM316" s="591"/>
      <c r="BN316" s="591"/>
      <c r="BO316" s="591"/>
      <c r="BP316" s="591"/>
      <c r="BQ316" s="591"/>
      <c r="BR316" s="591"/>
      <c r="BS316" s="591"/>
      <c r="BT316" s="591"/>
      <c r="BU316" s="591"/>
      <c r="BV316" s="591"/>
      <c r="BW316" s="591"/>
      <c r="BX316" s="591"/>
      <c r="BY316" s="591"/>
      <c r="BZ316" s="591"/>
      <c r="CA316" s="591"/>
      <c r="CB316" s="591"/>
      <c r="CC316" s="591"/>
      <c r="CD316" s="591"/>
      <c r="CE316" s="591"/>
      <c r="CF316" s="591"/>
    </row>
    <row r="317" spans="1:84">
      <c r="A317" s="591"/>
      <c r="B317" s="591"/>
      <c r="C317" s="591"/>
      <c r="D317" s="591"/>
      <c r="E317" s="591"/>
      <c r="F317" s="591"/>
      <c r="G317" s="591"/>
      <c r="H317" s="591"/>
      <c r="I317" s="591"/>
      <c r="J317" s="591"/>
      <c r="K317" s="591"/>
      <c r="L317" s="591"/>
      <c r="M317" s="591"/>
      <c r="N317" s="591"/>
      <c r="O317" s="591"/>
      <c r="P317" s="591"/>
      <c r="Q317" s="591"/>
      <c r="R317" s="591"/>
      <c r="S317" s="591"/>
      <c r="T317" s="591"/>
      <c r="U317" s="591"/>
      <c r="V317" s="591"/>
      <c r="W317" s="591"/>
      <c r="X317" s="591"/>
      <c r="Y317" s="591"/>
      <c r="Z317" s="591"/>
      <c r="AA317" s="591"/>
      <c r="AB317" s="591"/>
      <c r="AC317" s="591"/>
      <c r="AD317" s="591"/>
      <c r="AE317" s="591"/>
      <c r="AF317" s="591"/>
      <c r="AG317" s="591"/>
      <c r="AH317" s="591"/>
      <c r="AI317" s="591"/>
      <c r="AJ317" s="591"/>
      <c r="AK317" s="591"/>
      <c r="AL317" s="591"/>
      <c r="AM317" s="591"/>
      <c r="AN317" s="591"/>
      <c r="AO317" s="591"/>
      <c r="AP317" s="591"/>
      <c r="AQ317" s="591"/>
      <c r="AR317" s="591"/>
      <c r="AS317" s="591"/>
      <c r="AT317" s="591"/>
      <c r="AU317" s="591"/>
      <c r="AV317" s="591"/>
      <c r="AW317" s="591"/>
      <c r="AX317" s="591"/>
      <c r="AY317" s="591"/>
      <c r="AZ317" s="591"/>
      <c r="BA317" s="591"/>
      <c r="BB317" s="591"/>
      <c r="BC317" s="591"/>
      <c r="BD317" s="591"/>
      <c r="BE317" s="591"/>
      <c r="BF317" s="591"/>
      <c r="BG317" s="591"/>
      <c r="BH317" s="591"/>
      <c r="BI317" s="591"/>
      <c r="BJ317" s="591"/>
      <c r="BK317" s="591"/>
      <c r="BL317" s="591"/>
      <c r="BM317" s="591"/>
      <c r="BN317" s="591"/>
      <c r="BO317" s="591"/>
      <c r="BP317" s="591"/>
      <c r="BQ317" s="591"/>
      <c r="BR317" s="591"/>
      <c r="BS317" s="591"/>
      <c r="BT317" s="591"/>
      <c r="BU317" s="591"/>
      <c r="BV317" s="591"/>
      <c r="BW317" s="591"/>
      <c r="BX317" s="591"/>
      <c r="BY317" s="591"/>
      <c r="BZ317" s="591"/>
      <c r="CA317" s="591"/>
      <c r="CB317" s="591"/>
      <c r="CC317" s="591"/>
      <c r="CD317" s="591"/>
      <c r="CE317" s="591"/>
      <c r="CF317" s="591"/>
    </row>
    <row r="318" spans="1:84">
      <c r="A318" s="591"/>
      <c r="B318" s="591"/>
      <c r="C318" s="591"/>
      <c r="D318" s="591"/>
      <c r="E318" s="591"/>
      <c r="F318" s="591"/>
      <c r="G318" s="591"/>
      <c r="H318" s="591"/>
      <c r="I318" s="591"/>
      <c r="J318" s="591"/>
      <c r="K318" s="591"/>
      <c r="L318" s="591"/>
      <c r="M318" s="591"/>
      <c r="N318" s="591"/>
      <c r="O318" s="591"/>
      <c r="P318" s="591"/>
      <c r="Q318" s="591"/>
      <c r="R318" s="591"/>
      <c r="S318" s="591"/>
      <c r="T318" s="591"/>
      <c r="U318" s="591"/>
      <c r="V318" s="591"/>
      <c r="W318" s="591"/>
      <c r="X318" s="591"/>
      <c r="Y318" s="591"/>
      <c r="Z318" s="591"/>
      <c r="AA318" s="591"/>
      <c r="AB318" s="591"/>
      <c r="AC318" s="591"/>
      <c r="AD318" s="591"/>
      <c r="AE318" s="591"/>
      <c r="AF318" s="591"/>
      <c r="AG318" s="591"/>
      <c r="AH318" s="591"/>
      <c r="AI318" s="591"/>
      <c r="AJ318" s="591"/>
      <c r="AK318" s="591"/>
      <c r="AL318" s="591"/>
      <c r="AM318" s="591"/>
      <c r="AN318" s="591"/>
      <c r="AO318" s="591"/>
      <c r="AP318" s="591"/>
      <c r="AQ318" s="591"/>
      <c r="AR318" s="591"/>
      <c r="AS318" s="591"/>
      <c r="AT318" s="591"/>
      <c r="AU318" s="591"/>
      <c r="AV318" s="591"/>
      <c r="AW318" s="591"/>
      <c r="AX318" s="591"/>
      <c r="AY318" s="591"/>
      <c r="AZ318" s="591"/>
      <c r="BA318" s="591"/>
      <c r="BB318" s="591"/>
      <c r="BC318" s="591"/>
      <c r="BD318" s="591"/>
      <c r="BE318" s="591"/>
      <c r="BF318" s="591"/>
      <c r="BG318" s="591"/>
      <c r="BH318" s="591"/>
      <c r="BI318" s="591"/>
      <c r="BJ318" s="591"/>
      <c r="BK318" s="591"/>
      <c r="BL318" s="591"/>
      <c r="BM318" s="591"/>
      <c r="BN318" s="591"/>
      <c r="BO318" s="591"/>
      <c r="BP318" s="591"/>
      <c r="BQ318" s="591"/>
      <c r="BR318" s="591"/>
      <c r="BS318" s="591"/>
      <c r="BT318" s="591"/>
      <c r="BU318" s="591"/>
      <c r="BV318" s="591"/>
      <c r="BW318" s="591"/>
      <c r="BX318" s="591"/>
      <c r="BY318" s="591"/>
      <c r="BZ318" s="591"/>
      <c r="CA318" s="591"/>
      <c r="CB318" s="591"/>
      <c r="CC318" s="591"/>
      <c r="CD318" s="591"/>
      <c r="CE318" s="591"/>
      <c r="CF318" s="591"/>
    </row>
    <row r="319" spans="1:84">
      <c r="A319" s="591"/>
      <c r="B319" s="591"/>
      <c r="C319" s="591"/>
      <c r="D319" s="591"/>
      <c r="E319" s="591"/>
      <c r="F319" s="591"/>
      <c r="G319" s="591"/>
      <c r="H319" s="591"/>
      <c r="I319" s="591"/>
      <c r="J319" s="591"/>
      <c r="K319" s="591"/>
      <c r="L319" s="591"/>
      <c r="M319" s="591"/>
      <c r="N319" s="591"/>
      <c r="O319" s="591"/>
      <c r="P319" s="591"/>
      <c r="Q319" s="591"/>
      <c r="R319" s="591"/>
      <c r="S319" s="591"/>
      <c r="T319" s="591"/>
      <c r="U319" s="591"/>
      <c r="V319" s="591"/>
      <c r="W319" s="591"/>
      <c r="X319" s="591"/>
      <c r="Y319" s="591"/>
      <c r="Z319" s="591"/>
      <c r="AA319" s="591"/>
      <c r="AB319" s="591"/>
      <c r="AC319" s="591"/>
      <c r="AD319" s="591"/>
      <c r="AE319" s="591"/>
      <c r="AF319" s="591"/>
      <c r="AG319" s="591"/>
      <c r="AH319" s="591"/>
      <c r="AI319" s="591"/>
      <c r="AJ319" s="591"/>
      <c r="AK319" s="591"/>
      <c r="AL319" s="591"/>
      <c r="AM319" s="591"/>
      <c r="AN319" s="591"/>
      <c r="AO319" s="591"/>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1"/>
      <c r="BM319" s="591"/>
      <c r="BN319" s="591"/>
      <c r="BO319" s="591"/>
      <c r="BP319" s="591"/>
      <c r="BQ319" s="591"/>
      <c r="BR319" s="591"/>
      <c r="BS319" s="591"/>
      <c r="BT319" s="591"/>
      <c r="BU319" s="591"/>
      <c r="BV319" s="591"/>
      <c r="BW319" s="591"/>
      <c r="BX319" s="591"/>
      <c r="BY319" s="591"/>
      <c r="BZ319" s="591"/>
      <c r="CA319" s="591"/>
      <c r="CB319" s="591"/>
      <c r="CC319" s="591"/>
      <c r="CD319" s="591"/>
      <c r="CE319" s="591"/>
      <c r="CF319" s="591"/>
    </row>
    <row r="320" spans="1:84">
      <c r="A320" s="591"/>
      <c r="B320" s="591"/>
      <c r="C320" s="591"/>
      <c r="D320" s="591"/>
      <c r="E320" s="591"/>
      <c r="F320" s="591"/>
      <c r="G320" s="591"/>
      <c r="H320" s="591"/>
      <c r="I320" s="591"/>
      <c r="J320" s="591"/>
      <c r="K320" s="591"/>
      <c r="L320" s="591"/>
      <c r="M320" s="591"/>
      <c r="N320" s="591"/>
      <c r="O320" s="591"/>
      <c r="P320" s="591"/>
      <c r="Q320" s="591"/>
      <c r="R320" s="591"/>
      <c r="S320" s="591"/>
      <c r="T320" s="591"/>
      <c r="U320" s="591"/>
      <c r="V320" s="591"/>
      <c r="W320" s="591"/>
      <c r="X320" s="591"/>
      <c r="Y320" s="591"/>
      <c r="Z320" s="591"/>
      <c r="AA320" s="591"/>
      <c r="AB320" s="591"/>
      <c r="AC320" s="591"/>
      <c r="AD320" s="591"/>
      <c r="AE320" s="591"/>
      <c r="AF320" s="591"/>
      <c r="AG320" s="591"/>
      <c r="AH320" s="591"/>
      <c r="AI320" s="591"/>
      <c r="AJ320" s="591"/>
      <c r="AK320" s="591"/>
      <c r="AL320" s="591"/>
      <c r="AM320" s="591"/>
      <c r="AN320" s="591"/>
      <c r="AO320" s="591"/>
      <c r="AP320" s="591"/>
      <c r="AQ320" s="591"/>
      <c r="AR320" s="591"/>
      <c r="AS320" s="591"/>
      <c r="AT320" s="591"/>
      <c r="AU320" s="591"/>
      <c r="AV320" s="591"/>
      <c r="AW320" s="591"/>
      <c r="AX320" s="591"/>
      <c r="AY320" s="591"/>
      <c r="AZ320" s="591"/>
      <c r="BA320" s="591"/>
      <c r="BB320" s="591"/>
      <c r="BC320" s="591"/>
      <c r="BD320" s="591"/>
      <c r="BE320" s="591"/>
      <c r="BF320" s="591"/>
      <c r="BG320" s="591"/>
      <c r="BH320" s="591"/>
      <c r="BI320" s="591"/>
      <c r="BJ320" s="591"/>
      <c r="BK320" s="591"/>
      <c r="BL320" s="591"/>
      <c r="BM320" s="591"/>
      <c r="BN320" s="591"/>
      <c r="BO320" s="591"/>
      <c r="BP320" s="591"/>
      <c r="BQ320" s="591"/>
      <c r="BR320" s="591"/>
      <c r="BS320" s="591"/>
      <c r="BT320" s="591"/>
      <c r="BU320" s="591"/>
      <c r="BV320" s="591"/>
      <c r="BW320" s="591"/>
      <c r="BX320" s="591"/>
      <c r="BY320" s="591"/>
      <c r="BZ320" s="591"/>
      <c r="CA320" s="591"/>
      <c r="CB320" s="591"/>
      <c r="CC320" s="591"/>
      <c r="CD320" s="591"/>
      <c r="CE320" s="591"/>
      <c r="CF320" s="591"/>
    </row>
    <row r="321" spans="1:84">
      <c r="A321" s="591"/>
      <c r="B321" s="591"/>
      <c r="C321" s="591"/>
      <c r="D321" s="591"/>
      <c r="E321" s="591"/>
      <c r="F321" s="591"/>
      <c r="G321" s="591"/>
      <c r="H321" s="591"/>
      <c r="I321" s="591"/>
      <c r="J321" s="591"/>
      <c r="K321" s="591"/>
      <c r="L321" s="591"/>
      <c r="M321" s="591"/>
      <c r="N321" s="591"/>
      <c r="O321" s="591"/>
      <c r="P321" s="591"/>
      <c r="Q321" s="591"/>
      <c r="R321" s="591"/>
      <c r="S321" s="591"/>
      <c r="T321" s="591"/>
      <c r="U321" s="591"/>
      <c r="V321" s="591"/>
      <c r="W321" s="591"/>
      <c r="X321" s="591"/>
      <c r="Y321" s="591"/>
      <c r="Z321" s="591"/>
      <c r="AA321" s="591"/>
      <c r="AB321" s="591"/>
      <c r="AC321" s="591"/>
      <c r="AD321" s="591"/>
      <c r="AE321" s="591"/>
      <c r="AF321" s="591"/>
      <c r="AG321" s="591"/>
      <c r="AH321" s="591"/>
      <c r="AI321" s="591"/>
      <c r="AJ321" s="591"/>
      <c r="AK321" s="591"/>
      <c r="AL321" s="591"/>
      <c r="AM321" s="591"/>
      <c r="AN321" s="591"/>
      <c r="AO321" s="591"/>
      <c r="AP321" s="591"/>
      <c r="AQ321" s="591"/>
      <c r="AR321" s="591"/>
      <c r="AS321" s="591"/>
      <c r="AT321" s="591"/>
      <c r="AU321" s="591"/>
      <c r="AV321" s="591"/>
      <c r="AW321" s="591"/>
      <c r="AX321" s="591"/>
      <c r="AY321" s="591"/>
      <c r="AZ321" s="591"/>
      <c r="BA321" s="591"/>
      <c r="BB321" s="591"/>
      <c r="BC321" s="591"/>
      <c r="BD321" s="591"/>
      <c r="BE321" s="591"/>
      <c r="BF321" s="591"/>
      <c r="BG321" s="591"/>
      <c r="BH321" s="591"/>
      <c r="BI321" s="591"/>
      <c r="BJ321" s="591"/>
      <c r="BK321" s="591"/>
      <c r="BL321" s="591"/>
      <c r="BM321" s="591"/>
      <c r="BN321" s="591"/>
      <c r="BO321" s="591"/>
      <c r="BP321" s="591"/>
      <c r="BQ321" s="591"/>
      <c r="BR321" s="591"/>
      <c r="BS321" s="591"/>
      <c r="BT321" s="591"/>
      <c r="BU321" s="591"/>
      <c r="BV321" s="591"/>
      <c r="BW321" s="591"/>
      <c r="BX321" s="591"/>
      <c r="BY321" s="591"/>
      <c r="BZ321" s="591"/>
      <c r="CA321" s="591"/>
      <c r="CB321" s="591"/>
      <c r="CC321" s="591"/>
      <c r="CD321" s="591"/>
      <c r="CE321" s="591"/>
      <c r="CF321" s="591"/>
    </row>
    <row r="322" spans="1:84">
      <c r="A322" s="591"/>
      <c r="B322" s="591"/>
      <c r="C322" s="591"/>
      <c r="D322" s="591"/>
      <c r="E322" s="591"/>
      <c r="F322" s="591"/>
      <c r="G322" s="591"/>
      <c r="H322" s="591"/>
      <c r="I322" s="591"/>
      <c r="J322" s="591"/>
      <c r="K322" s="591"/>
      <c r="L322" s="591"/>
      <c r="M322" s="591"/>
      <c r="N322" s="591"/>
      <c r="O322" s="591"/>
      <c r="P322" s="591"/>
      <c r="Q322" s="591"/>
      <c r="R322" s="591"/>
      <c r="S322" s="591"/>
      <c r="T322" s="591"/>
      <c r="U322" s="591"/>
      <c r="V322" s="591"/>
      <c r="W322" s="591"/>
      <c r="X322" s="591"/>
      <c r="Y322" s="591"/>
      <c r="Z322" s="591"/>
      <c r="AA322" s="591"/>
      <c r="AB322" s="591"/>
      <c r="AC322" s="591"/>
      <c r="AD322" s="591"/>
      <c r="AE322" s="591"/>
      <c r="AF322" s="591"/>
      <c r="AG322" s="591"/>
      <c r="AH322" s="591"/>
      <c r="AI322" s="591"/>
      <c r="AJ322" s="591"/>
      <c r="AK322" s="591"/>
      <c r="AL322" s="591"/>
      <c r="AM322" s="591"/>
      <c r="AN322" s="591"/>
      <c r="AO322" s="591"/>
      <c r="AP322" s="591"/>
      <c r="AQ322" s="591"/>
      <c r="AR322" s="591"/>
      <c r="AS322" s="591"/>
      <c r="AT322" s="591"/>
      <c r="AU322" s="591"/>
      <c r="AV322" s="591"/>
      <c r="AW322" s="591"/>
      <c r="AX322" s="591"/>
      <c r="AY322" s="591"/>
      <c r="AZ322" s="591"/>
      <c r="BA322" s="591"/>
      <c r="BB322" s="591"/>
      <c r="BC322" s="591"/>
      <c r="BD322" s="591"/>
      <c r="BE322" s="591"/>
      <c r="BF322" s="591"/>
      <c r="BG322" s="591"/>
      <c r="BH322" s="591"/>
      <c r="BI322" s="591"/>
      <c r="BJ322" s="591"/>
      <c r="BK322" s="591"/>
      <c r="BL322" s="591"/>
      <c r="BM322" s="591"/>
      <c r="BN322" s="591"/>
      <c r="BO322" s="591"/>
      <c r="BP322" s="591"/>
      <c r="BQ322" s="591"/>
      <c r="BR322" s="591"/>
      <c r="BS322" s="591"/>
      <c r="BT322" s="591"/>
      <c r="BU322" s="591"/>
      <c r="BV322" s="591"/>
      <c r="BW322" s="591"/>
      <c r="BX322" s="591"/>
      <c r="BY322" s="591"/>
      <c r="BZ322" s="591"/>
      <c r="CA322" s="591"/>
      <c r="CB322" s="591"/>
      <c r="CC322" s="591"/>
      <c r="CD322" s="591"/>
      <c r="CE322" s="591"/>
      <c r="CF322" s="591"/>
    </row>
    <row r="323" spans="1:84">
      <c r="A323" s="591"/>
      <c r="B323" s="591"/>
      <c r="C323" s="591"/>
      <c r="D323" s="591"/>
      <c r="E323" s="591"/>
      <c r="F323" s="591"/>
      <c r="G323" s="591"/>
      <c r="H323" s="591"/>
      <c r="I323" s="591"/>
      <c r="J323" s="591"/>
      <c r="K323" s="591"/>
      <c r="L323" s="591"/>
      <c r="M323" s="591"/>
      <c r="N323" s="591"/>
      <c r="O323" s="591"/>
      <c r="P323" s="591"/>
      <c r="Q323" s="591"/>
      <c r="R323" s="591"/>
      <c r="S323" s="591"/>
      <c r="T323" s="591"/>
      <c r="U323" s="591"/>
      <c r="V323" s="591"/>
      <c r="W323" s="591"/>
      <c r="X323" s="591"/>
      <c r="Y323" s="591"/>
      <c r="Z323" s="591"/>
      <c r="AA323" s="591"/>
      <c r="AB323" s="591"/>
      <c r="AC323" s="591"/>
      <c r="AD323" s="591"/>
      <c r="AE323" s="591"/>
      <c r="AF323" s="591"/>
      <c r="AG323" s="591"/>
      <c r="AH323" s="591"/>
      <c r="AI323" s="591"/>
      <c r="AJ323" s="591"/>
      <c r="AK323" s="591"/>
      <c r="AL323" s="591"/>
      <c r="AM323" s="591"/>
      <c r="AN323" s="591"/>
      <c r="AO323" s="591"/>
      <c r="AP323" s="591"/>
      <c r="AQ323" s="591"/>
      <c r="AR323" s="591"/>
      <c r="AS323" s="591"/>
      <c r="AT323" s="591"/>
      <c r="AU323" s="591"/>
      <c r="AV323" s="591"/>
      <c r="AW323" s="591"/>
      <c r="AX323" s="591"/>
      <c r="AY323" s="591"/>
      <c r="AZ323" s="591"/>
      <c r="BA323" s="591"/>
      <c r="BB323" s="591"/>
      <c r="BC323" s="591"/>
      <c r="BD323" s="591"/>
      <c r="BE323" s="591"/>
      <c r="BF323" s="591"/>
      <c r="BG323" s="591"/>
      <c r="BH323" s="591"/>
      <c r="BI323" s="591"/>
      <c r="BJ323" s="591"/>
      <c r="BK323" s="591"/>
      <c r="BL323" s="591"/>
      <c r="BM323" s="591"/>
      <c r="BN323" s="591"/>
      <c r="BO323" s="591"/>
      <c r="BP323" s="591"/>
      <c r="BQ323" s="591"/>
      <c r="BR323" s="591"/>
      <c r="BS323" s="591"/>
      <c r="BT323" s="591"/>
      <c r="BU323" s="591"/>
      <c r="BV323" s="591"/>
      <c r="BW323" s="591"/>
      <c r="BX323" s="591"/>
      <c r="BY323" s="591"/>
      <c r="BZ323" s="591"/>
      <c r="CA323" s="591"/>
      <c r="CB323" s="591"/>
      <c r="CC323" s="591"/>
      <c r="CD323" s="591"/>
      <c r="CE323" s="591"/>
      <c r="CF323" s="591"/>
    </row>
    <row r="324" spans="1:84">
      <c r="A324" s="591"/>
      <c r="B324" s="591"/>
      <c r="C324" s="591"/>
      <c r="D324" s="591"/>
      <c r="E324" s="591"/>
      <c r="F324" s="591"/>
      <c r="G324" s="591"/>
      <c r="H324" s="591"/>
      <c r="I324" s="591"/>
      <c r="J324" s="591"/>
      <c r="K324" s="591"/>
      <c r="L324" s="591"/>
      <c r="M324" s="591"/>
      <c r="N324" s="591"/>
      <c r="O324" s="591"/>
      <c r="P324" s="591"/>
      <c r="Q324" s="591"/>
      <c r="R324" s="591"/>
      <c r="S324" s="591"/>
      <c r="T324" s="591"/>
      <c r="U324" s="591"/>
      <c r="V324" s="591"/>
      <c r="W324" s="591"/>
      <c r="X324" s="591"/>
      <c r="Y324" s="591"/>
      <c r="Z324" s="591"/>
      <c r="AA324" s="591"/>
      <c r="AB324" s="591"/>
      <c r="AC324" s="591"/>
      <c r="AD324" s="591"/>
      <c r="AE324" s="591"/>
      <c r="AF324" s="591"/>
      <c r="AG324" s="591"/>
      <c r="AH324" s="591"/>
      <c r="AI324" s="591"/>
      <c r="AJ324" s="591"/>
      <c r="AK324" s="591"/>
      <c r="AL324" s="591"/>
      <c r="AM324" s="591"/>
      <c r="AN324" s="591"/>
      <c r="AO324" s="591"/>
      <c r="AP324" s="591"/>
      <c r="AQ324" s="591"/>
      <c r="AR324" s="591"/>
      <c r="AS324" s="591"/>
      <c r="AT324" s="591"/>
      <c r="AU324" s="591"/>
      <c r="AV324" s="591"/>
      <c r="AW324" s="591"/>
      <c r="AX324" s="591"/>
      <c r="AY324" s="591"/>
      <c r="AZ324" s="591"/>
      <c r="BA324" s="591"/>
      <c r="BB324" s="591"/>
      <c r="BC324" s="591"/>
      <c r="BD324" s="591"/>
      <c r="BE324" s="591"/>
      <c r="BF324" s="591"/>
      <c r="BG324" s="591"/>
      <c r="BH324" s="591"/>
      <c r="BI324" s="591"/>
      <c r="BJ324" s="591"/>
      <c r="BK324" s="591"/>
      <c r="BL324" s="591"/>
      <c r="BM324" s="591"/>
      <c r="BN324" s="591"/>
      <c r="BO324" s="591"/>
      <c r="BP324" s="591"/>
      <c r="BQ324" s="591"/>
      <c r="BR324" s="591"/>
      <c r="BS324" s="591"/>
      <c r="BT324" s="591"/>
      <c r="BU324" s="591"/>
      <c r="BV324" s="591"/>
      <c r="BW324" s="591"/>
      <c r="BX324" s="591"/>
      <c r="BY324" s="591"/>
      <c r="BZ324" s="591"/>
      <c r="CA324" s="591"/>
      <c r="CB324" s="591"/>
      <c r="CC324" s="591"/>
      <c r="CD324" s="591"/>
      <c r="CE324" s="591"/>
      <c r="CF324" s="591"/>
    </row>
    <row r="325" spans="1:84">
      <c r="A325" s="591"/>
      <c r="B325" s="591"/>
      <c r="C325" s="591"/>
      <c r="D325" s="591"/>
      <c r="E325" s="591"/>
      <c r="F325" s="591"/>
      <c r="G325" s="591"/>
      <c r="H325" s="591"/>
      <c r="I325" s="591"/>
      <c r="J325" s="591"/>
      <c r="K325" s="591"/>
      <c r="L325" s="591"/>
      <c r="M325" s="591"/>
      <c r="N325" s="591"/>
      <c r="O325" s="591"/>
      <c r="P325" s="591"/>
      <c r="Q325" s="591"/>
      <c r="R325" s="591"/>
      <c r="S325" s="591"/>
      <c r="T325" s="591"/>
      <c r="U325" s="591"/>
      <c r="V325" s="591"/>
      <c r="W325" s="591"/>
      <c r="X325" s="591"/>
      <c r="Y325" s="591"/>
      <c r="Z325" s="591"/>
      <c r="AA325" s="591"/>
      <c r="AB325" s="591"/>
      <c r="AC325" s="591"/>
      <c r="AD325" s="591"/>
      <c r="AE325" s="591"/>
      <c r="AF325" s="591"/>
      <c r="AG325" s="591"/>
      <c r="AH325" s="591"/>
      <c r="AI325" s="591"/>
      <c r="AJ325" s="591"/>
      <c r="AK325" s="591"/>
      <c r="AL325" s="591"/>
      <c r="AM325" s="591"/>
      <c r="AN325" s="591"/>
      <c r="AO325" s="591"/>
      <c r="AP325" s="591"/>
      <c r="AQ325" s="591"/>
      <c r="AR325" s="591"/>
      <c r="AS325" s="591"/>
      <c r="AT325" s="591"/>
      <c r="AU325" s="591"/>
      <c r="AV325" s="591"/>
      <c r="AW325" s="591"/>
      <c r="AX325" s="591"/>
      <c r="AY325" s="591"/>
      <c r="AZ325" s="591"/>
      <c r="BA325" s="591"/>
      <c r="BB325" s="591"/>
      <c r="BC325" s="591"/>
      <c r="BD325" s="591"/>
      <c r="BE325" s="591"/>
      <c r="BF325" s="591"/>
      <c r="BG325" s="591"/>
      <c r="BH325" s="591"/>
      <c r="BI325" s="591"/>
      <c r="BJ325" s="591"/>
      <c r="BK325" s="591"/>
      <c r="BL325" s="591"/>
      <c r="BM325" s="591"/>
      <c r="BN325" s="591"/>
      <c r="BO325" s="591"/>
      <c r="BP325" s="591"/>
      <c r="BQ325" s="591"/>
      <c r="BR325" s="591"/>
      <c r="BS325" s="591"/>
      <c r="BT325" s="591"/>
      <c r="BU325" s="591"/>
      <c r="BV325" s="591"/>
      <c r="BW325" s="591"/>
      <c r="BX325" s="591"/>
      <c r="BY325" s="591"/>
      <c r="BZ325" s="591"/>
      <c r="CA325" s="591"/>
      <c r="CB325" s="591"/>
      <c r="CC325" s="591"/>
      <c r="CD325" s="591"/>
      <c r="CE325" s="591"/>
      <c r="CF325" s="591"/>
    </row>
    <row r="326" spans="1:84">
      <c r="A326" s="591"/>
      <c r="B326" s="591"/>
      <c r="C326" s="591"/>
      <c r="D326" s="591"/>
      <c r="E326" s="591"/>
      <c r="F326" s="591"/>
      <c r="G326" s="591"/>
      <c r="H326" s="591"/>
      <c r="I326" s="591"/>
      <c r="J326" s="591"/>
      <c r="K326" s="591"/>
      <c r="L326" s="591"/>
      <c r="M326" s="591"/>
      <c r="N326" s="591"/>
      <c r="O326" s="591"/>
      <c r="P326" s="591"/>
      <c r="Q326" s="591"/>
      <c r="R326" s="591"/>
      <c r="S326" s="591"/>
      <c r="T326" s="591"/>
      <c r="U326" s="591"/>
      <c r="V326" s="591"/>
      <c r="W326" s="591"/>
      <c r="X326" s="591"/>
      <c r="Y326" s="591"/>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1"/>
      <c r="BM326" s="591"/>
      <c r="BN326" s="591"/>
      <c r="BO326" s="591"/>
      <c r="BP326" s="591"/>
      <c r="BQ326" s="591"/>
      <c r="BR326" s="591"/>
      <c r="BS326" s="591"/>
      <c r="BT326" s="591"/>
      <c r="BU326" s="591"/>
      <c r="BV326" s="591"/>
      <c r="BW326" s="591"/>
      <c r="BX326" s="591"/>
      <c r="BY326" s="591"/>
      <c r="BZ326" s="591"/>
      <c r="CA326" s="591"/>
      <c r="CB326" s="591"/>
      <c r="CC326" s="591"/>
      <c r="CD326" s="591"/>
      <c r="CE326" s="591"/>
      <c r="CF326" s="591"/>
    </row>
    <row r="327" spans="1:84">
      <c r="A327" s="591"/>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1"/>
      <c r="AD327" s="591"/>
      <c r="AE327" s="591"/>
      <c r="AF327" s="591"/>
      <c r="AG327" s="591"/>
      <c r="AH327" s="591"/>
      <c r="AI327" s="591"/>
      <c r="AJ327" s="591"/>
      <c r="AK327" s="591"/>
      <c r="AL327" s="591"/>
      <c r="AM327" s="591"/>
      <c r="AN327" s="591"/>
      <c r="AO327" s="591"/>
      <c r="AP327" s="591"/>
      <c r="AQ327" s="591"/>
      <c r="AR327" s="591"/>
      <c r="AS327" s="591"/>
      <c r="AT327" s="591"/>
      <c r="AU327" s="591"/>
      <c r="AV327" s="591"/>
      <c r="AW327" s="591"/>
      <c r="AX327" s="591"/>
      <c r="AY327" s="591"/>
      <c r="AZ327" s="591"/>
      <c r="BA327" s="591"/>
      <c r="BB327" s="591"/>
      <c r="BC327" s="591"/>
      <c r="BD327" s="591"/>
      <c r="BE327" s="591"/>
      <c r="BF327" s="591"/>
      <c r="BG327" s="591"/>
      <c r="BH327" s="591"/>
      <c r="BI327" s="591"/>
      <c r="BJ327" s="591"/>
      <c r="BK327" s="591"/>
      <c r="BL327" s="591"/>
      <c r="BM327" s="591"/>
      <c r="BN327" s="591"/>
      <c r="BO327" s="591"/>
      <c r="BP327" s="591"/>
      <c r="BQ327" s="591"/>
      <c r="BR327" s="591"/>
      <c r="BS327" s="591"/>
      <c r="BT327" s="591"/>
      <c r="BU327" s="591"/>
      <c r="BV327" s="591"/>
      <c r="BW327" s="591"/>
      <c r="BX327" s="591"/>
      <c r="BY327" s="591"/>
      <c r="BZ327" s="591"/>
      <c r="CA327" s="591"/>
      <c r="CB327" s="591"/>
      <c r="CC327" s="591"/>
      <c r="CD327" s="591"/>
      <c r="CE327" s="591"/>
      <c r="CF327" s="591"/>
    </row>
    <row r="328" spans="1:84">
      <c r="A328" s="591"/>
      <c r="B328" s="591"/>
      <c r="C328" s="591"/>
      <c r="D328" s="591"/>
      <c r="E328" s="591"/>
      <c r="F328" s="591"/>
      <c r="G328" s="591"/>
      <c r="H328" s="591"/>
      <c r="I328" s="591"/>
      <c r="J328" s="591"/>
      <c r="K328" s="591"/>
      <c r="L328" s="591"/>
      <c r="M328" s="591"/>
      <c r="N328" s="591"/>
      <c r="O328" s="591"/>
      <c r="P328" s="591"/>
      <c r="Q328" s="591"/>
      <c r="R328" s="591"/>
      <c r="S328" s="591"/>
      <c r="T328" s="591"/>
      <c r="U328" s="591"/>
      <c r="V328" s="591"/>
      <c r="W328" s="591"/>
      <c r="X328" s="591"/>
      <c r="Y328" s="591"/>
      <c r="Z328" s="591"/>
      <c r="AA328" s="591"/>
      <c r="AB328" s="591"/>
      <c r="AC328" s="591"/>
      <c r="AD328" s="591"/>
      <c r="AE328" s="591"/>
      <c r="AF328" s="591"/>
      <c r="AG328" s="591"/>
      <c r="AH328" s="591"/>
      <c r="AI328" s="591"/>
      <c r="AJ328" s="591"/>
      <c r="AK328" s="591"/>
      <c r="AL328" s="591"/>
      <c r="AM328" s="591"/>
      <c r="AN328" s="591"/>
      <c r="AO328" s="591"/>
      <c r="AP328" s="591"/>
      <c r="AQ328" s="591"/>
      <c r="AR328" s="591"/>
      <c r="AS328" s="591"/>
      <c r="AT328" s="591"/>
      <c r="AU328" s="591"/>
      <c r="AV328" s="591"/>
      <c r="AW328" s="591"/>
      <c r="AX328" s="591"/>
      <c r="AY328" s="591"/>
      <c r="AZ328" s="591"/>
      <c r="BA328" s="591"/>
      <c r="BB328" s="591"/>
      <c r="BC328" s="591"/>
      <c r="BD328" s="591"/>
      <c r="BE328" s="591"/>
      <c r="BF328" s="591"/>
      <c r="BG328" s="591"/>
      <c r="BH328" s="591"/>
      <c r="BI328" s="591"/>
      <c r="BJ328" s="591"/>
      <c r="BK328" s="591"/>
      <c r="BL328" s="591"/>
      <c r="BM328" s="591"/>
      <c r="BN328" s="591"/>
      <c r="BO328" s="591"/>
      <c r="BP328" s="591"/>
      <c r="BQ328" s="591"/>
      <c r="BR328" s="591"/>
      <c r="BS328" s="591"/>
      <c r="BT328" s="591"/>
      <c r="BU328" s="591"/>
      <c r="BV328" s="591"/>
      <c r="BW328" s="591"/>
      <c r="BX328" s="591"/>
      <c r="BY328" s="591"/>
      <c r="BZ328" s="591"/>
      <c r="CA328" s="591"/>
      <c r="CB328" s="591"/>
      <c r="CC328" s="591"/>
      <c r="CD328" s="591"/>
      <c r="CE328" s="591"/>
      <c r="CF328" s="591"/>
    </row>
    <row r="329" spans="1:84">
      <c r="A329" s="591"/>
      <c r="B329" s="591"/>
      <c r="C329" s="591"/>
      <c r="D329" s="591"/>
      <c r="E329" s="591"/>
      <c r="F329" s="591"/>
      <c r="G329" s="591"/>
      <c r="H329" s="591"/>
      <c r="I329" s="591"/>
      <c r="J329" s="591"/>
      <c r="K329" s="591"/>
      <c r="L329" s="591"/>
      <c r="M329" s="591"/>
      <c r="N329" s="591"/>
      <c r="O329" s="591"/>
      <c r="P329" s="591"/>
      <c r="Q329" s="591"/>
      <c r="R329" s="591"/>
      <c r="S329" s="591"/>
      <c r="T329" s="591"/>
      <c r="U329" s="591"/>
      <c r="V329" s="591"/>
      <c r="W329" s="591"/>
      <c r="X329" s="591"/>
      <c r="Y329" s="591"/>
      <c r="Z329" s="591"/>
      <c r="AA329" s="591"/>
      <c r="AB329" s="591"/>
      <c r="AC329" s="591"/>
      <c r="AD329" s="591"/>
      <c r="AE329" s="591"/>
      <c r="AF329" s="591"/>
      <c r="AG329" s="591"/>
      <c r="AH329" s="591"/>
      <c r="AI329" s="591"/>
      <c r="AJ329" s="591"/>
      <c r="AK329" s="591"/>
      <c r="AL329" s="591"/>
      <c r="AM329" s="591"/>
      <c r="AN329" s="591"/>
      <c r="AO329" s="591"/>
      <c r="AP329" s="591"/>
      <c r="AQ329" s="591"/>
      <c r="AR329" s="591"/>
      <c r="AS329" s="591"/>
      <c r="AT329" s="591"/>
      <c r="AU329" s="591"/>
      <c r="AV329" s="591"/>
      <c r="AW329" s="591"/>
      <c r="AX329" s="591"/>
      <c r="AY329" s="591"/>
      <c r="AZ329" s="591"/>
      <c r="BA329" s="591"/>
      <c r="BB329" s="591"/>
      <c r="BC329" s="591"/>
      <c r="BD329" s="591"/>
      <c r="BE329" s="591"/>
      <c r="BF329" s="591"/>
      <c r="BG329" s="591"/>
      <c r="BH329" s="591"/>
      <c r="BI329" s="591"/>
      <c r="BJ329" s="591"/>
      <c r="BK329" s="591"/>
      <c r="BL329" s="591"/>
      <c r="BM329" s="591"/>
      <c r="BN329" s="591"/>
      <c r="BO329" s="591"/>
      <c r="BP329" s="591"/>
      <c r="BQ329" s="591"/>
      <c r="BR329" s="591"/>
      <c r="BS329" s="591"/>
      <c r="BT329" s="591"/>
      <c r="BU329" s="591"/>
      <c r="BV329" s="591"/>
      <c r="BW329" s="591"/>
      <c r="BX329" s="591"/>
      <c r="BY329" s="591"/>
      <c r="BZ329" s="591"/>
      <c r="CA329" s="591"/>
      <c r="CB329" s="591"/>
      <c r="CC329" s="591"/>
      <c r="CD329" s="591"/>
      <c r="CE329" s="591"/>
      <c r="CF329" s="591"/>
    </row>
    <row r="330" spans="1:84">
      <c r="A330" s="591"/>
      <c r="B330" s="591"/>
      <c r="C330" s="591"/>
      <c r="D330" s="591"/>
      <c r="E330" s="591"/>
      <c r="F330" s="591"/>
      <c r="G330" s="591"/>
      <c r="H330" s="591"/>
      <c r="I330" s="591"/>
      <c r="J330" s="591"/>
      <c r="K330" s="591"/>
      <c r="L330" s="591"/>
      <c r="M330" s="591"/>
      <c r="N330" s="591"/>
      <c r="O330" s="591"/>
      <c r="P330" s="591"/>
      <c r="Q330" s="591"/>
      <c r="R330" s="591"/>
      <c r="S330" s="591"/>
      <c r="T330" s="591"/>
      <c r="U330" s="591"/>
      <c r="V330" s="591"/>
      <c r="W330" s="591"/>
      <c r="X330" s="591"/>
      <c r="Y330" s="591"/>
      <c r="Z330" s="591"/>
      <c r="AA330" s="591"/>
      <c r="AB330" s="591"/>
      <c r="AC330" s="591"/>
      <c r="AD330" s="591"/>
      <c r="AE330" s="591"/>
      <c r="AF330" s="591"/>
      <c r="AG330" s="591"/>
      <c r="AH330" s="591"/>
      <c r="AI330" s="591"/>
      <c r="AJ330" s="591"/>
      <c r="AK330" s="591"/>
      <c r="AL330" s="591"/>
      <c r="AM330" s="591"/>
      <c r="AN330" s="591"/>
      <c r="AO330" s="591"/>
      <c r="AP330" s="591"/>
      <c r="AQ330" s="591"/>
      <c r="AR330" s="591"/>
      <c r="AS330" s="591"/>
      <c r="AT330" s="591"/>
      <c r="AU330" s="591"/>
      <c r="AV330" s="591"/>
      <c r="AW330" s="591"/>
      <c r="AX330" s="591"/>
      <c r="AY330" s="591"/>
      <c r="AZ330" s="591"/>
      <c r="BA330" s="591"/>
      <c r="BB330" s="591"/>
      <c r="BC330" s="591"/>
      <c r="BD330" s="591"/>
      <c r="BE330" s="591"/>
      <c r="BF330" s="591"/>
      <c r="BG330" s="591"/>
      <c r="BH330" s="591"/>
      <c r="BI330" s="591"/>
      <c r="BJ330" s="591"/>
      <c r="BK330" s="591"/>
      <c r="BL330" s="591"/>
      <c r="BM330" s="591"/>
      <c r="BN330" s="591"/>
      <c r="BO330" s="591"/>
      <c r="BP330" s="591"/>
      <c r="BQ330" s="591"/>
      <c r="BR330" s="591"/>
      <c r="BS330" s="591"/>
      <c r="BT330" s="591"/>
      <c r="BU330" s="591"/>
      <c r="BV330" s="591"/>
      <c r="BW330" s="591"/>
      <c r="BX330" s="591"/>
      <c r="BY330" s="591"/>
      <c r="BZ330" s="591"/>
      <c r="CA330" s="591"/>
      <c r="CB330" s="591"/>
      <c r="CC330" s="591"/>
      <c r="CD330" s="591"/>
      <c r="CE330" s="591"/>
      <c r="CF330" s="591"/>
    </row>
    <row r="331" spans="1:84">
      <c r="A331" s="591"/>
      <c r="B331" s="591"/>
      <c r="C331" s="591"/>
      <c r="D331" s="591"/>
      <c r="E331" s="591"/>
      <c r="F331" s="591"/>
      <c r="G331" s="591"/>
      <c r="H331" s="591"/>
      <c r="I331" s="591"/>
      <c r="J331" s="591"/>
      <c r="K331" s="591"/>
      <c r="L331" s="591"/>
      <c r="M331" s="591"/>
      <c r="N331" s="591"/>
      <c r="O331" s="591"/>
      <c r="P331" s="591"/>
      <c r="Q331" s="591"/>
      <c r="R331" s="591"/>
      <c r="S331" s="591"/>
      <c r="T331" s="591"/>
      <c r="U331" s="591"/>
      <c r="V331" s="591"/>
      <c r="W331" s="591"/>
      <c r="X331" s="591"/>
      <c r="Y331" s="591"/>
      <c r="Z331" s="591"/>
      <c r="AA331" s="591"/>
      <c r="AB331" s="591"/>
      <c r="AC331" s="591"/>
      <c r="AD331" s="591"/>
      <c r="AE331" s="591"/>
      <c r="AF331" s="591"/>
      <c r="AG331" s="591"/>
      <c r="AH331" s="591"/>
      <c r="AI331" s="591"/>
      <c r="AJ331" s="591"/>
      <c r="AK331" s="591"/>
      <c r="AL331" s="591"/>
      <c r="AM331" s="591"/>
      <c r="AN331" s="591"/>
      <c r="AO331" s="591"/>
      <c r="AP331" s="591"/>
      <c r="AQ331" s="591"/>
      <c r="AR331" s="591"/>
      <c r="AS331" s="591"/>
      <c r="AT331" s="591"/>
      <c r="AU331" s="591"/>
      <c r="AV331" s="591"/>
      <c r="AW331" s="591"/>
      <c r="AX331" s="591"/>
      <c r="AY331" s="591"/>
      <c r="AZ331" s="591"/>
      <c r="BA331" s="591"/>
      <c r="BB331" s="591"/>
      <c r="BC331" s="591"/>
      <c r="BD331" s="591"/>
      <c r="BE331" s="591"/>
      <c r="BF331" s="591"/>
      <c r="BG331" s="591"/>
      <c r="BH331" s="591"/>
      <c r="BI331" s="591"/>
      <c r="BJ331" s="591"/>
      <c r="BK331" s="591"/>
      <c r="BL331" s="591"/>
      <c r="BM331" s="591"/>
      <c r="BN331" s="591"/>
      <c r="BO331" s="591"/>
      <c r="BP331" s="591"/>
      <c r="BQ331" s="591"/>
      <c r="BR331" s="591"/>
      <c r="BS331" s="591"/>
      <c r="BT331" s="591"/>
      <c r="BU331" s="591"/>
      <c r="BV331" s="591"/>
      <c r="BW331" s="591"/>
      <c r="BX331" s="591"/>
      <c r="BY331" s="591"/>
      <c r="BZ331" s="591"/>
      <c r="CA331" s="591"/>
      <c r="CB331" s="591"/>
      <c r="CC331" s="591"/>
      <c r="CD331" s="591"/>
      <c r="CE331" s="591"/>
      <c r="CF331" s="591"/>
    </row>
    <row r="332" spans="1:84">
      <c r="A332" s="591"/>
      <c r="B332" s="591"/>
      <c r="C332" s="591"/>
      <c r="D332" s="591"/>
      <c r="E332" s="591"/>
      <c r="F332" s="591"/>
      <c r="G332" s="591"/>
      <c r="H332" s="591"/>
      <c r="I332" s="591"/>
      <c r="J332" s="591"/>
      <c r="K332" s="591"/>
      <c r="L332" s="591"/>
      <c r="M332" s="591"/>
      <c r="N332" s="591"/>
      <c r="O332" s="591"/>
      <c r="P332" s="591"/>
      <c r="Q332" s="591"/>
      <c r="R332" s="591"/>
      <c r="S332" s="591"/>
      <c r="T332" s="591"/>
      <c r="U332" s="591"/>
      <c r="V332" s="591"/>
      <c r="W332" s="591"/>
      <c r="X332" s="591"/>
      <c r="Y332" s="591"/>
      <c r="Z332" s="591"/>
      <c r="AA332" s="591"/>
      <c r="AB332" s="591"/>
      <c r="AC332" s="591"/>
      <c r="AD332" s="591"/>
      <c r="AE332" s="591"/>
      <c r="AF332" s="591"/>
      <c r="AG332" s="591"/>
      <c r="AH332" s="591"/>
      <c r="AI332" s="591"/>
      <c r="AJ332" s="591"/>
      <c r="AK332" s="591"/>
      <c r="AL332" s="591"/>
      <c r="AM332" s="591"/>
      <c r="AN332" s="591"/>
      <c r="AO332" s="591"/>
      <c r="AP332" s="591"/>
      <c r="AQ332" s="591"/>
      <c r="AR332" s="591"/>
      <c r="AS332" s="591"/>
      <c r="AT332" s="591"/>
      <c r="AU332" s="591"/>
      <c r="AV332" s="591"/>
      <c r="AW332" s="591"/>
      <c r="AX332" s="591"/>
      <c r="AY332" s="591"/>
      <c r="AZ332" s="591"/>
      <c r="BA332" s="591"/>
      <c r="BB332" s="591"/>
      <c r="BC332" s="591"/>
      <c r="BD332" s="591"/>
      <c r="BE332" s="591"/>
      <c r="BF332" s="591"/>
      <c r="BG332" s="591"/>
      <c r="BH332" s="591"/>
      <c r="BI332" s="591"/>
      <c r="BJ332" s="591"/>
      <c r="BK332" s="591"/>
      <c r="BL332" s="591"/>
      <c r="BM332" s="591"/>
      <c r="BN332" s="591"/>
      <c r="BO332" s="591"/>
      <c r="BP332" s="591"/>
      <c r="BQ332" s="591"/>
      <c r="BR332" s="591"/>
      <c r="BS332" s="591"/>
      <c r="BT332" s="591"/>
      <c r="BU332" s="591"/>
      <c r="BV332" s="591"/>
      <c r="BW332" s="591"/>
      <c r="BX332" s="591"/>
      <c r="BY332" s="591"/>
      <c r="BZ332" s="591"/>
      <c r="CA332" s="591"/>
      <c r="CB332" s="591"/>
      <c r="CC332" s="591"/>
      <c r="CD332" s="591"/>
      <c r="CE332" s="591"/>
      <c r="CF332" s="591"/>
    </row>
    <row r="333" spans="1:84">
      <c r="A333" s="591"/>
      <c r="B333" s="591"/>
      <c r="C333" s="591"/>
      <c r="D333" s="591"/>
      <c r="E333" s="591"/>
      <c r="F333" s="591"/>
      <c r="G333" s="591"/>
      <c r="H333" s="591"/>
      <c r="I333" s="591"/>
      <c r="J333" s="591"/>
      <c r="K333" s="591"/>
      <c r="L333" s="591"/>
      <c r="M333" s="591"/>
      <c r="N333" s="591"/>
      <c r="O333" s="591"/>
      <c r="P333" s="591"/>
      <c r="Q333" s="591"/>
      <c r="R333" s="591"/>
      <c r="S333" s="591"/>
      <c r="T333" s="591"/>
      <c r="U333" s="591"/>
      <c r="V333" s="591"/>
      <c r="W333" s="591"/>
      <c r="X333" s="591"/>
      <c r="Y333" s="591"/>
      <c r="Z333" s="591"/>
      <c r="AA333" s="591"/>
      <c r="AB333" s="591"/>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591"/>
      <c r="BF333" s="591"/>
      <c r="BG333" s="591"/>
      <c r="BH333" s="591"/>
      <c r="BI333" s="591"/>
      <c r="BJ333" s="591"/>
      <c r="BK333" s="591"/>
      <c r="BL333" s="591"/>
      <c r="BM333" s="591"/>
      <c r="BN333" s="591"/>
      <c r="BO333" s="591"/>
      <c r="BP333" s="591"/>
      <c r="BQ333" s="591"/>
      <c r="BR333" s="591"/>
      <c r="BS333" s="591"/>
      <c r="BT333" s="591"/>
      <c r="BU333" s="591"/>
      <c r="BV333" s="591"/>
      <c r="BW333" s="591"/>
      <c r="BX333" s="591"/>
      <c r="BY333" s="591"/>
      <c r="BZ333" s="591"/>
      <c r="CA333" s="591"/>
      <c r="CB333" s="591"/>
      <c r="CC333" s="591"/>
      <c r="CD333" s="591"/>
      <c r="CE333" s="591"/>
      <c r="CF333" s="591"/>
    </row>
    <row r="334" spans="1:84">
      <c r="A334" s="591"/>
      <c r="B334" s="591"/>
      <c r="C334" s="591"/>
      <c r="D334" s="591"/>
      <c r="E334" s="591"/>
      <c r="F334" s="591"/>
      <c r="G334" s="591"/>
      <c r="H334" s="591"/>
      <c r="I334" s="591"/>
      <c r="J334" s="591"/>
      <c r="K334" s="591"/>
      <c r="L334" s="591"/>
      <c r="M334" s="591"/>
      <c r="N334" s="591"/>
      <c r="O334" s="591"/>
      <c r="P334" s="591"/>
      <c r="Q334" s="591"/>
      <c r="R334" s="591"/>
      <c r="S334" s="591"/>
      <c r="T334" s="591"/>
      <c r="U334" s="591"/>
      <c r="V334" s="591"/>
      <c r="W334" s="591"/>
      <c r="X334" s="591"/>
      <c r="Y334" s="591"/>
      <c r="Z334" s="591"/>
      <c r="AA334" s="591"/>
      <c r="AB334" s="591"/>
      <c r="AC334" s="591"/>
      <c r="AD334" s="591"/>
      <c r="AE334" s="591"/>
      <c r="AF334" s="591"/>
      <c r="AG334" s="591"/>
      <c r="AH334" s="591"/>
      <c r="AI334" s="591"/>
      <c r="AJ334" s="591"/>
      <c r="AK334" s="591"/>
      <c r="AL334" s="591"/>
      <c r="AM334" s="591"/>
      <c r="AN334" s="591"/>
      <c r="AO334" s="591"/>
      <c r="AP334" s="591"/>
      <c r="AQ334" s="591"/>
      <c r="AR334" s="591"/>
      <c r="AS334" s="591"/>
      <c r="AT334" s="591"/>
      <c r="AU334" s="591"/>
      <c r="AV334" s="591"/>
      <c r="AW334" s="591"/>
      <c r="AX334" s="591"/>
      <c r="AY334" s="591"/>
      <c r="AZ334" s="591"/>
      <c r="BA334" s="591"/>
      <c r="BB334" s="591"/>
      <c r="BC334" s="591"/>
      <c r="BD334" s="591"/>
      <c r="BE334" s="591"/>
      <c r="BF334" s="591"/>
      <c r="BG334" s="591"/>
      <c r="BH334" s="591"/>
      <c r="BI334" s="591"/>
      <c r="BJ334" s="591"/>
      <c r="BK334" s="591"/>
      <c r="BL334" s="591"/>
      <c r="BM334" s="591"/>
      <c r="BN334" s="591"/>
      <c r="BO334" s="591"/>
      <c r="BP334" s="591"/>
      <c r="BQ334" s="591"/>
      <c r="BR334" s="591"/>
      <c r="BS334" s="591"/>
      <c r="BT334" s="591"/>
      <c r="BU334" s="591"/>
      <c r="BV334" s="591"/>
      <c r="BW334" s="591"/>
      <c r="BX334" s="591"/>
      <c r="BY334" s="591"/>
      <c r="BZ334" s="591"/>
      <c r="CA334" s="591"/>
      <c r="CB334" s="591"/>
      <c r="CC334" s="591"/>
      <c r="CD334" s="591"/>
      <c r="CE334" s="591"/>
      <c r="CF334" s="591"/>
    </row>
    <row r="335" spans="1:84">
      <c r="A335" s="591"/>
      <c r="B335" s="591"/>
      <c r="C335" s="591"/>
      <c r="D335" s="591"/>
      <c r="E335" s="591"/>
      <c r="F335" s="591"/>
      <c r="G335" s="591"/>
      <c r="H335" s="591"/>
      <c r="I335" s="591"/>
      <c r="J335" s="591"/>
      <c r="K335" s="591"/>
      <c r="L335" s="591"/>
      <c r="M335" s="591"/>
      <c r="N335" s="591"/>
      <c r="O335" s="591"/>
      <c r="P335" s="591"/>
      <c r="Q335" s="591"/>
      <c r="R335" s="591"/>
      <c r="S335" s="591"/>
      <c r="T335" s="591"/>
      <c r="U335" s="591"/>
      <c r="V335" s="591"/>
      <c r="W335" s="591"/>
      <c r="X335" s="591"/>
      <c r="Y335" s="591"/>
      <c r="Z335" s="591"/>
      <c r="AA335" s="591"/>
      <c r="AB335" s="591"/>
      <c r="AC335" s="591"/>
      <c r="AD335" s="591"/>
      <c r="AE335" s="591"/>
      <c r="AF335" s="591"/>
      <c r="AG335" s="591"/>
      <c r="AH335" s="591"/>
      <c r="AI335" s="591"/>
      <c r="AJ335" s="591"/>
      <c r="AK335" s="591"/>
      <c r="AL335" s="591"/>
      <c r="AM335" s="591"/>
      <c r="AN335" s="591"/>
      <c r="AO335" s="591"/>
      <c r="AP335" s="591"/>
      <c r="AQ335" s="591"/>
      <c r="AR335" s="591"/>
      <c r="AS335" s="591"/>
      <c r="AT335" s="591"/>
      <c r="AU335" s="591"/>
      <c r="AV335" s="591"/>
      <c r="AW335" s="591"/>
      <c r="AX335" s="591"/>
      <c r="AY335" s="591"/>
      <c r="AZ335" s="591"/>
      <c r="BA335" s="591"/>
      <c r="BB335" s="591"/>
      <c r="BC335" s="591"/>
      <c r="BD335" s="591"/>
      <c r="BE335" s="591"/>
      <c r="BF335" s="591"/>
      <c r="BG335" s="591"/>
      <c r="BH335" s="591"/>
      <c r="BI335" s="591"/>
      <c r="BJ335" s="591"/>
      <c r="BK335" s="591"/>
      <c r="BL335" s="591"/>
      <c r="BM335" s="591"/>
      <c r="BN335" s="591"/>
      <c r="BO335" s="591"/>
      <c r="BP335" s="591"/>
      <c r="BQ335" s="591"/>
      <c r="BR335" s="591"/>
      <c r="BS335" s="591"/>
      <c r="BT335" s="591"/>
      <c r="BU335" s="591"/>
      <c r="BV335" s="591"/>
      <c r="BW335" s="591"/>
      <c r="BX335" s="591"/>
      <c r="BY335" s="591"/>
      <c r="BZ335" s="591"/>
      <c r="CA335" s="591"/>
      <c r="CB335" s="591"/>
      <c r="CC335" s="591"/>
      <c r="CD335" s="591"/>
      <c r="CE335" s="591"/>
      <c r="CF335" s="591"/>
    </row>
    <row r="336" spans="1:84">
      <c r="A336" s="591"/>
      <c r="B336" s="591"/>
      <c r="C336" s="591"/>
      <c r="D336" s="591"/>
      <c r="E336" s="591"/>
      <c r="F336" s="591"/>
      <c r="G336" s="591"/>
      <c r="H336" s="591"/>
      <c r="I336" s="591"/>
      <c r="J336" s="591"/>
      <c r="K336" s="591"/>
      <c r="L336" s="591"/>
      <c r="M336" s="591"/>
      <c r="N336" s="591"/>
      <c r="O336" s="591"/>
      <c r="P336" s="591"/>
      <c r="Q336" s="591"/>
      <c r="R336" s="591"/>
      <c r="S336" s="591"/>
      <c r="T336" s="591"/>
      <c r="U336" s="591"/>
      <c r="V336" s="591"/>
      <c r="W336" s="591"/>
      <c r="X336" s="591"/>
      <c r="Y336" s="591"/>
      <c r="Z336" s="591"/>
      <c r="AA336" s="591"/>
      <c r="AB336" s="591"/>
      <c r="AC336" s="591"/>
      <c r="AD336" s="591"/>
      <c r="AE336" s="591"/>
      <c r="AF336" s="591"/>
      <c r="AG336" s="591"/>
      <c r="AH336" s="591"/>
      <c r="AI336" s="591"/>
      <c r="AJ336" s="591"/>
      <c r="AK336" s="591"/>
      <c r="AL336" s="591"/>
      <c r="AM336" s="591"/>
      <c r="AN336" s="591"/>
      <c r="AO336" s="591"/>
      <c r="AP336" s="591"/>
      <c r="AQ336" s="591"/>
      <c r="AR336" s="591"/>
      <c r="AS336" s="591"/>
      <c r="AT336" s="591"/>
      <c r="AU336" s="591"/>
      <c r="AV336" s="591"/>
      <c r="AW336" s="591"/>
      <c r="AX336" s="591"/>
      <c r="AY336" s="591"/>
      <c r="AZ336" s="591"/>
      <c r="BA336" s="591"/>
      <c r="BB336" s="591"/>
      <c r="BC336" s="591"/>
      <c r="BD336" s="591"/>
      <c r="BE336" s="591"/>
      <c r="BF336" s="591"/>
      <c r="BG336" s="591"/>
      <c r="BH336" s="591"/>
      <c r="BI336" s="591"/>
      <c r="BJ336" s="591"/>
      <c r="BK336" s="591"/>
      <c r="BL336" s="591"/>
      <c r="BM336" s="591"/>
      <c r="BN336" s="591"/>
      <c r="BO336" s="591"/>
      <c r="BP336" s="591"/>
      <c r="BQ336" s="591"/>
      <c r="BR336" s="591"/>
      <c r="BS336" s="591"/>
      <c r="BT336" s="591"/>
      <c r="BU336" s="591"/>
      <c r="BV336" s="591"/>
      <c r="BW336" s="591"/>
      <c r="BX336" s="591"/>
      <c r="BY336" s="591"/>
      <c r="BZ336" s="591"/>
      <c r="CA336" s="591"/>
      <c r="CB336" s="591"/>
      <c r="CC336" s="591"/>
      <c r="CD336" s="591"/>
      <c r="CE336" s="591"/>
      <c r="CF336" s="591"/>
    </row>
    <row r="337" spans="1:84">
      <c r="A337" s="591"/>
      <c r="B337" s="591"/>
      <c r="C337" s="591"/>
      <c r="D337" s="591"/>
      <c r="E337" s="591"/>
      <c r="F337" s="591"/>
      <c r="G337" s="591"/>
      <c r="H337" s="591"/>
      <c r="I337" s="591"/>
      <c r="J337" s="591"/>
      <c r="K337" s="591"/>
      <c r="L337" s="591"/>
      <c r="M337" s="591"/>
      <c r="N337" s="591"/>
      <c r="O337" s="591"/>
      <c r="P337" s="591"/>
      <c r="Q337" s="591"/>
      <c r="R337" s="591"/>
      <c r="S337" s="591"/>
      <c r="T337" s="591"/>
      <c r="U337" s="591"/>
      <c r="V337" s="591"/>
      <c r="W337" s="591"/>
      <c r="X337" s="591"/>
      <c r="Y337" s="591"/>
      <c r="Z337" s="591"/>
      <c r="AA337" s="591"/>
      <c r="AB337" s="591"/>
      <c r="AC337" s="591"/>
      <c r="AD337" s="591"/>
      <c r="AE337" s="591"/>
      <c r="AF337" s="591"/>
      <c r="AG337" s="591"/>
      <c r="AH337" s="591"/>
      <c r="AI337" s="591"/>
      <c r="AJ337" s="591"/>
      <c r="AK337" s="591"/>
      <c r="AL337" s="591"/>
      <c r="AM337" s="591"/>
      <c r="AN337" s="591"/>
      <c r="AO337" s="591"/>
      <c r="AP337" s="591"/>
      <c r="AQ337" s="591"/>
      <c r="AR337" s="591"/>
      <c r="AS337" s="591"/>
      <c r="AT337" s="591"/>
      <c r="AU337" s="591"/>
      <c r="AV337" s="591"/>
      <c r="AW337" s="591"/>
      <c r="AX337" s="591"/>
      <c r="AY337" s="591"/>
      <c r="AZ337" s="591"/>
      <c r="BA337" s="591"/>
      <c r="BB337" s="591"/>
      <c r="BC337" s="591"/>
      <c r="BD337" s="591"/>
      <c r="BE337" s="591"/>
      <c r="BF337" s="591"/>
      <c r="BG337" s="591"/>
      <c r="BH337" s="591"/>
      <c r="BI337" s="591"/>
      <c r="BJ337" s="591"/>
      <c r="BK337" s="591"/>
      <c r="BL337" s="591"/>
      <c r="BM337" s="591"/>
      <c r="BN337" s="591"/>
      <c r="BO337" s="591"/>
      <c r="BP337" s="591"/>
      <c r="BQ337" s="591"/>
      <c r="BR337" s="591"/>
      <c r="BS337" s="591"/>
      <c r="BT337" s="591"/>
      <c r="BU337" s="591"/>
      <c r="BV337" s="591"/>
      <c r="BW337" s="591"/>
      <c r="BX337" s="591"/>
      <c r="BY337" s="591"/>
      <c r="BZ337" s="591"/>
      <c r="CA337" s="591"/>
      <c r="CB337" s="591"/>
      <c r="CC337" s="591"/>
      <c r="CD337" s="591"/>
      <c r="CE337" s="591"/>
      <c r="CF337" s="591"/>
    </row>
    <row r="338" spans="1:84">
      <c r="A338" s="591"/>
      <c r="B338" s="591"/>
      <c r="C338" s="591"/>
      <c r="D338" s="591"/>
      <c r="E338" s="591"/>
      <c r="F338" s="591"/>
      <c r="G338" s="591"/>
      <c r="H338" s="591"/>
      <c r="I338" s="591"/>
      <c r="J338" s="591"/>
      <c r="K338" s="591"/>
      <c r="L338" s="591"/>
      <c r="M338" s="591"/>
      <c r="N338" s="591"/>
      <c r="O338" s="591"/>
      <c r="P338" s="591"/>
      <c r="Q338" s="591"/>
      <c r="R338" s="591"/>
      <c r="S338" s="591"/>
      <c r="T338" s="591"/>
      <c r="U338" s="591"/>
      <c r="V338" s="591"/>
      <c r="W338" s="591"/>
      <c r="X338" s="591"/>
      <c r="Y338" s="591"/>
      <c r="Z338" s="591"/>
      <c r="AA338" s="591"/>
      <c r="AB338" s="591"/>
      <c r="AC338" s="591"/>
      <c r="AD338" s="591"/>
      <c r="AE338" s="591"/>
      <c r="AF338" s="591"/>
      <c r="AG338" s="591"/>
      <c r="AH338" s="591"/>
      <c r="AI338" s="591"/>
      <c r="AJ338" s="591"/>
      <c r="AK338" s="591"/>
      <c r="AL338" s="591"/>
      <c r="AM338" s="591"/>
      <c r="AN338" s="591"/>
      <c r="AO338" s="591"/>
      <c r="AP338" s="591"/>
      <c r="AQ338" s="591"/>
      <c r="AR338" s="591"/>
      <c r="AS338" s="591"/>
      <c r="AT338" s="591"/>
      <c r="AU338" s="591"/>
      <c r="AV338" s="591"/>
      <c r="AW338" s="591"/>
      <c r="AX338" s="591"/>
      <c r="AY338" s="591"/>
      <c r="AZ338" s="591"/>
      <c r="BA338" s="591"/>
      <c r="BB338" s="591"/>
      <c r="BC338" s="591"/>
      <c r="BD338" s="591"/>
      <c r="BE338" s="591"/>
      <c r="BF338" s="591"/>
      <c r="BG338" s="591"/>
      <c r="BH338" s="591"/>
      <c r="BI338" s="591"/>
      <c r="BJ338" s="591"/>
      <c r="BK338" s="591"/>
      <c r="BL338" s="591"/>
      <c r="BM338" s="591"/>
      <c r="BN338" s="591"/>
      <c r="BO338" s="591"/>
      <c r="BP338" s="591"/>
      <c r="BQ338" s="591"/>
      <c r="BR338" s="591"/>
      <c r="BS338" s="591"/>
      <c r="BT338" s="591"/>
      <c r="BU338" s="591"/>
      <c r="BV338" s="591"/>
      <c r="BW338" s="591"/>
      <c r="BX338" s="591"/>
      <c r="BY338" s="591"/>
      <c r="BZ338" s="591"/>
      <c r="CA338" s="591"/>
      <c r="CB338" s="591"/>
      <c r="CC338" s="591"/>
      <c r="CD338" s="591"/>
      <c r="CE338" s="591"/>
      <c r="CF338" s="591"/>
    </row>
    <row r="339" spans="1:84">
      <c r="A339" s="591"/>
      <c r="B339" s="591"/>
      <c r="C339" s="591"/>
      <c r="D339" s="591"/>
      <c r="E339" s="591"/>
      <c r="F339" s="591"/>
      <c r="G339" s="591"/>
      <c r="H339" s="591"/>
      <c r="I339" s="591"/>
      <c r="J339" s="591"/>
      <c r="K339" s="591"/>
      <c r="L339" s="591"/>
      <c r="M339" s="591"/>
      <c r="N339" s="591"/>
      <c r="O339" s="591"/>
      <c r="P339" s="591"/>
      <c r="Q339" s="591"/>
      <c r="R339" s="591"/>
      <c r="S339" s="591"/>
      <c r="T339" s="591"/>
      <c r="U339" s="591"/>
      <c r="V339" s="591"/>
      <c r="W339" s="591"/>
      <c r="X339" s="591"/>
      <c r="Y339" s="591"/>
      <c r="Z339" s="591"/>
      <c r="AA339" s="591"/>
      <c r="AB339" s="591"/>
      <c r="AC339" s="591"/>
      <c r="AD339" s="591"/>
      <c r="AE339" s="591"/>
      <c r="AF339" s="591"/>
      <c r="AG339" s="591"/>
      <c r="AH339" s="591"/>
      <c r="AI339" s="591"/>
      <c r="AJ339" s="591"/>
      <c r="AK339" s="591"/>
      <c r="AL339" s="591"/>
      <c r="AM339" s="591"/>
      <c r="AN339" s="591"/>
      <c r="AO339" s="591"/>
      <c r="AP339" s="591"/>
      <c r="AQ339" s="591"/>
      <c r="AR339" s="591"/>
      <c r="AS339" s="591"/>
      <c r="AT339" s="591"/>
      <c r="AU339" s="591"/>
      <c r="AV339" s="591"/>
      <c r="AW339" s="591"/>
      <c r="AX339" s="591"/>
      <c r="AY339" s="591"/>
      <c r="AZ339" s="591"/>
      <c r="BA339" s="591"/>
      <c r="BB339" s="591"/>
      <c r="BC339" s="591"/>
      <c r="BD339" s="591"/>
      <c r="BE339" s="591"/>
      <c r="BF339" s="591"/>
      <c r="BG339" s="591"/>
      <c r="BH339" s="591"/>
      <c r="BI339" s="591"/>
      <c r="BJ339" s="591"/>
      <c r="BK339" s="591"/>
      <c r="BL339" s="591"/>
      <c r="BM339" s="591"/>
      <c r="BN339" s="591"/>
      <c r="BO339" s="591"/>
      <c r="BP339" s="591"/>
      <c r="BQ339" s="591"/>
      <c r="BR339" s="591"/>
      <c r="BS339" s="591"/>
      <c r="BT339" s="591"/>
      <c r="BU339" s="591"/>
      <c r="BV339" s="591"/>
      <c r="BW339" s="591"/>
      <c r="BX339" s="591"/>
      <c r="BY339" s="591"/>
      <c r="BZ339" s="591"/>
      <c r="CA339" s="591"/>
      <c r="CB339" s="591"/>
      <c r="CC339" s="591"/>
      <c r="CD339" s="591"/>
      <c r="CE339" s="591"/>
      <c r="CF339" s="591"/>
    </row>
    <row r="340" spans="1:84">
      <c r="A340" s="591"/>
      <c r="B340" s="591"/>
      <c r="C340" s="591"/>
      <c r="D340" s="591"/>
      <c r="E340" s="591"/>
      <c r="F340" s="591"/>
      <c r="G340" s="591"/>
      <c r="H340" s="591"/>
      <c r="I340" s="591"/>
      <c r="J340" s="591"/>
      <c r="K340" s="591"/>
      <c r="L340" s="591"/>
      <c r="M340" s="591"/>
      <c r="N340" s="591"/>
      <c r="O340" s="591"/>
      <c r="P340" s="591"/>
      <c r="Q340" s="591"/>
      <c r="R340" s="591"/>
      <c r="S340" s="591"/>
      <c r="T340" s="591"/>
      <c r="U340" s="591"/>
      <c r="V340" s="591"/>
      <c r="W340" s="591"/>
      <c r="X340" s="591"/>
      <c r="Y340" s="591"/>
      <c r="Z340" s="591"/>
      <c r="AA340" s="591"/>
      <c r="AB340" s="591"/>
      <c r="AC340" s="591"/>
      <c r="AD340" s="591"/>
      <c r="AE340" s="591"/>
      <c r="AF340" s="591"/>
      <c r="AG340" s="591"/>
      <c r="AH340" s="591"/>
      <c r="AI340" s="591"/>
      <c r="AJ340" s="591"/>
      <c r="AK340" s="591"/>
      <c r="AL340" s="591"/>
      <c r="AM340" s="591"/>
      <c r="AN340" s="591"/>
      <c r="AO340" s="591"/>
      <c r="AP340" s="591"/>
      <c r="AQ340" s="591"/>
      <c r="AR340" s="591"/>
      <c r="AS340" s="591"/>
      <c r="AT340" s="591"/>
      <c r="AU340" s="591"/>
      <c r="AV340" s="591"/>
      <c r="AW340" s="591"/>
      <c r="AX340" s="591"/>
      <c r="AY340" s="591"/>
      <c r="AZ340" s="591"/>
      <c r="BA340" s="591"/>
      <c r="BB340" s="591"/>
      <c r="BC340" s="591"/>
      <c r="BD340" s="591"/>
      <c r="BE340" s="591"/>
      <c r="BF340" s="591"/>
      <c r="BG340" s="591"/>
      <c r="BH340" s="591"/>
      <c r="BI340" s="591"/>
      <c r="BJ340" s="591"/>
      <c r="BK340" s="591"/>
      <c r="BL340" s="591"/>
      <c r="BM340" s="591"/>
      <c r="BN340" s="591"/>
      <c r="BO340" s="591"/>
      <c r="BP340" s="591"/>
      <c r="BQ340" s="591"/>
      <c r="BR340" s="591"/>
      <c r="BS340" s="591"/>
      <c r="BT340" s="591"/>
      <c r="BU340" s="591"/>
      <c r="BV340" s="591"/>
      <c r="BW340" s="591"/>
      <c r="BX340" s="591"/>
      <c r="BY340" s="591"/>
      <c r="BZ340" s="591"/>
      <c r="CA340" s="591"/>
      <c r="CB340" s="591"/>
      <c r="CC340" s="591"/>
      <c r="CD340" s="591"/>
      <c r="CE340" s="591"/>
      <c r="CF340" s="591"/>
    </row>
    <row r="341" spans="1:84">
      <c r="A341" s="591"/>
      <c r="B341" s="591"/>
      <c r="C341" s="591"/>
      <c r="D341" s="591"/>
      <c r="E341" s="591"/>
      <c r="F341" s="591"/>
      <c r="G341" s="591"/>
      <c r="H341" s="591"/>
      <c r="I341" s="591"/>
      <c r="J341" s="591"/>
      <c r="K341" s="591"/>
      <c r="L341" s="591"/>
      <c r="M341" s="591"/>
      <c r="N341" s="591"/>
      <c r="O341" s="591"/>
      <c r="P341" s="591"/>
      <c r="Q341" s="591"/>
      <c r="R341" s="591"/>
      <c r="S341" s="591"/>
      <c r="T341" s="591"/>
      <c r="U341" s="591"/>
      <c r="V341" s="591"/>
      <c r="W341" s="591"/>
      <c r="X341" s="591"/>
      <c r="Y341" s="591"/>
      <c r="Z341" s="591"/>
      <c r="AA341" s="591"/>
      <c r="AB341" s="591"/>
      <c r="AC341" s="591"/>
      <c r="AD341" s="591"/>
      <c r="AE341" s="591"/>
      <c r="AF341" s="591"/>
      <c r="AG341" s="591"/>
      <c r="AH341" s="591"/>
      <c r="AI341" s="591"/>
      <c r="AJ341" s="591"/>
      <c r="AK341" s="591"/>
      <c r="AL341" s="591"/>
      <c r="AM341" s="591"/>
      <c r="AN341" s="591"/>
      <c r="AO341" s="591"/>
      <c r="AP341" s="591"/>
      <c r="AQ341" s="591"/>
      <c r="AR341" s="591"/>
      <c r="AS341" s="591"/>
      <c r="AT341" s="591"/>
      <c r="AU341" s="591"/>
      <c r="AV341" s="591"/>
      <c r="AW341" s="591"/>
      <c r="AX341" s="591"/>
      <c r="AY341" s="591"/>
      <c r="AZ341" s="591"/>
      <c r="BA341" s="591"/>
      <c r="BB341" s="591"/>
      <c r="BC341" s="591"/>
      <c r="BD341" s="591"/>
      <c r="BE341" s="591"/>
      <c r="BF341" s="591"/>
      <c r="BG341" s="591"/>
      <c r="BH341" s="591"/>
      <c r="BI341" s="591"/>
      <c r="BJ341" s="591"/>
      <c r="BK341" s="591"/>
      <c r="BL341" s="591"/>
      <c r="BM341" s="591"/>
      <c r="BN341" s="591"/>
      <c r="BO341" s="591"/>
      <c r="BP341" s="591"/>
      <c r="BQ341" s="591"/>
      <c r="BR341" s="591"/>
      <c r="BS341" s="591"/>
      <c r="BT341" s="591"/>
      <c r="BU341" s="591"/>
      <c r="BV341" s="591"/>
      <c r="BW341" s="591"/>
      <c r="BX341" s="591"/>
      <c r="BY341" s="591"/>
      <c r="BZ341" s="591"/>
      <c r="CA341" s="591"/>
      <c r="CB341" s="591"/>
      <c r="CC341" s="591"/>
      <c r="CD341" s="591"/>
      <c r="CE341" s="591"/>
      <c r="CF341" s="591"/>
    </row>
    <row r="342" spans="1:84">
      <c r="A342" s="591"/>
      <c r="B342" s="591"/>
      <c r="C342" s="591"/>
      <c r="D342" s="591"/>
      <c r="E342" s="591"/>
      <c r="F342" s="591"/>
      <c r="G342" s="591"/>
      <c r="H342" s="591"/>
      <c r="I342" s="591"/>
      <c r="J342" s="591"/>
      <c r="K342" s="591"/>
      <c r="L342" s="591"/>
      <c r="M342" s="591"/>
      <c r="N342" s="591"/>
      <c r="O342" s="591"/>
      <c r="P342" s="591"/>
      <c r="Q342" s="591"/>
      <c r="R342" s="591"/>
      <c r="S342" s="591"/>
      <c r="T342" s="591"/>
      <c r="U342" s="591"/>
      <c r="V342" s="591"/>
      <c r="W342" s="591"/>
      <c r="X342" s="591"/>
      <c r="Y342" s="591"/>
      <c r="Z342" s="591"/>
      <c r="AA342" s="591"/>
      <c r="AB342" s="591"/>
      <c r="AC342" s="591"/>
      <c r="AD342" s="591"/>
      <c r="AE342" s="591"/>
      <c r="AF342" s="591"/>
      <c r="AG342" s="591"/>
      <c r="AH342" s="591"/>
      <c r="AI342" s="591"/>
      <c r="AJ342" s="591"/>
      <c r="AK342" s="591"/>
      <c r="AL342" s="591"/>
      <c r="AM342" s="591"/>
      <c r="AN342" s="591"/>
      <c r="AO342" s="591"/>
      <c r="AP342" s="591"/>
      <c r="AQ342" s="591"/>
      <c r="AR342" s="591"/>
      <c r="AS342" s="591"/>
      <c r="AT342" s="591"/>
      <c r="AU342" s="591"/>
      <c r="AV342" s="591"/>
      <c r="AW342" s="591"/>
      <c r="AX342" s="591"/>
      <c r="AY342" s="591"/>
      <c r="AZ342" s="591"/>
      <c r="BA342" s="591"/>
      <c r="BB342" s="591"/>
      <c r="BC342" s="591"/>
      <c r="BD342" s="591"/>
      <c r="BE342" s="591"/>
      <c r="BF342" s="591"/>
      <c r="BG342" s="591"/>
      <c r="BH342" s="591"/>
      <c r="BI342" s="591"/>
      <c r="BJ342" s="591"/>
      <c r="BK342" s="591"/>
      <c r="BL342" s="591"/>
      <c r="BM342" s="591"/>
      <c r="BN342" s="591"/>
      <c r="BO342" s="591"/>
      <c r="BP342" s="591"/>
      <c r="BQ342" s="591"/>
      <c r="BR342" s="591"/>
      <c r="BS342" s="591"/>
      <c r="BT342" s="591"/>
      <c r="BU342" s="591"/>
      <c r="BV342" s="591"/>
      <c r="BW342" s="591"/>
      <c r="BX342" s="591"/>
      <c r="BY342" s="591"/>
      <c r="BZ342" s="591"/>
      <c r="CA342" s="591"/>
      <c r="CB342" s="591"/>
      <c r="CC342" s="591"/>
      <c r="CD342" s="591"/>
      <c r="CE342" s="591"/>
      <c r="CF342" s="591"/>
    </row>
    <row r="343" spans="1:84">
      <c r="A343" s="591"/>
      <c r="B343" s="591"/>
      <c r="C343" s="591"/>
      <c r="D343" s="591"/>
      <c r="E343" s="591"/>
      <c r="F343" s="591"/>
      <c r="G343" s="591"/>
      <c r="H343" s="591"/>
      <c r="I343" s="591"/>
      <c r="J343" s="591"/>
      <c r="K343" s="591"/>
      <c r="L343" s="591"/>
      <c r="M343" s="591"/>
      <c r="N343" s="591"/>
      <c r="O343" s="591"/>
      <c r="P343" s="591"/>
      <c r="Q343" s="591"/>
      <c r="R343" s="591"/>
      <c r="S343" s="591"/>
      <c r="T343" s="591"/>
      <c r="U343" s="591"/>
      <c r="V343" s="591"/>
      <c r="W343" s="591"/>
      <c r="X343" s="591"/>
      <c r="Y343" s="591"/>
      <c r="Z343" s="591"/>
      <c r="AA343" s="591"/>
      <c r="AB343" s="591"/>
      <c r="AC343" s="591"/>
      <c r="AD343" s="591"/>
      <c r="AE343" s="591"/>
      <c r="AF343" s="591"/>
      <c r="AG343" s="591"/>
      <c r="AH343" s="591"/>
      <c r="AI343" s="591"/>
      <c r="AJ343" s="591"/>
      <c r="AK343" s="591"/>
      <c r="AL343" s="591"/>
      <c r="AM343" s="591"/>
      <c r="AN343" s="591"/>
      <c r="AO343" s="591"/>
      <c r="AP343" s="591"/>
      <c r="AQ343" s="591"/>
      <c r="AR343" s="591"/>
      <c r="AS343" s="591"/>
      <c r="AT343" s="591"/>
      <c r="AU343" s="591"/>
      <c r="AV343" s="591"/>
      <c r="AW343" s="591"/>
      <c r="AX343" s="591"/>
      <c r="AY343" s="591"/>
      <c r="AZ343" s="591"/>
      <c r="BA343" s="591"/>
      <c r="BB343" s="591"/>
      <c r="BC343" s="591"/>
      <c r="BD343" s="591"/>
      <c r="BE343" s="591"/>
      <c r="BF343" s="591"/>
      <c r="BG343" s="591"/>
      <c r="BH343" s="591"/>
      <c r="BI343" s="591"/>
      <c r="BJ343" s="591"/>
      <c r="BK343" s="591"/>
      <c r="BL343" s="591"/>
      <c r="BM343" s="591"/>
      <c r="BN343" s="591"/>
      <c r="BO343" s="591"/>
      <c r="BP343" s="591"/>
      <c r="BQ343" s="591"/>
      <c r="BR343" s="591"/>
      <c r="BS343" s="591"/>
      <c r="BT343" s="591"/>
      <c r="BU343" s="591"/>
      <c r="BV343" s="591"/>
      <c r="BW343" s="591"/>
      <c r="BX343" s="591"/>
      <c r="BY343" s="591"/>
      <c r="BZ343" s="591"/>
      <c r="CA343" s="591"/>
      <c r="CB343" s="591"/>
      <c r="CC343" s="591"/>
      <c r="CD343" s="591"/>
      <c r="CE343" s="591"/>
      <c r="CF343" s="591"/>
    </row>
    <row r="344" spans="1:84">
      <c r="A344" s="591"/>
      <c r="B344" s="591"/>
      <c r="C344" s="591"/>
      <c r="D344" s="591"/>
      <c r="E344" s="591"/>
      <c r="F344" s="591"/>
      <c r="G344" s="591"/>
      <c r="H344" s="591"/>
      <c r="I344" s="591"/>
      <c r="J344" s="591"/>
      <c r="K344" s="591"/>
      <c r="L344" s="591"/>
      <c r="M344" s="591"/>
      <c r="N344" s="591"/>
      <c r="O344" s="591"/>
      <c r="P344" s="591"/>
      <c r="Q344" s="591"/>
      <c r="R344" s="591"/>
      <c r="S344" s="591"/>
      <c r="T344" s="591"/>
      <c r="U344" s="591"/>
      <c r="V344" s="591"/>
      <c r="W344" s="591"/>
      <c r="X344" s="591"/>
      <c r="Y344" s="591"/>
      <c r="Z344" s="591"/>
      <c r="AA344" s="591"/>
      <c r="AB344" s="591"/>
      <c r="AC344" s="591"/>
      <c r="AD344" s="591"/>
      <c r="AE344" s="591"/>
      <c r="AF344" s="591"/>
      <c r="AG344" s="591"/>
      <c r="AH344" s="591"/>
      <c r="AI344" s="591"/>
      <c r="AJ344" s="591"/>
      <c r="AK344" s="591"/>
      <c r="AL344" s="591"/>
      <c r="AM344" s="591"/>
      <c r="AN344" s="591"/>
      <c r="AO344" s="591"/>
      <c r="AP344" s="591"/>
      <c r="AQ344" s="591"/>
      <c r="AR344" s="591"/>
      <c r="AS344" s="591"/>
      <c r="AT344" s="591"/>
      <c r="AU344" s="591"/>
      <c r="AV344" s="591"/>
      <c r="AW344" s="591"/>
      <c r="AX344" s="591"/>
      <c r="AY344" s="591"/>
      <c r="AZ344" s="591"/>
      <c r="BA344" s="591"/>
      <c r="BB344" s="591"/>
      <c r="BC344" s="591"/>
      <c r="BD344" s="591"/>
      <c r="BE344" s="591"/>
      <c r="BF344" s="591"/>
      <c r="BG344" s="591"/>
      <c r="BH344" s="591"/>
      <c r="BI344" s="591"/>
      <c r="BJ344" s="591"/>
      <c r="BK344" s="591"/>
      <c r="BL344" s="591"/>
      <c r="BM344" s="591"/>
      <c r="BN344" s="591"/>
      <c r="BO344" s="591"/>
      <c r="BP344" s="591"/>
      <c r="BQ344" s="591"/>
      <c r="BR344" s="591"/>
      <c r="BS344" s="591"/>
      <c r="BT344" s="591"/>
      <c r="BU344" s="591"/>
      <c r="BV344" s="591"/>
      <c r="BW344" s="591"/>
      <c r="BX344" s="591"/>
      <c r="BY344" s="591"/>
      <c r="BZ344" s="591"/>
      <c r="CA344" s="591"/>
      <c r="CB344" s="591"/>
      <c r="CC344" s="591"/>
      <c r="CD344" s="591"/>
      <c r="CE344" s="591"/>
      <c r="CF344" s="591"/>
    </row>
    <row r="345" spans="1:84">
      <c r="A345" s="591"/>
      <c r="B345" s="591"/>
      <c r="C345" s="591"/>
      <c r="D345" s="591"/>
      <c r="E345" s="591"/>
      <c r="F345" s="591"/>
      <c r="G345" s="591"/>
      <c r="H345" s="591"/>
      <c r="I345" s="591"/>
      <c r="J345" s="591"/>
      <c r="K345" s="591"/>
      <c r="L345" s="591"/>
      <c r="M345" s="591"/>
      <c r="N345" s="591"/>
      <c r="O345" s="591"/>
      <c r="P345" s="591"/>
      <c r="Q345" s="591"/>
      <c r="R345" s="591"/>
      <c r="S345" s="591"/>
      <c r="T345" s="591"/>
      <c r="U345" s="591"/>
      <c r="V345" s="591"/>
      <c r="W345" s="591"/>
      <c r="X345" s="591"/>
      <c r="Y345" s="591"/>
      <c r="Z345" s="591"/>
      <c r="AA345" s="591"/>
      <c r="AB345" s="591"/>
      <c r="AC345" s="591"/>
      <c r="AD345" s="591"/>
      <c r="AE345" s="591"/>
      <c r="AF345" s="591"/>
      <c r="AG345" s="591"/>
      <c r="AH345" s="591"/>
      <c r="AI345" s="591"/>
      <c r="AJ345" s="591"/>
      <c r="AK345" s="591"/>
      <c r="AL345" s="591"/>
      <c r="AM345" s="591"/>
      <c r="AN345" s="591"/>
      <c r="AO345" s="591"/>
      <c r="AP345" s="591"/>
      <c r="AQ345" s="591"/>
      <c r="AR345" s="591"/>
      <c r="AS345" s="591"/>
      <c r="AT345" s="591"/>
      <c r="AU345" s="591"/>
      <c r="AV345" s="591"/>
      <c r="AW345" s="591"/>
      <c r="AX345" s="591"/>
      <c r="AY345" s="591"/>
      <c r="AZ345" s="591"/>
      <c r="BA345" s="591"/>
      <c r="BB345" s="591"/>
      <c r="BC345" s="591"/>
      <c r="BD345" s="591"/>
      <c r="BE345" s="591"/>
      <c r="BF345" s="591"/>
      <c r="BG345" s="591"/>
      <c r="BH345" s="591"/>
      <c r="BI345" s="591"/>
      <c r="BJ345" s="591"/>
      <c r="BK345" s="591"/>
      <c r="BL345" s="591"/>
      <c r="BM345" s="591"/>
      <c r="BN345" s="591"/>
      <c r="BO345" s="591"/>
      <c r="BP345" s="591"/>
      <c r="BQ345" s="591"/>
      <c r="BR345" s="591"/>
      <c r="BS345" s="591"/>
      <c r="BT345" s="591"/>
      <c r="BU345" s="591"/>
      <c r="BV345" s="591"/>
      <c r="BW345" s="591"/>
      <c r="BX345" s="591"/>
      <c r="BY345" s="591"/>
      <c r="BZ345" s="591"/>
      <c r="CA345" s="591"/>
      <c r="CB345" s="591"/>
      <c r="CC345" s="591"/>
      <c r="CD345" s="591"/>
      <c r="CE345" s="591"/>
      <c r="CF345" s="591"/>
    </row>
    <row r="346" spans="1:84">
      <c r="A346" s="591"/>
      <c r="B346" s="591"/>
      <c r="C346" s="591"/>
      <c r="D346" s="591"/>
      <c r="E346" s="591"/>
      <c r="F346" s="591"/>
      <c r="G346" s="591"/>
      <c r="H346" s="591"/>
      <c r="I346" s="591"/>
      <c r="J346" s="591"/>
      <c r="K346" s="591"/>
      <c r="L346" s="591"/>
      <c r="M346" s="591"/>
      <c r="N346" s="591"/>
      <c r="O346" s="591"/>
      <c r="P346" s="591"/>
      <c r="Q346" s="591"/>
      <c r="R346" s="591"/>
      <c r="S346" s="591"/>
      <c r="T346" s="591"/>
      <c r="U346" s="591"/>
      <c r="V346" s="591"/>
      <c r="W346" s="591"/>
      <c r="X346" s="591"/>
      <c r="Y346" s="591"/>
      <c r="Z346" s="591"/>
      <c r="AA346" s="591"/>
      <c r="AB346" s="591"/>
      <c r="AC346" s="591"/>
      <c r="AD346" s="591"/>
      <c r="AE346" s="591"/>
      <c r="AF346" s="591"/>
      <c r="AG346" s="591"/>
      <c r="AH346" s="591"/>
      <c r="AI346" s="591"/>
      <c r="AJ346" s="591"/>
      <c r="AK346" s="591"/>
      <c r="AL346" s="591"/>
      <c r="AM346" s="591"/>
      <c r="AN346" s="591"/>
      <c r="AO346" s="591"/>
      <c r="AP346" s="591"/>
      <c r="AQ346" s="591"/>
      <c r="AR346" s="591"/>
      <c r="AS346" s="591"/>
      <c r="AT346" s="591"/>
      <c r="AU346" s="591"/>
      <c r="AV346" s="591"/>
      <c r="AW346" s="591"/>
      <c r="AX346" s="591"/>
      <c r="AY346" s="591"/>
      <c r="AZ346" s="591"/>
      <c r="BA346" s="591"/>
      <c r="BB346" s="591"/>
      <c r="BC346" s="591"/>
      <c r="BD346" s="591"/>
      <c r="BE346" s="591"/>
      <c r="BF346" s="591"/>
      <c r="BG346" s="591"/>
      <c r="BH346" s="591"/>
      <c r="BI346" s="591"/>
      <c r="BJ346" s="591"/>
      <c r="BK346" s="591"/>
      <c r="BL346" s="591"/>
      <c r="BM346" s="591"/>
      <c r="BN346" s="591"/>
      <c r="BO346" s="591"/>
      <c r="BP346" s="591"/>
      <c r="BQ346" s="591"/>
      <c r="BR346" s="591"/>
      <c r="BS346" s="591"/>
      <c r="BT346" s="591"/>
      <c r="BU346" s="591"/>
      <c r="BV346" s="591"/>
      <c r="BW346" s="591"/>
      <c r="BX346" s="591"/>
      <c r="BY346" s="591"/>
      <c r="BZ346" s="591"/>
      <c r="CA346" s="591"/>
      <c r="CB346" s="591"/>
      <c r="CC346" s="591"/>
      <c r="CD346" s="591"/>
      <c r="CE346" s="591"/>
      <c r="CF346" s="591"/>
    </row>
    <row r="347" spans="1:84">
      <c r="A347" s="591"/>
      <c r="B347" s="591"/>
      <c r="C347" s="591"/>
      <c r="D347" s="591"/>
      <c r="E347" s="591"/>
      <c r="F347" s="591"/>
      <c r="G347" s="591"/>
      <c r="H347" s="591"/>
      <c r="I347" s="591"/>
      <c r="J347" s="591"/>
      <c r="K347" s="591"/>
      <c r="L347" s="591"/>
      <c r="M347" s="591"/>
      <c r="N347" s="591"/>
      <c r="O347" s="591"/>
      <c r="P347" s="591"/>
      <c r="Q347" s="591"/>
      <c r="R347" s="591"/>
      <c r="S347" s="591"/>
      <c r="T347" s="591"/>
      <c r="U347" s="591"/>
      <c r="V347" s="591"/>
      <c r="W347" s="591"/>
      <c r="X347" s="591"/>
      <c r="Y347" s="591"/>
      <c r="Z347" s="591"/>
      <c r="AA347" s="591"/>
      <c r="AB347" s="591"/>
      <c r="AC347" s="591"/>
      <c r="AD347" s="591"/>
      <c r="AE347" s="591"/>
      <c r="AF347" s="591"/>
      <c r="AG347" s="591"/>
      <c r="AH347" s="591"/>
      <c r="AI347" s="591"/>
      <c r="AJ347" s="591"/>
      <c r="AK347" s="591"/>
      <c r="AL347" s="591"/>
      <c r="AM347" s="591"/>
      <c r="AN347" s="591"/>
      <c r="AO347" s="591"/>
      <c r="AP347" s="591"/>
      <c r="AQ347" s="591"/>
      <c r="AR347" s="591"/>
      <c r="AS347" s="591"/>
      <c r="AT347" s="591"/>
      <c r="AU347" s="591"/>
      <c r="AV347" s="591"/>
      <c r="AW347" s="591"/>
      <c r="AX347" s="591"/>
      <c r="AY347" s="591"/>
      <c r="AZ347" s="591"/>
      <c r="BA347" s="591"/>
      <c r="BB347" s="591"/>
      <c r="BC347" s="591"/>
      <c r="BD347" s="591"/>
      <c r="BE347" s="591"/>
      <c r="BF347" s="591"/>
      <c r="BG347" s="591"/>
      <c r="BH347" s="591"/>
      <c r="BI347" s="591"/>
      <c r="BJ347" s="591"/>
      <c r="BK347" s="591"/>
      <c r="BL347" s="591"/>
      <c r="BM347" s="591"/>
      <c r="BN347" s="591"/>
      <c r="BO347" s="591"/>
      <c r="BP347" s="591"/>
      <c r="BQ347" s="591"/>
      <c r="BR347" s="591"/>
      <c r="BS347" s="591"/>
      <c r="BT347" s="591"/>
      <c r="BU347" s="591"/>
      <c r="BV347" s="591"/>
      <c r="BW347" s="591"/>
      <c r="BX347" s="591"/>
      <c r="BY347" s="591"/>
      <c r="BZ347" s="591"/>
      <c r="CA347" s="591"/>
      <c r="CB347" s="591"/>
      <c r="CC347" s="591"/>
      <c r="CD347" s="591"/>
      <c r="CE347" s="591"/>
      <c r="CF347" s="591"/>
    </row>
    <row r="348" spans="1:84">
      <c r="A348" s="591"/>
      <c r="B348" s="591"/>
      <c r="C348" s="591"/>
      <c r="D348" s="591"/>
      <c r="E348" s="591"/>
      <c r="F348" s="591"/>
      <c r="G348" s="591"/>
      <c r="H348" s="591"/>
      <c r="I348" s="591"/>
      <c r="J348" s="591"/>
      <c r="K348" s="591"/>
      <c r="L348" s="591"/>
      <c r="M348" s="591"/>
      <c r="N348" s="591"/>
      <c r="O348" s="591"/>
      <c r="P348" s="591"/>
      <c r="Q348" s="591"/>
      <c r="R348" s="591"/>
      <c r="S348" s="591"/>
      <c r="T348" s="591"/>
      <c r="U348" s="591"/>
      <c r="V348" s="591"/>
      <c r="W348" s="591"/>
      <c r="X348" s="591"/>
      <c r="Y348" s="591"/>
      <c r="Z348" s="591"/>
      <c r="AA348" s="591"/>
      <c r="AB348" s="591"/>
      <c r="AC348" s="591"/>
      <c r="AD348" s="591"/>
      <c r="AE348" s="591"/>
      <c r="AF348" s="591"/>
      <c r="AG348" s="591"/>
      <c r="AH348" s="591"/>
      <c r="AI348" s="591"/>
      <c r="AJ348" s="591"/>
      <c r="AK348" s="591"/>
      <c r="AL348" s="591"/>
      <c r="AM348" s="591"/>
      <c r="AN348" s="591"/>
      <c r="AO348" s="591"/>
      <c r="AP348" s="591"/>
      <c r="AQ348" s="591"/>
      <c r="AR348" s="591"/>
      <c r="AS348" s="591"/>
      <c r="AT348" s="591"/>
      <c r="AU348" s="591"/>
      <c r="AV348" s="591"/>
      <c r="AW348" s="591"/>
      <c r="AX348" s="591"/>
      <c r="AY348" s="591"/>
      <c r="AZ348" s="591"/>
      <c r="BA348" s="591"/>
      <c r="BB348" s="591"/>
      <c r="BC348" s="591"/>
      <c r="BD348" s="591"/>
      <c r="BE348" s="591"/>
      <c r="BF348" s="591"/>
      <c r="BG348" s="591"/>
      <c r="BH348" s="591"/>
      <c r="BI348" s="591"/>
      <c r="BJ348" s="591"/>
      <c r="BK348" s="591"/>
      <c r="BL348" s="591"/>
      <c r="BM348" s="591"/>
      <c r="BN348" s="591"/>
      <c r="BO348" s="591"/>
      <c r="BP348" s="591"/>
      <c r="BQ348" s="591"/>
      <c r="BR348" s="591"/>
      <c r="BS348" s="591"/>
      <c r="BT348" s="591"/>
      <c r="BU348" s="591"/>
      <c r="BV348" s="591"/>
      <c r="BW348" s="591"/>
      <c r="BX348" s="591"/>
      <c r="BY348" s="591"/>
      <c r="BZ348" s="591"/>
      <c r="CA348" s="591"/>
      <c r="CB348" s="591"/>
      <c r="CC348" s="591"/>
      <c r="CD348" s="591"/>
      <c r="CE348" s="591"/>
      <c r="CF348" s="591"/>
    </row>
    <row r="349" spans="1:84">
      <c r="A349" s="591"/>
      <c r="B349" s="591"/>
      <c r="C349" s="591"/>
      <c r="D349" s="591"/>
      <c r="E349" s="591"/>
      <c r="F349" s="591"/>
      <c r="G349" s="591"/>
      <c r="H349" s="591"/>
      <c r="I349" s="591"/>
      <c r="J349" s="591"/>
      <c r="K349" s="591"/>
      <c r="L349" s="591"/>
      <c r="M349" s="591"/>
      <c r="N349" s="591"/>
      <c r="O349" s="591"/>
      <c r="P349" s="591"/>
      <c r="Q349" s="591"/>
      <c r="R349" s="591"/>
      <c r="S349" s="591"/>
      <c r="T349" s="591"/>
      <c r="U349" s="591"/>
      <c r="V349" s="591"/>
      <c r="W349" s="591"/>
      <c r="X349" s="591"/>
      <c r="Y349" s="591"/>
      <c r="Z349" s="591"/>
      <c r="AA349" s="591"/>
      <c r="AB349" s="591"/>
      <c r="AC349" s="591"/>
      <c r="AD349" s="591"/>
      <c r="AE349" s="591"/>
      <c r="AF349" s="591"/>
      <c r="AG349" s="591"/>
      <c r="AH349" s="591"/>
      <c r="AI349" s="591"/>
      <c r="AJ349" s="591"/>
      <c r="AK349" s="591"/>
      <c r="AL349" s="591"/>
      <c r="AM349" s="591"/>
      <c r="AN349" s="591"/>
      <c r="AO349" s="591"/>
      <c r="AP349" s="591"/>
      <c r="AQ349" s="591"/>
      <c r="AR349" s="591"/>
      <c r="AS349" s="591"/>
      <c r="AT349" s="591"/>
      <c r="AU349" s="591"/>
      <c r="AV349" s="591"/>
      <c r="AW349" s="591"/>
      <c r="AX349" s="591"/>
      <c r="AY349" s="591"/>
      <c r="AZ349" s="591"/>
      <c r="BA349" s="591"/>
      <c r="BB349" s="591"/>
      <c r="BC349" s="591"/>
      <c r="BD349" s="591"/>
      <c r="BE349" s="591"/>
      <c r="BF349" s="591"/>
      <c r="BG349" s="591"/>
      <c r="BH349" s="591"/>
      <c r="BI349" s="591"/>
      <c r="BJ349" s="591"/>
      <c r="BK349" s="591"/>
      <c r="BL349" s="591"/>
      <c r="BM349" s="591"/>
      <c r="BN349" s="591"/>
      <c r="BO349" s="591"/>
      <c r="BP349" s="591"/>
      <c r="BQ349" s="591"/>
      <c r="BR349" s="591"/>
      <c r="BS349" s="591"/>
      <c r="BT349" s="591"/>
      <c r="BU349" s="591"/>
      <c r="BV349" s="591"/>
      <c r="BW349" s="591"/>
      <c r="BX349" s="591"/>
      <c r="BY349" s="591"/>
      <c r="BZ349" s="591"/>
      <c r="CA349" s="591"/>
      <c r="CB349" s="591"/>
      <c r="CC349" s="591"/>
      <c r="CD349" s="591"/>
      <c r="CE349" s="591"/>
      <c r="CF349" s="591"/>
    </row>
    <row r="350" spans="1:84">
      <c r="A350" s="591"/>
      <c r="B350" s="591"/>
      <c r="C350" s="591"/>
      <c r="D350" s="591"/>
      <c r="E350" s="591"/>
      <c r="F350" s="591"/>
      <c r="G350" s="591"/>
      <c r="H350" s="591"/>
      <c r="I350" s="591"/>
      <c r="J350" s="591"/>
      <c r="K350" s="591"/>
      <c r="L350" s="591"/>
      <c r="M350" s="591"/>
      <c r="N350" s="591"/>
      <c r="O350" s="591"/>
      <c r="P350" s="591"/>
      <c r="Q350" s="591"/>
      <c r="R350" s="591"/>
      <c r="S350" s="591"/>
      <c r="T350" s="591"/>
      <c r="U350" s="591"/>
      <c r="V350" s="591"/>
      <c r="W350" s="591"/>
      <c r="X350" s="591"/>
      <c r="Y350" s="591"/>
      <c r="Z350" s="591"/>
      <c r="AA350" s="591"/>
      <c r="AB350" s="591"/>
      <c r="AC350" s="591"/>
      <c r="AD350" s="591"/>
      <c r="AE350" s="591"/>
      <c r="AF350" s="591"/>
      <c r="AG350" s="591"/>
      <c r="AH350" s="591"/>
      <c r="AI350" s="591"/>
      <c r="AJ350" s="591"/>
      <c r="AK350" s="591"/>
      <c r="AL350" s="591"/>
      <c r="AM350" s="591"/>
      <c r="AN350" s="591"/>
      <c r="AO350" s="591"/>
      <c r="AP350" s="591"/>
      <c r="AQ350" s="591"/>
      <c r="AR350" s="591"/>
      <c r="AS350" s="591"/>
      <c r="AT350" s="591"/>
      <c r="AU350" s="591"/>
      <c r="AV350" s="591"/>
      <c r="AW350" s="591"/>
      <c r="AX350" s="591"/>
      <c r="AY350" s="591"/>
      <c r="AZ350" s="591"/>
      <c r="BA350" s="591"/>
      <c r="BB350" s="591"/>
      <c r="BC350" s="591"/>
      <c r="BD350" s="591"/>
      <c r="BE350" s="591"/>
      <c r="BF350" s="591"/>
      <c r="BG350" s="591"/>
      <c r="BH350" s="591"/>
      <c r="BI350" s="591"/>
      <c r="BJ350" s="591"/>
      <c r="BK350" s="591"/>
      <c r="BL350" s="591"/>
      <c r="BM350" s="591"/>
      <c r="BN350" s="591"/>
      <c r="BO350" s="591"/>
      <c r="BP350" s="591"/>
      <c r="BQ350" s="591"/>
      <c r="BR350" s="591"/>
      <c r="BS350" s="591"/>
      <c r="BT350" s="591"/>
      <c r="BU350" s="591"/>
      <c r="BV350" s="591"/>
      <c r="BW350" s="591"/>
      <c r="BX350" s="591"/>
      <c r="BY350" s="591"/>
      <c r="BZ350" s="591"/>
      <c r="CA350" s="591"/>
      <c r="CB350" s="591"/>
      <c r="CC350" s="591"/>
      <c r="CD350" s="591"/>
      <c r="CE350" s="591"/>
      <c r="CF350" s="591"/>
    </row>
    <row r="351" spans="1:84">
      <c r="A351" s="591"/>
      <c r="B351" s="591"/>
      <c r="C351" s="591"/>
      <c r="D351" s="591"/>
      <c r="E351" s="591"/>
      <c r="F351" s="591"/>
      <c r="G351" s="591"/>
      <c r="H351" s="591"/>
      <c r="I351" s="591"/>
      <c r="J351" s="591"/>
      <c r="K351" s="591"/>
      <c r="L351" s="591"/>
      <c r="M351" s="591"/>
      <c r="N351" s="591"/>
      <c r="O351" s="591"/>
      <c r="P351" s="591"/>
      <c r="Q351" s="591"/>
      <c r="R351" s="591"/>
      <c r="S351" s="591"/>
      <c r="T351" s="591"/>
      <c r="U351" s="591"/>
      <c r="V351" s="591"/>
      <c r="W351" s="591"/>
      <c r="X351" s="591"/>
      <c r="Y351" s="591"/>
      <c r="Z351" s="591"/>
      <c r="AA351" s="591"/>
      <c r="AB351" s="591"/>
      <c r="AC351" s="591"/>
      <c r="AD351" s="591"/>
      <c r="AE351" s="591"/>
      <c r="AF351" s="591"/>
      <c r="AG351" s="591"/>
      <c r="AH351" s="591"/>
      <c r="AI351" s="591"/>
      <c r="AJ351" s="591"/>
      <c r="AK351" s="591"/>
      <c r="AL351" s="591"/>
      <c r="AM351" s="591"/>
      <c r="AN351" s="591"/>
      <c r="AO351" s="591"/>
      <c r="AP351" s="591"/>
      <c r="AQ351" s="591"/>
      <c r="AR351" s="591"/>
      <c r="AS351" s="591"/>
      <c r="AT351" s="591"/>
      <c r="AU351" s="591"/>
      <c r="AV351" s="591"/>
      <c r="AW351" s="591"/>
      <c r="AX351" s="591"/>
      <c r="AY351" s="591"/>
      <c r="AZ351" s="591"/>
      <c r="BA351" s="591"/>
      <c r="BB351" s="591"/>
      <c r="BC351" s="591"/>
      <c r="BD351" s="591"/>
      <c r="BE351" s="591"/>
      <c r="BF351" s="591"/>
      <c r="BG351" s="591"/>
      <c r="BH351" s="591"/>
      <c r="BI351" s="591"/>
      <c r="BJ351" s="591"/>
      <c r="BK351" s="591"/>
      <c r="BL351" s="591"/>
      <c r="BM351" s="591"/>
      <c r="BN351" s="591"/>
      <c r="BO351" s="591"/>
      <c r="BP351" s="591"/>
      <c r="BQ351" s="591"/>
      <c r="BR351" s="591"/>
      <c r="BS351" s="591"/>
      <c r="BT351" s="591"/>
      <c r="BU351" s="591"/>
      <c r="BV351" s="591"/>
      <c r="BW351" s="591"/>
      <c r="BX351" s="591"/>
      <c r="BY351" s="591"/>
      <c r="BZ351" s="591"/>
      <c r="CA351" s="591"/>
      <c r="CB351" s="591"/>
      <c r="CC351" s="591"/>
      <c r="CD351" s="591"/>
      <c r="CE351" s="591"/>
      <c r="CF351" s="591"/>
    </row>
    <row r="352" spans="1:84">
      <c r="A352" s="591"/>
      <c r="B352" s="591"/>
      <c r="C352" s="591"/>
      <c r="D352" s="591"/>
      <c r="E352" s="591"/>
      <c r="F352" s="591"/>
      <c r="G352" s="591"/>
      <c r="H352" s="591"/>
      <c r="I352" s="591"/>
      <c r="J352" s="591"/>
      <c r="K352" s="591"/>
      <c r="L352" s="591"/>
      <c r="M352" s="591"/>
      <c r="N352" s="591"/>
      <c r="O352" s="591"/>
      <c r="P352" s="591"/>
      <c r="Q352" s="591"/>
      <c r="R352" s="591"/>
      <c r="S352" s="591"/>
      <c r="T352" s="591"/>
      <c r="U352" s="591"/>
      <c r="V352" s="591"/>
      <c r="W352" s="591"/>
      <c r="X352" s="591"/>
      <c r="Y352" s="591"/>
      <c r="Z352" s="591"/>
      <c r="AA352" s="591"/>
      <c r="AB352" s="591"/>
      <c r="AC352" s="591"/>
      <c r="AD352" s="591"/>
      <c r="AE352" s="591"/>
      <c r="AF352" s="591"/>
      <c r="AG352" s="591"/>
      <c r="AH352" s="591"/>
      <c r="AI352" s="591"/>
      <c r="AJ352" s="591"/>
      <c r="AK352" s="591"/>
      <c r="AL352" s="591"/>
      <c r="AM352" s="591"/>
      <c r="AN352" s="591"/>
      <c r="AO352" s="591"/>
      <c r="AP352" s="591"/>
      <c r="AQ352" s="591"/>
      <c r="AR352" s="591"/>
      <c r="AS352" s="591"/>
      <c r="AT352" s="591"/>
      <c r="AU352" s="591"/>
      <c r="AV352" s="591"/>
      <c r="AW352" s="591"/>
      <c r="AX352" s="591"/>
      <c r="AY352" s="591"/>
      <c r="AZ352" s="591"/>
      <c r="BA352" s="591"/>
      <c r="BB352" s="591"/>
      <c r="BC352" s="591"/>
      <c r="BD352" s="591"/>
      <c r="BE352" s="591"/>
      <c r="BF352" s="591"/>
      <c r="BG352" s="591"/>
      <c r="BH352" s="591"/>
      <c r="BI352" s="591"/>
      <c r="BJ352" s="591"/>
      <c r="BK352" s="591"/>
      <c r="BL352" s="591"/>
      <c r="BM352" s="591"/>
      <c r="BN352" s="591"/>
      <c r="BO352" s="591"/>
      <c r="BP352" s="591"/>
      <c r="BQ352" s="591"/>
      <c r="BR352" s="591"/>
      <c r="BS352" s="591"/>
      <c r="BT352" s="591"/>
      <c r="BU352" s="591"/>
      <c r="BV352" s="591"/>
      <c r="BW352" s="591"/>
      <c r="BX352" s="591"/>
      <c r="BY352" s="591"/>
      <c r="BZ352" s="591"/>
      <c r="CA352" s="591"/>
      <c r="CB352" s="591"/>
      <c r="CC352" s="591"/>
      <c r="CD352" s="591"/>
      <c r="CE352" s="591"/>
      <c r="CF352" s="591"/>
    </row>
    <row r="353" spans="1:84">
      <c r="A353" s="591"/>
      <c r="B353" s="591"/>
      <c r="C353" s="591"/>
      <c r="D353" s="591"/>
      <c r="E353" s="591"/>
      <c r="F353" s="591"/>
      <c r="G353" s="591"/>
      <c r="H353" s="591"/>
      <c r="I353" s="591"/>
      <c r="J353" s="591"/>
      <c r="K353" s="591"/>
      <c r="L353" s="591"/>
      <c r="M353" s="591"/>
      <c r="N353" s="591"/>
      <c r="O353" s="591"/>
      <c r="P353" s="591"/>
      <c r="Q353" s="591"/>
      <c r="R353" s="591"/>
      <c r="S353" s="591"/>
      <c r="T353" s="591"/>
      <c r="U353" s="591"/>
      <c r="V353" s="591"/>
      <c r="W353" s="591"/>
      <c r="X353" s="591"/>
      <c r="Y353" s="591"/>
      <c r="Z353" s="591"/>
      <c r="AA353" s="591"/>
      <c r="AB353" s="591"/>
      <c r="AC353" s="591"/>
      <c r="AD353" s="591"/>
      <c r="AE353" s="591"/>
      <c r="AF353" s="591"/>
      <c r="AG353" s="591"/>
      <c r="AH353" s="591"/>
      <c r="AI353" s="591"/>
      <c r="AJ353" s="591"/>
      <c r="AK353" s="591"/>
      <c r="AL353" s="591"/>
      <c r="AM353" s="591"/>
      <c r="AN353" s="591"/>
      <c r="AO353" s="591"/>
      <c r="AP353" s="591"/>
      <c r="AQ353" s="591"/>
      <c r="AR353" s="591"/>
      <c r="AS353" s="591"/>
      <c r="AT353" s="591"/>
      <c r="AU353" s="591"/>
      <c r="AV353" s="591"/>
      <c r="AW353" s="591"/>
      <c r="AX353" s="591"/>
      <c r="AY353" s="591"/>
      <c r="AZ353" s="591"/>
      <c r="BA353" s="591"/>
      <c r="BB353" s="591"/>
      <c r="BC353" s="591"/>
      <c r="BD353" s="591"/>
      <c r="BE353" s="591"/>
      <c r="BF353" s="591"/>
      <c r="BG353" s="591"/>
      <c r="BH353" s="591"/>
      <c r="BI353" s="591"/>
      <c r="BJ353" s="591"/>
      <c r="BK353" s="591"/>
      <c r="BL353" s="591"/>
      <c r="BM353" s="591"/>
      <c r="BN353" s="591"/>
      <c r="BO353" s="591"/>
      <c r="BP353" s="591"/>
      <c r="BQ353" s="591"/>
      <c r="BR353" s="591"/>
      <c r="BS353" s="591"/>
      <c r="BT353" s="591"/>
      <c r="BU353" s="591"/>
      <c r="BV353" s="591"/>
      <c r="BW353" s="591"/>
      <c r="BX353" s="591"/>
      <c r="BY353" s="591"/>
      <c r="BZ353" s="591"/>
      <c r="CA353" s="591"/>
      <c r="CB353" s="591"/>
      <c r="CC353" s="591"/>
      <c r="CD353" s="591"/>
      <c r="CE353" s="591"/>
      <c r="CF353" s="591"/>
    </row>
    <row r="354" spans="1:84">
      <c r="A354" s="591"/>
      <c r="B354" s="591"/>
      <c r="C354" s="591"/>
      <c r="D354" s="591"/>
      <c r="E354" s="591"/>
      <c r="F354" s="591"/>
      <c r="G354" s="591"/>
      <c r="H354" s="591"/>
      <c r="I354" s="591"/>
      <c r="J354" s="591"/>
      <c r="K354" s="591"/>
      <c r="L354" s="591"/>
      <c r="M354" s="591"/>
      <c r="N354" s="591"/>
      <c r="O354" s="591"/>
      <c r="P354" s="591"/>
      <c r="Q354" s="591"/>
      <c r="R354" s="591"/>
      <c r="S354" s="591"/>
      <c r="T354" s="591"/>
      <c r="U354" s="591"/>
      <c r="V354" s="591"/>
      <c r="W354" s="591"/>
      <c r="X354" s="591"/>
      <c r="Y354" s="591"/>
      <c r="Z354" s="591"/>
      <c r="AA354" s="591"/>
      <c r="AB354" s="591"/>
      <c r="AC354" s="591"/>
      <c r="AD354" s="591"/>
      <c r="AE354" s="591"/>
      <c r="AF354" s="591"/>
      <c r="AG354" s="591"/>
      <c r="AH354" s="591"/>
      <c r="AI354" s="591"/>
      <c r="AJ354" s="591"/>
      <c r="AK354" s="591"/>
      <c r="AL354" s="591"/>
      <c r="AM354" s="591"/>
      <c r="AN354" s="591"/>
      <c r="AO354" s="591"/>
      <c r="AP354" s="591"/>
      <c r="AQ354" s="591"/>
      <c r="AR354" s="591"/>
      <c r="AS354" s="591"/>
      <c r="AT354" s="591"/>
      <c r="AU354" s="591"/>
      <c r="AV354" s="591"/>
      <c r="AW354" s="591"/>
      <c r="AX354" s="591"/>
      <c r="AY354" s="591"/>
      <c r="AZ354" s="591"/>
      <c r="BA354" s="591"/>
      <c r="BB354" s="591"/>
      <c r="BC354" s="591"/>
      <c r="BD354" s="591"/>
      <c r="BE354" s="591"/>
      <c r="BF354" s="591"/>
      <c r="BG354" s="591"/>
      <c r="BH354" s="591"/>
      <c r="BI354" s="591"/>
      <c r="BJ354" s="591"/>
      <c r="BK354" s="591"/>
      <c r="BL354" s="591"/>
      <c r="BM354" s="591"/>
      <c r="BN354" s="591"/>
      <c r="BO354" s="591"/>
      <c r="BP354" s="591"/>
      <c r="BQ354" s="591"/>
      <c r="BR354" s="591"/>
      <c r="BS354" s="591"/>
      <c r="BT354" s="591"/>
      <c r="BU354" s="591"/>
      <c r="BV354" s="591"/>
      <c r="BW354" s="591"/>
      <c r="BX354" s="591"/>
      <c r="BY354" s="591"/>
      <c r="BZ354" s="591"/>
      <c r="CA354" s="591"/>
      <c r="CB354" s="591"/>
      <c r="CC354" s="591"/>
      <c r="CD354" s="591"/>
      <c r="CE354" s="591"/>
      <c r="CF354" s="591"/>
    </row>
    <row r="355" spans="1:84">
      <c r="A355" s="591"/>
      <c r="B355" s="591"/>
      <c r="C355" s="591"/>
      <c r="D355" s="591"/>
      <c r="E355" s="591"/>
      <c r="F355" s="591"/>
      <c r="G355" s="591"/>
      <c r="H355" s="591"/>
      <c r="I355" s="591"/>
      <c r="J355" s="591"/>
      <c r="K355" s="591"/>
      <c r="L355" s="591"/>
      <c r="M355" s="591"/>
      <c r="N355" s="591"/>
      <c r="O355" s="591"/>
      <c r="P355" s="591"/>
      <c r="Q355" s="591"/>
      <c r="R355" s="591"/>
      <c r="S355" s="591"/>
      <c r="T355" s="591"/>
      <c r="U355" s="591"/>
      <c r="V355" s="591"/>
      <c r="W355" s="591"/>
      <c r="X355" s="591"/>
      <c r="Y355" s="591"/>
      <c r="Z355" s="591"/>
      <c r="AA355" s="591"/>
      <c r="AB355" s="591"/>
      <c r="AC355" s="591"/>
      <c r="AD355" s="591"/>
      <c r="AE355" s="591"/>
      <c r="AF355" s="591"/>
      <c r="AG355" s="591"/>
      <c r="AH355" s="591"/>
      <c r="AI355" s="591"/>
      <c r="AJ355" s="591"/>
      <c r="AK355" s="591"/>
      <c r="AL355" s="591"/>
      <c r="AM355" s="591"/>
      <c r="AN355" s="591"/>
      <c r="AO355" s="591"/>
      <c r="AP355" s="591"/>
      <c r="AQ355" s="591"/>
      <c r="AR355" s="591"/>
      <c r="AS355" s="591"/>
      <c r="AT355" s="591"/>
      <c r="AU355" s="591"/>
      <c r="AV355" s="591"/>
      <c r="AW355" s="591"/>
      <c r="AX355" s="591"/>
      <c r="AY355" s="591"/>
      <c r="AZ355" s="591"/>
      <c r="BA355" s="591"/>
      <c r="BB355" s="591"/>
      <c r="BC355" s="591"/>
      <c r="BD355" s="591"/>
      <c r="BE355" s="591"/>
      <c r="BF355" s="591"/>
      <c r="BG355" s="591"/>
      <c r="BH355" s="591"/>
      <c r="BI355" s="591"/>
      <c r="BJ355" s="591"/>
      <c r="BK355" s="591"/>
      <c r="BL355" s="591"/>
      <c r="BM355" s="591"/>
      <c r="BN355" s="591"/>
      <c r="BO355" s="591"/>
      <c r="BP355" s="591"/>
      <c r="BQ355" s="591"/>
      <c r="BR355" s="591"/>
      <c r="BS355" s="591"/>
      <c r="BT355" s="591"/>
      <c r="BU355" s="591"/>
      <c r="BV355" s="591"/>
      <c r="BW355" s="591"/>
      <c r="BX355" s="591"/>
      <c r="BY355" s="591"/>
      <c r="BZ355" s="591"/>
      <c r="CA355" s="591"/>
      <c r="CB355" s="591"/>
      <c r="CC355" s="591"/>
      <c r="CD355" s="591"/>
      <c r="CE355" s="591"/>
      <c r="CF355" s="591"/>
    </row>
    <row r="356" spans="1:84">
      <c r="A356" s="591"/>
      <c r="B356" s="591"/>
      <c r="C356" s="591"/>
      <c r="D356" s="591"/>
      <c r="E356" s="591"/>
      <c r="F356" s="591"/>
      <c r="G356" s="591"/>
      <c r="H356" s="591"/>
      <c r="I356" s="591"/>
      <c r="J356" s="591"/>
      <c r="K356" s="591"/>
      <c r="L356" s="591"/>
      <c r="M356" s="591"/>
      <c r="N356" s="591"/>
      <c r="O356" s="591"/>
      <c r="P356" s="591"/>
      <c r="Q356" s="591"/>
      <c r="R356" s="591"/>
      <c r="S356" s="591"/>
      <c r="T356" s="591"/>
      <c r="U356" s="591"/>
      <c r="V356" s="591"/>
      <c r="W356" s="591"/>
      <c r="X356" s="591"/>
      <c r="Y356" s="591"/>
      <c r="Z356" s="591"/>
      <c r="AA356" s="591"/>
      <c r="AB356" s="591"/>
      <c r="AC356" s="591"/>
      <c r="AD356" s="591"/>
      <c r="AE356" s="591"/>
      <c r="AF356" s="591"/>
      <c r="AG356" s="591"/>
      <c r="AH356" s="591"/>
      <c r="AI356" s="591"/>
      <c r="AJ356" s="591"/>
      <c r="AK356" s="591"/>
      <c r="AL356" s="591"/>
      <c r="AM356" s="591"/>
      <c r="AN356" s="591"/>
      <c r="AO356" s="591"/>
      <c r="AP356" s="591"/>
      <c r="AQ356" s="591"/>
      <c r="AR356" s="591"/>
      <c r="AS356" s="591"/>
      <c r="AT356" s="591"/>
      <c r="AU356" s="591"/>
      <c r="AV356" s="591"/>
      <c r="AW356" s="591"/>
      <c r="AX356" s="591"/>
      <c r="AY356" s="591"/>
      <c r="AZ356" s="591"/>
      <c r="BA356" s="591"/>
      <c r="BB356" s="591"/>
      <c r="BC356" s="591"/>
      <c r="BD356" s="591"/>
      <c r="BE356" s="591"/>
      <c r="BF356" s="591"/>
      <c r="BG356" s="591"/>
      <c r="BH356" s="591"/>
      <c r="BI356" s="591"/>
      <c r="BJ356" s="591"/>
      <c r="BK356" s="591"/>
      <c r="BL356" s="591"/>
      <c r="BM356" s="591"/>
      <c r="BN356" s="591"/>
      <c r="BO356" s="591"/>
      <c r="BP356" s="591"/>
      <c r="BQ356" s="591"/>
      <c r="BR356" s="591"/>
      <c r="BS356" s="591"/>
      <c r="BT356" s="591"/>
      <c r="BU356" s="591"/>
      <c r="BV356" s="591"/>
      <c r="BW356" s="591"/>
      <c r="BX356" s="591"/>
      <c r="BY356" s="591"/>
      <c r="BZ356" s="591"/>
      <c r="CA356" s="591"/>
      <c r="CB356" s="591"/>
      <c r="CC356" s="591"/>
      <c r="CD356" s="591"/>
      <c r="CE356" s="591"/>
      <c r="CF356" s="591"/>
    </row>
    <row r="357" spans="1:84">
      <c r="A357" s="591"/>
      <c r="B357" s="591"/>
      <c r="C357" s="591"/>
      <c r="D357" s="591"/>
      <c r="E357" s="591"/>
      <c r="F357" s="591"/>
      <c r="G357" s="591"/>
      <c r="H357" s="591"/>
      <c r="I357" s="591"/>
      <c r="J357" s="591"/>
      <c r="K357" s="591"/>
      <c r="L357" s="591"/>
      <c r="M357" s="591"/>
      <c r="N357" s="591"/>
      <c r="O357" s="591"/>
      <c r="P357" s="591"/>
      <c r="Q357" s="591"/>
      <c r="R357" s="591"/>
      <c r="S357" s="591"/>
      <c r="T357" s="591"/>
      <c r="U357" s="591"/>
      <c r="V357" s="591"/>
      <c r="W357" s="591"/>
      <c r="X357" s="591"/>
      <c r="Y357" s="591"/>
      <c r="Z357" s="591"/>
      <c r="AA357" s="591"/>
      <c r="AB357" s="591"/>
      <c r="AC357" s="591"/>
      <c r="AD357" s="591"/>
      <c r="AE357" s="591"/>
      <c r="AF357" s="591"/>
      <c r="AG357" s="591"/>
      <c r="AH357" s="591"/>
      <c r="AI357" s="591"/>
      <c r="AJ357" s="591"/>
      <c r="AK357" s="591"/>
      <c r="AL357" s="591"/>
      <c r="AM357" s="591"/>
      <c r="AN357" s="591"/>
      <c r="AO357" s="591"/>
      <c r="AP357" s="591"/>
      <c r="AQ357" s="591"/>
      <c r="AR357" s="591"/>
      <c r="AS357" s="591"/>
      <c r="AT357" s="591"/>
      <c r="AU357" s="591"/>
      <c r="AV357" s="591"/>
      <c r="AW357" s="591"/>
      <c r="AX357" s="591"/>
      <c r="AY357" s="591"/>
      <c r="AZ357" s="591"/>
      <c r="BA357" s="591"/>
      <c r="BB357" s="591"/>
      <c r="BC357" s="591"/>
      <c r="BD357" s="591"/>
      <c r="BE357" s="591"/>
      <c r="BF357" s="591"/>
      <c r="BG357" s="591"/>
      <c r="BH357" s="591"/>
      <c r="BI357" s="591"/>
      <c r="BJ357" s="591"/>
      <c r="BK357" s="591"/>
      <c r="BL357" s="591"/>
      <c r="BM357" s="591"/>
      <c r="BN357" s="591"/>
      <c r="BO357" s="591"/>
      <c r="BP357" s="591"/>
      <c r="BQ357" s="591"/>
      <c r="BR357" s="591"/>
      <c r="BS357" s="591"/>
      <c r="BT357" s="591"/>
      <c r="BU357" s="591"/>
      <c r="BV357" s="591"/>
      <c r="BW357" s="591"/>
      <c r="BX357" s="591"/>
      <c r="BY357" s="591"/>
      <c r="BZ357" s="591"/>
      <c r="CA357" s="591"/>
      <c r="CB357" s="591"/>
      <c r="CC357" s="591"/>
      <c r="CD357" s="591"/>
      <c r="CE357" s="591"/>
      <c r="CF357" s="591"/>
    </row>
    <row r="358" spans="1:84">
      <c r="A358" s="591"/>
      <c r="B358" s="591"/>
      <c r="C358" s="591"/>
      <c r="D358" s="591"/>
      <c r="E358" s="591"/>
      <c r="F358" s="591"/>
      <c r="G358" s="591"/>
      <c r="H358" s="591"/>
      <c r="I358" s="591"/>
      <c r="J358" s="591"/>
      <c r="K358" s="591"/>
      <c r="L358" s="591"/>
      <c r="M358" s="591"/>
      <c r="N358" s="591"/>
      <c r="O358" s="591"/>
      <c r="P358" s="591"/>
      <c r="Q358" s="591"/>
      <c r="R358" s="591"/>
      <c r="S358" s="591"/>
      <c r="T358" s="591"/>
      <c r="U358" s="591"/>
      <c r="V358" s="591"/>
      <c r="W358" s="591"/>
      <c r="X358" s="591"/>
      <c r="Y358" s="591"/>
      <c r="Z358" s="591"/>
      <c r="AA358" s="591"/>
      <c r="AB358" s="591"/>
      <c r="AC358" s="591"/>
      <c r="AD358" s="591"/>
      <c r="AE358" s="591"/>
      <c r="AF358" s="591"/>
      <c r="AG358" s="591"/>
      <c r="AH358" s="591"/>
      <c r="AI358" s="591"/>
      <c r="AJ358" s="591"/>
      <c r="AK358" s="591"/>
      <c r="AL358" s="591"/>
      <c r="AM358" s="591"/>
      <c r="AN358" s="591"/>
      <c r="AO358" s="591"/>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1"/>
      <c r="BM358" s="591"/>
      <c r="BN358" s="591"/>
      <c r="BO358" s="591"/>
      <c r="BP358" s="591"/>
      <c r="BQ358" s="591"/>
      <c r="BR358" s="591"/>
      <c r="BS358" s="591"/>
      <c r="BT358" s="591"/>
      <c r="BU358" s="591"/>
      <c r="BV358" s="591"/>
      <c r="BW358" s="591"/>
      <c r="BX358" s="591"/>
      <c r="BY358" s="591"/>
      <c r="BZ358" s="591"/>
      <c r="CA358" s="591"/>
      <c r="CB358" s="591"/>
      <c r="CC358" s="591"/>
      <c r="CD358" s="591"/>
      <c r="CE358" s="591"/>
      <c r="CF358" s="591"/>
    </row>
    <row r="359" spans="1:84">
      <c r="A359" s="591"/>
      <c r="B359" s="591"/>
      <c r="C359" s="591"/>
      <c r="D359" s="591"/>
      <c r="E359" s="591"/>
      <c r="F359" s="591"/>
      <c r="G359" s="591"/>
      <c r="H359" s="591"/>
      <c r="I359" s="591"/>
      <c r="J359" s="591"/>
      <c r="K359" s="591"/>
      <c r="L359" s="591"/>
      <c r="M359" s="591"/>
      <c r="N359" s="591"/>
      <c r="O359" s="591"/>
      <c r="P359" s="591"/>
      <c r="Q359" s="591"/>
      <c r="R359" s="591"/>
      <c r="S359" s="591"/>
      <c r="T359" s="591"/>
      <c r="U359" s="591"/>
      <c r="V359" s="591"/>
      <c r="W359" s="591"/>
      <c r="X359" s="591"/>
      <c r="Y359" s="591"/>
      <c r="Z359" s="591"/>
      <c r="AA359" s="591"/>
      <c r="AB359" s="591"/>
      <c r="AC359" s="591"/>
      <c r="AD359" s="591"/>
      <c r="AE359" s="591"/>
      <c r="AF359" s="591"/>
      <c r="AG359" s="591"/>
      <c r="AH359" s="591"/>
      <c r="AI359" s="591"/>
      <c r="AJ359" s="591"/>
      <c r="AK359" s="591"/>
      <c r="AL359" s="591"/>
      <c r="AM359" s="591"/>
      <c r="AN359" s="591"/>
      <c r="AO359" s="591"/>
      <c r="AP359" s="591"/>
      <c r="AQ359" s="591"/>
      <c r="AR359" s="591"/>
      <c r="AS359" s="591"/>
      <c r="AT359" s="591"/>
      <c r="AU359" s="591"/>
      <c r="AV359" s="591"/>
      <c r="AW359" s="591"/>
      <c r="AX359" s="591"/>
      <c r="AY359" s="591"/>
      <c r="AZ359" s="591"/>
      <c r="BA359" s="591"/>
      <c r="BB359" s="591"/>
      <c r="BC359" s="591"/>
      <c r="BD359" s="591"/>
      <c r="BE359" s="591"/>
      <c r="BF359" s="591"/>
      <c r="BG359" s="591"/>
      <c r="BH359" s="591"/>
      <c r="BI359" s="591"/>
      <c r="BJ359" s="591"/>
      <c r="BK359" s="591"/>
      <c r="BL359" s="591"/>
      <c r="BM359" s="591"/>
      <c r="BN359" s="591"/>
      <c r="BO359" s="591"/>
      <c r="BP359" s="591"/>
      <c r="BQ359" s="591"/>
      <c r="BR359" s="591"/>
      <c r="BS359" s="591"/>
      <c r="BT359" s="591"/>
      <c r="BU359" s="591"/>
      <c r="BV359" s="591"/>
      <c r="BW359" s="591"/>
      <c r="BX359" s="591"/>
      <c r="BY359" s="591"/>
      <c r="BZ359" s="591"/>
      <c r="CA359" s="591"/>
      <c r="CB359" s="591"/>
      <c r="CC359" s="591"/>
      <c r="CD359" s="591"/>
      <c r="CE359" s="591"/>
      <c r="CF359" s="591"/>
    </row>
    <row r="360" spans="1:84">
      <c r="A360" s="591"/>
      <c r="B360" s="591"/>
      <c r="C360" s="591"/>
      <c r="D360" s="591"/>
      <c r="E360" s="591"/>
      <c r="F360" s="591"/>
      <c r="G360" s="591"/>
      <c r="H360" s="591"/>
      <c r="I360" s="591"/>
      <c r="J360" s="591"/>
      <c r="K360" s="591"/>
      <c r="L360" s="591"/>
      <c r="M360" s="591"/>
      <c r="N360" s="591"/>
      <c r="O360" s="591"/>
      <c r="P360" s="591"/>
      <c r="Q360" s="591"/>
      <c r="R360" s="591"/>
      <c r="S360" s="591"/>
      <c r="T360" s="591"/>
      <c r="U360" s="591"/>
      <c r="V360" s="591"/>
      <c r="W360" s="591"/>
      <c r="X360" s="591"/>
      <c r="Y360" s="591"/>
      <c r="Z360" s="591"/>
      <c r="AA360" s="591"/>
      <c r="AB360" s="591"/>
      <c r="AC360" s="591"/>
      <c r="AD360" s="591"/>
      <c r="AE360" s="591"/>
      <c r="AF360" s="591"/>
      <c r="AG360" s="591"/>
      <c r="AH360" s="591"/>
      <c r="AI360" s="591"/>
      <c r="AJ360" s="591"/>
      <c r="AK360" s="591"/>
      <c r="AL360" s="591"/>
      <c r="AM360" s="591"/>
      <c r="AN360" s="591"/>
      <c r="AO360" s="591"/>
      <c r="AP360" s="591"/>
      <c r="AQ360" s="591"/>
      <c r="AR360" s="591"/>
      <c r="AS360" s="591"/>
      <c r="AT360" s="591"/>
      <c r="AU360" s="591"/>
      <c r="AV360" s="591"/>
      <c r="AW360" s="591"/>
      <c r="AX360" s="591"/>
      <c r="AY360" s="591"/>
      <c r="AZ360" s="591"/>
      <c r="BA360" s="591"/>
      <c r="BB360" s="591"/>
      <c r="BC360" s="591"/>
      <c r="BD360" s="591"/>
      <c r="BE360" s="591"/>
      <c r="BF360" s="591"/>
      <c r="BG360" s="591"/>
      <c r="BH360" s="591"/>
      <c r="BI360" s="591"/>
      <c r="BJ360" s="591"/>
      <c r="BK360" s="591"/>
      <c r="BL360" s="591"/>
      <c r="BM360" s="591"/>
      <c r="BN360" s="591"/>
      <c r="BO360" s="591"/>
      <c r="BP360" s="591"/>
      <c r="BQ360" s="591"/>
      <c r="BR360" s="591"/>
      <c r="BS360" s="591"/>
      <c r="BT360" s="591"/>
      <c r="BU360" s="591"/>
      <c r="BV360" s="591"/>
      <c r="BW360" s="591"/>
      <c r="BX360" s="591"/>
      <c r="BY360" s="591"/>
      <c r="BZ360" s="591"/>
      <c r="CA360" s="591"/>
      <c r="CB360" s="591"/>
      <c r="CC360" s="591"/>
      <c r="CD360" s="591"/>
      <c r="CE360" s="591"/>
      <c r="CF360" s="591"/>
    </row>
    <row r="361" spans="1:84">
      <c r="A361" s="591"/>
      <c r="B361" s="591"/>
      <c r="C361" s="591"/>
      <c r="D361" s="591"/>
      <c r="E361" s="591"/>
      <c r="F361" s="591"/>
      <c r="G361" s="591"/>
      <c r="H361" s="591"/>
      <c r="I361" s="591"/>
      <c r="J361" s="591"/>
      <c r="K361" s="591"/>
      <c r="L361" s="591"/>
      <c r="M361" s="591"/>
      <c r="N361" s="591"/>
      <c r="O361" s="591"/>
      <c r="P361" s="591"/>
      <c r="Q361" s="591"/>
      <c r="R361" s="591"/>
      <c r="S361" s="591"/>
      <c r="T361" s="591"/>
      <c r="U361" s="591"/>
      <c r="V361" s="591"/>
      <c r="W361" s="591"/>
      <c r="X361" s="591"/>
      <c r="Y361" s="591"/>
      <c r="Z361" s="591"/>
      <c r="AA361" s="591"/>
      <c r="AB361" s="591"/>
      <c r="AC361" s="591"/>
      <c r="AD361" s="591"/>
      <c r="AE361" s="591"/>
      <c r="AF361" s="591"/>
      <c r="AG361" s="591"/>
      <c r="AH361" s="591"/>
      <c r="AI361" s="591"/>
      <c r="AJ361" s="591"/>
      <c r="AK361" s="591"/>
      <c r="AL361" s="591"/>
      <c r="AM361" s="591"/>
      <c r="AN361" s="591"/>
      <c r="AO361" s="591"/>
      <c r="AP361" s="591"/>
      <c r="AQ361" s="591"/>
      <c r="AR361" s="591"/>
      <c r="AS361" s="591"/>
      <c r="AT361" s="591"/>
      <c r="AU361" s="591"/>
      <c r="AV361" s="591"/>
      <c r="AW361" s="591"/>
      <c r="AX361" s="591"/>
      <c r="AY361" s="591"/>
      <c r="AZ361" s="591"/>
      <c r="BA361" s="591"/>
      <c r="BB361" s="591"/>
      <c r="BC361" s="591"/>
      <c r="BD361" s="591"/>
      <c r="BE361" s="591"/>
      <c r="BF361" s="591"/>
      <c r="BG361" s="591"/>
      <c r="BH361" s="591"/>
      <c r="BI361" s="591"/>
      <c r="BJ361" s="591"/>
      <c r="BK361" s="591"/>
      <c r="BL361" s="591"/>
      <c r="BM361" s="591"/>
      <c r="BN361" s="591"/>
      <c r="BO361" s="591"/>
      <c r="BP361" s="591"/>
      <c r="BQ361" s="591"/>
      <c r="BR361" s="591"/>
      <c r="BS361" s="591"/>
      <c r="BT361" s="591"/>
      <c r="BU361" s="591"/>
      <c r="BV361" s="591"/>
      <c r="BW361" s="591"/>
      <c r="BX361" s="591"/>
      <c r="BY361" s="591"/>
      <c r="BZ361" s="591"/>
      <c r="CA361" s="591"/>
      <c r="CB361" s="591"/>
      <c r="CC361" s="591"/>
      <c r="CD361" s="591"/>
      <c r="CE361" s="591"/>
      <c r="CF361" s="591"/>
    </row>
    <row r="362" spans="1:84">
      <c r="A362" s="591"/>
      <c r="B362" s="591"/>
      <c r="C362" s="591"/>
      <c r="D362" s="591"/>
      <c r="E362" s="591"/>
      <c r="F362" s="591"/>
      <c r="G362" s="591"/>
      <c r="H362" s="591"/>
      <c r="I362" s="591"/>
      <c r="J362" s="591"/>
      <c r="K362" s="591"/>
      <c r="L362" s="591"/>
      <c r="M362" s="591"/>
      <c r="N362" s="591"/>
      <c r="O362" s="591"/>
      <c r="P362" s="591"/>
      <c r="Q362" s="591"/>
      <c r="R362" s="591"/>
      <c r="S362" s="591"/>
      <c r="T362" s="591"/>
      <c r="U362" s="591"/>
      <c r="V362" s="591"/>
      <c r="W362" s="591"/>
      <c r="X362" s="591"/>
      <c r="Y362" s="591"/>
      <c r="Z362" s="591"/>
      <c r="AA362" s="591"/>
      <c r="AB362" s="591"/>
      <c r="AC362" s="591"/>
      <c r="AD362" s="591"/>
      <c r="AE362" s="591"/>
      <c r="AF362" s="591"/>
      <c r="AG362" s="591"/>
      <c r="AH362" s="591"/>
      <c r="AI362" s="591"/>
      <c r="AJ362" s="591"/>
      <c r="AK362" s="591"/>
      <c r="AL362" s="591"/>
      <c r="AM362" s="591"/>
      <c r="AN362" s="591"/>
      <c r="AO362" s="591"/>
      <c r="AP362" s="591"/>
      <c r="AQ362" s="591"/>
      <c r="AR362" s="591"/>
      <c r="AS362" s="591"/>
      <c r="AT362" s="591"/>
      <c r="AU362" s="591"/>
      <c r="AV362" s="591"/>
      <c r="AW362" s="591"/>
      <c r="AX362" s="591"/>
      <c r="AY362" s="591"/>
      <c r="AZ362" s="591"/>
      <c r="BA362" s="591"/>
      <c r="BB362" s="591"/>
      <c r="BC362" s="591"/>
      <c r="BD362" s="591"/>
      <c r="BE362" s="591"/>
      <c r="BF362" s="591"/>
      <c r="BG362" s="591"/>
      <c r="BH362" s="591"/>
      <c r="BI362" s="591"/>
      <c r="BJ362" s="591"/>
      <c r="BK362" s="591"/>
      <c r="BL362" s="591"/>
      <c r="BM362" s="591"/>
      <c r="BN362" s="591"/>
      <c r="BO362" s="591"/>
      <c r="BP362" s="591"/>
      <c r="BQ362" s="591"/>
      <c r="BR362" s="591"/>
      <c r="BS362" s="591"/>
      <c r="BT362" s="591"/>
      <c r="BU362" s="591"/>
      <c r="BV362" s="591"/>
      <c r="BW362" s="591"/>
      <c r="BX362" s="591"/>
      <c r="BY362" s="591"/>
      <c r="BZ362" s="591"/>
      <c r="CA362" s="591"/>
      <c r="CB362" s="591"/>
      <c r="CC362" s="591"/>
      <c r="CD362" s="591"/>
      <c r="CE362" s="591"/>
      <c r="CF362" s="591"/>
    </row>
    <row r="363" spans="1:84">
      <c r="A363" s="591"/>
      <c r="B363" s="591"/>
      <c r="C363" s="591"/>
      <c r="D363" s="591"/>
      <c r="E363" s="591"/>
      <c r="F363" s="591"/>
      <c r="G363" s="591"/>
      <c r="H363" s="591"/>
      <c r="I363" s="591"/>
      <c r="J363" s="591"/>
      <c r="K363" s="591"/>
      <c r="L363" s="591"/>
      <c r="M363" s="591"/>
      <c r="N363" s="591"/>
      <c r="O363" s="591"/>
      <c r="P363" s="591"/>
      <c r="Q363" s="591"/>
      <c r="R363" s="591"/>
      <c r="S363" s="591"/>
      <c r="T363" s="591"/>
      <c r="U363" s="591"/>
      <c r="V363" s="591"/>
      <c r="W363" s="591"/>
      <c r="X363" s="591"/>
      <c r="Y363" s="591"/>
      <c r="Z363" s="591"/>
      <c r="AA363" s="591"/>
      <c r="AB363" s="591"/>
      <c r="AC363" s="591"/>
      <c r="AD363" s="591"/>
      <c r="AE363" s="591"/>
      <c r="AF363" s="591"/>
      <c r="AG363" s="591"/>
      <c r="AH363" s="591"/>
      <c r="AI363" s="591"/>
      <c r="AJ363" s="591"/>
      <c r="AK363" s="591"/>
      <c r="AL363" s="591"/>
      <c r="AM363" s="591"/>
      <c r="AN363" s="591"/>
      <c r="AO363" s="591"/>
      <c r="AP363" s="591"/>
      <c r="AQ363" s="591"/>
      <c r="AR363" s="591"/>
      <c r="AS363" s="591"/>
      <c r="AT363" s="591"/>
      <c r="AU363" s="591"/>
      <c r="AV363" s="591"/>
      <c r="AW363" s="591"/>
      <c r="AX363" s="591"/>
      <c r="AY363" s="591"/>
      <c r="AZ363" s="591"/>
      <c r="BA363" s="591"/>
      <c r="BB363" s="591"/>
      <c r="BC363" s="591"/>
      <c r="BD363" s="591"/>
      <c r="BE363" s="591"/>
      <c r="BF363" s="591"/>
      <c r="BG363" s="591"/>
      <c r="BH363" s="591"/>
      <c r="BI363" s="591"/>
      <c r="BJ363" s="591"/>
      <c r="BK363" s="591"/>
      <c r="BL363" s="591"/>
      <c r="BM363" s="591"/>
      <c r="BN363" s="591"/>
      <c r="BO363" s="591"/>
      <c r="BP363" s="591"/>
      <c r="BQ363" s="591"/>
      <c r="BR363" s="591"/>
      <c r="BS363" s="591"/>
      <c r="BT363" s="591"/>
      <c r="BU363" s="591"/>
      <c r="BV363" s="591"/>
      <c r="BW363" s="591"/>
      <c r="BX363" s="591"/>
      <c r="BY363" s="591"/>
      <c r="BZ363" s="591"/>
      <c r="CA363" s="591"/>
      <c r="CB363" s="591"/>
      <c r="CC363" s="591"/>
      <c r="CD363" s="591"/>
      <c r="CE363" s="591"/>
      <c r="CF363" s="591"/>
    </row>
    <row r="364" spans="1:84">
      <c r="A364" s="591"/>
      <c r="B364" s="591"/>
      <c r="C364" s="591"/>
      <c r="D364" s="591"/>
      <c r="E364" s="591"/>
      <c r="F364" s="591"/>
      <c r="G364" s="591"/>
      <c r="H364" s="591"/>
      <c r="I364" s="591"/>
      <c r="J364" s="591"/>
      <c r="K364" s="591"/>
      <c r="L364" s="591"/>
      <c r="M364" s="591"/>
      <c r="N364" s="591"/>
      <c r="O364" s="591"/>
      <c r="P364" s="591"/>
      <c r="Q364" s="591"/>
      <c r="R364" s="591"/>
      <c r="S364" s="591"/>
      <c r="T364" s="591"/>
      <c r="U364" s="591"/>
      <c r="V364" s="591"/>
      <c r="W364" s="591"/>
      <c r="X364" s="591"/>
      <c r="Y364" s="591"/>
      <c r="Z364" s="591"/>
      <c r="AA364" s="591"/>
      <c r="AB364" s="591"/>
      <c r="AC364" s="591"/>
      <c r="AD364" s="591"/>
      <c r="AE364" s="591"/>
      <c r="AF364" s="591"/>
      <c r="AG364" s="591"/>
      <c r="AH364" s="591"/>
      <c r="AI364" s="591"/>
      <c r="AJ364" s="591"/>
      <c r="AK364" s="591"/>
      <c r="AL364" s="591"/>
      <c r="AM364" s="591"/>
      <c r="AN364" s="591"/>
      <c r="AO364" s="591"/>
      <c r="AP364" s="591"/>
      <c r="AQ364" s="591"/>
      <c r="AR364" s="591"/>
      <c r="AS364" s="591"/>
      <c r="AT364" s="591"/>
      <c r="AU364" s="591"/>
      <c r="AV364" s="591"/>
      <c r="AW364" s="591"/>
      <c r="AX364" s="591"/>
      <c r="AY364" s="591"/>
      <c r="AZ364" s="591"/>
      <c r="BA364" s="591"/>
      <c r="BB364" s="591"/>
      <c r="BC364" s="591"/>
      <c r="BD364" s="591"/>
      <c r="BE364" s="591"/>
      <c r="BF364" s="591"/>
      <c r="BG364" s="591"/>
      <c r="BH364" s="591"/>
      <c r="BI364" s="591"/>
      <c r="BJ364" s="591"/>
      <c r="BK364" s="591"/>
      <c r="BL364" s="591"/>
      <c r="BM364" s="591"/>
      <c r="BN364" s="591"/>
      <c r="BO364" s="591"/>
      <c r="BP364" s="591"/>
      <c r="BQ364" s="591"/>
      <c r="BR364" s="591"/>
      <c r="BS364" s="591"/>
      <c r="BT364" s="591"/>
      <c r="BU364" s="591"/>
      <c r="BV364" s="591"/>
      <c r="BW364" s="591"/>
      <c r="BX364" s="591"/>
      <c r="BY364" s="591"/>
      <c r="BZ364" s="591"/>
      <c r="CA364" s="591"/>
      <c r="CB364" s="591"/>
      <c r="CC364" s="591"/>
      <c r="CD364" s="591"/>
      <c r="CE364" s="591"/>
      <c r="CF364" s="591"/>
    </row>
    <row r="365" spans="1:84">
      <c r="A365" s="591"/>
      <c r="B365" s="591"/>
      <c r="C365" s="591"/>
      <c r="D365" s="591"/>
      <c r="E365" s="591"/>
      <c r="F365" s="591"/>
      <c r="G365" s="591"/>
      <c r="H365" s="591"/>
      <c r="I365" s="591"/>
      <c r="J365" s="591"/>
      <c r="K365" s="591"/>
      <c r="L365" s="591"/>
      <c r="M365" s="591"/>
      <c r="N365" s="591"/>
      <c r="O365" s="591"/>
      <c r="P365" s="591"/>
      <c r="Q365" s="591"/>
      <c r="R365" s="591"/>
      <c r="S365" s="591"/>
      <c r="T365" s="591"/>
      <c r="U365" s="591"/>
      <c r="V365" s="591"/>
      <c r="W365" s="591"/>
      <c r="X365" s="591"/>
      <c r="Y365" s="591"/>
      <c r="Z365" s="591"/>
      <c r="AA365" s="591"/>
      <c r="AB365" s="591"/>
      <c r="AC365" s="591"/>
      <c r="AD365" s="591"/>
      <c r="AE365" s="591"/>
      <c r="AF365" s="591"/>
      <c r="AG365" s="591"/>
      <c r="AH365" s="591"/>
      <c r="AI365" s="591"/>
      <c r="AJ365" s="591"/>
      <c r="AK365" s="591"/>
      <c r="AL365" s="591"/>
      <c r="AM365" s="591"/>
      <c r="AN365" s="591"/>
      <c r="AO365" s="591"/>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1"/>
      <c r="BM365" s="591"/>
      <c r="BN365" s="591"/>
      <c r="BO365" s="591"/>
      <c r="BP365" s="591"/>
      <c r="BQ365" s="591"/>
      <c r="BR365" s="591"/>
      <c r="BS365" s="591"/>
      <c r="BT365" s="591"/>
      <c r="BU365" s="591"/>
      <c r="BV365" s="591"/>
      <c r="BW365" s="591"/>
      <c r="BX365" s="591"/>
      <c r="BY365" s="591"/>
      <c r="BZ365" s="591"/>
      <c r="CA365" s="591"/>
      <c r="CB365" s="591"/>
      <c r="CC365" s="591"/>
      <c r="CD365" s="591"/>
      <c r="CE365" s="591"/>
      <c r="CF365" s="591"/>
    </row>
    <row r="366" spans="1:84">
      <c r="A366" s="591"/>
      <c r="B366" s="591"/>
      <c r="C366" s="591"/>
      <c r="D366" s="591"/>
      <c r="E366" s="591"/>
      <c r="F366" s="591"/>
      <c r="G366" s="591"/>
      <c r="H366" s="591"/>
      <c r="I366" s="591"/>
      <c r="J366" s="591"/>
      <c r="K366" s="591"/>
      <c r="L366" s="591"/>
      <c r="M366" s="591"/>
      <c r="N366" s="591"/>
      <c r="O366" s="591"/>
      <c r="P366" s="591"/>
      <c r="Q366" s="591"/>
      <c r="R366" s="591"/>
      <c r="S366" s="591"/>
      <c r="T366" s="591"/>
      <c r="U366" s="591"/>
      <c r="V366" s="591"/>
      <c r="W366" s="591"/>
      <c r="X366" s="591"/>
      <c r="Y366" s="591"/>
      <c r="Z366" s="591"/>
      <c r="AA366" s="591"/>
      <c r="AB366" s="591"/>
      <c r="AC366" s="591"/>
      <c r="AD366" s="591"/>
      <c r="AE366" s="591"/>
      <c r="AF366" s="591"/>
      <c r="AG366" s="591"/>
      <c r="AH366" s="591"/>
      <c r="AI366" s="591"/>
      <c r="AJ366" s="591"/>
      <c r="AK366" s="591"/>
      <c r="AL366" s="591"/>
      <c r="AM366" s="591"/>
      <c r="AN366" s="591"/>
      <c r="AO366" s="591"/>
      <c r="AP366" s="591"/>
      <c r="AQ366" s="591"/>
      <c r="AR366" s="591"/>
      <c r="AS366" s="591"/>
      <c r="AT366" s="591"/>
      <c r="AU366" s="591"/>
      <c r="AV366" s="591"/>
      <c r="AW366" s="591"/>
      <c r="AX366" s="591"/>
      <c r="AY366" s="591"/>
      <c r="AZ366" s="591"/>
      <c r="BA366" s="591"/>
      <c r="BB366" s="591"/>
      <c r="BC366" s="591"/>
      <c r="BD366" s="591"/>
      <c r="BE366" s="591"/>
      <c r="BF366" s="591"/>
      <c r="BG366" s="591"/>
      <c r="BH366" s="591"/>
      <c r="BI366" s="591"/>
      <c r="BJ366" s="591"/>
      <c r="BK366" s="591"/>
      <c r="BL366" s="591"/>
      <c r="BM366" s="591"/>
      <c r="BN366" s="591"/>
      <c r="BO366" s="591"/>
      <c r="BP366" s="591"/>
      <c r="BQ366" s="591"/>
      <c r="BR366" s="591"/>
      <c r="BS366" s="591"/>
      <c r="BT366" s="591"/>
      <c r="BU366" s="591"/>
      <c r="BV366" s="591"/>
      <c r="BW366" s="591"/>
      <c r="BX366" s="591"/>
      <c r="BY366" s="591"/>
      <c r="BZ366" s="591"/>
      <c r="CA366" s="591"/>
      <c r="CB366" s="591"/>
      <c r="CC366" s="591"/>
      <c r="CD366" s="591"/>
      <c r="CE366" s="591"/>
      <c r="CF366" s="591"/>
    </row>
    <row r="367" spans="1:84">
      <c r="A367" s="591"/>
      <c r="B367" s="591"/>
      <c r="C367" s="591"/>
      <c r="D367" s="591"/>
      <c r="E367" s="591"/>
      <c r="F367" s="591"/>
      <c r="G367" s="591"/>
      <c r="H367" s="591"/>
      <c r="I367" s="591"/>
      <c r="J367" s="591"/>
      <c r="K367" s="591"/>
      <c r="L367" s="591"/>
      <c r="M367" s="591"/>
      <c r="N367" s="591"/>
      <c r="O367" s="591"/>
      <c r="P367" s="591"/>
      <c r="Q367" s="591"/>
      <c r="R367" s="591"/>
      <c r="S367" s="591"/>
      <c r="T367" s="591"/>
      <c r="U367" s="591"/>
      <c r="V367" s="591"/>
      <c r="W367" s="591"/>
      <c r="X367" s="591"/>
      <c r="Y367" s="591"/>
      <c r="Z367" s="591"/>
      <c r="AA367" s="591"/>
      <c r="AB367" s="591"/>
      <c r="AC367" s="591"/>
      <c r="AD367" s="591"/>
      <c r="AE367" s="591"/>
      <c r="AF367" s="591"/>
      <c r="AG367" s="591"/>
      <c r="AH367" s="591"/>
      <c r="AI367" s="591"/>
      <c r="AJ367" s="591"/>
      <c r="AK367" s="591"/>
      <c r="AL367" s="591"/>
      <c r="AM367" s="591"/>
      <c r="AN367" s="591"/>
      <c r="AO367" s="591"/>
      <c r="AP367" s="591"/>
      <c r="AQ367" s="591"/>
      <c r="AR367" s="591"/>
      <c r="AS367" s="591"/>
      <c r="AT367" s="591"/>
      <c r="AU367" s="591"/>
      <c r="AV367" s="591"/>
      <c r="AW367" s="591"/>
      <c r="AX367" s="591"/>
      <c r="AY367" s="591"/>
      <c r="AZ367" s="591"/>
      <c r="BA367" s="591"/>
      <c r="BB367" s="591"/>
      <c r="BC367" s="591"/>
      <c r="BD367" s="591"/>
      <c r="BE367" s="591"/>
      <c r="BF367" s="591"/>
      <c r="BG367" s="591"/>
      <c r="BH367" s="591"/>
      <c r="BI367" s="591"/>
      <c r="BJ367" s="591"/>
      <c r="BK367" s="591"/>
      <c r="BL367" s="591"/>
      <c r="BM367" s="591"/>
      <c r="BN367" s="591"/>
      <c r="BO367" s="591"/>
      <c r="BP367" s="591"/>
      <c r="BQ367" s="591"/>
      <c r="BR367" s="591"/>
      <c r="BS367" s="591"/>
      <c r="BT367" s="591"/>
      <c r="BU367" s="591"/>
      <c r="BV367" s="591"/>
      <c r="BW367" s="591"/>
      <c r="BX367" s="591"/>
      <c r="BY367" s="591"/>
      <c r="BZ367" s="591"/>
      <c r="CA367" s="591"/>
      <c r="CB367" s="591"/>
      <c r="CC367" s="591"/>
      <c r="CD367" s="591"/>
      <c r="CE367" s="591"/>
      <c r="CF367" s="591"/>
    </row>
    <row r="368" spans="1:84">
      <c r="A368" s="591"/>
      <c r="B368" s="591"/>
      <c r="C368" s="591"/>
      <c r="D368" s="591"/>
      <c r="E368" s="591"/>
      <c r="F368" s="591"/>
      <c r="G368" s="591"/>
      <c r="H368" s="591"/>
      <c r="I368" s="591"/>
      <c r="J368" s="591"/>
      <c r="K368" s="591"/>
      <c r="L368" s="591"/>
      <c r="M368" s="591"/>
      <c r="N368" s="591"/>
      <c r="O368" s="591"/>
      <c r="P368" s="591"/>
      <c r="Q368" s="591"/>
      <c r="R368" s="591"/>
      <c r="S368" s="591"/>
      <c r="T368" s="591"/>
      <c r="U368" s="591"/>
      <c r="V368" s="591"/>
      <c r="W368" s="591"/>
      <c r="X368" s="591"/>
      <c r="Y368" s="591"/>
      <c r="Z368" s="591"/>
      <c r="AA368" s="591"/>
      <c r="AB368" s="591"/>
      <c r="AC368" s="591"/>
      <c r="AD368" s="591"/>
      <c r="AE368" s="591"/>
      <c r="AF368" s="591"/>
      <c r="AG368" s="591"/>
      <c r="AH368" s="591"/>
      <c r="AI368" s="591"/>
      <c r="AJ368" s="591"/>
      <c r="AK368" s="591"/>
      <c r="AL368" s="591"/>
      <c r="AM368" s="591"/>
      <c r="AN368" s="591"/>
      <c r="AO368" s="591"/>
      <c r="AP368" s="591"/>
      <c r="AQ368" s="591"/>
      <c r="AR368" s="591"/>
      <c r="AS368" s="591"/>
      <c r="AT368" s="591"/>
      <c r="AU368" s="591"/>
      <c r="AV368" s="591"/>
      <c r="AW368" s="591"/>
      <c r="AX368" s="591"/>
      <c r="AY368" s="591"/>
      <c r="AZ368" s="591"/>
      <c r="BA368" s="591"/>
      <c r="BB368" s="591"/>
      <c r="BC368" s="591"/>
      <c r="BD368" s="591"/>
      <c r="BE368" s="591"/>
      <c r="BF368" s="591"/>
      <c r="BG368" s="591"/>
      <c r="BH368" s="591"/>
      <c r="BI368" s="591"/>
      <c r="BJ368" s="591"/>
      <c r="BK368" s="591"/>
      <c r="BL368" s="591"/>
      <c r="BM368" s="591"/>
      <c r="BN368" s="591"/>
      <c r="BO368" s="591"/>
      <c r="BP368" s="591"/>
      <c r="BQ368" s="591"/>
      <c r="BR368" s="591"/>
      <c r="BS368" s="591"/>
      <c r="BT368" s="591"/>
      <c r="BU368" s="591"/>
      <c r="BV368" s="591"/>
      <c r="BW368" s="591"/>
      <c r="BX368" s="591"/>
      <c r="BY368" s="591"/>
      <c r="BZ368" s="591"/>
      <c r="CA368" s="591"/>
      <c r="CB368" s="591"/>
      <c r="CC368" s="591"/>
      <c r="CD368" s="591"/>
      <c r="CE368" s="591"/>
      <c r="CF368" s="591"/>
    </row>
    <row r="369" spans="1:84">
      <c r="A369" s="591"/>
      <c r="B369" s="591"/>
      <c r="C369" s="591"/>
      <c r="D369" s="591"/>
      <c r="E369" s="591"/>
      <c r="F369" s="591"/>
      <c r="G369" s="591"/>
      <c r="H369" s="591"/>
      <c r="I369" s="591"/>
      <c r="J369" s="591"/>
      <c r="K369" s="591"/>
      <c r="L369" s="591"/>
      <c r="M369" s="591"/>
      <c r="N369" s="591"/>
      <c r="O369" s="591"/>
      <c r="P369" s="591"/>
      <c r="Q369" s="591"/>
      <c r="R369" s="591"/>
      <c r="S369" s="591"/>
      <c r="T369" s="591"/>
      <c r="U369" s="591"/>
      <c r="V369" s="591"/>
      <c r="W369" s="591"/>
      <c r="X369" s="591"/>
      <c r="Y369" s="591"/>
      <c r="Z369" s="591"/>
      <c r="AA369" s="591"/>
      <c r="AB369" s="591"/>
      <c r="AC369" s="591"/>
      <c r="AD369" s="591"/>
      <c r="AE369" s="591"/>
      <c r="AF369" s="591"/>
      <c r="AG369" s="591"/>
      <c r="AH369" s="591"/>
      <c r="AI369" s="591"/>
      <c r="AJ369" s="591"/>
      <c r="AK369" s="591"/>
      <c r="AL369" s="591"/>
      <c r="AM369" s="591"/>
      <c r="AN369" s="591"/>
      <c r="AO369" s="591"/>
      <c r="AP369" s="591"/>
      <c r="AQ369" s="591"/>
      <c r="AR369" s="591"/>
      <c r="AS369" s="591"/>
      <c r="AT369" s="591"/>
      <c r="AU369" s="591"/>
      <c r="AV369" s="591"/>
      <c r="AW369" s="591"/>
      <c r="AX369" s="591"/>
      <c r="AY369" s="591"/>
      <c r="AZ369" s="591"/>
      <c r="BA369" s="591"/>
      <c r="BB369" s="591"/>
      <c r="BC369" s="591"/>
      <c r="BD369" s="591"/>
      <c r="BE369" s="591"/>
      <c r="BF369" s="591"/>
      <c r="BG369" s="591"/>
      <c r="BH369" s="591"/>
      <c r="BI369" s="591"/>
      <c r="BJ369" s="591"/>
      <c r="BK369" s="591"/>
      <c r="BL369" s="591"/>
      <c r="BM369" s="591"/>
      <c r="BN369" s="591"/>
      <c r="BO369" s="591"/>
      <c r="BP369" s="591"/>
      <c r="BQ369" s="591"/>
      <c r="BR369" s="591"/>
      <c r="BS369" s="591"/>
      <c r="BT369" s="591"/>
      <c r="BU369" s="591"/>
      <c r="BV369" s="591"/>
      <c r="BW369" s="591"/>
      <c r="BX369" s="591"/>
      <c r="BY369" s="591"/>
      <c r="BZ369" s="591"/>
      <c r="CA369" s="591"/>
      <c r="CB369" s="591"/>
      <c r="CC369" s="591"/>
      <c r="CD369" s="591"/>
      <c r="CE369" s="591"/>
      <c r="CF369" s="591"/>
    </row>
    <row r="370" spans="1:84">
      <c r="A370" s="591"/>
      <c r="B370" s="591"/>
      <c r="C370" s="591"/>
      <c r="D370" s="591"/>
      <c r="E370" s="591"/>
      <c r="F370" s="591"/>
      <c r="G370" s="591"/>
      <c r="H370" s="591"/>
      <c r="I370" s="591"/>
      <c r="J370" s="591"/>
      <c r="K370" s="591"/>
      <c r="L370" s="591"/>
      <c r="M370" s="591"/>
      <c r="N370" s="591"/>
      <c r="O370" s="591"/>
      <c r="P370" s="591"/>
      <c r="Q370" s="591"/>
      <c r="R370" s="591"/>
      <c r="S370" s="591"/>
      <c r="T370" s="591"/>
      <c r="U370" s="591"/>
      <c r="V370" s="591"/>
      <c r="W370" s="591"/>
      <c r="X370" s="591"/>
      <c r="Y370" s="591"/>
      <c r="Z370" s="591"/>
      <c r="AA370" s="591"/>
      <c r="AB370" s="591"/>
      <c r="AC370" s="591"/>
      <c r="AD370" s="591"/>
      <c r="AE370" s="591"/>
      <c r="AF370" s="591"/>
      <c r="AG370" s="591"/>
      <c r="AH370" s="591"/>
      <c r="AI370" s="591"/>
      <c r="AJ370" s="591"/>
      <c r="AK370" s="591"/>
      <c r="AL370" s="591"/>
      <c r="AM370" s="591"/>
      <c r="AN370" s="591"/>
      <c r="AO370" s="591"/>
      <c r="AP370" s="591"/>
      <c r="AQ370" s="591"/>
      <c r="AR370" s="591"/>
      <c r="AS370" s="591"/>
      <c r="AT370" s="591"/>
      <c r="AU370" s="591"/>
      <c r="AV370" s="591"/>
      <c r="AW370" s="591"/>
      <c r="AX370" s="591"/>
      <c r="AY370" s="591"/>
      <c r="AZ370" s="591"/>
      <c r="BA370" s="591"/>
      <c r="BB370" s="591"/>
      <c r="BC370" s="591"/>
      <c r="BD370" s="591"/>
      <c r="BE370" s="591"/>
      <c r="BF370" s="591"/>
      <c r="BG370" s="591"/>
      <c r="BH370" s="591"/>
      <c r="BI370" s="591"/>
      <c r="BJ370" s="591"/>
      <c r="BK370" s="591"/>
      <c r="BL370" s="591"/>
      <c r="BM370" s="591"/>
      <c r="BN370" s="591"/>
      <c r="BO370" s="591"/>
      <c r="BP370" s="591"/>
      <c r="BQ370" s="591"/>
      <c r="BR370" s="591"/>
      <c r="BS370" s="591"/>
      <c r="BT370" s="591"/>
      <c r="BU370" s="591"/>
      <c r="BV370" s="591"/>
      <c r="BW370" s="591"/>
      <c r="BX370" s="591"/>
      <c r="BY370" s="591"/>
      <c r="BZ370" s="591"/>
      <c r="CA370" s="591"/>
      <c r="CB370" s="591"/>
      <c r="CC370" s="591"/>
      <c r="CD370" s="591"/>
      <c r="CE370" s="591"/>
      <c r="CF370" s="591"/>
    </row>
    <row r="371" spans="1:84">
      <c r="A371" s="591"/>
      <c r="B371" s="591"/>
      <c r="C371" s="591"/>
      <c r="D371" s="591"/>
      <c r="E371" s="591"/>
      <c r="F371" s="591"/>
      <c r="G371" s="591"/>
      <c r="H371" s="591"/>
      <c r="I371" s="591"/>
      <c r="J371" s="591"/>
      <c r="K371" s="591"/>
      <c r="L371" s="591"/>
      <c r="M371" s="591"/>
      <c r="N371" s="591"/>
      <c r="O371" s="591"/>
      <c r="P371" s="591"/>
      <c r="Q371" s="591"/>
      <c r="R371" s="591"/>
      <c r="S371" s="591"/>
      <c r="T371" s="591"/>
      <c r="U371" s="591"/>
      <c r="V371" s="591"/>
      <c r="W371" s="591"/>
      <c r="X371" s="591"/>
      <c r="Y371" s="591"/>
      <c r="Z371" s="591"/>
      <c r="AA371" s="591"/>
      <c r="AB371" s="591"/>
      <c r="AC371" s="591"/>
      <c r="AD371" s="591"/>
      <c r="AE371" s="591"/>
      <c r="AF371" s="591"/>
      <c r="AG371" s="591"/>
      <c r="AH371" s="591"/>
      <c r="AI371" s="591"/>
      <c r="AJ371" s="591"/>
      <c r="AK371" s="591"/>
      <c r="AL371" s="591"/>
      <c r="AM371" s="591"/>
      <c r="AN371" s="591"/>
      <c r="AO371" s="591"/>
      <c r="AP371" s="591"/>
      <c r="AQ371" s="591"/>
      <c r="AR371" s="591"/>
      <c r="AS371" s="591"/>
      <c r="AT371" s="591"/>
      <c r="AU371" s="591"/>
      <c r="AV371" s="591"/>
      <c r="AW371" s="591"/>
      <c r="AX371" s="591"/>
      <c r="AY371" s="591"/>
      <c r="AZ371" s="591"/>
      <c r="BA371" s="591"/>
      <c r="BB371" s="591"/>
      <c r="BC371" s="591"/>
      <c r="BD371" s="591"/>
      <c r="BE371" s="591"/>
      <c r="BF371" s="591"/>
      <c r="BG371" s="591"/>
      <c r="BH371" s="591"/>
      <c r="BI371" s="591"/>
      <c r="BJ371" s="591"/>
      <c r="BK371" s="591"/>
      <c r="BL371" s="591"/>
      <c r="BM371" s="591"/>
      <c r="BN371" s="591"/>
      <c r="BO371" s="591"/>
      <c r="BP371" s="591"/>
      <c r="BQ371" s="591"/>
      <c r="BR371" s="591"/>
      <c r="BS371" s="591"/>
      <c r="BT371" s="591"/>
      <c r="BU371" s="591"/>
      <c r="BV371" s="591"/>
      <c r="BW371" s="591"/>
      <c r="BX371" s="591"/>
      <c r="BY371" s="591"/>
      <c r="BZ371" s="591"/>
      <c r="CA371" s="591"/>
      <c r="CB371" s="591"/>
      <c r="CC371" s="591"/>
      <c r="CD371" s="591"/>
      <c r="CE371" s="591"/>
      <c r="CF371" s="591"/>
    </row>
  </sheetData>
  <pageMargins left="0.7" right="0.7" top="0.75" bottom="0.75" header="0.3" footer="0.3"/>
  <pageSetup scale="9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F371"/>
  <sheetViews>
    <sheetView view="pageBreakPreview" zoomScaleNormal="100" zoomScaleSheetLayoutView="100" workbookViewId="0">
      <selection activeCell="Q27" sqref="Q27"/>
    </sheetView>
  </sheetViews>
  <sheetFormatPr defaultRowHeight="15"/>
  <cols>
    <col min="1" max="1" width="2" style="553" customWidth="1"/>
    <col min="2" max="4" width="9.140625" style="553"/>
    <col min="5" max="5" width="13" style="553" customWidth="1"/>
    <col min="6" max="6" width="9.7109375" style="553" bestFit="1" customWidth="1"/>
    <col min="7" max="7" width="9.140625" style="553"/>
    <col min="8" max="8" width="9.7109375" style="553" bestFit="1" customWidth="1"/>
    <col min="9" max="9" width="4.85546875" style="553" customWidth="1"/>
    <col min="10" max="10" width="9.140625" style="553"/>
    <col min="11" max="11" width="10" style="553" customWidth="1"/>
    <col min="12" max="12" width="9.140625" style="553"/>
    <col min="13" max="13" width="11.140625" style="553" customWidth="1"/>
    <col min="14" max="16384" width="9.140625" style="553"/>
  </cols>
  <sheetData>
    <row r="1" spans="1:84">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1"/>
      <c r="BL1" s="591"/>
      <c r="BM1" s="591"/>
      <c r="BN1" s="591"/>
      <c r="BO1" s="591"/>
      <c r="BP1" s="591"/>
      <c r="BQ1" s="591"/>
      <c r="BR1" s="591"/>
      <c r="BS1" s="591"/>
      <c r="BT1" s="591"/>
      <c r="BU1" s="591"/>
      <c r="BV1" s="591"/>
      <c r="BW1" s="591"/>
      <c r="BX1" s="591"/>
      <c r="BY1" s="591"/>
      <c r="BZ1" s="591"/>
      <c r="CA1" s="591"/>
      <c r="CB1" s="591"/>
      <c r="CC1" s="591"/>
      <c r="CD1" s="591"/>
      <c r="CE1" s="591"/>
      <c r="CF1" s="591"/>
    </row>
    <row r="2" spans="1:84">
      <c r="A2" s="590"/>
      <c r="B2" s="590"/>
      <c r="C2" s="590"/>
      <c r="D2" s="590"/>
      <c r="E2" s="590"/>
      <c r="F2" s="590"/>
      <c r="G2" s="590"/>
      <c r="H2" s="590"/>
      <c r="I2" s="590"/>
      <c r="J2" s="590"/>
      <c r="K2" s="592"/>
      <c r="L2" s="592"/>
      <c r="M2" s="592"/>
      <c r="N2" s="592"/>
      <c r="O2" s="592"/>
      <c r="P2" s="592"/>
      <c r="Q2" s="592"/>
      <c r="R2" s="592"/>
      <c r="S2" s="592"/>
      <c r="T2" s="592"/>
      <c r="U2" s="592"/>
      <c r="V2" s="592"/>
      <c r="W2" s="592"/>
      <c r="X2" s="592"/>
      <c r="Y2" s="592"/>
      <c r="Z2" s="592"/>
      <c r="AA2" s="592"/>
      <c r="AB2" s="592"/>
      <c r="AC2" s="592"/>
      <c r="AD2" s="592"/>
      <c r="AE2" s="593" t="s">
        <v>335</v>
      </c>
      <c r="AF2" s="593" t="s">
        <v>336</v>
      </c>
      <c r="AG2" s="592"/>
      <c r="AH2" s="592"/>
      <c r="AI2" s="592" t="s">
        <v>337</v>
      </c>
      <c r="AJ2" s="592"/>
      <c r="AK2" s="592"/>
      <c r="AL2" s="592"/>
      <c r="AM2" s="592"/>
      <c r="AN2" s="592"/>
      <c r="AO2" s="592"/>
      <c r="AP2" s="592"/>
      <c r="AQ2" s="592"/>
      <c r="AR2" s="592"/>
      <c r="AS2" s="590"/>
      <c r="AT2" s="590"/>
      <c r="AU2" s="590"/>
      <c r="AV2" s="590"/>
      <c r="AW2" s="590"/>
      <c r="AX2" s="590"/>
      <c r="AY2" s="590"/>
      <c r="AZ2" s="590"/>
      <c r="BA2" s="590"/>
      <c r="BB2" s="590"/>
      <c r="BC2" s="590"/>
      <c r="BD2" s="590"/>
      <c r="BE2" s="590"/>
      <c r="BF2" s="590"/>
      <c r="BG2" s="590"/>
      <c r="BH2" s="590"/>
      <c r="BI2" s="590"/>
      <c r="BJ2" s="590"/>
      <c r="BK2" s="591"/>
      <c r="BL2" s="591"/>
      <c r="BM2" s="591"/>
      <c r="BN2" s="591"/>
      <c r="BO2" s="591"/>
      <c r="BP2" s="591"/>
      <c r="BQ2" s="591"/>
      <c r="BR2" s="591"/>
      <c r="BS2" s="591"/>
      <c r="BT2" s="591"/>
      <c r="BU2" s="591"/>
      <c r="BV2" s="591"/>
      <c r="BW2" s="591"/>
      <c r="BX2" s="591"/>
      <c r="BY2" s="591"/>
      <c r="BZ2" s="591"/>
      <c r="CA2" s="591"/>
      <c r="CB2" s="591"/>
      <c r="CC2" s="591"/>
      <c r="CD2" s="591"/>
      <c r="CE2" s="591"/>
      <c r="CF2" s="591"/>
    </row>
    <row r="3" spans="1:84">
      <c r="A3" s="590"/>
      <c r="B3" s="592" t="s">
        <v>1407</v>
      </c>
      <c r="C3" s="590"/>
      <c r="D3" s="590"/>
      <c r="E3" s="590"/>
      <c r="F3" s="590"/>
      <c r="G3" s="590"/>
      <c r="H3" s="590"/>
      <c r="I3" s="590"/>
      <c r="J3" s="590"/>
      <c r="K3" s="592"/>
      <c r="L3" s="592"/>
      <c r="M3" s="592"/>
      <c r="N3" s="592"/>
      <c r="O3" s="592"/>
      <c r="P3" s="592"/>
      <c r="Q3" s="592"/>
      <c r="R3" s="592"/>
      <c r="S3" s="592"/>
      <c r="T3" s="592"/>
      <c r="U3" s="592"/>
      <c r="V3" s="592"/>
      <c r="W3" s="592"/>
      <c r="X3" s="592"/>
      <c r="Y3" s="592"/>
      <c r="Z3" s="592"/>
      <c r="AA3" s="592"/>
      <c r="AB3" s="592"/>
      <c r="AC3" s="592"/>
      <c r="AD3" s="592"/>
      <c r="AE3" s="593"/>
      <c r="AF3" s="593"/>
      <c r="AG3" s="592"/>
      <c r="AH3" s="592"/>
      <c r="AI3" s="592"/>
      <c r="AJ3" s="592"/>
      <c r="AK3" s="592"/>
      <c r="AL3" s="592"/>
      <c r="AM3" s="592"/>
      <c r="AN3" s="592"/>
      <c r="AO3" s="592"/>
      <c r="AP3" s="592"/>
      <c r="AQ3" s="592"/>
      <c r="AR3" s="592"/>
      <c r="AS3" s="590"/>
      <c r="AT3" s="590"/>
      <c r="AU3" s="590"/>
      <c r="AV3" s="590"/>
      <c r="AW3" s="590"/>
      <c r="AX3" s="590"/>
      <c r="AY3" s="590"/>
      <c r="AZ3" s="590"/>
      <c r="BA3" s="590"/>
      <c r="BB3" s="590"/>
      <c r="BC3" s="590"/>
      <c r="BD3" s="590"/>
      <c r="BE3" s="590"/>
      <c r="BF3" s="590"/>
      <c r="BG3" s="590"/>
      <c r="BH3" s="590"/>
      <c r="BI3" s="590"/>
      <c r="BJ3" s="590"/>
      <c r="BK3" s="591"/>
      <c r="BL3" s="591"/>
      <c r="BM3" s="591"/>
      <c r="BN3" s="591"/>
      <c r="BO3" s="591"/>
      <c r="BP3" s="591"/>
      <c r="BQ3" s="591"/>
      <c r="BR3" s="591"/>
      <c r="BS3" s="591"/>
      <c r="BT3" s="591"/>
      <c r="BU3" s="591"/>
      <c r="BV3" s="591"/>
      <c r="BW3" s="591"/>
      <c r="BX3" s="591"/>
      <c r="BY3" s="591"/>
      <c r="BZ3" s="591"/>
      <c r="CA3" s="591"/>
      <c r="CB3" s="591"/>
      <c r="CC3" s="591"/>
      <c r="CD3" s="591"/>
      <c r="CE3" s="591"/>
      <c r="CF3" s="591"/>
    </row>
    <row r="4" spans="1:84">
      <c r="A4" s="590"/>
      <c r="B4" s="594"/>
      <c r="C4" s="592"/>
      <c r="D4" s="592"/>
      <c r="E4" s="595"/>
      <c r="F4" s="592"/>
      <c r="G4" s="596"/>
      <c r="H4" s="592"/>
      <c r="I4" s="592"/>
      <c r="J4" s="592"/>
      <c r="K4" s="592"/>
      <c r="L4" s="592"/>
      <c r="M4" s="592"/>
      <c r="N4" s="592" t="s">
        <v>338</v>
      </c>
      <c r="O4" s="592"/>
      <c r="P4" s="592"/>
      <c r="Q4" s="592"/>
      <c r="R4" s="592"/>
      <c r="S4" s="592"/>
      <c r="T4" s="592"/>
      <c r="U4" s="593" t="s">
        <v>339</v>
      </c>
      <c r="V4" s="593" t="s">
        <v>340</v>
      </c>
      <c r="W4" s="593" t="s">
        <v>331</v>
      </c>
      <c r="X4" s="593" t="s">
        <v>341</v>
      </c>
      <c r="Y4" s="593" t="s">
        <v>342</v>
      </c>
      <c r="Z4" s="592"/>
      <c r="AA4" s="593" t="s">
        <v>343</v>
      </c>
      <c r="AB4" s="592" t="s">
        <v>344</v>
      </c>
      <c r="AC4" s="593" t="s">
        <v>345</v>
      </c>
      <c r="AD4" s="593" t="s">
        <v>346</v>
      </c>
      <c r="AE4" s="593" t="s">
        <v>347</v>
      </c>
      <c r="AF4" s="592"/>
      <c r="AG4" s="592"/>
      <c r="AH4" s="592"/>
      <c r="AI4" s="592" t="s">
        <v>348</v>
      </c>
      <c r="AJ4" s="592"/>
      <c r="AK4" s="592"/>
      <c r="AL4" s="592"/>
      <c r="AM4" s="592"/>
      <c r="AN4" s="592"/>
      <c r="AO4" s="592"/>
      <c r="AP4" s="592"/>
      <c r="AQ4" s="592"/>
      <c r="AR4" s="592"/>
      <c r="AS4" s="590"/>
      <c r="AT4" s="590"/>
      <c r="AU4" s="590"/>
      <c r="AV4" s="590"/>
      <c r="AW4" s="590"/>
      <c r="AX4" s="590"/>
      <c r="AY4" s="590"/>
      <c r="AZ4" s="590"/>
      <c r="BA4" s="590"/>
      <c r="BB4" s="590"/>
      <c r="BC4" s="590"/>
      <c r="BD4" s="590"/>
      <c r="BE4" s="590"/>
      <c r="BF4" s="590"/>
      <c r="BG4" s="590"/>
      <c r="BH4" s="590"/>
      <c r="BI4" s="590"/>
      <c r="BJ4" s="590"/>
      <c r="BK4" s="591"/>
      <c r="BL4" s="591"/>
      <c r="BM4" s="591"/>
      <c r="BN4" s="591"/>
      <c r="BO4" s="591"/>
      <c r="BP4" s="591"/>
      <c r="BQ4" s="591"/>
      <c r="BR4" s="591"/>
      <c r="BS4" s="591"/>
      <c r="BT4" s="591"/>
      <c r="BU4" s="591"/>
      <c r="BV4" s="591"/>
      <c r="BW4" s="591"/>
      <c r="BX4" s="591"/>
      <c r="BY4" s="591"/>
      <c r="BZ4" s="591"/>
      <c r="CA4" s="591"/>
      <c r="CB4" s="591"/>
      <c r="CC4" s="591"/>
      <c r="CD4" s="591"/>
      <c r="CE4" s="591"/>
      <c r="CF4" s="591"/>
    </row>
    <row r="5" spans="1:84">
      <c r="A5" s="590"/>
      <c r="B5" s="597" t="s">
        <v>349</v>
      </c>
      <c r="C5" s="597" t="s">
        <v>350</v>
      </c>
      <c r="D5" s="592"/>
      <c r="E5" s="595">
        <f>E7+E6</f>
        <v>8153.6773132708404</v>
      </c>
      <c r="F5" s="597" t="s">
        <v>351</v>
      </c>
      <c r="G5" s="592"/>
      <c r="H5" s="592"/>
      <c r="I5" s="592"/>
      <c r="J5" s="597"/>
      <c r="K5" s="592"/>
      <c r="L5" s="598"/>
      <c r="M5" s="592"/>
      <c r="N5" s="597" t="s">
        <v>352</v>
      </c>
      <c r="O5" s="592"/>
      <c r="P5" s="592"/>
      <c r="Q5" s="597" t="s">
        <v>353</v>
      </c>
      <c r="R5" s="592"/>
      <c r="S5" s="592"/>
      <c r="T5" s="592"/>
      <c r="U5" s="599">
        <f>$E$8*1.25</f>
        <v>9717.5403112972908</v>
      </c>
      <c r="V5" s="600">
        <f>100*(+U5/$E$9)</f>
        <v>1179.8276450828298</v>
      </c>
      <c r="W5" s="601">
        <f>EXP(5.7226-(0.68367*LN(+V5)))</f>
        <v>2.4276350640317519</v>
      </c>
      <c r="X5" s="601">
        <f>(+W5*V5)/100</f>
        <v>28.641909607170863</v>
      </c>
      <c r="Y5" s="600">
        <f>100*((((X5/100)-((X5/100)-0.03574)*$E$21)-0.03574-0.00619)/0.344)</f>
        <v>46.295989362595265</v>
      </c>
      <c r="Z5" s="592">
        <f>$E$20</f>
        <v>0.25</v>
      </c>
      <c r="AA5" s="600">
        <f>Y5+Z5</f>
        <v>46.545989362595265</v>
      </c>
      <c r="AB5" s="600">
        <f>100*($E$17*$E$19+($E$18*(AA5/100))/(1-$E$21))</f>
        <v>43.543040889824539</v>
      </c>
      <c r="AC5" s="601">
        <f>AB5/V5</f>
        <v>3.6906272768992117E-2</v>
      </c>
      <c r="AD5" s="599">
        <f>$E$8/(1-AC5)</f>
        <v>8071.937371442511</v>
      </c>
      <c r="AE5" s="592" t="str">
        <f>IF(AD5=$U$5,"yes","not yet")</f>
        <v>not yet</v>
      </c>
      <c r="AF5" s="600">
        <f>100*(1-AC5)</f>
        <v>96.309372723100779</v>
      </c>
      <c r="AG5" s="592"/>
      <c r="AH5" s="592"/>
      <c r="AI5" s="592">
        <v>0</v>
      </c>
      <c r="AJ5" s="592">
        <v>1</v>
      </c>
      <c r="AK5" s="592"/>
      <c r="AL5" s="592"/>
      <c r="AM5" s="592"/>
      <c r="AN5" s="592"/>
      <c r="AO5" s="592"/>
      <c r="AP5" s="592"/>
      <c r="AQ5" s="592"/>
      <c r="AR5" s="592"/>
      <c r="AS5" s="590"/>
      <c r="AT5" s="590"/>
      <c r="AU5" s="590"/>
      <c r="AV5" s="590"/>
      <c r="AW5" s="590"/>
      <c r="AX5" s="590"/>
      <c r="AY5" s="590"/>
      <c r="AZ5" s="590"/>
      <c r="BA5" s="590"/>
      <c r="BB5" s="590"/>
      <c r="BC5" s="590"/>
      <c r="BD5" s="590"/>
      <c r="BE5" s="590"/>
      <c r="BF5" s="590"/>
      <c r="BG5" s="590"/>
      <c r="BH5" s="590"/>
      <c r="BI5" s="590"/>
      <c r="BJ5" s="590"/>
      <c r="BK5" s="591"/>
      <c r="BL5" s="591"/>
      <c r="BM5" s="591"/>
      <c r="BN5" s="591"/>
      <c r="BO5" s="591"/>
      <c r="BP5" s="591"/>
      <c r="BQ5" s="591"/>
      <c r="BR5" s="591"/>
      <c r="BS5" s="591"/>
      <c r="BT5" s="591"/>
      <c r="BU5" s="591"/>
      <c r="BV5" s="591"/>
      <c r="BW5" s="591"/>
      <c r="BX5" s="591"/>
      <c r="BY5" s="591"/>
      <c r="BZ5" s="591"/>
      <c r="CA5" s="591"/>
      <c r="CB5" s="591"/>
      <c r="CC5" s="591"/>
      <c r="CD5" s="591"/>
      <c r="CE5" s="591"/>
      <c r="CF5" s="591"/>
    </row>
    <row r="6" spans="1:84">
      <c r="A6" s="590"/>
      <c r="B6" s="597" t="s">
        <v>349</v>
      </c>
      <c r="C6" s="597" t="s">
        <v>354</v>
      </c>
      <c r="D6" s="592"/>
      <c r="E6" s="595">
        <f>(+E8-((H15/100)*E7))/H25</f>
        <v>2157.2287611204983</v>
      </c>
      <c r="F6" s="602" t="s">
        <v>351</v>
      </c>
      <c r="G6" s="592"/>
      <c r="H6" s="603"/>
      <c r="I6" s="592"/>
      <c r="J6" s="604">
        <f>E6/E7</f>
        <v>0.3597510663786001</v>
      </c>
      <c r="K6" s="592" t="s">
        <v>355</v>
      </c>
      <c r="L6" s="598"/>
      <c r="M6" s="592"/>
      <c r="N6" s="597" t="s">
        <v>356</v>
      </c>
      <c r="O6" s="592"/>
      <c r="P6" s="592"/>
      <c r="Q6" s="597" t="s">
        <v>357</v>
      </c>
      <c r="R6" s="592"/>
      <c r="S6" s="592"/>
      <c r="T6" s="592"/>
      <c r="U6" s="599">
        <f>$E$8*1.25</f>
        <v>9717.5403112972908</v>
      </c>
      <c r="V6" s="600">
        <f>100*(+U6/$E$9)</f>
        <v>1179.8276450828298</v>
      </c>
      <c r="W6" s="601">
        <f>EXP(5.70827-(0.68367*LN(+V6)))</f>
        <v>2.3930951232990725</v>
      </c>
      <c r="X6" s="601">
        <f>(+W6*V6)/100</f>
        <v>28.234397837811489</v>
      </c>
      <c r="Y6" s="600">
        <f>100*((((X6/100)-((X6/100)-0.03574)*$E$21)-0.03574-0.00619)/0.344)</f>
        <v>45.514135386498786</v>
      </c>
      <c r="Z6" s="592">
        <f>$E$20</f>
        <v>0.25</v>
      </c>
      <c r="AA6" s="600">
        <f>Y6+Z6</f>
        <v>45.764135386498786</v>
      </c>
      <c r="AB6" s="600">
        <f>100*($E$17*$E$19+($E$18*(AA6/100))/(1-$E$21))</f>
        <v>42.832264547918655</v>
      </c>
      <c r="AC6" s="601">
        <f>AB6/V6</f>
        <v>3.6303831942259342E-2</v>
      </c>
      <c r="AD6" s="599">
        <f>$E$8/(1-AC6)</f>
        <v>8066.8913156579501</v>
      </c>
      <c r="AE6" s="592" t="str">
        <f>IF(AD6=$U$6,"yes","not yet")</f>
        <v>not yet</v>
      </c>
      <c r="AF6" s="600">
        <f>100*(1-AC6)</f>
        <v>96.369616805774058</v>
      </c>
      <c r="AG6" s="592"/>
      <c r="AH6" s="592"/>
      <c r="AI6" s="592">
        <v>50</v>
      </c>
      <c r="AJ6" s="592">
        <v>2</v>
      </c>
      <c r="AK6" s="592"/>
      <c r="AL6" s="592"/>
      <c r="AM6" s="592"/>
      <c r="AN6" s="592"/>
      <c r="AO6" s="592"/>
      <c r="AP6" s="592"/>
      <c r="AQ6" s="592"/>
      <c r="AR6" s="592"/>
      <c r="AS6" s="590"/>
      <c r="AT6" s="590"/>
      <c r="AU6" s="590"/>
      <c r="AV6" s="590"/>
      <c r="AW6" s="590"/>
      <c r="AX6" s="590"/>
      <c r="AY6" s="590"/>
      <c r="AZ6" s="590"/>
      <c r="BA6" s="590"/>
      <c r="BB6" s="590"/>
      <c r="BC6" s="590"/>
      <c r="BD6" s="590"/>
      <c r="BE6" s="590"/>
      <c r="BF6" s="590"/>
      <c r="BG6" s="590"/>
      <c r="BH6" s="590"/>
      <c r="BI6" s="590"/>
      <c r="BJ6" s="590"/>
      <c r="BK6" s="591"/>
      <c r="BL6" s="591"/>
      <c r="BM6" s="591"/>
      <c r="BN6" s="591"/>
      <c r="BO6" s="591"/>
      <c r="BP6" s="591"/>
      <c r="BQ6" s="591"/>
      <c r="BR6" s="591"/>
      <c r="BS6" s="591"/>
      <c r="BT6" s="591"/>
      <c r="BU6" s="591"/>
      <c r="BV6" s="591"/>
      <c r="BW6" s="591"/>
      <c r="BX6" s="591"/>
      <c r="BY6" s="591"/>
      <c r="BZ6" s="591"/>
      <c r="CA6" s="591"/>
      <c r="CB6" s="591"/>
      <c r="CC6" s="591"/>
      <c r="CD6" s="591"/>
      <c r="CE6" s="591"/>
      <c r="CF6" s="591"/>
    </row>
    <row r="7" spans="1:84" ht="15.75">
      <c r="A7" s="590"/>
      <c r="B7" s="605" t="s">
        <v>358</v>
      </c>
      <c r="C7" s="597" t="s">
        <v>87</v>
      </c>
      <c r="D7" s="605" t="s">
        <v>359</v>
      </c>
      <c r="E7" s="606">
        <f>'Consolidated IS'!Q18</f>
        <v>5996.448552150342</v>
      </c>
      <c r="F7" s="597" t="s">
        <v>360</v>
      </c>
      <c r="G7" s="592"/>
      <c r="H7" s="607"/>
      <c r="I7" s="592"/>
      <c r="J7" s="1465">
        <v>0</v>
      </c>
      <c r="K7" s="1466" t="s">
        <v>2112</v>
      </c>
      <c r="L7" s="598"/>
      <c r="M7" s="592"/>
      <c r="N7" s="597" t="s">
        <v>361</v>
      </c>
      <c r="O7" s="592"/>
      <c r="P7" s="592"/>
      <c r="Q7" s="597" t="s">
        <v>362</v>
      </c>
      <c r="R7" s="592"/>
      <c r="S7" s="592"/>
      <c r="T7" s="592"/>
      <c r="U7" s="599">
        <f>$E$8*1.25</f>
        <v>9717.5403112972908</v>
      </c>
      <c r="V7" s="600">
        <f>100*(+U7/$E$9)</f>
        <v>1179.8276450828298</v>
      </c>
      <c r="W7" s="601">
        <f>EXP(5.6985-(0.68367*LN(V7)))</f>
        <v>2.3698284268292067</v>
      </c>
      <c r="X7" s="601">
        <f>(+W7*V7)/100</f>
        <v>27.959890920762501</v>
      </c>
      <c r="Y7" s="600">
        <f>100*((((X7/100)-((X7/100)-0.03574)*$E$21)-0.03574-0.00619)/0.344)</f>
        <v>44.987465138672235</v>
      </c>
      <c r="Z7" s="592">
        <f>$E$20</f>
        <v>0.25</v>
      </c>
      <c r="AA7" s="600">
        <f>Y7+Z7</f>
        <v>45.237465138672235</v>
      </c>
      <c r="AB7" s="600">
        <f>100*($E$17*$E$19+($E$18*(AA7/100))/(1-$E$21))</f>
        <v>42.353473413530878</v>
      </c>
      <c r="AC7" s="601">
        <f>AB7/V7</f>
        <v>3.5898017468947725E-2</v>
      </c>
      <c r="AD7" s="599">
        <f>$E$8/(1-AC7)</f>
        <v>8063.4957607168308</v>
      </c>
      <c r="AE7" s="592" t="str">
        <f>IF(AD7=$U$7,"yes","not yet")</f>
        <v>not yet</v>
      </c>
      <c r="AF7" s="600">
        <f>100*(1-AC7)</f>
        <v>96.410198253105222</v>
      </c>
      <c r="AG7" s="592"/>
      <c r="AH7" s="592"/>
      <c r="AI7" s="592">
        <v>125</v>
      </c>
      <c r="AJ7" s="592">
        <v>3</v>
      </c>
      <c r="AK7" s="592"/>
      <c r="AL7" s="592"/>
      <c r="AM7" s="592"/>
      <c r="AN7" s="592"/>
      <c r="AO7" s="592"/>
      <c r="AP7" s="592"/>
      <c r="AQ7" s="592"/>
      <c r="AR7" s="592"/>
      <c r="AS7" s="590"/>
      <c r="AT7" s="590"/>
      <c r="AU7" s="590"/>
      <c r="AV7" s="590"/>
      <c r="AW7" s="590"/>
      <c r="AX7" s="590"/>
      <c r="AY7" s="590"/>
      <c r="AZ7" s="590"/>
      <c r="BA7" s="590"/>
      <c r="BB7" s="590"/>
      <c r="BC7" s="590"/>
      <c r="BD7" s="590"/>
      <c r="BE7" s="590"/>
      <c r="BF7" s="590"/>
      <c r="BG7" s="590"/>
      <c r="BH7" s="590"/>
      <c r="BI7" s="590"/>
      <c r="BJ7" s="590"/>
      <c r="BK7" s="591"/>
      <c r="BL7" s="591"/>
      <c r="BM7" s="591"/>
      <c r="BN7" s="591"/>
      <c r="BO7" s="591"/>
      <c r="BP7" s="591"/>
      <c r="BQ7" s="591"/>
      <c r="BR7" s="591"/>
      <c r="BS7" s="591"/>
      <c r="BT7" s="591"/>
      <c r="BU7" s="591"/>
      <c r="BV7" s="591"/>
      <c r="BW7" s="591"/>
      <c r="BX7" s="591"/>
      <c r="BY7" s="591"/>
      <c r="BZ7" s="591"/>
      <c r="CA7" s="591"/>
      <c r="CB7" s="591"/>
      <c r="CC7" s="591"/>
      <c r="CD7" s="591"/>
      <c r="CE7" s="591"/>
      <c r="CF7" s="591"/>
    </row>
    <row r="8" spans="1:84">
      <c r="A8" s="590"/>
      <c r="B8" s="605" t="s">
        <v>358</v>
      </c>
      <c r="C8" s="597" t="s">
        <v>363</v>
      </c>
      <c r="D8" s="605" t="s">
        <v>359</v>
      </c>
      <c r="E8" s="606">
        <f>'Consolidated IS'!Q261</f>
        <v>7774.0322490378321</v>
      </c>
      <c r="F8" s="597" t="s">
        <v>360</v>
      </c>
      <c r="G8" s="592"/>
      <c r="H8" s="607"/>
      <c r="I8" s="592"/>
      <c r="J8" s="676"/>
      <c r="K8" s="603"/>
      <c r="L8" s="598"/>
      <c r="M8" s="592"/>
      <c r="N8" s="597" t="s">
        <v>364</v>
      </c>
      <c r="O8" s="592"/>
      <c r="P8" s="592"/>
      <c r="Q8" s="597" t="s">
        <v>365</v>
      </c>
      <c r="R8" s="592"/>
      <c r="S8" s="592"/>
      <c r="T8" s="592"/>
      <c r="U8" s="599">
        <f>$E$8*1.25</f>
        <v>9717.5403112972908</v>
      </c>
      <c r="V8" s="600">
        <f>100*(+U8/$E$9)</f>
        <v>1179.8276450828298</v>
      </c>
      <c r="W8" s="601">
        <f>EXP(5.6922-(0.68367*LN(V8)))</f>
        <v>2.354945438379251</v>
      </c>
      <c r="X8" s="601">
        <f>(+W8*V8)/100</f>
        <v>27.784297308615443</v>
      </c>
      <c r="Y8" s="600">
        <f>100*((((X8/100)-((X8/100)-0.03574)*$E$21)-0.03574-0.00619)/0.344)</f>
        <v>44.650570417692428</v>
      </c>
      <c r="Z8" s="592">
        <f>$E$20</f>
        <v>0.25</v>
      </c>
      <c r="AA8" s="600">
        <f>Y8+Z8</f>
        <v>44.900570417692428</v>
      </c>
      <c r="AB8" s="600">
        <f>100*($E$17*$E$19+($E$18*(AA8/100))/(1-$E$21))</f>
        <v>42.047205485367414</v>
      </c>
      <c r="AC8" s="601">
        <f>AB8/V8</f>
        <v>3.5638430461099671E-2</v>
      </c>
      <c r="AD8" s="599">
        <f>$E$8/(1-AC8)</f>
        <v>8061.3252275854447</v>
      </c>
      <c r="AE8" s="592" t="str">
        <f>IF(AD8=$U$8,"yes","not yet")</f>
        <v>not yet</v>
      </c>
      <c r="AF8" s="600">
        <f>100*(1-AC8)</f>
        <v>96.436156953890034</v>
      </c>
      <c r="AG8" s="592"/>
      <c r="AH8" s="592"/>
      <c r="AI8" s="592">
        <v>401</v>
      </c>
      <c r="AJ8" s="592">
        <v>4</v>
      </c>
      <c r="AK8" s="592"/>
      <c r="AL8" s="592"/>
      <c r="AM8" s="592"/>
      <c r="AN8" s="592"/>
      <c r="AO8" s="592"/>
      <c r="AP8" s="592"/>
      <c r="AQ8" s="592"/>
      <c r="AR8" s="592"/>
      <c r="AS8" s="590"/>
      <c r="AT8" s="590"/>
      <c r="AU8" s="590"/>
      <c r="AV8" s="590"/>
      <c r="AW8" s="590"/>
      <c r="AX8" s="590"/>
      <c r="AY8" s="590"/>
      <c r="AZ8" s="590"/>
      <c r="BA8" s="590"/>
      <c r="BB8" s="590"/>
      <c r="BC8" s="590"/>
      <c r="BD8" s="590"/>
      <c r="BE8" s="590"/>
      <c r="BF8" s="590"/>
      <c r="BG8" s="590"/>
      <c r="BH8" s="590"/>
      <c r="BI8" s="590"/>
      <c r="BJ8" s="590"/>
      <c r="BK8" s="591"/>
      <c r="BL8" s="591"/>
      <c r="BM8" s="591"/>
      <c r="BN8" s="591"/>
      <c r="BO8" s="591"/>
      <c r="BP8" s="591"/>
      <c r="BQ8" s="591"/>
      <c r="BR8" s="591"/>
      <c r="BS8" s="591"/>
      <c r="BT8" s="591"/>
      <c r="BU8" s="591"/>
      <c r="BV8" s="591"/>
      <c r="BW8" s="591"/>
      <c r="BX8" s="591"/>
      <c r="BY8" s="591"/>
      <c r="BZ8" s="591"/>
      <c r="CA8" s="591"/>
      <c r="CB8" s="591"/>
      <c r="CC8" s="591"/>
      <c r="CD8" s="591"/>
      <c r="CE8" s="591"/>
      <c r="CF8" s="591"/>
    </row>
    <row r="9" spans="1:84">
      <c r="A9" s="590"/>
      <c r="B9" s="605" t="s">
        <v>358</v>
      </c>
      <c r="C9" s="597" t="s">
        <v>366</v>
      </c>
      <c r="D9" s="592"/>
      <c r="E9" s="606">
        <f>'Consolidated IS'!Q267</f>
        <v>823.64066919410686</v>
      </c>
      <c r="F9" s="597" t="s">
        <v>360</v>
      </c>
      <c r="G9" s="592"/>
      <c r="H9" s="592"/>
      <c r="I9" s="592"/>
      <c r="J9" s="597"/>
      <c r="K9" s="608"/>
      <c r="L9" s="598"/>
      <c r="M9" s="592"/>
      <c r="N9" s="592"/>
      <c r="O9" s="592"/>
      <c r="P9" s="592"/>
      <c r="Q9" s="592"/>
      <c r="R9" s="592"/>
      <c r="S9" s="592"/>
      <c r="T9" s="592"/>
      <c r="U9" s="592"/>
      <c r="V9" s="592"/>
      <c r="W9" s="592"/>
      <c r="X9" s="592"/>
      <c r="Y9" s="592"/>
      <c r="Z9" s="592"/>
      <c r="AA9" s="600"/>
      <c r="AB9" s="592"/>
      <c r="AC9" s="592"/>
      <c r="AD9" s="592"/>
      <c r="AE9" s="592"/>
      <c r="AF9" s="592"/>
      <c r="AG9" s="592"/>
      <c r="AH9" s="592"/>
      <c r="AI9" s="592"/>
      <c r="AJ9" s="592"/>
      <c r="AK9" s="592"/>
      <c r="AL9" s="592"/>
      <c r="AM9" s="592"/>
      <c r="AN9" s="592"/>
      <c r="AO9" s="592"/>
      <c r="AP9" s="592"/>
      <c r="AQ9" s="592"/>
      <c r="AR9" s="592"/>
      <c r="AS9" s="590"/>
      <c r="AT9" s="590"/>
      <c r="AU9" s="590"/>
      <c r="AV9" s="590"/>
      <c r="AW9" s="590"/>
      <c r="AX9" s="590"/>
      <c r="AY9" s="590"/>
      <c r="AZ9" s="590"/>
      <c r="BA9" s="590"/>
      <c r="BB9" s="590"/>
      <c r="BC9" s="590"/>
      <c r="BD9" s="590"/>
      <c r="BE9" s="590"/>
      <c r="BF9" s="590"/>
      <c r="BG9" s="590"/>
      <c r="BH9" s="590"/>
      <c r="BI9" s="590"/>
      <c r="BJ9" s="590"/>
      <c r="BK9" s="591"/>
      <c r="BL9" s="591"/>
      <c r="BM9" s="591"/>
      <c r="BN9" s="591"/>
      <c r="BO9" s="591"/>
      <c r="BP9" s="591"/>
      <c r="BQ9" s="591"/>
      <c r="BR9" s="591"/>
      <c r="BS9" s="591"/>
      <c r="BT9" s="591"/>
      <c r="BU9" s="591"/>
      <c r="BV9" s="591"/>
      <c r="BW9" s="591"/>
      <c r="BX9" s="591"/>
      <c r="BY9" s="591"/>
      <c r="BZ9" s="591"/>
      <c r="CA9" s="591"/>
      <c r="CB9" s="591"/>
      <c r="CC9" s="591"/>
      <c r="CD9" s="591"/>
      <c r="CE9" s="591"/>
      <c r="CF9" s="591"/>
    </row>
    <row r="10" spans="1:84">
      <c r="A10" s="590"/>
      <c r="B10" s="594"/>
      <c r="C10" s="597" t="s">
        <v>367</v>
      </c>
      <c r="D10" s="592"/>
      <c r="E10" s="600">
        <f>V5</f>
        <v>1179.8276450828298</v>
      </c>
      <c r="F10" s="597" t="s">
        <v>368</v>
      </c>
      <c r="G10" s="592"/>
      <c r="H10" s="600"/>
      <c r="I10" s="600"/>
      <c r="J10" s="594"/>
      <c r="K10" s="596"/>
      <c r="L10" s="592"/>
      <c r="M10" s="592"/>
      <c r="N10" s="592"/>
      <c r="O10" s="592"/>
      <c r="P10" s="592"/>
      <c r="Q10" s="592"/>
      <c r="R10" s="592"/>
      <c r="S10" s="592"/>
      <c r="T10" s="592"/>
      <c r="U10" s="592"/>
      <c r="V10" s="609" t="s">
        <v>369</v>
      </c>
      <c r="W10" s="609" t="s">
        <v>331</v>
      </c>
      <c r="X10" s="609" t="s">
        <v>341</v>
      </c>
      <c r="Y10" s="609" t="s">
        <v>342</v>
      </c>
      <c r="Z10" s="592"/>
      <c r="AA10" s="600"/>
      <c r="AB10" s="592"/>
      <c r="AC10" s="592"/>
      <c r="AD10" s="592"/>
      <c r="AE10" s="592"/>
      <c r="AF10" s="592"/>
      <c r="AG10" s="592"/>
      <c r="AH10" s="592"/>
      <c r="AI10" s="592" t="s">
        <v>370</v>
      </c>
      <c r="AJ10" s="592"/>
      <c r="AK10" s="592"/>
      <c r="AL10" s="592"/>
      <c r="AM10" s="592"/>
      <c r="AN10" s="592"/>
      <c r="AO10" s="592"/>
      <c r="AP10" s="592"/>
      <c r="AQ10" s="592"/>
      <c r="AR10" s="592"/>
      <c r="AS10" s="590"/>
      <c r="AT10" s="590"/>
      <c r="AU10" s="590"/>
      <c r="AV10" s="590"/>
      <c r="AW10" s="590"/>
      <c r="AX10" s="590"/>
      <c r="AY10" s="590"/>
      <c r="AZ10" s="590"/>
      <c r="BA10" s="590"/>
      <c r="BB10" s="590"/>
      <c r="BC10" s="590"/>
      <c r="BD10" s="590"/>
      <c r="BE10" s="590"/>
      <c r="BF10" s="590"/>
      <c r="BG10" s="590"/>
      <c r="BH10" s="590"/>
      <c r="BI10" s="590"/>
      <c r="BJ10" s="590"/>
      <c r="BK10" s="591"/>
      <c r="BL10" s="591"/>
      <c r="BM10" s="591"/>
      <c r="BN10" s="591"/>
      <c r="BO10" s="591"/>
      <c r="BP10" s="591"/>
      <c r="BQ10" s="591"/>
      <c r="BR10" s="591"/>
      <c r="BS10" s="591"/>
      <c r="BT10" s="591"/>
      <c r="BU10" s="591"/>
      <c r="BV10" s="591"/>
      <c r="BW10" s="591"/>
      <c r="BX10" s="591"/>
      <c r="BY10" s="591"/>
      <c r="BZ10" s="591"/>
      <c r="CA10" s="591"/>
      <c r="CB10" s="591"/>
      <c r="CC10" s="591"/>
      <c r="CD10" s="591"/>
      <c r="CE10" s="591"/>
      <c r="CF10" s="591"/>
    </row>
    <row r="11" spans="1:84">
      <c r="A11" s="590"/>
      <c r="B11" s="594"/>
      <c r="C11" s="597" t="s">
        <v>371</v>
      </c>
      <c r="D11" s="592"/>
      <c r="E11" s="600">
        <f>HLOOKUP($AJ$34,$AJ$28:$AR$32,($E$12)+1)</f>
        <v>983.19574334806794</v>
      </c>
      <c r="F11" s="597" t="s">
        <v>368</v>
      </c>
      <c r="G11" s="592"/>
      <c r="H11" s="592"/>
      <c r="I11" s="592"/>
      <c r="J11" s="605"/>
      <c r="K11" s="595"/>
      <c r="L11" s="592"/>
      <c r="M11" s="592"/>
      <c r="N11" s="592"/>
      <c r="O11" s="592"/>
      <c r="P11" s="592"/>
      <c r="Q11" s="592"/>
      <c r="R11" s="592"/>
      <c r="S11" s="592"/>
      <c r="T11" s="592"/>
      <c r="U11" s="592"/>
      <c r="V11" s="600">
        <f>100*(+AD5/$E$9)</f>
        <v>980.03142308896884</v>
      </c>
      <c r="W11" s="610">
        <f>EXP(5.7226-(0.68367*LN(+V11)))</f>
        <v>2.7559577207427179</v>
      </c>
      <c r="X11" s="601">
        <f>(+W11*V11)/100</f>
        <v>27.00925167032517</v>
      </c>
      <c r="Y11" s="600">
        <f>100*((((X11/100)-((X11/100)-0.03574)*$E$21)-0.03574-0.00619)/0.344)</f>
        <v>43.163564251205273</v>
      </c>
      <c r="Z11" s="592">
        <f>$E$20</f>
        <v>0.25</v>
      </c>
      <c r="AA11" s="600">
        <f>Y11+Z11</f>
        <v>43.413564251205273</v>
      </c>
      <c r="AB11" s="600">
        <f>100*($E$17*$E$19+($E$18*(AA11/100))/(1-$E$21))</f>
        <v>40.695381697651811</v>
      </c>
      <c r="AC11" s="601">
        <f>AB11/V11</f>
        <v>4.1524568232091698E-2</v>
      </c>
      <c r="AD11" s="599">
        <f>$E$8/(1-AC11)</f>
        <v>8110.831004503294</v>
      </c>
      <c r="AE11" s="592" t="str">
        <f>IF(AD11=AD5,"yes","not yet")</f>
        <v>not yet</v>
      </c>
      <c r="AF11" s="600">
        <f>100*(1-AC11)</f>
        <v>95.847543176790822</v>
      </c>
      <c r="AG11" s="592"/>
      <c r="AH11" s="592"/>
      <c r="AI11" s="592"/>
      <c r="AJ11" s="592"/>
      <c r="AK11" s="592"/>
      <c r="AL11" s="592"/>
      <c r="AM11" s="592"/>
      <c r="AN11" s="592"/>
      <c r="AO11" s="592"/>
      <c r="AP11" s="592"/>
      <c r="AQ11" s="592"/>
      <c r="AR11" s="592"/>
      <c r="AS11" s="590"/>
      <c r="AT11" s="590"/>
      <c r="AU11" s="590"/>
      <c r="AV11" s="590"/>
      <c r="AW11" s="590"/>
      <c r="AX11" s="590"/>
      <c r="AY11" s="590"/>
      <c r="AZ11" s="590"/>
      <c r="BA11" s="590"/>
      <c r="BB11" s="590"/>
      <c r="BC11" s="590"/>
      <c r="BD11" s="590"/>
      <c r="BE11" s="590"/>
      <c r="BF11" s="590"/>
      <c r="BG11" s="590"/>
      <c r="BH11" s="590"/>
      <c r="BI11" s="590"/>
      <c r="BJ11" s="590"/>
      <c r="BK11" s="591"/>
      <c r="BL11" s="591"/>
      <c r="BM11" s="591"/>
      <c r="BN11" s="591"/>
      <c r="BO11" s="591"/>
      <c r="BP11" s="591"/>
      <c r="BQ11" s="591"/>
      <c r="BR11" s="591"/>
      <c r="BS11" s="591"/>
      <c r="BT11" s="591"/>
      <c r="BU11" s="591"/>
      <c r="BV11" s="591"/>
      <c r="BW11" s="591"/>
      <c r="BX11" s="591"/>
      <c r="BY11" s="591"/>
      <c r="BZ11" s="591"/>
      <c r="CA11" s="591"/>
      <c r="CB11" s="591"/>
      <c r="CC11" s="591"/>
      <c r="CD11" s="591"/>
      <c r="CE11" s="591"/>
      <c r="CF11" s="591"/>
    </row>
    <row r="12" spans="1:84">
      <c r="A12" s="590"/>
      <c r="B12" s="594"/>
      <c r="C12" s="597" t="s">
        <v>372</v>
      </c>
      <c r="D12" s="592"/>
      <c r="E12" s="592">
        <f>VLOOKUP(E10,AI5:AJ8,2)</f>
        <v>4</v>
      </c>
      <c r="F12" s="597" t="s">
        <v>368</v>
      </c>
      <c r="G12" s="592"/>
      <c r="H12" s="592"/>
      <c r="I12" s="592"/>
      <c r="J12" s="605"/>
      <c r="K12" s="595"/>
      <c r="L12" s="592"/>
      <c r="M12" s="592"/>
      <c r="N12" s="592"/>
      <c r="O12" s="592"/>
      <c r="P12" s="592"/>
      <c r="Q12" s="592"/>
      <c r="R12" s="592"/>
      <c r="S12" s="592"/>
      <c r="T12" s="592"/>
      <c r="U12" s="592"/>
      <c r="V12" s="600">
        <f>100*(+AD6/$E$9)</f>
        <v>979.41877051202675</v>
      </c>
      <c r="W12" s="610">
        <f>EXP(5.70827-(0.68367*LN(+V12)))</f>
        <v>2.7179081783525705</v>
      </c>
      <c r="X12" s="601">
        <f>(+W12*V12)/100</f>
        <v>26.619702864066571</v>
      </c>
      <c r="Y12" s="600">
        <f>100*((((X12/100)-((X12/100)-0.03574)*$E$21)-0.03574-0.00619)/0.344)</f>
        <v>42.416174099662598</v>
      </c>
      <c r="Z12" s="592">
        <f>$E$20</f>
        <v>0.25</v>
      </c>
      <c r="AA12" s="600">
        <f>Y12+Z12</f>
        <v>42.666174099662598</v>
      </c>
      <c r="AB12" s="600">
        <f>100*($E$17*$E$19+($E$18*(AA12/100))/(1-$E$21))</f>
        <v>40.015936105340295</v>
      </c>
      <c r="AC12" s="601">
        <f>AB12/V12</f>
        <v>4.0856819687477001E-2</v>
      </c>
      <c r="AD12" s="599">
        <f>$E$8/(1-AC12)</f>
        <v>8105.1843026239058</v>
      </c>
      <c r="AE12" s="592" t="str">
        <f>IF(AD12=AD6,"yes","not yet")</f>
        <v>not yet</v>
      </c>
      <c r="AF12" s="600">
        <f>100*(1-AC12)</f>
        <v>95.914318031252293</v>
      </c>
      <c r="AG12" s="592"/>
      <c r="AH12" s="592"/>
      <c r="AI12" s="592"/>
      <c r="AJ12" s="592"/>
      <c r="AK12" s="592"/>
      <c r="AL12" s="592"/>
      <c r="AM12" s="592"/>
      <c r="AN12" s="592"/>
      <c r="AO12" s="592"/>
      <c r="AP12" s="592"/>
      <c r="AQ12" s="592"/>
      <c r="AR12" s="592"/>
      <c r="AS12" s="590"/>
      <c r="AT12" s="590"/>
      <c r="AU12" s="590"/>
      <c r="AV12" s="590"/>
      <c r="AW12" s="590"/>
      <c r="AX12" s="590"/>
      <c r="AY12" s="590"/>
      <c r="AZ12" s="590"/>
      <c r="BA12" s="590"/>
      <c r="BB12" s="590"/>
      <c r="BC12" s="590"/>
      <c r="BD12" s="590"/>
      <c r="BE12" s="590"/>
      <c r="BF12" s="590"/>
      <c r="BG12" s="590"/>
      <c r="BH12" s="590"/>
      <c r="BI12" s="590"/>
      <c r="BJ12" s="590"/>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row>
    <row r="13" spans="1:84">
      <c r="A13" s="590"/>
      <c r="B13" s="594"/>
      <c r="C13" s="592"/>
      <c r="D13" s="592"/>
      <c r="E13" s="592"/>
      <c r="F13" s="592"/>
      <c r="G13" s="592"/>
      <c r="H13" s="592"/>
      <c r="I13" s="592"/>
      <c r="J13" s="605"/>
      <c r="L13" s="611"/>
      <c r="M13" s="596"/>
      <c r="N13" s="595"/>
      <c r="O13" s="592"/>
      <c r="P13" s="592"/>
      <c r="Q13" s="592"/>
      <c r="R13" s="592"/>
      <c r="S13" s="592"/>
      <c r="T13" s="592"/>
      <c r="U13" s="592"/>
      <c r="V13" s="600">
        <f>100*(+AD7/$E$9)</f>
        <v>979.00650882217576</v>
      </c>
      <c r="W13" s="610">
        <f>EXP(5.6985-(0.68367*LN(V13)))</f>
        <v>2.6922583228368175</v>
      </c>
      <c r="X13" s="601">
        <f>(+W13*V13)/100</f>
        <v>26.35738421487919</v>
      </c>
      <c r="Y13" s="600">
        <f>100*((((X13/100)-((X13/100)-0.03574)*$E$21)-0.03574-0.00619)/0.344)</f>
        <v>41.912888319244956</v>
      </c>
      <c r="Z13" s="592">
        <f>$E$20</f>
        <v>0.25</v>
      </c>
      <c r="AA13" s="600">
        <f>Y13+Z13</f>
        <v>42.162888319244956</v>
      </c>
      <c r="AB13" s="600">
        <f>100*($E$17*$E$19+($E$18*(AA13/100))/(1-$E$21))</f>
        <v>39.558403577687898</v>
      </c>
      <c r="AC13" s="601">
        <f>AB13/V13</f>
        <v>4.0406680876187297E-2</v>
      </c>
      <c r="AD13" s="599">
        <f>$E$8/(1-AC13)</f>
        <v>8101.3822148492654</v>
      </c>
      <c r="AE13" s="592" t="str">
        <f>IF(AD13=AD7,"yes","not yet")</f>
        <v>not yet</v>
      </c>
      <c r="AF13" s="600">
        <f>100*(1-AC13)</f>
        <v>95.959331912381273</v>
      </c>
      <c r="AG13" s="592"/>
      <c r="AH13" s="592"/>
      <c r="AI13" s="592"/>
      <c r="AJ13" s="592">
        <v>1</v>
      </c>
      <c r="AK13" s="592">
        <v>2</v>
      </c>
      <c r="AL13" s="592">
        <v>3</v>
      </c>
      <c r="AM13" s="592">
        <v>4</v>
      </c>
      <c r="AN13" s="592">
        <v>5</v>
      </c>
      <c r="AO13" s="592">
        <v>6</v>
      </c>
      <c r="AP13" s="592">
        <v>7</v>
      </c>
      <c r="AQ13" s="592">
        <v>8</v>
      </c>
      <c r="AR13" s="592">
        <v>9</v>
      </c>
      <c r="AS13" s="590"/>
      <c r="AT13" s="590"/>
      <c r="AU13" s="590"/>
      <c r="AV13" s="590"/>
      <c r="AW13" s="590"/>
      <c r="AX13" s="590"/>
      <c r="AY13" s="590"/>
      <c r="AZ13" s="590"/>
      <c r="BA13" s="590"/>
      <c r="BB13" s="590"/>
      <c r="BC13" s="590"/>
      <c r="BD13" s="590"/>
      <c r="BE13" s="590"/>
      <c r="BF13" s="590"/>
      <c r="BG13" s="590"/>
      <c r="BH13" s="590"/>
      <c r="BI13" s="590"/>
      <c r="BJ13" s="590"/>
      <c r="BK13" s="591"/>
      <c r="BL13" s="591"/>
      <c r="BM13" s="591"/>
      <c r="BN13" s="591"/>
      <c r="BO13" s="591"/>
      <c r="BP13" s="591"/>
      <c r="BQ13" s="591"/>
      <c r="BR13" s="591"/>
      <c r="BS13" s="591"/>
      <c r="BT13" s="591"/>
      <c r="BU13" s="591"/>
      <c r="BV13" s="591"/>
      <c r="BW13" s="591"/>
      <c r="BX13" s="591"/>
      <c r="BY13" s="591"/>
      <c r="BZ13" s="591"/>
      <c r="CA13" s="591"/>
      <c r="CB13" s="591"/>
      <c r="CC13" s="591"/>
      <c r="CD13" s="591"/>
      <c r="CE13" s="591"/>
      <c r="CF13" s="591"/>
    </row>
    <row r="14" spans="1:84">
      <c r="A14" s="590"/>
      <c r="B14" s="594"/>
      <c r="C14" s="597" t="s">
        <v>373</v>
      </c>
      <c r="D14" s="592"/>
      <c r="E14" s="592"/>
      <c r="F14" s="592"/>
      <c r="G14" s="592"/>
      <c r="H14" s="592"/>
      <c r="I14" s="592"/>
      <c r="J14" s="594"/>
      <c r="L14" s="611"/>
      <c r="M14" s="596"/>
      <c r="N14" s="595"/>
      <c r="O14" s="592"/>
      <c r="P14" s="592"/>
      <c r="Q14" s="592"/>
      <c r="R14" s="592"/>
      <c r="S14" s="592"/>
      <c r="T14" s="592"/>
      <c r="U14" s="592"/>
      <c r="V14" s="600">
        <f>100*(+AD8/$E$9)</f>
        <v>978.74297968713313</v>
      </c>
      <c r="W14" s="610">
        <f>EXP(5.6922-(0.68367*LN(V14)))</f>
        <v>2.6758428686605336</v>
      </c>
      <c r="X14" s="601">
        <f>(+W14*V14)/100</f>
        <v>26.189624224473764</v>
      </c>
      <c r="Y14" s="600">
        <f>100*((((X14/100)-((X14/100)-0.03574)*$E$21)-0.03574-0.00619)/0.344)</f>
        <v>41.59102322137408</v>
      </c>
      <c r="Z14" s="592">
        <f>$E$20</f>
        <v>0.25</v>
      </c>
      <c r="AA14" s="600">
        <f>Y14+Z14</f>
        <v>41.84102322137408</v>
      </c>
      <c r="AB14" s="600">
        <f>100*($E$17*$E$19+($E$18*(AA14/100))/(1-$E$21))</f>
        <v>39.265798943259824</v>
      </c>
      <c r="AC14" s="601">
        <f>AB14/V14</f>
        <v>4.0118600856592204E-2</v>
      </c>
      <c r="AD14" s="599">
        <f>$E$8/(1-AC14)</f>
        <v>8098.9508245240822</v>
      </c>
      <c r="AE14" s="592" t="str">
        <f>IF(AD14=AD8,"yes","not yet")</f>
        <v>not yet</v>
      </c>
      <c r="AF14" s="600">
        <f>100*(1-AC14)</f>
        <v>95.988139914340778</v>
      </c>
      <c r="AG14" s="592"/>
      <c r="AH14" s="592"/>
      <c r="AI14" s="592"/>
      <c r="AJ14" s="592" t="str">
        <f>AE5</f>
        <v>not yet</v>
      </c>
      <c r="AK14" s="592" t="str">
        <f>AE11</f>
        <v>not yet</v>
      </c>
      <c r="AL14" s="592" t="str">
        <f>AE17</f>
        <v>not yet</v>
      </c>
      <c r="AM14" s="592" t="str">
        <f>AE23</f>
        <v>not yet</v>
      </c>
      <c r="AN14" s="592" t="str">
        <f>AE29</f>
        <v>not yet</v>
      </c>
      <c r="AO14" s="592" t="str">
        <f>AE35</f>
        <v>not yet</v>
      </c>
      <c r="AP14" s="592" t="str">
        <f>AE41</f>
        <v>yes</v>
      </c>
      <c r="AQ14" s="592" t="str">
        <f>AE47</f>
        <v>yes</v>
      </c>
      <c r="AR14" s="592" t="str">
        <f>AE53</f>
        <v>yes</v>
      </c>
      <c r="AS14" s="590"/>
      <c r="AT14" s="590"/>
      <c r="AU14" s="590"/>
      <c r="AV14" s="590"/>
      <c r="AW14" s="590"/>
      <c r="AX14" s="590"/>
      <c r="AY14" s="590"/>
      <c r="AZ14" s="590"/>
      <c r="BA14" s="590"/>
      <c r="BB14" s="590"/>
      <c r="BC14" s="590"/>
      <c r="BD14" s="590"/>
      <c r="BE14" s="590"/>
      <c r="BF14" s="590"/>
      <c r="BG14" s="590"/>
      <c r="BH14" s="590"/>
      <c r="BI14" s="590"/>
      <c r="BJ14" s="590"/>
      <c r="BK14" s="591"/>
      <c r="BL14" s="591"/>
      <c r="BM14" s="591"/>
      <c r="BN14" s="591"/>
      <c r="BO14" s="591"/>
      <c r="BP14" s="591"/>
      <c r="BQ14" s="591"/>
      <c r="BR14" s="591"/>
      <c r="BS14" s="591"/>
      <c r="BT14" s="591"/>
      <c r="BU14" s="591"/>
      <c r="BV14" s="591"/>
      <c r="BW14" s="591"/>
      <c r="BX14" s="591"/>
      <c r="BY14" s="591"/>
      <c r="BZ14" s="591"/>
      <c r="CA14" s="591"/>
      <c r="CB14" s="591"/>
      <c r="CC14" s="591"/>
      <c r="CD14" s="591"/>
      <c r="CE14" s="591"/>
      <c r="CF14" s="591"/>
    </row>
    <row r="15" spans="1:84">
      <c r="A15" s="590"/>
      <c r="B15" s="594"/>
      <c r="C15" s="597" t="s">
        <v>374</v>
      </c>
      <c r="D15" s="592"/>
      <c r="E15" s="605" t="s">
        <v>349</v>
      </c>
      <c r="F15" s="597" t="s">
        <v>375</v>
      </c>
      <c r="G15" s="592"/>
      <c r="H15" s="600">
        <f>HLOOKUP($AJ$25,$AJ$19:$AR$23,($E$12)+1)</f>
        <v>95.999633207640272</v>
      </c>
      <c r="I15" s="597" t="s">
        <v>351</v>
      </c>
      <c r="J15" s="590"/>
      <c r="L15" s="611"/>
      <c r="M15" s="596"/>
      <c r="N15" s="595"/>
      <c r="O15" s="592"/>
      <c r="P15" s="592"/>
      <c r="Q15" s="592"/>
      <c r="R15" s="592"/>
      <c r="S15" s="592"/>
      <c r="T15" s="592"/>
      <c r="U15" s="592"/>
      <c r="V15" s="592"/>
      <c r="W15" s="592"/>
      <c r="X15" s="592"/>
      <c r="Y15" s="592"/>
      <c r="Z15" s="592"/>
      <c r="AA15" s="600"/>
      <c r="AB15" s="592"/>
      <c r="AC15" s="592"/>
      <c r="AD15" s="592"/>
      <c r="AE15" s="592"/>
      <c r="AF15" s="592"/>
      <c r="AG15" s="592"/>
      <c r="AH15" s="592"/>
      <c r="AI15" s="592"/>
      <c r="AJ15" s="592" t="str">
        <f>AE6</f>
        <v>not yet</v>
      </c>
      <c r="AK15" s="592" t="str">
        <f>AE12</f>
        <v>not yet</v>
      </c>
      <c r="AL15" s="592" t="str">
        <f>AE18</f>
        <v>not yet</v>
      </c>
      <c r="AM15" s="592" t="str">
        <f>AE24</f>
        <v>not yet</v>
      </c>
      <c r="AN15" s="592" t="str">
        <f>AE30</f>
        <v>not yet</v>
      </c>
      <c r="AO15" s="592" t="str">
        <f>AE36</f>
        <v>not yet</v>
      </c>
      <c r="AP15" s="592" t="str">
        <f>AE42</f>
        <v>yes</v>
      </c>
      <c r="AQ15" s="592" t="str">
        <f>AE48</f>
        <v>yes</v>
      </c>
      <c r="AR15" s="592" t="str">
        <f>AE54</f>
        <v>yes</v>
      </c>
      <c r="AS15" s="590"/>
      <c r="AT15" s="590"/>
      <c r="AU15" s="590"/>
      <c r="AV15" s="590"/>
      <c r="AW15" s="590"/>
      <c r="AX15" s="590"/>
      <c r="AY15" s="590"/>
      <c r="AZ15" s="590"/>
      <c r="BA15" s="590"/>
      <c r="BB15" s="590"/>
      <c r="BC15" s="590"/>
      <c r="BD15" s="590"/>
      <c r="BE15" s="590"/>
      <c r="BF15" s="590"/>
      <c r="BG15" s="590"/>
      <c r="BH15" s="590"/>
      <c r="BI15" s="590"/>
      <c r="BJ15" s="590"/>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row>
    <row r="16" spans="1:84">
      <c r="A16" s="590"/>
      <c r="B16" s="594"/>
      <c r="C16" s="612"/>
      <c r="D16" s="612"/>
      <c r="E16" s="613"/>
      <c r="F16" s="592"/>
      <c r="G16" s="592"/>
      <c r="H16" s="612"/>
      <c r="I16" s="594"/>
      <c r="J16" s="590"/>
      <c r="K16" s="595"/>
      <c r="L16" s="592"/>
      <c r="M16" s="592"/>
      <c r="N16" s="592"/>
      <c r="O16" s="592"/>
      <c r="P16" s="592"/>
      <c r="Q16" s="592"/>
      <c r="R16" s="592"/>
      <c r="S16" s="592"/>
      <c r="T16" s="592"/>
      <c r="U16" s="592"/>
      <c r="V16" s="597" t="s">
        <v>376</v>
      </c>
      <c r="W16" s="609" t="s">
        <v>331</v>
      </c>
      <c r="X16" s="609" t="s">
        <v>341</v>
      </c>
      <c r="Y16" s="609" t="s">
        <v>342</v>
      </c>
      <c r="Z16" s="592"/>
      <c r="AA16" s="600"/>
      <c r="AB16" s="592"/>
      <c r="AC16" s="592"/>
      <c r="AD16" s="592"/>
      <c r="AE16" s="592"/>
      <c r="AF16" s="592"/>
      <c r="AG16" s="592"/>
      <c r="AH16" s="592"/>
      <c r="AI16" s="592"/>
      <c r="AJ16" s="592" t="str">
        <f>AE7</f>
        <v>not yet</v>
      </c>
      <c r="AK16" s="592" t="str">
        <f>AE13</f>
        <v>not yet</v>
      </c>
      <c r="AL16" s="592" t="str">
        <f>AE19</f>
        <v>not yet</v>
      </c>
      <c r="AM16" s="592" t="str">
        <f>AE25</f>
        <v>not yet</v>
      </c>
      <c r="AN16" s="592" t="str">
        <f>AE31</f>
        <v>not yet</v>
      </c>
      <c r="AO16" s="592" t="str">
        <f>AE37</f>
        <v>not yet</v>
      </c>
      <c r="AP16" s="592" t="str">
        <f>AE43</f>
        <v>yes</v>
      </c>
      <c r="AQ16" s="592" t="str">
        <f>AE49</f>
        <v>yes</v>
      </c>
      <c r="AR16" s="592" t="str">
        <f>AE55</f>
        <v>yes</v>
      </c>
      <c r="AS16" s="590"/>
      <c r="AT16" s="590"/>
      <c r="AU16" s="590"/>
      <c r="AV16" s="590"/>
      <c r="AW16" s="590"/>
      <c r="AX16" s="590"/>
      <c r="AY16" s="590"/>
      <c r="AZ16" s="590"/>
      <c r="BA16" s="590"/>
      <c r="BB16" s="590"/>
      <c r="BC16" s="590"/>
      <c r="BD16" s="590"/>
      <c r="BE16" s="590"/>
      <c r="BF16" s="590"/>
      <c r="BG16" s="590"/>
      <c r="BH16" s="590"/>
      <c r="BI16" s="590"/>
      <c r="BJ16" s="590"/>
      <c r="BK16" s="591"/>
      <c r="BL16" s="591"/>
      <c r="BM16" s="591"/>
      <c r="BN16" s="591"/>
      <c r="BO16" s="591"/>
      <c r="BP16" s="591"/>
      <c r="BQ16" s="591"/>
      <c r="BR16" s="591"/>
      <c r="BS16" s="591"/>
      <c r="BT16" s="591"/>
      <c r="BU16" s="591"/>
      <c r="BV16" s="591"/>
      <c r="BW16" s="591"/>
      <c r="BX16" s="591"/>
      <c r="BY16" s="591"/>
      <c r="BZ16" s="591"/>
      <c r="CA16" s="591"/>
      <c r="CB16" s="591"/>
      <c r="CC16" s="591"/>
      <c r="CD16" s="591"/>
      <c r="CE16" s="591"/>
      <c r="CF16" s="591"/>
    </row>
    <row r="17" spans="1:84">
      <c r="A17" s="590"/>
      <c r="B17" s="605" t="s">
        <v>358</v>
      </c>
      <c r="C17" s="597" t="s">
        <v>377</v>
      </c>
      <c r="D17" s="592"/>
      <c r="E17" s="614">
        <f>'LG - Packer,RO'!E17</f>
        <v>0.4</v>
      </c>
      <c r="F17" s="597" t="s">
        <v>378</v>
      </c>
      <c r="G17" s="592"/>
      <c r="H17" s="592"/>
      <c r="I17" s="594"/>
      <c r="J17" s="590"/>
      <c r="K17" s="592"/>
      <c r="L17" s="592"/>
      <c r="M17" s="592"/>
      <c r="N17" s="592"/>
      <c r="O17" s="592"/>
      <c r="P17" s="592"/>
      <c r="Q17" s="592"/>
      <c r="R17" s="592"/>
      <c r="S17" s="592"/>
      <c r="T17" s="592"/>
      <c r="U17" s="592"/>
      <c r="V17" s="600">
        <f>100*(+AD11/$E$9)</f>
        <v>984.75358343333812</v>
      </c>
      <c r="W17" s="610">
        <f>EXP(5.7226-(0.68367*LN(+V17)))</f>
        <v>2.7469157688621193</v>
      </c>
      <c r="X17" s="601">
        <f>(+W17*V17)/100</f>
        <v>27.05035146776515</v>
      </c>
      <c r="Y17" s="600">
        <f>100*((((X17/100)-((X17/100)-0.03574)*$E$21)-0.03574-0.00619)/0.344)</f>
        <v>43.242418513735458</v>
      </c>
      <c r="Z17" s="592">
        <f>$E$20</f>
        <v>0.25</v>
      </c>
      <c r="AA17" s="600">
        <f>Y17+Z17</f>
        <v>43.492418513735458</v>
      </c>
      <c r="AB17" s="600">
        <f>100*($E$17*$E$19+($E$18*(AA17/100))/(1-$E$21))</f>
        <v>40.767067390861079</v>
      </c>
      <c r="AC17" s="601">
        <f>AB17/V17</f>
        <v>4.1398242237136035E-2</v>
      </c>
      <c r="AD17" s="599">
        <f>$E$8/(1-AC17)</f>
        <v>8109.7621468799234</v>
      </c>
      <c r="AE17" s="592" t="str">
        <f>IF(AD17=AD11,"yes","not yet")</f>
        <v>not yet</v>
      </c>
      <c r="AF17" s="600">
        <f>100*(1-AC17)</f>
        <v>95.860175776286397</v>
      </c>
      <c r="AG17" s="592"/>
      <c r="AH17" s="592"/>
      <c r="AI17" s="592"/>
      <c r="AJ17" s="592" t="str">
        <f>AE8</f>
        <v>not yet</v>
      </c>
      <c r="AK17" s="592" t="str">
        <f>AE14</f>
        <v>not yet</v>
      </c>
      <c r="AL17" s="592" t="str">
        <f>AE20</f>
        <v>not yet</v>
      </c>
      <c r="AM17" s="592" t="str">
        <f>AE26</f>
        <v>not yet</v>
      </c>
      <c r="AN17" s="592" t="str">
        <f>AE32</f>
        <v>not yet</v>
      </c>
      <c r="AO17" s="592" t="str">
        <f>AE38</f>
        <v>not yet</v>
      </c>
      <c r="AP17" s="592" t="str">
        <f>AE44</f>
        <v>yes</v>
      </c>
      <c r="AQ17" s="592" t="str">
        <f>AE50</f>
        <v>yes</v>
      </c>
      <c r="AR17" s="592" t="str">
        <f>AE56</f>
        <v>yes</v>
      </c>
      <c r="AS17" s="590"/>
      <c r="AT17" s="590"/>
      <c r="AU17" s="590"/>
      <c r="AV17" s="590"/>
      <c r="AW17" s="590"/>
      <c r="AX17" s="590"/>
      <c r="AY17" s="590"/>
      <c r="AZ17" s="590"/>
      <c r="BA17" s="590"/>
      <c r="BB17" s="590"/>
      <c r="BC17" s="590"/>
      <c r="BD17" s="590"/>
      <c r="BE17" s="590"/>
      <c r="BF17" s="590"/>
      <c r="BG17" s="590"/>
      <c r="BH17" s="590"/>
      <c r="BI17" s="590"/>
      <c r="BJ17" s="590"/>
      <c r="BK17" s="591"/>
      <c r="BL17" s="591"/>
      <c r="BM17" s="591"/>
      <c r="BN17" s="591"/>
      <c r="BO17" s="591"/>
      <c r="BP17" s="591"/>
      <c r="BQ17" s="591"/>
      <c r="BR17" s="591"/>
      <c r="BS17" s="591"/>
      <c r="BT17" s="591"/>
      <c r="BU17" s="591"/>
      <c r="BV17" s="591"/>
      <c r="BW17" s="591"/>
      <c r="BX17" s="591"/>
      <c r="BY17" s="591"/>
      <c r="BZ17" s="591"/>
      <c r="CA17" s="591"/>
      <c r="CB17" s="591"/>
      <c r="CC17" s="591"/>
      <c r="CD17" s="591"/>
      <c r="CE17" s="591"/>
      <c r="CF17" s="591"/>
    </row>
    <row r="18" spans="1:84">
      <c r="A18" s="590"/>
      <c r="B18" s="605" t="s">
        <v>358</v>
      </c>
      <c r="C18" s="597" t="s">
        <v>379</v>
      </c>
      <c r="D18" s="592"/>
      <c r="E18" s="614">
        <f>'LG - Packer,RO'!E18</f>
        <v>0.6</v>
      </c>
      <c r="F18" s="597" t="s">
        <v>380</v>
      </c>
      <c r="G18" s="592"/>
      <c r="H18" s="598">
        <v>1.4999999999999999E-2</v>
      </c>
      <c r="I18" s="597" t="s">
        <v>358</v>
      </c>
      <c r="J18" s="590"/>
      <c r="K18" s="592"/>
      <c r="L18" s="592"/>
      <c r="M18" s="592"/>
      <c r="N18" s="592"/>
      <c r="O18" s="592"/>
      <c r="P18" s="592"/>
      <c r="Q18" s="592"/>
      <c r="R18" s="592"/>
      <c r="S18" s="592"/>
      <c r="T18" s="592"/>
      <c r="U18" s="592"/>
      <c r="V18" s="600">
        <f>100*(+AD12/$E$9)</f>
        <v>984.06800511131178</v>
      </c>
      <c r="W18" s="610">
        <f>EXP(5.70827-(0.68367*LN(+V18)))</f>
        <v>2.7091227542160001</v>
      </c>
      <c r="X18" s="601">
        <f>(+W18*V18)/100</f>
        <v>26.65961024343002</v>
      </c>
      <c r="Y18" s="600">
        <f>100*((((X18/100)-((X18/100)-0.03574)*$E$21)-0.03574-0.00619)/0.344)</f>
        <v>42.492740583325045</v>
      </c>
      <c r="Z18" s="592">
        <f>$E$20</f>
        <v>0.25</v>
      </c>
      <c r="AA18" s="600">
        <f>Y18+Z18</f>
        <v>42.742740583325045</v>
      </c>
      <c r="AB18" s="600">
        <f>100*($E$17*$E$19+($E$18*(AA18/100))/(1-$E$21))</f>
        <v>40.085541999578886</v>
      </c>
      <c r="AC18" s="601">
        <f>AB18/V18</f>
        <v>4.0734524231427129E-2</v>
      </c>
      <c r="AD18" s="599">
        <f>$E$8/(1-AC18)</f>
        <v>8104.1509836567411</v>
      </c>
      <c r="AE18" s="592" t="str">
        <f>IF(AD18=AD12,"yes","not yet")</f>
        <v>not yet</v>
      </c>
      <c r="AF18" s="600">
        <f>100*(1-AC18)</f>
        <v>95.926547576857288</v>
      </c>
      <c r="AG18" s="592"/>
      <c r="AH18" s="592"/>
      <c r="AI18" s="592"/>
      <c r="AJ18" s="592"/>
      <c r="AK18" s="592"/>
      <c r="AL18" s="592"/>
      <c r="AM18" s="592"/>
      <c r="AN18" s="592"/>
      <c r="AO18" s="592"/>
      <c r="AP18" s="592"/>
      <c r="AQ18" s="592"/>
      <c r="AR18" s="592"/>
      <c r="AS18" s="590"/>
      <c r="AT18" s="590"/>
      <c r="AU18" s="590"/>
      <c r="AV18" s="590"/>
      <c r="AW18" s="590"/>
      <c r="AX18" s="590"/>
      <c r="AY18" s="590"/>
      <c r="AZ18" s="590"/>
      <c r="BA18" s="590"/>
      <c r="BB18" s="590"/>
      <c r="BC18" s="590"/>
      <c r="BD18" s="590"/>
      <c r="BE18" s="590"/>
      <c r="BF18" s="590"/>
      <c r="BG18" s="590"/>
      <c r="BH18" s="590"/>
      <c r="BI18" s="590"/>
      <c r="BJ18" s="590"/>
      <c r="BK18" s="591"/>
      <c r="BL18" s="591"/>
      <c r="BM18" s="591"/>
      <c r="BN18" s="591"/>
      <c r="BO18" s="591"/>
      <c r="BP18" s="591"/>
      <c r="BQ18" s="591"/>
      <c r="BR18" s="591"/>
      <c r="BS18" s="591"/>
      <c r="BT18" s="591"/>
      <c r="BU18" s="591"/>
      <c r="BV18" s="591"/>
      <c r="BW18" s="591"/>
      <c r="BX18" s="591"/>
      <c r="BY18" s="591"/>
      <c r="BZ18" s="591"/>
      <c r="CA18" s="591"/>
      <c r="CB18" s="591"/>
      <c r="CC18" s="591"/>
      <c r="CD18" s="591"/>
      <c r="CE18" s="591"/>
      <c r="CF18" s="591"/>
    </row>
    <row r="19" spans="1:84">
      <c r="A19" s="590"/>
      <c r="B19" s="605" t="s">
        <v>358</v>
      </c>
      <c r="C19" s="597" t="s">
        <v>381</v>
      </c>
      <c r="D19" s="592"/>
      <c r="E19" s="614">
        <f>'LG - Packer,RO'!E19</f>
        <v>3.071262764117556E-2</v>
      </c>
      <c r="F19" s="597" t="s">
        <v>382</v>
      </c>
      <c r="G19" s="592"/>
      <c r="H19" s="614">
        <f>'LG - Packer,RO'!H19</f>
        <v>5.1000000000000004E-3</v>
      </c>
      <c r="I19" s="597" t="s">
        <v>358</v>
      </c>
      <c r="J19" s="590"/>
      <c r="K19" s="592"/>
      <c r="L19" s="592"/>
      <c r="M19" s="592"/>
      <c r="N19" s="592"/>
      <c r="O19" s="592"/>
      <c r="P19" s="592"/>
      <c r="Q19" s="592"/>
      <c r="R19" s="592"/>
      <c r="S19" s="592"/>
      <c r="T19" s="592"/>
      <c r="U19" s="592"/>
      <c r="V19" s="600">
        <f>100*(+AD13/$E$9)</f>
        <v>983.60638538843421</v>
      </c>
      <c r="W19" s="610">
        <f>EXP(5.6985-(0.68367*LN(V19)))</f>
        <v>2.6836442237304441</v>
      </c>
      <c r="X19" s="601">
        <f>(+W19*V19)/100</f>
        <v>26.396495945720527</v>
      </c>
      <c r="Y19" s="600">
        <f>100*((((X19/100)-((X19/100)-0.03574)*$E$21)-0.03574-0.00619)/0.344)</f>
        <v>41.987928267952178</v>
      </c>
      <c r="Z19" s="592">
        <f>$E$20</f>
        <v>0.25</v>
      </c>
      <c r="AA19" s="600">
        <f>Y19+Z19</f>
        <v>42.237928267952178</v>
      </c>
      <c r="AB19" s="600">
        <f>100*($E$17*$E$19+($E$18*(AA19/100))/(1-$E$21))</f>
        <v>39.626621712876272</v>
      </c>
      <c r="AC19" s="601">
        <f>AB19/V19</f>
        <v>4.0287072452490635E-2</v>
      </c>
      <c r="AD19" s="599">
        <f>$E$8/(1-AC19)</f>
        <v>8100.3725446357384</v>
      </c>
      <c r="AE19" s="592" t="str">
        <f>IF(AD19=AD13,"yes","not yet")</f>
        <v>not yet</v>
      </c>
      <c r="AF19" s="600">
        <f>100*(1-AC19)</f>
        <v>95.971292754750934</v>
      </c>
      <c r="AG19" s="592"/>
      <c r="AH19" s="592"/>
      <c r="AI19" s="592"/>
      <c r="AJ19" s="592" t="str">
        <f>HLOOKUP(1,$AJ$13:$AR$17,($E$12)+1)</f>
        <v>not yet</v>
      </c>
      <c r="AK19" s="592" t="str">
        <f>HLOOKUP(2,$AJ$13:$AR$17,($E$12)+1)</f>
        <v>not yet</v>
      </c>
      <c r="AL19" s="592" t="str">
        <f>HLOOKUP(3,$AJ$13:$AR$17,($E$12)+1)</f>
        <v>not yet</v>
      </c>
      <c r="AM19" s="592" t="str">
        <f>HLOOKUP(4,$AJ$13:$AR$17,($E$12)+1)</f>
        <v>not yet</v>
      </c>
      <c r="AN19" s="592" t="str">
        <f>HLOOKUP(5,$AJ$13:$AR$17,($E$12)+1)</f>
        <v>not yet</v>
      </c>
      <c r="AO19" s="592" t="str">
        <f>HLOOKUP(6,$AJ$13:$AR$17,($E$12)+1)</f>
        <v>not yet</v>
      </c>
      <c r="AP19" s="592" t="str">
        <f>HLOOKUP(7,$AJ$13:$AR$17,($E$12)+1)</f>
        <v>yes</v>
      </c>
      <c r="AQ19" s="592" t="str">
        <f>HLOOKUP(8,$AJ$13:$AR$17,($E$12)+1)</f>
        <v>yes</v>
      </c>
      <c r="AR19" s="592" t="str">
        <f>HLOOKUP(9,$AJ$13:$AR$17,($E$12)+1)</f>
        <v>yes</v>
      </c>
      <c r="AS19" s="590"/>
      <c r="AT19" s="590"/>
      <c r="AU19" s="590"/>
      <c r="AV19" s="590"/>
      <c r="AW19" s="590"/>
      <c r="AX19" s="590"/>
      <c r="AY19" s="590"/>
      <c r="AZ19" s="590"/>
      <c r="BA19" s="590"/>
      <c r="BB19" s="590"/>
      <c r="BC19" s="590"/>
      <c r="BD19" s="590"/>
      <c r="BE19" s="590"/>
      <c r="BF19" s="590"/>
      <c r="BG19" s="590"/>
      <c r="BH19" s="590"/>
      <c r="BI19" s="590"/>
      <c r="BJ19" s="590"/>
      <c r="BK19" s="591"/>
      <c r="BL19" s="591"/>
      <c r="BM19" s="591"/>
      <c r="BN19" s="591"/>
      <c r="BO19" s="591"/>
      <c r="BP19" s="591"/>
      <c r="BQ19" s="591"/>
      <c r="BR19" s="591"/>
      <c r="BS19" s="591"/>
      <c r="BT19" s="591"/>
      <c r="BU19" s="591"/>
      <c r="BV19" s="591"/>
      <c r="BW19" s="591"/>
      <c r="BX19" s="591"/>
      <c r="BY19" s="591"/>
      <c r="BZ19" s="591"/>
      <c r="CA19" s="591"/>
      <c r="CB19" s="591"/>
      <c r="CC19" s="591"/>
      <c r="CD19" s="591"/>
      <c r="CE19" s="591"/>
      <c r="CF19" s="591"/>
    </row>
    <row r="20" spans="1:84">
      <c r="A20" s="590"/>
      <c r="B20" s="605" t="s">
        <v>358</v>
      </c>
      <c r="C20" s="597" t="s">
        <v>383</v>
      </c>
      <c r="D20" s="592"/>
      <c r="E20" s="616">
        <v>0.25</v>
      </c>
      <c r="F20" s="597" t="s">
        <v>384</v>
      </c>
      <c r="G20" s="592"/>
      <c r="H20" s="598"/>
      <c r="I20" s="597" t="s">
        <v>358</v>
      </c>
      <c r="J20" s="590"/>
      <c r="K20" s="617"/>
      <c r="L20" s="592"/>
      <c r="M20" s="592"/>
      <c r="N20" s="592"/>
      <c r="O20" s="592"/>
      <c r="P20" s="592"/>
      <c r="Q20" s="592"/>
      <c r="R20" s="592"/>
      <c r="S20" s="592"/>
      <c r="T20" s="592"/>
      <c r="U20" s="592"/>
      <c r="V20" s="600">
        <f>100*(+AD14/$E$9)</f>
        <v>983.31118501573269</v>
      </c>
      <c r="W20" s="610">
        <f>EXP(5.6922-(0.68367*LN(V20)))</f>
        <v>2.6673377296114023</v>
      </c>
      <c r="X20" s="601">
        <f>(+W20*V20)/100</f>
        <v>26.228230237413619</v>
      </c>
      <c r="Y20" s="600">
        <f>100*((((X20/100)-((X20/100)-0.03574)*$E$21)-0.03574-0.00619)/0.344)</f>
        <v>41.665092897363344</v>
      </c>
      <c r="Z20" s="592">
        <f>$E$20</f>
        <v>0.25</v>
      </c>
      <c r="AA20" s="600">
        <f>Y20+Z20</f>
        <v>41.915092897363344</v>
      </c>
      <c r="AB20" s="600">
        <f>100*($E$17*$E$19+($E$18*(AA20/100))/(1-$E$21))</f>
        <v>39.333135012340968</v>
      </c>
      <c r="AC20" s="601">
        <f>AB20/V20</f>
        <v>4.0000699281897874E-2</v>
      </c>
      <c r="AD20" s="599">
        <f>$E$8/(1-AC20)</f>
        <v>8097.956158116649</v>
      </c>
      <c r="AE20" s="592" t="str">
        <f>IF(AD20=AD14,"yes","not yet")</f>
        <v>not yet</v>
      </c>
      <c r="AF20" s="600">
        <f>100*(1-AC20)</f>
        <v>95.999930071810212</v>
      </c>
      <c r="AG20" s="592"/>
      <c r="AH20" s="592"/>
      <c r="AI20" s="592">
        <v>1</v>
      </c>
      <c r="AJ20" s="600">
        <f>AF5</f>
        <v>96.309372723100779</v>
      </c>
      <c r="AK20" s="600">
        <f>AF11</f>
        <v>95.847543176790822</v>
      </c>
      <c r="AL20" s="600">
        <f>AF17</f>
        <v>95.860175776286397</v>
      </c>
      <c r="AM20" s="600">
        <f>AF23</f>
        <v>95.859829912664338</v>
      </c>
      <c r="AN20" s="600">
        <f>AF29</f>
        <v>95.859839381706564</v>
      </c>
      <c r="AO20" s="600">
        <f>AF35</f>
        <v>95.859839122463271</v>
      </c>
      <c r="AP20" s="600">
        <f>AF41</f>
        <v>95.859906884100994</v>
      </c>
      <c r="AQ20" s="600">
        <f>AF47</f>
        <v>95.859906884100994</v>
      </c>
      <c r="AR20" s="600">
        <f>AF53</f>
        <v>95.859906884100994</v>
      </c>
      <c r="AS20" s="590"/>
      <c r="AT20" s="590"/>
      <c r="AU20" s="590"/>
      <c r="AV20" s="590"/>
      <c r="AW20" s="590"/>
      <c r="AX20" s="590"/>
      <c r="AY20" s="590"/>
      <c r="AZ20" s="590"/>
      <c r="BA20" s="590"/>
      <c r="BB20" s="590"/>
      <c r="BC20" s="590"/>
      <c r="BD20" s="590"/>
      <c r="BE20" s="590"/>
      <c r="BF20" s="590"/>
      <c r="BG20" s="590"/>
      <c r="BH20" s="590"/>
      <c r="BI20" s="590"/>
      <c r="BJ20" s="590"/>
      <c r="BK20" s="591"/>
      <c r="BL20" s="591"/>
      <c r="BM20" s="591"/>
      <c r="BN20" s="591"/>
      <c r="BO20" s="591"/>
      <c r="BP20" s="591"/>
      <c r="BQ20" s="591"/>
      <c r="BR20" s="591"/>
      <c r="BS20" s="591"/>
      <c r="BT20" s="591"/>
      <c r="BU20" s="591"/>
      <c r="BV20" s="591"/>
      <c r="BW20" s="591"/>
      <c r="BX20" s="591"/>
      <c r="BY20" s="591"/>
      <c r="BZ20" s="591"/>
      <c r="CA20" s="591"/>
      <c r="CB20" s="591"/>
      <c r="CC20" s="591"/>
      <c r="CD20" s="591"/>
      <c r="CE20" s="591"/>
      <c r="CF20" s="591"/>
    </row>
    <row r="21" spans="1:84">
      <c r="A21" s="590"/>
      <c r="B21" s="605" t="s">
        <v>358</v>
      </c>
      <c r="C21" s="597" t="s">
        <v>385</v>
      </c>
      <c r="D21" s="592"/>
      <c r="E21" s="616">
        <v>0.34</v>
      </c>
      <c r="F21" s="597" t="s">
        <v>386</v>
      </c>
      <c r="G21" s="592"/>
      <c r="H21" s="614">
        <f>'LG - Packer,RO'!H21</f>
        <v>4.6855329951100907E-3</v>
      </c>
      <c r="I21" s="597" t="s">
        <v>358</v>
      </c>
      <c r="J21" s="590"/>
      <c r="K21" s="618"/>
      <c r="L21" s="592"/>
      <c r="M21" s="592"/>
      <c r="N21" s="592"/>
      <c r="O21" s="592"/>
      <c r="P21" s="592"/>
      <c r="Q21" s="592"/>
      <c r="R21" s="592"/>
      <c r="S21" s="592"/>
      <c r="T21" s="592"/>
      <c r="U21" s="592"/>
      <c r="V21" s="592"/>
      <c r="W21" s="592"/>
      <c r="X21" s="592"/>
      <c r="Y21" s="592"/>
      <c r="Z21" s="592"/>
      <c r="AA21" s="600"/>
      <c r="AB21" s="592"/>
      <c r="AC21" s="592"/>
      <c r="AD21" s="592"/>
      <c r="AE21" s="592"/>
      <c r="AF21" s="592"/>
      <c r="AG21" s="592"/>
      <c r="AH21" s="592"/>
      <c r="AI21" s="592">
        <v>2</v>
      </c>
      <c r="AJ21" s="600">
        <f>AF6</f>
        <v>96.369616805774058</v>
      </c>
      <c r="AK21" s="600">
        <f>AF12</f>
        <v>95.914318031252293</v>
      </c>
      <c r="AL21" s="600">
        <f>AF18</f>
        <v>95.926547576857288</v>
      </c>
      <c r="AM21" s="600">
        <f>AF24</f>
        <v>95.926218785031566</v>
      </c>
      <c r="AN21" s="600">
        <f>AF30</f>
        <v>95.926227624395736</v>
      </c>
      <c r="AO21" s="600">
        <f>AF36</f>
        <v>95.926227386754761</v>
      </c>
      <c r="AP21" s="600">
        <f>AF42</f>
        <v>95.926170737903021</v>
      </c>
      <c r="AQ21" s="600">
        <f>AF48</f>
        <v>95.926170737903021</v>
      </c>
      <c r="AR21" s="600">
        <f>AF54</f>
        <v>95.926170737903021</v>
      </c>
      <c r="AS21" s="590"/>
      <c r="AT21" s="590"/>
      <c r="AU21" s="590"/>
      <c r="AV21" s="590"/>
      <c r="AW21" s="590"/>
      <c r="AX21" s="590"/>
      <c r="AY21" s="590"/>
      <c r="AZ21" s="590"/>
      <c r="BA21" s="590"/>
      <c r="BB21" s="590"/>
      <c r="BC21" s="590"/>
      <c r="BD21" s="590"/>
      <c r="BE21" s="590"/>
      <c r="BF21" s="590"/>
      <c r="BG21" s="590"/>
      <c r="BH21" s="590"/>
      <c r="BI21" s="590"/>
      <c r="BJ21" s="590"/>
      <c r="BK21" s="591"/>
      <c r="BL21" s="591"/>
      <c r="BM21" s="591"/>
      <c r="BN21" s="591"/>
      <c r="BO21" s="591"/>
      <c r="BP21" s="591"/>
      <c r="BQ21" s="591"/>
      <c r="BR21" s="591"/>
      <c r="BS21" s="591"/>
      <c r="BT21" s="591"/>
      <c r="BU21" s="591"/>
      <c r="BV21" s="591"/>
      <c r="BW21" s="591"/>
      <c r="BX21" s="591"/>
      <c r="BY21" s="591"/>
      <c r="BZ21" s="591"/>
      <c r="CA21" s="591"/>
      <c r="CB21" s="591"/>
      <c r="CC21" s="591"/>
      <c r="CD21" s="591"/>
      <c r="CE21" s="591"/>
      <c r="CF21" s="591"/>
    </row>
    <row r="22" spans="1:84">
      <c r="A22" s="590"/>
      <c r="B22" s="594"/>
      <c r="C22" s="592"/>
      <c r="D22" s="592"/>
      <c r="E22" s="592"/>
      <c r="F22" s="592"/>
      <c r="G22" s="592"/>
      <c r="H22" s="612"/>
      <c r="I22" s="612"/>
      <c r="J22" s="594"/>
      <c r="K22" s="592"/>
      <c r="L22" s="592"/>
      <c r="M22" s="592"/>
      <c r="N22" s="592"/>
      <c r="O22" s="592"/>
      <c r="P22" s="592"/>
      <c r="Q22" s="592"/>
      <c r="R22" s="592"/>
      <c r="S22" s="592"/>
      <c r="T22" s="592"/>
      <c r="U22" s="592"/>
      <c r="V22" s="597" t="s">
        <v>387</v>
      </c>
      <c r="W22" s="609" t="s">
        <v>331</v>
      </c>
      <c r="X22" s="609" t="s">
        <v>341</v>
      </c>
      <c r="Y22" s="609" t="s">
        <v>342</v>
      </c>
      <c r="Z22" s="592"/>
      <c r="AA22" s="600"/>
      <c r="AB22" s="592"/>
      <c r="AC22" s="592"/>
      <c r="AD22" s="592"/>
      <c r="AE22" s="592"/>
      <c r="AF22" s="592"/>
      <c r="AG22" s="592"/>
      <c r="AH22" s="592"/>
      <c r="AI22" s="592">
        <v>3</v>
      </c>
      <c r="AJ22" s="600">
        <f>AF7</f>
        <v>96.410198253105222</v>
      </c>
      <c r="AK22" s="600">
        <f>AF13</f>
        <v>95.959331912381273</v>
      </c>
      <c r="AL22" s="600">
        <f>AF19</f>
        <v>95.971292754750934</v>
      </c>
      <c r="AM22" s="600">
        <f>AF25</f>
        <v>95.970975162676012</v>
      </c>
      <c r="AN22" s="600">
        <f>AF31</f>
        <v>95.970983595384354</v>
      </c>
      <c r="AO22" s="600">
        <f>AF37</f>
        <v>95.970983371478837</v>
      </c>
      <c r="AP22" s="600">
        <f>AF43</f>
        <v>95.970857962622418</v>
      </c>
      <c r="AQ22" s="600">
        <f>AF49</f>
        <v>95.970857962622418</v>
      </c>
      <c r="AR22" s="600">
        <f>AF55</f>
        <v>95.970857962622418</v>
      </c>
      <c r="AS22" s="590"/>
      <c r="AT22" s="590"/>
      <c r="AU22" s="590"/>
      <c r="AV22" s="590"/>
      <c r="AW22" s="590"/>
      <c r="AX22" s="590"/>
      <c r="AY22" s="590"/>
      <c r="AZ22" s="590"/>
      <c r="BA22" s="590"/>
      <c r="BB22" s="590"/>
      <c r="BC22" s="590"/>
      <c r="BD22" s="590"/>
      <c r="BE22" s="590"/>
      <c r="BF22" s="590"/>
      <c r="BG22" s="590"/>
      <c r="BH22" s="590"/>
      <c r="BI22" s="590"/>
      <c r="BJ22" s="590"/>
      <c r="BK22" s="591"/>
      <c r="BL22" s="591"/>
      <c r="BM22" s="591"/>
      <c r="BN22" s="591"/>
      <c r="BO22" s="591"/>
      <c r="BP22" s="591"/>
      <c r="BQ22" s="591"/>
      <c r="BR22" s="591"/>
      <c r="BS22" s="591"/>
      <c r="BT22" s="591"/>
      <c r="BU22" s="591"/>
      <c r="BV22" s="591"/>
      <c r="BW22" s="591"/>
      <c r="BX22" s="591"/>
      <c r="BY22" s="591"/>
      <c r="BZ22" s="591"/>
      <c r="CA22" s="591"/>
      <c r="CB22" s="591"/>
      <c r="CC22" s="591"/>
      <c r="CD22" s="591"/>
      <c r="CE22" s="591"/>
      <c r="CF22" s="591"/>
    </row>
    <row r="23" spans="1:84">
      <c r="A23" s="590"/>
      <c r="B23" s="594"/>
      <c r="C23" s="592"/>
      <c r="D23" s="592"/>
      <c r="E23" s="592"/>
      <c r="F23" s="597" t="s">
        <v>388</v>
      </c>
      <c r="G23" s="592"/>
      <c r="H23" s="598">
        <f>SUM(H18:H21)</f>
        <v>2.4785532995110091E-2</v>
      </c>
      <c r="I23" s="598"/>
      <c r="J23" s="594"/>
      <c r="K23" s="619"/>
      <c r="L23" s="592"/>
      <c r="M23" s="592"/>
      <c r="N23" s="595"/>
      <c r="O23" s="592"/>
      <c r="P23" s="595"/>
      <c r="Q23" s="592"/>
      <c r="R23" s="592"/>
      <c r="S23" s="592"/>
      <c r="T23" s="592"/>
      <c r="U23" s="592"/>
      <c r="V23" s="600">
        <f>100*(+AD17/$E$9)</f>
        <v>984.62381111109278</v>
      </c>
      <c r="W23" s="610">
        <f>EXP(5.7226-(0.68367*LN(+V23)))</f>
        <v>2.7471632798906831</v>
      </c>
      <c r="X23" s="601">
        <f>(+W23*V23)/100</f>
        <v>27.049223783904139</v>
      </c>
      <c r="Y23" s="600">
        <f>100*((((X23/100)-((X23/100)-0.03574)*$E$21)-0.03574-0.00619)/0.344)</f>
        <v>43.240254934234699</v>
      </c>
      <c r="Z23" s="592">
        <f>$E$20</f>
        <v>0.25</v>
      </c>
      <c r="AA23" s="600">
        <f>Y23+Z23</f>
        <v>43.490254934234699</v>
      </c>
      <c r="AB23" s="600">
        <f>100*($E$17*$E$19+($E$18*(AA23/100))/(1-$E$21))</f>
        <v>40.765100500405836</v>
      </c>
      <c r="AC23" s="601">
        <f>AB23/V23</f>
        <v>4.1401700873356602E-2</v>
      </c>
      <c r="AD23" s="599">
        <f>$E$8/(1-AC23)</f>
        <v>8109.7914070164443</v>
      </c>
      <c r="AE23" s="592" t="str">
        <f>IF(AD23=AD17,"yes","not yet")</f>
        <v>not yet</v>
      </c>
      <c r="AF23" s="600">
        <f>100*(1-AC23)</f>
        <v>95.859829912664338</v>
      </c>
      <c r="AG23" s="592"/>
      <c r="AH23" s="592"/>
      <c r="AI23" s="592">
        <v>4</v>
      </c>
      <c r="AJ23" s="600">
        <f>AF8</f>
        <v>96.436156953890034</v>
      </c>
      <c r="AK23" s="600">
        <f>AF14</f>
        <v>95.988139914340778</v>
      </c>
      <c r="AL23" s="600">
        <f>AF20</f>
        <v>95.999930071810212</v>
      </c>
      <c r="AM23" s="600">
        <f>AF26</f>
        <v>95.999619518085026</v>
      </c>
      <c r="AN23" s="600">
        <f>AF32</f>
        <v>95.999627697901261</v>
      </c>
      <c r="AO23" s="600">
        <f>AF38</f>
        <v>95.999627482449213</v>
      </c>
      <c r="AP23" s="600">
        <f>AF44</f>
        <v>95.999633207640272</v>
      </c>
      <c r="AQ23" s="600">
        <f>AF50</f>
        <v>95.999633207640272</v>
      </c>
      <c r="AR23" s="600">
        <f>AF56</f>
        <v>95.999633207640272</v>
      </c>
      <c r="AS23" s="590"/>
      <c r="AT23" s="590"/>
      <c r="AU23" s="590"/>
      <c r="AV23" s="590"/>
      <c r="AW23" s="590"/>
      <c r="AX23" s="590"/>
      <c r="AY23" s="590"/>
      <c r="AZ23" s="590"/>
      <c r="BA23" s="590"/>
      <c r="BB23" s="590"/>
      <c r="BC23" s="590"/>
      <c r="BD23" s="590"/>
      <c r="BE23" s="590"/>
      <c r="BF23" s="590"/>
      <c r="BG23" s="590"/>
      <c r="BH23" s="590"/>
      <c r="BI23" s="590"/>
      <c r="BJ23" s="590"/>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row>
    <row r="24" spans="1:84">
      <c r="A24" s="590"/>
      <c r="B24" s="594"/>
      <c r="C24" s="592"/>
      <c r="D24" s="592"/>
      <c r="E24" s="592"/>
      <c r="F24" s="592"/>
      <c r="G24" s="592"/>
      <c r="H24" s="592"/>
      <c r="I24" s="592"/>
      <c r="J24" s="594"/>
      <c r="K24" s="592"/>
      <c r="L24" s="592"/>
      <c r="M24" s="592"/>
      <c r="N24" s="592"/>
      <c r="O24" s="592"/>
      <c r="P24" s="592"/>
      <c r="Q24" s="592"/>
      <c r="R24" s="592"/>
      <c r="S24" s="592"/>
      <c r="T24" s="592"/>
      <c r="U24" s="592"/>
      <c r="V24" s="600">
        <f>100*(+AD18/$E$9)</f>
        <v>983.94254761439447</v>
      </c>
      <c r="W24" s="610">
        <f>EXP(5.70827-(0.68367*LN(+V24)))</f>
        <v>2.7093589071397544</v>
      </c>
      <c r="X24" s="601">
        <f>(+W24*V24)/100</f>
        <v>26.658535054928414</v>
      </c>
      <c r="Y24" s="600">
        <f>100*((((X24/100)-((X24/100)-0.03574)*$E$21)-0.03574-0.00619)/0.344)</f>
        <v>42.49067772166498</v>
      </c>
      <c r="Z24" s="592">
        <f>$E$20</f>
        <v>0.25</v>
      </c>
      <c r="AA24" s="600">
        <f>Y24+Z24</f>
        <v>42.74067772166498</v>
      </c>
      <c r="AB24" s="600">
        <f>100*($E$17*$E$19+($E$18*(AA24/100))/(1-$E$21))</f>
        <v>40.083666670797008</v>
      </c>
      <c r="AC24" s="601">
        <f>AB24/V24</f>
        <v>4.0737812149684305E-2</v>
      </c>
      <c r="AD24" s="599">
        <f>$E$8/(1-AC24)</f>
        <v>8104.1787610322244</v>
      </c>
      <c r="AE24" s="592" t="str">
        <f>IF(AD24=AD18,"yes","not yet")</f>
        <v>not yet</v>
      </c>
      <c r="AF24" s="600">
        <f>100*(1-AC24)</f>
        <v>95.926218785031566</v>
      </c>
      <c r="AG24" s="592"/>
      <c r="AH24" s="592"/>
      <c r="AI24" s="592"/>
      <c r="AJ24" s="592"/>
      <c r="AK24" s="592"/>
      <c r="AL24" s="592"/>
      <c r="AM24" s="592"/>
      <c r="AN24" s="592"/>
      <c r="AO24" s="592"/>
      <c r="AP24" s="592"/>
      <c r="AQ24" s="592"/>
      <c r="AR24" s="592"/>
      <c r="AS24" s="590"/>
      <c r="AT24" s="590"/>
      <c r="AU24" s="590"/>
      <c r="AV24" s="590"/>
      <c r="AW24" s="590"/>
      <c r="AX24" s="590"/>
      <c r="AY24" s="590"/>
      <c r="AZ24" s="590"/>
      <c r="BA24" s="590"/>
      <c r="BB24" s="590"/>
      <c r="BC24" s="590"/>
      <c r="BD24" s="590"/>
      <c r="BE24" s="590"/>
      <c r="BF24" s="590"/>
      <c r="BG24" s="590"/>
      <c r="BH24" s="590"/>
      <c r="BI24" s="590"/>
      <c r="BJ24" s="590"/>
      <c r="BK24" s="591"/>
      <c r="BL24" s="591"/>
      <c r="BM24" s="591"/>
      <c r="BN24" s="591"/>
      <c r="BO24" s="591"/>
      <c r="BP24" s="591"/>
      <c r="BQ24" s="591"/>
      <c r="BR24" s="591"/>
      <c r="BS24" s="591"/>
      <c r="BT24" s="591"/>
      <c r="BU24" s="591"/>
      <c r="BV24" s="591"/>
      <c r="BW24" s="591"/>
      <c r="BX24" s="591"/>
      <c r="BY24" s="591"/>
      <c r="BZ24" s="591"/>
      <c r="CA24" s="591"/>
      <c r="CB24" s="591"/>
      <c r="CC24" s="591"/>
      <c r="CD24" s="591"/>
      <c r="CE24" s="591"/>
      <c r="CF24" s="591"/>
    </row>
    <row r="25" spans="1:84">
      <c r="A25" s="590"/>
      <c r="B25" s="594"/>
      <c r="C25" s="592"/>
      <c r="D25" s="592"/>
      <c r="E25" s="592"/>
      <c r="F25" s="597" t="s">
        <v>389</v>
      </c>
      <c r="G25" s="592"/>
      <c r="H25" s="601">
        <f>((+H15/100)-H23)</f>
        <v>0.93521079908129257</v>
      </c>
      <c r="I25" s="601"/>
      <c r="J25" s="594"/>
      <c r="K25" s="592"/>
      <c r="L25" s="595"/>
      <c r="M25" s="592"/>
      <c r="N25" s="592"/>
      <c r="O25" s="592"/>
      <c r="P25" s="592"/>
      <c r="Q25" s="592"/>
      <c r="R25" s="592"/>
      <c r="S25" s="592"/>
      <c r="T25" s="592"/>
      <c r="U25" s="592"/>
      <c r="V25" s="600">
        <f>100*(+AD19/$E$9)</f>
        <v>983.48379913798658</v>
      </c>
      <c r="W25" s="610">
        <f>EXP(5.6985-(0.68367*LN(V25)))</f>
        <v>2.6838729086113053</v>
      </c>
      <c r="X25" s="601">
        <f>(+W25*V25)/100</f>
        <v>26.39545524564565</v>
      </c>
      <c r="Y25" s="600">
        <f>100*((((X25/100)-((X25/100)-0.03574)*$E$21)-0.03574-0.00619)/0.344)</f>
        <v>41.985931575948051</v>
      </c>
      <c r="Z25" s="592">
        <f>$E$20</f>
        <v>0.25</v>
      </c>
      <c r="AA25" s="600">
        <f>Y25+Z25</f>
        <v>42.235931575948051</v>
      </c>
      <c r="AB25" s="600">
        <f>100*($E$17*$E$19+($E$18*(AA25/100))/(1-$E$21))</f>
        <v>39.624806538327064</v>
      </c>
      <c r="AC25" s="601">
        <f>AB25/V25</f>
        <v>4.0290248373239905E-2</v>
      </c>
      <c r="AD25" s="599">
        <f>$E$8/(1-AC25)</f>
        <v>8100.3993508041631</v>
      </c>
      <c r="AE25" s="592" t="str">
        <f>IF(AD25=AD19,"yes","not yet")</f>
        <v>not yet</v>
      </c>
      <c r="AF25" s="600">
        <f>100*(1-AC25)</f>
        <v>95.970975162676012</v>
      </c>
      <c r="AG25" s="592"/>
      <c r="AH25" s="592"/>
      <c r="AI25" s="592"/>
      <c r="AJ25" s="592" t="s">
        <v>390</v>
      </c>
      <c r="AK25" s="592"/>
      <c r="AL25" s="592"/>
      <c r="AM25" s="592"/>
      <c r="AN25" s="592"/>
      <c r="AO25" s="592"/>
      <c r="AP25" s="592"/>
      <c r="AQ25" s="592"/>
      <c r="AR25" s="592"/>
      <c r="AS25" s="590"/>
      <c r="AT25" s="590"/>
      <c r="AU25" s="590"/>
      <c r="AV25" s="590"/>
      <c r="AW25" s="590"/>
      <c r="AX25" s="590"/>
      <c r="AY25" s="590"/>
      <c r="AZ25" s="590"/>
      <c r="BA25" s="590"/>
      <c r="BB25" s="590"/>
      <c r="BC25" s="590"/>
      <c r="BD25" s="590"/>
      <c r="BE25" s="590"/>
      <c r="BF25" s="590"/>
      <c r="BG25" s="590"/>
      <c r="BH25" s="590"/>
      <c r="BI25" s="590"/>
      <c r="BJ25" s="590"/>
      <c r="BK25" s="591"/>
      <c r="BL25" s="591"/>
      <c r="BM25" s="591"/>
      <c r="BN25" s="591"/>
      <c r="BO25" s="591"/>
      <c r="BP25" s="591"/>
      <c r="BQ25" s="591"/>
      <c r="BR25" s="591"/>
      <c r="BS25" s="591"/>
      <c r="BT25" s="591"/>
      <c r="BU25" s="591"/>
      <c r="BV25" s="591"/>
      <c r="BW25" s="591"/>
      <c r="BX25" s="591"/>
      <c r="BY25" s="591"/>
      <c r="BZ25" s="591"/>
      <c r="CA25" s="591"/>
      <c r="CB25" s="591"/>
      <c r="CC25" s="591"/>
      <c r="CD25" s="591"/>
      <c r="CE25" s="591"/>
      <c r="CF25" s="591"/>
    </row>
    <row r="26" spans="1:84">
      <c r="A26" s="590"/>
      <c r="B26" s="594"/>
      <c r="C26" s="592"/>
      <c r="D26" s="592"/>
      <c r="E26" s="592"/>
      <c r="F26" s="592"/>
      <c r="G26" s="592"/>
      <c r="H26" s="592"/>
      <c r="I26" s="592"/>
      <c r="J26" s="594"/>
      <c r="K26" s="592"/>
      <c r="L26" s="592"/>
      <c r="M26" s="592"/>
      <c r="N26" s="592"/>
      <c r="O26" s="592"/>
      <c r="P26" s="592"/>
      <c r="Q26" s="592"/>
      <c r="R26" s="592"/>
      <c r="S26" s="592"/>
      <c r="T26" s="592"/>
      <c r="U26" s="592"/>
      <c r="V26" s="600">
        <f>100*(+AD20/$E$9)</f>
        <v>983.19042040992383</v>
      </c>
      <c r="W26" s="610">
        <f>EXP(5.6922-(0.68367*LN(V26)))</f>
        <v>2.6675617141931394</v>
      </c>
      <c r="X26" s="601">
        <f>(+W26*V26)/100</f>
        <v>26.227211232469699</v>
      </c>
      <c r="Y26" s="600">
        <f>100*((((X26/100)-((X26/100)-0.03574)*$E$21)-0.03574-0.00619)/0.344)</f>
        <v>41.663137829738382</v>
      </c>
      <c r="Z26" s="592">
        <f>$E$20</f>
        <v>0.25</v>
      </c>
      <c r="AA26" s="600">
        <f>Y26+Z26</f>
        <v>41.913137829738382</v>
      </c>
      <c r="AB26" s="600">
        <f>100*($E$17*$E$19+($E$18*(AA26/100))/(1-$E$21))</f>
        <v>39.331357678136456</v>
      </c>
      <c r="AC26" s="601">
        <f>AB26/V26</f>
        <v>4.0003804819149828E-2</v>
      </c>
      <c r="AD26" s="599">
        <f>$E$8/(1-AC26)</f>
        <v>8097.9823545793433</v>
      </c>
      <c r="AE26" s="592" t="str">
        <f>IF(AD26=AD20,"yes","not yet")</f>
        <v>not yet</v>
      </c>
      <c r="AF26" s="600">
        <f>100*(1-AC26)</f>
        <v>95.999619518085026</v>
      </c>
      <c r="AG26" s="592"/>
      <c r="AH26" s="592"/>
      <c r="AI26" s="592"/>
      <c r="AJ26" s="600">
        <f>HLOOKUP($AJ$25,$AJ$19:$AR$23,($E$12)+1)</f>
        <v>95.999633207640272</v>
      </c>
      <c r="AK26" s="592"/>
      <c r="AL26" s="592"/>
      <c r="AM26" s="592"/>
      <c r="AN26" s="592"/>
      <c r="AO26" s="592"/>
      <c r="AP26" s="592"/>
      <c r="AQ26" s="592"/>
      <c r="AR26" s="592"/>
      <c r="AS26" s="590"/>
      <c r="AT26" s="590"/>
      <c r="AU26" s="590"/>
      <c r="AV26" s="590"/>
      <c r="AW26" s="590"/>
      <c r="AX26" s="590"/>
      <c r="AY26" s="590"/>
      <c r="AZ26" s="590"/>
      <c r="BA26" s="590"/>
      <c r="BB26" s="590"/>
      <c r="BC26" s="590"/>
      <c r="BD26" s="590"/>
      <c r="BE26" s="590"/>
      <c r="BF26" s="590"/>
      <c r="BG26" s="590"/>
      <c r="BH26" s="590"/>
      <c r="BI26" s="590"/>
      <c r="BJ26" s="590"/>
      <c r="BK26" s="591"/>
      <c r="BL26" s="591"/>
      <c r="BM26" s="591"/>
      <c r="BN26" s="591"/>
      <c r="BO26" s="591"/>
      <c r="BP26" s="591"/>
      <c r="BQ26" s="591"/>
      <c r="BR26" s="591"/>
      <c r="BS26" s="591"/>
      <c r="BT26" s="591"/>
      <c r="BU26" s="591"/>
      <c r="BV26" s="591"/>
      <c r="BW26" s="591"/>
      <c r="BX26" s="591"/>
      <c r="BY26" s="591"/>
      <c r="BZ26" s="591"/>
      <c r="CA26" s="591"/>
      <c r="CB26" s="591"/>
      <c r="CC26" s="591"/>
      <c r="CD26" s="591"/>
      <c r="CE26" s="591"/>
      <c r="CF26" s="591"/>
    </row>
    <row r="27" spans="1:84" ht="29.25" customHeight="1">
      <c r="A27" s="590"/>
      <c r="B27" s="1662" t="s">
        <v>2111</v>
      </c>
      <c r="C27" s="1662"/>
      <c r="D27" s="1662"/>
      <c r="E27" s="1662"/>
      <c r="F27" s="1662"/>
      <c r="G27" s="1662"/>
      <c r="H27" s="1662"/>
      <c r="I27" s="592"/>
      <c r="J27" s="594"/>
      <c r="K27" s="592"/>
      <c r="L27" s="592"/>
      <c r="M27" s="592"/>
      <c r="N27" s="592"/>
      <c r="O27" s="592"/>
      <c r="P27" s="592"/>
      <c r="Q27" s="592"/>
      <c r="R27" s="592"/>
      <c r="S27" s="592"/>
      <c r="T27" s="592"/>
      <c r="U27" s="592"/>
      <c r="V27" s="592"/>
      <c r="W27" s="592"/>
      <c r="X27" s="592"/>
      <c r="Y27" s="592"/>
      <c r="Z27" s="592"/>
      <c r="AA27" s="600"/>
      <c r="AB27" s="592"/>
      <c r="AC27" s="592"/>
      <c r="AD27" s="592"/>
      <c r="AE27" s="592"/>
      <c r="AF27" s="592"/>
      <c r="AG27" s="592"/>
      <c r="AH27" s="592"/>
      <c r="AI27" s="592"/>
      <c r="AJ27" s="592"/>
      <c r="AK27" s="592"/>
      <c r="AL27" s="592"/>
      <c r="AM27" s="592"/>
      <c r="AN27" s="592"/>
      <c r="AO27" s="592"/>
      <c r="AP27" s="592"/>
      <c r="AQ27" s="592"/>
      <c r="AR27" s="592"/>
      <c r="AS27" s="590"/>
      <c r="AT27" s="590"/>
      <c r="AU27" s="590"/>
      <c r="AV27" s="590"/>
      <c r="AW27" s="590"/>
      <c r="AX27" s="590"/>
      <c r="AY27" s="590"/>
      <c r="AZ27" s="590"/>
      <c r="BA27" s="590"/>
      <c r="BB27" s="590"/>
      <c r="BC27" s="590"/>
      <c r="BD27" s="590"/>
      <c r="BE27" s="590"/>
      <c r="BF27" s="590"/>
      <c r="BG27" s="590"/>
      <c r="BH27" s="590"/>
      <c r="BI27" s="590"/>
      <c r="BJ27" s="590"/>
      <c r="BK27" s="591"/>
      <c r="BL27" s="591"/>
      <c r="BM27" s="591"/>
      <c r="BN27" s="591"/>
      <c r="BO27" s="591"/>
      <c r="BP27" s="591"/>
      <c r="BQ27" s="591"/>
      <c r="BR27" s="591"/>
      <c r="BS27" s="591"/>
      <c r="BT27" s="591"/>
      <c r="BU27" s="591"/>
      <c r="BV27" s="591"/>
      <c r="BW27" s="591"/>
      <c r="BX27" s="591"/>
      <c r="BY27" s="591"/>
      <c r="BZ27" s="591"/>
      <c r="CA27" s="591"/>
      <c r="CB27" s="591"/>
      <c r="CC27" s="591"/>
      <c r="CD27" s="591"/>
      <c r="CE27" s="591"/>
      <c r="CF27" s="591"/>
    </row>
    <row r="28" spans="1:84">
      <c r="A28" s="590"/>
      <c r="B28" s="594"/>
      <c r="C28" s="622"/>
      <c r="D28" s="623"/>
      <c r="E28" s="606"/>
      <c r="F28" s="624"/>
      <c r="G28" s="625"/>
      <c r="H28" s="622"/>
      <c r="I28" s="622"/>
      <c r="J28" s="592"/>
      <c r="K28" s="592"/>
      <c r="L28" s="592"/>
      <c r="M28" s="592"/>
      <c r="N28" s="592"/>
      <c r="O28" s="592"/>
      <c r="P28" s="592"/>
      <c r="Q28" s="592"/>
      <c r="R28" s="592"/>
      <c r="S28" s="592"/>
      <c r="T28" s="592"/>
      <c r="U28" s="592"/>
      <c r="V28" s="597" t="s">
        <v>391</v>
      </c>
      <c r="W28" s="609" t="s">
        <v>331</v>
      </c>
      <c r="X28" s="609" t="s">
        <v>341</v>
      </c>
      <c r="Y28" s="609" t="s">
        <v>342</v>
      </c>
      <c r="Z28" s="592"/>
      <c r="AA28" s="600"/>
      <c r="AB28" s="592"/>
      <c r="AC28" s="592"/>
      <c r="AD28" s="592"/>
      <c r="AE28" s="592"/>
      <c r="AF28" s="592"/>
      <c r="AG28" s="592"/>
      <c r="AH28" s="592"/>
      <c r="AI28" s="592"/>
      <c r="AJ28" s="592" t="str">
        <f>HLOOKUP(1,$AJ$13:$AR$17,($E$12)+1)</f>
        <v>not yet</v>
      </c>
      <c r="AK28" s="592" t="str">
        <f>HLOOKUP(2,$AJ$13:$AR$17,($E$12)+1)</f>
        <v>not yet</v>
      </c>
      <c r="AL28" s="592" t="str">
        <f>HLOOKUP(3,$AJ$13:$AR$17,($E$12)+1)</f>
        <v>not yet</v>
      </c>
      <c r="AM28" s="592" t="str">
        <f>HLOOKUP(4,$AJ$13:$AR$17,($E$12)+1)</f>
        <v>not yet</v>
      </c>
      <c r="AN28" s="592" t="str">
        <f>HLOOKUP(5,$AJ$13:$AR$17,($E$12)+1)</f>
        <v>not yet</v>
      </c>
      <c r="AO28" s="592" t="str">
        <f>HLOOKUP(6,$AJ$13:$AR$17,($E$12)+1)</f>
        <v>not yet</v>
      </c>
      <c r="AP28" s="592" t="str">
        <f>HLOOKUP(7,$AJ$13:$AR$17,($E$12)+1)</f>
        <v>yes</v>
      </c>
      <c r="AQ28" s="592" t="str">
        <f>HLOOKUP(8,$AJ$13:$AR$17,($E$12)+1)</f>
        <v>yes</v>
      </c>
      <c r="AR28" s="592" t="str">
        <f>HLOOKUP(9,$AJ$13:$AR$17,($E$12)+1)</f>
        <v>yes</v>
      </c>
      <c r="AS28" s="590"/>
      <c r="AT28" s="590"/>
      <c r="AU28" s="590"/>
      <c r="AV28" s="590"/>
      <c r="AW28" s="590"/>
      <c r="AX28" s="590"/>
      <c r="AY28" s="590"/>
      <c r="AZ28" s="590"/>
      <c r="BA28" s="590"/>
      <c r="BB28" s="590"/>
      <c r="BC28" s="590"/>
      <c r="BD28" s="590"/>
      <c r="BE28" s="590"/>
      <c r="BF28" s="590"/>
      <c r="BG28" s="590"/>
      <c r="BH28" s="590"/>
      <c r="BI28" s="590"/>
      <c r="BJ28" s="590"/>
      <c r="BK28" s="591"/>
      <c r="BL28" s="591"/>
      <c r="BM28" s="591"/>
      <c r="BN28" s="591"/>
      <c r="BO28" s="591"/>
      <c r="BP28" s="591"/>
      <c r="BQ28" s="591"/>
      <c r="BR28" s="591"/>
      <c r="BS28" s="591"/>
      <c r="BT28" s="591"/>
      <c r="BU28" s="591"/>
      <c r="BV28" s="591"/>
      <c r="BW28" s="591"/>
      <c r="BX28" s="591"/>
      <c r="BY28" s="591"/>
      <c r="BZ28" s="591"/>
      <c r="CA28" s="591"/>
      <c r="CB28" s="591"/>
      <c r="CC28" s="591"/>
      <c r="CD28" s="591"/>
      <c r="CE28" s="591"/>
      <c r="CF28" s="591"/>
    </row>
    <row r="29" spans="1:84">
      <c r="A29" s="590"/>
      <c r="B29" s="592"/>
      <c r="C29" s="629"/>
      <c r="D29" s="628"/>
      <c r="E29" s="611"/>
      <c r="F29" s="626"/>
      <c r="G29" s="627"/>
      <c r="H29" s="592"/>
      <c r="I29" s="596"/>
      <c r="J29" s="592"/>
      <c r="K29" s="592"/>
      <c r="L29" s="592"/>
      <c r="M29" s="592"/>
      <c r="N29" s="592"/>
      <c r="O29" s="592"/>
      <c r="P29" s="592"/>
      <c r="Q29" s="592"/>
      <c r="R29" s="592"/>
      <c r="S29" s="592"/>
      <c r="T29" s="592"/>
      <c r="U29" s="592"/>
      <c r="V29" s="600">
        <f>100*(+AD23/$E$9)</f>
        <v>984.62736364772866</v>
      </c>
      <c r="W29" s="610">
        <f>EXP(5.7226-(0.68367*LN(+V29)))</f>
        <v>2.7471565035082488</v>
      </c>
      <c r="X29" s="601">
        <f>(+W29*V29)/100</f>
        <v>27.04925465577039</v>
      </c>
      <c r="Y29" s="600">
        <f>100*((((X29/100)-((X29/100)-0.03574)*$E$21)-0.03574-0.00619)/0.344)</f>
        <v>43.240314165140866</v>
      </c>
      <c r="Z29" s="592">
        <f>$E$20</f>
        <v>0.25</v>
      </c>
      <c r="AA29" s="600">
        <f>Y29+Z29</f>
        <v>43.490314165140866</v>
      </c>
      <c r="AB29" s="600">
        <f>100*($E$17*$E$19+($E$18*(AA29/100))/(1-$E$21))</f>
        <v>40.765154346684177</v>
      </c>
      <c r="AC29" s="601">
        <f>AB29/V29</f>
        <v>4.1401606182934376E-2</v>
      </c>
      <c r="AD29" s="599">
        <f>$E$8/(1-AC29)</f>
        <v>8109.7906059306333</v>
      </c>
      <c r="AE29" s="592" t="str">
        <f>IF(AD29=AD23,"yes","not yet")</f>
        <v>not yet</v>
      </c>
      <c r="AF29" s="600">
        <f>100*(1-AC29)</f>
        <v>95.859839381706564</v>
      </c>
      <c r="AG29" s="592"/>
      <c r="AH29" s="592"/>
      <c r="AI29" s="592">
        <v>1</v>
      </c>
      <c r="AJ29" s="600">
        <f>V5</f>
        <v>1179.8276450828298</v>
      </c>
      <c r="AK29" s="600">
        <f>V11</f>
        <v>980.03142308896884</v>
      </c>
      <c r="AL29" s="600">
        <f>V17</f>
        <v>984.75358343333812</v>
      </c>
      <c r="AM29" s="600">
        <f>V23</f>
        <v>984.62381111109278</v>
      </c>
      <c r="AN29" s="600">
        <f>V29</f>
        <v>984.62736364772866</v>
      </c>
      <c r="AO29" s="600">
        <f>V35</f>
        <v>984.627266386163</v>
      </c>
      <c r="AP29" s="600">
        <f>V41</f>
        <v>984.65268937426913</v>
      </c>
      <c r="AQ29" s="600">
        <f>V47</f>
        <v>984.65268937426913</v>
      </c>
      <c r="AR29" s="600">
        <f>V53</f>
        <v>984.65268937426913</v>
      </c>
      <c r="AS29" s="590"/>
      <c r="AT29" s="590"/>
      <c r="AU29" s="590"/>
      <c r="AV29" s="590"/>
      <c r="AW29" s="590"/>
      <c r="AX29" s="590"/>
      <c r="AY29" s="590"/>
      <c r="AZ29" s="590"/>
      <c r="BA29" s="590"/>
      <c r="BB29" s="590"/>
      <c r="BC29" s="590"/>
      <c r="BD29" s="590"/>
      <c r="BE29" s="590"/>
      <c r="BF29" s="590"/>
      <c r="BG29" s="590"/>
      <c r="BH29" s="590"/>
      <c r="BI29" s="590"/>
      <c r="BJ29" s="590"/>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row>
    <row r="30" spans="1:84">
      <c r="A30" s="590"/>
      <c r="B30" s="592"/>
      <c r="C30" s="629"/>
      <c r="D30" s="628"/>
      <c r="E30" s="668"/>
      <c r="F30" s="626"/>
      <c r="G30" s="627"/>
      <c r="H30" s="592"/>
      <c r="I30" s="596"/>
      <c r="J30" s="592"/>
      <c r="K30" s="592"/>
      <c r="L30" s="592"/>
      <c r="M30" s="592"/>
      <c r="N30" s="592"/>
      <c r="O30" s="592"/>
      <c r="P30" s="592"/>
      <c r="Q30" s="592"/>
      <c r="R30" s="592"/>
      <c r="S30" s="592"/>
      <c r="T30" s="592"/>
      <c r="U30" s="592"/>
      <c r="V30" s="600">
        <f>100*(+AD24/$E$9)</f>
        <v>983.94592012579665</v>
      </c>
      <c r="W30" s="610">
        <f>EXP(5.70827-(0.68367*LN(+V30)))</f>
        <v>2.7093525582834816</v>
      </c>
      <c r="X30" s="601">
        <f>(+W30*V30)/100</f>
        <v>26.658563959054213</v>
      </c>
      <c r="Y30" s="600">
        <f>100*((((X30/100)-((X30/100)-0.03574)*$E$21)-0.03574-0.00619)/0.344)</f>
        <v>42.490733177255187</v>
      </c>
      <c r="Z30" s="592">
        <f>$E$20</f>
        <v>0.25</v>
      </c>
      <c r="AA30" s="600">
        <f>Y30+Z30</f>
        <v>42.740733177255187</v>
      </c>
      <c r="AB30" s="600">
        <f>100*($E$17*$E$19+($E$18*(AA30/100))/(1-$E$21))</f>
        <v>40.083717084969919</v>
      </c>
      <c r="AC30" s="601">
        <f>AB30/V30</f>
        <v>4.0737723756042662E-2</v>
      </c>
      <c r="AD30" s="599">
        <f>$E$8/(1-AC30)</f>
        <v>8104.1780142522339</v>
      </c>
      <c r="AE30" s="592" t="str">
        <f>IF(AD30=AD24,"yes","not yet")</f>
        <v>not yet</v>
      </c>
      <c r="AF30" s="600">
        <f>100*(1-AC30)</f>
        <v>95.926227624395736</v>
      </c>
      <c r="AG30" s="592"/>
      <c r="AH30" s="592"/>
      <c r="AI30" s="592">
        <v>2</v>
      </c>
      <c r="AJ30" s="600">
        <f>V6</f>
        <v>1179.8276450828298</v>
      </c>
      <c r="AK30" s="600">
        <f>V12</f>
        <v>979.41877051202675</v>
      </c>
      <c r="AL30" s="600">
        <f>V18</f>
        <v>984.06800511131178</v>
      </c>
      <c r="AM30" s="600">
        <f>V24</f>
        <v>983.94254761439447</v>
      </c>
      <c r="AN30" s="600">
        <f>V30</f>
        <v>983.94592012579665</v>
      </c>
      <c r="AO30" s="600">
        <f>V36</f>
        <v>983.9458294576184</v>
      </c>
      <c r="AP30" s="600">
        <f>V42</f>
        <v>983.92421636116842</v>
      </c>
      <c r="AQ30" s="600">
        <f>V48</f>
        <v>983.92421636116842</v>
      </c>
      <c r="AR30" s="600">
        <f>V54</f>
        <v>983.92421636116842</v>
      </c>
      <c r="AS30" s="590"/>
      <c r="AT30" s="590"/>
      <c r="AU30" s="590"/>
      <c r="AV30" s="590"/>
      <c r="AW30" s="590"/>
      <c r="AX30" s="590"/>
      <c r="AY30" s="590"/>
      <c r="AZ30" s="590"/>
      <c r="BA30" s="590"/>
      <c r="BB30" s="590"/>
      <c r="BC30" s="590"/>
      <c r="BD30" s="590"/>
      <c r="BE30" s="590"/>
      <c r="BF30" s="590"/>
      <c r="BG30" s="590"/>
      <c r="BH30" s="590"/>
      <c r="BI30" s="590"/>
      <c r="BJ30" s="590"/>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row>
    <row r="31" spans="1:84">
      <c r="A31" s="590"/>
      <c r="B31" s="592"/>
      <c r="C31" s="629"/>
      <c r="D31" s="629"/>
      <c r="E31" s="669"/>
      <c r="F31" s="630"/>
      <c r="G31" s="631"/>
      <c r="H31" s="632"/>
      <c r="I31" s="631"/>
      <c r="J31" s="592"/>
      <c r="K31" s="592"/>
      <c r="L31" s="592"/>
      <c r="M31" s="592"/>
      <c r="N31" s="592"/>
      <c r="O31" s="592"/>
      <c r="P31" s="592"/>
      <c r="Q31" s="592"/>
      <c r="R31" s="592"/>
      <c r="S31" s="592"/>
      <c r="T31" s="592"/>
      <c r="U31" s="592"/>
      <c r="V31" s="600">
        <f>100*(+AD25/$E$9)</f>
        <v>983.48705373303358</v>
      </c>
      <c r="W31" s="610">
        <f>EXP(5.6985-(0.68367*LN(V31)))</f>
        <v>2.6838668365379621</v>
      </c>
      <c r="X31" s="601">
        <f>(+W31*V31)/100</f>
        <v>26.395482876785177</v>
      </c>
      <c r="Y31" s="600">
        <f>100*((((X31/100)-((X31/100)-0.03574)*$E$21)-0.03574-0.00619)/0.344)</f>
        <v>41.985984589180866</v>
      </c>
      <c r="Z31" s="592">
        <f>$E$20</f>
        <v>0.25</v>
      </c>
      <c r="AA31" s="600">
        <f>Y31+Z31</f>
        <v>42.235984589180866</v>
      </c>
      <c r="AB31" s="600">
        <f>100*($E$17*$E$19+($E$18*(AA31/100))/(1-$E$21))</f>
        <v>39.624854732175088</v>
      </c>
      <c r="AC31" s="601">
        <f>AB31/V31</f>
        <v>4.0290164046156533E-2</v>
      </c>
      <c r="AD31" s="599">
        <f>$E$8/(1-AC31)</f>
        <v>8100.3986390441851</v>
      </c>
      <c r="AE31" s="592" t="str">
        <f>IF(AD31=AD25,"yes","not yet")</f>
        <v>not yet</v>
      </c>
      <c r="AF31" s="600">
        <f>100*(1-AC31)</f>
        <v>95.970983595384354</v>
      </c>
      <c r="AG31" s="592"/>
      <c r="AH31" s="592"/>
      <c r="AI31" s="592">
        <v>3</v>
      </c>
      <c r="AJ31" s="600">
        <f>V7</f>
        <v>1179.8276450828298</v>
      </c>
      <c r="AK31" s="600">
        <f>V13</f>
        <v>979.00650882217576</v>
      </c>
      <c r="AL31" s="600">
        <f>V19</f>
        <v>983.60638538843421</v>
      </c>
      <c r="AM31" s="600">
        <f>V25</f>
        <v>983.48379913798658</v>
      </c>
      <c r="AN31" s="600">
        <f>V31</f>
        <v>983.48705373303358</v>
      </c>
      <c r="AO31" s="600">
        <f>V37</f>
        <v>983.48696731671089</v>
      </c>
      <c r="AP31" s="600">
        <f>V43</f>
        <v>983.43856768576802</v>
      </c>
      <c r="AQ31" s="600">
        <f>V49</f>
        <v>983.43856768576802</v>
      </c>
      <c r="AR31" s="600">
        <f>V55</f>
        <v>983.43856768576802</v>
      </c>
      <c r="AS31" s="590"/>
      <c r="AT31" s="590"/>
      <c r="AU31" s="590"/>
      <c r="AV31" s="590"/>
      <c r="AW31" s="590"/>
      <c r="AX31" s="590"/>
      <c r="AY31" s="590"/>
      <c r="AZ31" s="590"/>
      <c r="BA31" s="590"/>
      <c r="BB31" s="590"/>
      <c r="BC31" s="590"/>
      <c r="BD31" s="590"/>
      <c r="BE31" s="590"/>
      <c r="BF31" s="590"/>
      <c r="BG31" s="590"/>
      <c r="BH31" s="590"/>
      <c r="BI31" s="590"/>
      <c r="BJ31" s="590"/>
      <c r="BK31" s="591"/>
      <c r="BL31" s="591"/>
      <c r="BM31" s="591"/>
      <c r="BN31" s="591"/>
      <c r="BO31" s="591"/>
      <c r="BP31" s="591"/>
      <c r="BQ31" s="591"/>
      <c r="BR31" s="591"/>
      <c r="BS31" s="591"/>
      <c r="BT31" s="591"/>
      <c r="BU31" s="591"/>
      <c r="BV31" s="591"/>
      <c r="BW31" s="591"/>
      <c r="BX31" s="591"/>
      <c r="BY31" s="591"/>
      <c r="BZ31" s="591"/>
      <c r="CA31" s="591"/>
      <c r="CB31" s="591"/>
      <c r="CC31" s="591"/>
      <c r="CD31" s="591"/>
      <c r="CE31" s="591"/>
      <c r="CF31" s="591"/>
    </row>
    <row r="32" spans="1:84">
      <c r="A32" s="590"/>
      <c r="B32" s="592"/>
      <c r="C32" s="629"/>
      <c r="D32" s="633"/>
      <c r="E32" s="670"/>
      <c r="F32" s="630"/>
      <c r="G32" s="599"/>
      <c r="H32" s="592"/>
      <c r="I32" s="592"/>
      <c r="J32" s="592"/>
      <c r="K32" s="592"/>
      <c r="L32" s="592"/>
      <c r="M32" s="592"/>
      <c r="N32" s="592"/>
      <c r="O32" s="592"/>
      <c r="P32" s="592"/>
      <c r="Q32" s="592"/>
      <c r="R32" s="592"/>
      <c r="S32" s="592"/>
      <c r="T32" s="592"/>
      <c r="U32" s="592"/>
      <c r="V32" s="600">
        <f>100*(+AD26/$E$9)</f>
        <v>983.19360097927574</v>
      </c>
      <c r="W32" s="610">
        <f>EXP(5.6922-(0.68367*LN(V32)))</f>
        <v>2.667555814532276</v>
      </c>
      <c r="X32" s="601">
        <f>(+W32*V32)/100</f>
        <v>26.227238071031934</v>
      </c>
      <c r="Y32" s="600">
        <f>100*((((X32/100)-((X32/100)-0.03574)*$E$21)-0.03574-0.00619)/0.344)</f>
        <v>41.663189322328705</v>
      </c>
      <c r="Z32" s="592">
        <f>$E$20</f>
        <v>0.25</v>
      </c>
      <c r="AA32" s="600">
        <f>Y32+Z32</f>
        <v>41.913189322328705</v>
      </c>
      <c r="AB32" s="600">
        <f>100*($E$17*$E$19+($E$18*(AA32/100))/(1-$E$21))</f>
        <v>39.331404489582205</v>
      </c>
      <c r="AC32" s="601">
        <f>AB32/V32</f>
        <v>4.0003723020987453E-2</v>
      </c>
      <c r="AD32" s="599">
        <f>$E$8/(1-AC32)</f>
        <v>8097.9816645765886</v>
      </c>
      <c r="AE32" s="592" t="str">
        <f>IF(AD32=AD26,"yes","not yet")</f>
        <v>not yet</v>
      </c>
      <c r="AF32" s="600">
        <f>100*(1-AC32)</f>
        <v>95.999627697901261</v>
      </c>
      <c r="AG32" s="592"/>
      <c r="AH32" s="592"/>
      <c r="AI32" s="592">
        <v>4</v>
      </c>
      <c r="AJ32" s="600">
        <f>V8</f>
        <v>1179.8276450828298</v>
      </c>
      <c r="AK32" s="600">
        <f>V14</f>
        <v>978.74297968713313</v>
      </c>
      <c r="AL32" s="600">
        <f>V20</f>
        <v>983.31118501573269</v>
      </c>
      <c r="AM32" s="600">
        <f>V26</f>
        <v>983.19042040992383</v>
      </c>
      <c r="AN32" s="600">
        <f>V32</f>
        <v>983.19360097927574</v>
      </c>
      <c r="AO32" s="600">
        <f>V38</f>
        <v>983.19351720454483</v>
      </c>
      <c r="AP32" s="600">
        <f>V44</f>
        <v>983.19574334806794</v>
      </c>
      <c r="AQ32" s="600">
        <f>V50</f>
        <v>983.19574334806794</v>
      </c>
      <c r="AR32" s="600">
        <f>V56</f>
        <v>983.19574334806794</v>
      </c>
      <c r="AS32" s="590"/>
      <c r="AT32" s="590"/>
      <c r="AU32" s="590"/>
      <c r="AV32" s="590"/>
      <c r="AW32" s="590"/>
      <c r="AX32" s="590"/>
      <c r="AY32" s="590"/>
      <c r="AZ32" s="590"/>
      <c r="BA32" s="590"/>
      <c r="BB32" s="590"/>
      <c r="BC32" s="590"/>
      <c r="BD32" s="590"/>
      <c r="BE32" s="590"/>
      <c r="BF32" s="590"/>
      <c r="BG32" s="590"/>
      <c r="BH32" s="590"/>
      <c r="BI32" s="590"/>
      <c r="BJ32" s="590"/>
      <c r="BK32" s="591"/>
      <c r="BL32" s="591"/>
      <c r="BM32" s="591"/>
      <c r="BN32" s="591"/>
      <c r="BO32" s="591"/>
      <c r="BP32" s="591"/>
      <c r="BQ32" s="591"/>
      <c r="BR32" s="591"/>
      <c r="BS32" s="591"/>
      <c r="BT32" s="591"/>
      <c r="BU32" s="591"/>
      <c r="BV32" s="591"/>
      <c r="BW32" s="591"/>
      <c r="BX32" s="591"/>
      <c r="BY32" s="591"/>
      <c r="BZ32" s="591"/>
      <c r="CA32" s="591"/>
      <c r="CB32" s="591"/>
      <c r="CC32" s="591"/>
      <c r="CD32" s="591"/>
      <c r="CE32" s="591"/>
      <c r="CF32" s="591"/>
    </row>
    <row r="33" spans="1:84">
      <c r="A33" s="590"/>
      <c r="B33" s="592"/>
      <c r="C33" s="629"/>
      <c r="D33" s="629"/>
      <c r="E33" s="671"/>
      <c r="F33" s="630"/>
      <c r="G33" s="598"/>
      <c r="H33" s="592"/>
      <c r="I33" s="598"/>
      <c r="J33" s="592"/>
      <c r="K33" s="592"/>
      <c r="L33" s="592"/>
      <c r="M33" s="592"/>
      <c r="N33" s="592"/>
      <c r="O33" s="592"/>
      <c r="P33" s="592"/>
      <c r="Q33" s="592"/>
      <c r="R33" s="592"/>
      <c r="S33" s="592"/>
      <c r="T33" s="592"/>
      <c r="U33" s="592"/>
      <c r="V33" s="592"/>
      <c r="W33" s="592"/>
      <c r="X33" s="592"/>
      <c r="Y33" s="592"/>
      <c r="Z33" s="592"/>
      <c r="AA33" s="600"/>
      <c r="AB33" s="592"/>
      <c r="AC33" s="592"/>
      <c r="AD33" s="592"/>
      <c r="AE33" s="592"/>
      <c r="AF33" s="592"/>
      <c r="AG33" s="592"/>
      <c r="AH33" s="592"/>
      <c r="AI33" s="592"/>
      <c r="AJ33" s="592"/>
      <c r="AK33" s="592"/>
      <c r="AL33" s="592"/>
      <c r="AM33" s="592"/>
      <c r="AN33" s="592"/>
      <c r="AO33" s="592"/>
      <c r="AP33" s="592"/>
      <c r="AQ33" s="592"/>
      <c r="AR33" s="592"/>
      <c r="AS33" s="590"/>
      <c r="AT33" s="590"/>
      <c r="AU33" s="590"/>
      <c r="AV33" s="590"/>
      <c r="AW33" s="590"/>
      <c r="AX33" s="590"/>
      <c r="AY33" s="590"/>
      <c r="AZ33" s="590"/>
      <c r="BA33" s="590"/>
      <c r="BB33" s="590"/>
      <c r="BC33" s="590"/>
      <c r="BD33" s="590"/>
      <c r="BE33" s="590"/>
      <c r="BF33" s="590"/>
      <c r="BG33" s="590"/>
      <c r="BH33" s="590"/>
      <c r="BI33" s="590"/>
      <c r="BJ33" s="590"/>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row>
    <row r="34" spans="1:84">
      <c r="A34" s="590"/>
      <c r="B34" s="592"/>
      <c r="C34" s="629"/>
      <c r="D34" s="629"/>
      <c r="E34" s="668"/>
      <c r="F34" s="630"/>
      <c r="G34" s="592"/>
      <c r="H34" s="592"/>
      <c r="I34" s="592"/>
      <c r="J34" s="592"/>
      <c r="K34" s="592"/>
      <c r="L34" s="592"/>
      <c r="M34" s="592"/>
      <c r="N34" s="592"/>
      <c r="O34" s="592"/>
      <c r="P34" s="592"/>
      <c r="Q34" s="592"/>
      <c r="R34" s="592"/>
      <c r="S34" s="592"/>
      <c r="T34" s="592"/>
      <c r="U34" s="592"/>
      <c r="V34" s="597" t="s">
        <v>392</v>
      </c>
      <c r="W34" s="609" t="s">
        <v>331</v>
      </c>
      <c r="X34" s="609" t="s">
        <v>341</v>
      </c>
      <c r="Y34" s="609" t="s">
        <v>342</v>
      </c>
      <c r="Z34" s="592"/>
      <c r="AA34" s="600"/>
      <c r="AB34" s="592"/>
      <c r="AC34" s="592"/>
      <c r="AD34" s="592"/>
      <c r="AE34" s="592"/>
      <c r="AF34" s="592"/>
      <c r="AG34" s="592"/>
      <c r="AH34" s="592"/>
      <c r="AI34" s="592"/>
      <c r="AJ34" s="592" t="s">
        <v>390</v>
      </c>
      <c r="AK34" s="592"/>
      <c r="AL34" s="592"/>
      <c r="AM34" s="592"/>
      <c r="AN34" s="592"/>
      <c r="AO34" s="592"/>
      <c r="AP34" s="592"/>
      <c r="AQ34" s="592"/>
      <c r="AR34" s="592"/>
      <c r="AS34" s="590"/>
      <c r="AT34" s="590"/>
      <c r="AU34" s="590"/>
      <c r="AV34" s="590"/>
      <c r="AW34" s="590"/>
      <c r="AX34" s="590"/>
      <c r="AY34" s="590"/>
      <c r="AZ34" s="590"/>
      <c r="BA34" s="590"/>
      <c r="BB34" s="590"/>
      <c r="BC34" s="590"/>
      <c r="BD34" s="590"/>
      <c r="BE34" s="590"/>
      <c r="BF34" s="590"/>
      <c r="BG34" s="590"/>
      <c r="BH34" s="590"/>
      <c r="BI34" s="590"/>
      <c r="BJ34" s="590"/>
      <c r="BK34" s="591"/>
      <c r="BL34" s="591"/>
      <c r="BM34" s="591"/>
      <c r="BN34" s="591"/>
      <c r="BO34" s="591"/>
      <c r="BP34" s="591"/>
      <c r="BQ34" s="591"/>
      <c r="BR34" s="591"/>
      <c r="BS34" s="591"/>
      <c r="BT34" s="591"/>
      <c r="BU34" s="591"/>
      <c r="BV34" s="591"/>
      <c r="BW34" s="591"/>
      <c r="BX34" s="591"/>
      <c r="BY34" s="591"/>
      <c r="BZ34" s="591"/>
      <c r="CA34" s="591"/>
      <c r="CB34" s="591"/>
      <c r="CC34" s="591"/>
      <c r="CD34" s="591"/>
      <c r="CE34" s="591"/>
      <c r="CF34" s="591"/>
    </row>
    <row r="35" spans="1:84">
      <c r="A35" s="590"/>
      <c r="B35" s="592"/>
      <c r="C35" s="629"/>
      <c r="D35" s="629"/>
      <c r="E35" s="672"/>
      <c r="F35" s="630"/>
      <c r="G35" s="630"/>
      <c r="H35" s="592"/>
      <c r="I35" s="592"/>
      <c r="J35" s="592"/>
      <c r="K35" s="592"/>
      <c r="L35" s="592"/>
      <c r="M35" s="592"/>
      <c r="N35" s="592"/>
      <c r="O35" s="592"/>
      <c r="P35" s="592"/>
      <c r="Q35" s="592"/>
      <c r="R35" s="592"/>
      <c r="S35" s="592"/>
      <c r="T35" s="592"/>
      <c r="U35" s="592"/>
      <c r="V35" s="600">
        <f>100*(+AD29/$E$9)</f>
        <v>984.627266386163</v>
      </c>
      <c r="W35" s="610">
        <f>EXP(5.7226-(0.68367*LN(+V35)))</f>
        <v>2.7471566890319132</v>
      </c>
      <c r="X35" s="601">
        <f>(+W35*V35)/100</f>
        <v>27.049253810559552</v>
      </c>
      <c r="Y35" s="600">
        <f>100*((((X35/100)-((X35/100)-0.03574)*$E$21)-0.03574-0.00619)/0.344)</f>
        <v>43.240312543515429</v>
      </c>
      <c r="Z35" s="592">
        <f>$E$20</f>
        <v>0.25</v>
      </c>
      <c r="AA35" s="600">
        <f>Y35+Z35</f>
        <v>43.490312543515429</v>
      </c>
      <c r="AB35" s="600">
        <f>100*($E$17*$E$19+($E$18*(AA35/100))/(1-$E$21))</f>
        <v>40.765152872479234</v>
      </c>
      <c r="AC35" s="601">
        <f>AB35/V35</f>
        <v>4.1401608775367249E-2</v>
      </c>
      <c r="AD35" s="599">
        <f>ROUND($E$8/(1-AC35),0)</f>
        <v>8110</v>
      </c>
      <c r="AE35" s="592" t="str">
        <f>IF(AD35=AD29,"yes","not yet")</f>
        <v>not yet</v>
      </c>
      <c r="AF35" s="600">
        <f>100*(1-AC35)</f>
        <v>95.859839122463271</v>
      </c>
      <c r="AG35" s="592"/>
      <c r="AH35" s="592"/>
      <c r="AI35" s="592"/>
      <c r="AJ35" s="600">
        <f>HLOOKUP($AJ$34,$AJ$28:$AR$32,($E$12)+1)</f>
        <v>983.19574334806794</v>
      </c>
      <c r="AK35" s="592"/>
      <c r="AL35" s="592"/>
      <c r="AM35" s="592"/>
      <c r="AN35" s="592"/>
      <c r="AO35" s="592"/>
      <c r="AP35" s="592"/>
      <c r="AQ35" s="592"/>
      <c r="AR35" s="592"/>
      <c r="AS35" s="590"/>
      <c r="AT35" s="590"/>
      <c r="AU35" s="590"/>
      <c r="AV35" s="590"/>
      <c r="AW35" s="590"/>
      <c r="AX35" s="590"/>
      <c r="AY35" s="590"/>
      <c r="AZ35" s="590"/>
      <c r="BA35" s="590"/>
      <c r="BB35" s="590"/>
      <c r="BC35" s="590"/>
      <c r="BD35" s="590"/>
      <c r="BE35" s="590"/>
      <c r="BF35" s="590"/>
      <c r="BG35" s="590"/>
      <c r="BH35" s="590"/>
      <c r="BI35" s="590"/>
      <c r="BJ35" s="590"/>
      <c r="BK35" s="591"/>
      <c r="BL35" s="591"/>
      <c r="BM35" s="591"/>
      <c r="BN35" s="591"/>
      <c r="BO35" s="591"/>
      <c r="BP35" s="591"/>
      <c r="BQ35" s="591"/>
      <c r="BR35" s="591"/>
      <c r="BS35" s="591"/>
      <c r="BT35" s="591"/>
      <c r="BU35" s="591"/>
      <c r="BV35" s="591"/>
      <c r="BW35" s="591"/>
      <c r="BX35" s="591"/>
      <c r="BY35" s="591"/>
      <c r="BZ35" s="591"/>
      <c r="CA35" s="591"/>
      <c r="CB35" s="591"/>
      <c r="CC35" s="591"/>
      <c r="CD35" s="591"/>
      <c r="CE35" s="591"/>
      <c r="CF35" s="591"/>
    </row>
    <row r="36" spans="1:84" ht="15.75">
      <c r="A36" s="590"/>
      <c r="B36" s="592"/>
      <c r="C36" s="629"/>
      <c r="D36" s="629"/>
      <c r="E36" s="673"/>
      <c r="F36" s="592"/>
      <c r="G36" s="592"/>
      <c r="H36" s="592"/>
      <c r="I36" s="592"/>
      <c r="J36" s="592"/>
      <c r="K36" s="592"/>
      <c r="L36" s="592"/>
      <c r="M36" s="592"/>
      <c r="N36" s="592"/>
      <c r="O36" s="592"/>
      <c r="P36" s="592"/>
      <c r="Q36" s="592"/>
      <c r="R36" s="592"/>
      <c r="S36" s="592"/>
      <c r="T36" s="592"/>
      <c r="U36" s="592"/>
      <c r="V36" s="600">
        <f>100*(+AD30/$E$9)</f>
        <v>983.9458294576184</v>
      </c>
      <c r="W36" s="610">
        <f>EXP(5.70827-(0.68367*LN(+V36)))</f>
        <v>2.7093527289686312</v>
      </c>
      <c r="X36" s="601">
        <f>(+W36*V36)/100</f>
        <v>26.658563181983016</v>
      </c>
      <c r="Y36" s="600">
        <f>100*((((X36/100)-((X36/100)-0.03574)*$E$21)-0.03574-0.00619)/0.344)</f>
        <v>42.490731686362764</v>
      </c>
      <c r="Z36" s="592">
        <f>$E$20</f>
        <v>0.25</v>
      </c>
      <c r="AA36" s="600">
        <f>Y36+Z36</f>
        <v>42.740731686362764</v>
      </c>
      <c r="AB36" s="600">
        <f>100*($E$17*$E$19+($E$18*(AA36/100))/(1-$E$21))</f>
        <v>40.083715729613175</v>
      </c>
      <c r="AC36" s="601">
        <f>AB36/V36</f>
        <v>4.0737726132452398E-2</v>
      </c>
      <c r="AD36" s="599">
        <f>ROUND($E$8/(1-AC36),0)</f>
        <v>8104</v>
      </c>
      <c r="AE36" s="592" t="str">
        <f>IF(AD36=AD30,"yes","not yet")</f>
        <v>not yet</v>
      </c>
      <c r="AF36" s="600">
        <f>100*(1-AC36)</f>
        <v>95.926227386754761</v>
      </c>
      <c r="AG36" s="592"/>
      <c r="AH36" s="592"/>
      <c r="AI36" s="592"/>
      <c r="AJ36" s="592"/>
      <c r="AK36" s="592"/>
      <c r="AL36" s="592"/>
      <c r="AM36" s="592"/>
      <c r="AN36" s="592"/>
      <c r="AO36" s="592"/>
      <c r="AP36" s="592"/>
      <c r="AQ36" s="592"/>
      <c r="AR36" s="592"/>
      <c r="AS36" s="590"/>
      <c r="AT36" s="590"/>
      <c r="AU36" s="590"/>
      <c r="AV36" s="590"/>
      <c r="AW36" s="590"/>
      <c r="AX36" s="590"/>
      <c r="AY36" s="590"/>
      <c r="AZ36" s="590"/>
      <c r="BA36" s="590"/>
      <c r="BB36" s="590"/>
      <c r="BC36" s="590"/>
      <c r="BD36" s="590"/>
      <c r="BE36" s="590"/>
      <c r="BF36" s="590"/>
      <c r="BG36" s="590"/>
      <c r="BH36" s="590"/>
      <c r="BI36" s="590"/>
      <c r="BJ36" s="590"/>
      <c r="BK36" s="591"/>
      <c r="BL36" s="591"/>
      <c r="BM36" s="591"/>
      <c r="BN36" s="591"/>
      <c r="BO36" s="591"/>
      <c r="BP36" s="591"/>
      <c r="BQ36" s="591"/>
      <c r="BR36" s="591"/>
      <c r="BS36" s="591"/>
      <c r="BT36" s="591"/>
      <c r="BU36" s="591"/>
      <c r="BV36" s="591"/>
      <c r="BW36" s="591"/>
      <c r="BX36" s="591"/>
      <c r="BY36" s="591"/>
      <c r="BZ36" s="591"/>
      <c r="CA36" s="591"/>
      <c r="CB36" s="591"/>
      <c r="CC36" s="591"/>
      <c r="CD36" s="591"/>
      <c r="CE36" s="591"/>
      <c r="CF36" s="591"/>
    </row>
    <row r="37" spans="1:84">
      <c r="A37" s="590"/>
      <c r="B37" s="592"/>
      <c r="C37" s="629"/>
      <c r="D37" s="629"/>
      <c r="E37" s="611"/>
      <c r="F37" s="592"/>
      <c r="G37" s="630"/>
      <c r="H37" s="592"/>
      <c r="I37" s="592"/>
      <c r="J37" s="592"/>
      <c r="K37" s="592"/>
      <c r="L37" s="592"/>
      <c r="M37" s="592"/>
      <c r="N37" s="592"/>
      <c r="O37" s="592"/>
      <c r="P37" s="592"/>
      <c r="Q37" s="592"/>
      <c r="R37" s="592"/>
      <c r="S37" s="592"/>
      <c r="T37" s="592"/>
      <c r="U37" s="592"/>
      <c r="V37" s="600">
        <f>100*(+AD31/$E$9)</f>
        <v>983.48696731671089</v>
      </c>
      <c r="W37" s="610">
        <f>EXP(5.6985-(0.68367*LN(V37)))</f>
        <v>2.6838669977638041</v>
      </c>
      <c r="X37" s="601">
        <f>(+W37*V37)/100</f>
        <v>26.395482143121296</v>
      </c>
      <c r="Y37" s="600">
        <f>100*((((X37/100)-((X37/100)-0.03574)*$E$21)-0.03574-0.00619)/0.344)</f>
        <v>41.985983181569928</v>
      </c>
      <c r="Z37" s="592">
        <f>$E$20</f>
        <v>0.25</v>
      </c>
      <c r="AA37" s="600">
        <f>Y37+Z37</f>
        <v>42.235983181569928</v>
      </c>
      <c r="AB37" s="600">
        <f>100*($E$17*$E$19+($E$18*(AA37/100))/(1-$E$21))</f>
        <v>39.624853452528782</v>
      </c>
      <c r="AC37" s="601">
        <f>AB37/V37</f>
        <v>4.0290166285211634E-2</v>
      </c>
      <c r="AD37" s="599">
        <f>ROUND($E$8/(1-AC37),0)</f>
        <v>8100</v>
      </c>
      <c r="AE37" s="592" t="str">
        <f>IF(AD37=AD31,"yes","not yet")</f>
        <v>not yet</v>
      </c>
      <c r="AF37" s="600">
        <f>100*(1-AC37)</f>
        <v>95.970983371478837</v>
      </c>
      <c r="AG37" s="592"/>
      <c r="AH37" s="592"/>
      <c r="AI37" s="592"/>
      <c r="AJ37" s="592" t="str">
        <f>HLOOKUP(1,$AJ$13:$AR$17,($E$12)+1)</f>
        <v>not yet</v>
      </c>
      <c r="AK37" s="592" t="str">
        <f>HLOOKUP(2,$AJ$13:$AR$17,($E$12)+1)</f>
        <v>not yet</v>
      </c>
      <c r="AL37" s="592" t="str">
        <f>HLOOKUP(3,$AJ$13:$AR$17,($E$12)+1)</f>
        <v>not yet</v>
      </c>
      <c r="AM37" s="592" t="str">
        <f>HLOOKUP(4,$AJ$13:$AR$17,($E$12)+1)</f>
        <v>not yet</v>
      </c>
      <c r="AN37" s="592" t="str">
        <f>HLOOKUP(5,$AJ$13:$AR$17,($E$12)+1)</f>
        <v>not yet</v>
      </c>
      <c r="AO37" s="592" t="str">
        <f>HLOOKUP(6,$AJ$13:$AR$17,($E$12)+1)</f>
        <v>not yet</v>
      </c>
      <c r="AP37" s="592" t="str">
        <f>HLOOKUP(7,$AJ$13:$AR$17,($E$12)+1)</f>
        <v>yes</v>
      </c>
      <c r="AQ37" s="592" t="str">
        <f>HLOOKUP(8,$AJ$13:$AR$17,($E$12)+1)</f>
        <v>yes</v>
      </c>
      <c r="AR37" s="592" t="str">
        <f>HLOOKUP(9,$AJ$13:$AR$17,($E$12)+1)</f>
        <v>yes</v>
      </c>
      <c r="AS37" s="590"/>
      <c r="AT37" s="590"/>
      <c r="AU37" s="590"/>
      <c r="AV37" s="590"/>
      <c r="AW37" s="590"/>
      <c r="AX37" s="590"/>
      <c r="AY37" s="590"/>
      <c r="AZ37" s="590"/>
      <c r="BA37" s="590"/>
      <c r="BB37" s="590"/>
      <c r="BC37" s="590"/>
      <c r="BD37" s="590"/>
      <c r="BE37" s="590"/>
      <c r="BF37" s="590"/>
      <c r="BG37" s="590"/>
      <c r="BH37" s="590"/>
      <c r="BI37" s="590"/>
      <c r="BJ37" s="590"/>
      <c r="BK37" s="591"/>
      <c r="BL37" s="591"/>
      <c r="BM37" s="591"/>
      <c r="BN37" s="591"/>
      <c r="BO37" s="591"/>
      <c r="BP37" s="591"/>
      <c r="BQ37" s="591"/>
      <c r="BR37" s="591"/>
      <c r="BS37" s="591"/>
      <c r="BT37" s="591"/>
      <c r="BU37" s="591"/>
      <c r="BV37" s="591"/>
      <c r="BW37" s="591"/>
      <c r="BX37" s="591"/>
      <c r="BY37" s="591"/>
      <c r="BZ37" s="591"/>
      <c r="CA37" s="591"/>
      <c r="CB37" s="591"/>
      <c r="CC37" s="591"/>
      <c r="CD37" s="591"/>
      <c r="CE37" s="591"/>
      <c r="CF37" s="591"/>
    </row>
    <row r="38" spans="1:84">
      <c r="A38" s="590"/>
      <c r="B38" s="592"/>
      <c r="C38" s="629"/>
      <c r="D38" s="629"/>
      <c r="E38" s="672"/>
      <c r="F38" s="592"/>
      <c r="G38" s="592"/>
      <c r="H38" s="592"/>
      <c r="I38" s="592"/>
      <c r="J38" s="592"/>
      <c r="K38" s="592"/>
      <c r="L38" s="592"/>
      <c r="M38" s="592"/>
      <c r="N38" s="592"/>
      <c r="O38" s="592"/>
      <c r="P38" s="592"/>
      <c r="Q38" s="592"/>
      <c r="R38" s="592"/>
      <c r="S38" s="592"/>
      <c r="T38" s="592"/>
      <c r="U38" s="592"/>
      <c r="V38" s="600">
        <f>100*(+AD32/$E$9)</f>
        <v>983.19351720454483</v>
      </c>
      <c r="W38" s="610">
        <f>EXP(5.6922-(0.68367*LN(V38)))</f>
        <v>2.6675559699262119</v>
      </c>
      <c r="X38" s="601">
        <f>(+W38*V38)/100</f>
        <v>26.227237364117332</v>
      </c>
      <c r="Y38" s="600">
        <f>100*((((X38/100)-((X38/100)-0.03574)*$E$21)-0.03574-0.00619)/0.344)</f>
        <v>41.663187966039075</v>
      </c>
      <c r="Z38" s="592">
        <f>$E$20</f>
        <v>0.25</v>
      </c>
      <c r="AA38" s="600">
        <f>Y38+Z38</f>
        <v>41.913187966039075</v>
      </c>
      <c r="AB38" s="600">
        <f>100*($E$17*$E$19+($E$18*(AA38/100))/(1-$E$21))</f>
        <v>39.331403256591635</v>
      </c>
      <c r="AC38" s="601">
        <f>AB38/V38</f>
        <v>4.0003725175507925E-2</v>
      </c>
      <c r="AD38" s="599">
        <f>ROUND($E$8/(1-AC38),0)</f>
        <v>8098</v>
      </c>
      <c r="AE38" s="592" t="str">
        <f>IF(AD38=AD32,"yes","not yet")</f>
        <v>not yet</v>
      </c>
      <c r="AF38" s="600">
        <f>100*(1-AC38)</f>
        <v>95.999627482449213</v>
      </c>
      <c r="AG38" s="592"/>
      <c r="AH38" s="592"/>
      <c r="AI38" s="592">
        <v>1</v>
      </c>
      <c r="AJ38" s="599">
        <f>AD5</f>
        <v>8071.937371442511</v>
      </c>
      <c r="AK38" s="599">
        <f>AD11</f>
        <v>8110.831004503294</v>
      </c>
      <c r="AL38" s="599">
        <f>AD17</f>
        <v>8109.7621468799234</v>
      </c>
      <c r="AM38" s="599">
        <f>AD23</f>
        <v>8109.7914070164443</v>
      </c>
      <c r="AN38" s="599">
        <f>AD29</f>
        <v>8109.7906059306333</v>
      </c>
      <c r="AO38" s="599">
        <f>AD35</f>
        <v>8110</v>
      </c>
      <c r="AP38" s="599">
        <f>AD41</f>
        <v>8110</v>
      </c>
      <c r="AQ38" s="599">
        <f>AD47</f>
        <v>8110</v>
      </c>
      <c r="AR38" s="599">
        <f>AD53</f>
        <v>8110</v>
      </c>
      <c r="AS38" s="590"/>
      <c r="AT38" s="590"/>
      <c r="AU38" s="590"/>
      <c r="AV38" s="590"/>
      <c r="AW38" s="590"/>
      <c r="AX38" s="590"/>
      <c r="AY38" s="590"/>
      <c r="AZ38" s="590"/>
      <c r="BA38" s="590"/>
      <c r="BB38" s="590"/>
      <c r="BC38" s="590"/>
      <c r="BD38" s="590"/>
      <c r="BE38" s="590"/>
      <c r="BF38" s="590"/>
      <c r="BG38" s="590"/>
      <c r="BH38" s="590"/>
      <c r="BI38" s="590"/>
      <c r="BJ38" s="590"/>
      <c r="BK38" s="591"/>
      <c r="BL38" s="591"/>
      <c r="BM38" s="591"/>
      <c r="BN38" s="591"/>
      <c r="BO38" s="591"/>
      <c r="BP38" s="591"/>
      <c r="BQ38" s="591"/>
      <c r="BR38" s="591"/>
      <c r="BS38" s="591"/>
      <c r="BT38" s="591"/>
      <c r="BU38" s="591"/>
      <c r="BV38" s="591"/>
      <c r="BW38" s="591"/>
      <c r="BX38" s="591"/>
      <c r="BY38" s="591"/>
      <c r="BZ38" s="591"/>
      <c r="CA38" s="591"/>
      <c r="CB38" s="591"/>
      <c r="CC38" s="591"/>
      <c r="CD38" s="591"/>
      <c r="CE38" s="591"/>
      <c r="CF38" s="591"/>
    </row>
    <row r="39" spans="1:84" ht="15.75">
      <c r="A39" s="590"/>
      <c r="B39" s="592"/>
      <c r="C39" s="629"/>
      <c r="D39" s="629"/>
      <c r="E39" s="674"/>
      <c r="F39" s="592"/>
      <c r="G39" s="592"/>
      <c r="H39" s="592"/>
      <c r="I39" s="592"/>
      <c r="J39" s="592"/>
      <c r="K39" s="592"/>
      <c r="L39" s="592"/>
      <c r="M39" s="592"/>
      <c r="N39" s="592"/>
      <c r="O39" s="592"/>
      <c r="P39" s="592"/>
      <c r="Q39" s="592"/>
      <c r="R39" s="592"/>
      <c r="S39" s="592"/>
      <c r="T39" s="592"/>
      <c r="U39" s="592"/>
      <c r="V39" s="592"/>
      <c r="W39" s="592"/>
      <c r="X39" s="592"/>
      <c r="Y39" s="592"/>
      <c r="Z39" s="592"/>
      <c r="AA39" s="600"/>
      <c r="AB39" s="592"/>
      <c r="AC39" s="592"/>
      <c r="AD39" s="592"/>
      <c r="AE39" s="592"/>
      <c r="AF39" s="592"/>
      <c r="AG39" s="592"/>
      <c r="AH39" s="592"/>
      <c r="AI39" s="592">
        <v>2</v>
      </c>
      <c r="AJ39" s="599">
        <f>AD6</f>
        <v>8066.8913156579501</v>
      </c>
      <c r="AK39" s="599">
        <f>AD12</f>
        <v>8105.1843026239058</v>
      </c>
      <c r="AL39" s="599">
        <f>AD18</f>
        <v>8104.1509836567411</v>
      </c>
      <c r="AM39" s="599">
        <f>AD24</f>
        <v>8104.1787610322244</v>
      </c>
      <c r="AN39" s="599">
        <f>AD30</f>
        <v>8104.1780142522339</v>
      </c>
      <c r="AO39" s="599">
        <f>AD36</f>
        <v>8104</v>
      </c>
      <c r="AP39" s="599">
        <f>AD42</f>
        <v>8104</v>
      </c>
      <c r="AQ39" s="599">
        <f>AD48</f>
        <v>8104</v>
      </c>
      <c r="AR39" s="599">
        <f>AD54</f>
        <v>8104</v>
      </c>
      <c r="AS39" s="590"/>
      <c r="AT39" s="590"/>
      <c r="AU39" s="590"/>
      <c r="AV39" s="590"/>
      <c r="AW39" s="590"/>
      <c r="AX39" s="590"/>
      <c r="AY39" s="590"/>
      <c r="AZ39" s="590"/>
      <c r="BA39" s="590"/>
      <c r="BB39" s="590"/>
      <c r="BC39" s="590"/>
      <c r="BD39" s="590"/>
      <c r="BE39" s="590"/>
      <c r="BF39" s="590"/>
      <c r="BG39" s="590"/>
      <c r="BH39" s="590"/>
      <c r="BI39" s="590"/>
      <c r="BJ39" s="590"/>
      <c r="BK39" s="591"/>
      <c r="BL39" s="591"/>
      <c r="BM39" s="591"/>
      <c r="BN39" s="591"/>
      <c r="BO39" s="591"/>
      <c r="BP39" s="591"/>
      <c r="BQ39" s="591"/>
      <c r="BR39" s="591"/>
      <c r="BS39" s="591"/>
      <c r="BT39" s="591"/>
      <c r="BU39" s="591"/>
      <c r="BV39" s="591"/>
      <c r="BW39" s="591"/>
      <c r="BX39" s="591"/>
      <c r="BY39" s="591"/>
      <c r="BZ39" s="591"/>
      <c r="CA39" s="591"/>
      <c r="CB39" s="591"/>
      <c r="CC39" s="591"/>
      <c r="CD39" s="591"/>
      <c r="CE39" s="591"/>
      <c r="CF39" s="591"/>
    </row>
    <row r="40" spans="1:84">
      <c r="A40" s="590"/>
      <c r="B40" s="592"/>
      <c r="C40" s="629"/>
      <c r="D40" s="629"/>
      <c r="E40" s="672"/>
      <c r="F40" s="592"/>
      <c r="G40" s="592"/>
      <c r="H40" s="592"/>
      <c r="I40" s="592"/>
      <c r="J40" s="592"/>
      <c r="K40" s="592"/>
      <c r="L40" s="592"/>
      <c r="M40" s="592"/>
      <c r="N40" s="592"/>
      <c r="O40" s="592"/>
      <c r="P40" s="592"/>
      <c r="Q40" s="592"/>
      <c r="R40" s="592"/>
      <c r="S40" s="592"/>
      <c r="T40" s="592"/>
      <c r="U40" s="592"/>
      <c r="V40" s="597" t="s">
        <v>393</v>
      </c>
      <c r="W40" s="609" t="s">
        <v>331</v>
      </c>
      <c r="X40" s="609" t="s">
        <v>341</v>
      </c>
      <c r="Y40" s="609" t="s">
        <v>342</v>
      </c>
      <c r="Z40" s="592"/>
      <c r="AA40" s="600"/>
      <c r="AB40" s="592"/>
      <c r="AC40" s="592"/>
      <c r="AD40" s="592"/>
      <c r="AE40" s="592"/>
      <c r="AF40" s="592"/>
      <c r="AG40" s="592"/>
      <c r="AH40" s="592"/>
      <c r="AI40" s="592">
        <v>3</v>
      </c>
      <c r="AJ40" s="599">
        <f>AD7</f>
        <v>8063.4957607168308</v>
      </c>
      <c r="AK40" s="599">
        <f>AD13</f>
        <v>8101.3822148492654</v>
      </c>
      <c r="AL40" s="599">
        <f>AD19</f>
        <v>8100.3725446357384</v>
      </c>
      <c r="AM40" s="599">
        <f>AD25</f>
        <v>8100.3993508041631</v>
      </c>
      <c r="AN40" s="599">
        <f>AD31</f>
        <v>8100.3986390441851</v>
      </c>
      <c r="AO40" s="599">
        <f>AD37</f>
        <v>8100</v>
      </c>
      <c r="AP40" s="599">
        <f>AD43</f>
        <v>8100</v>
      </c>
      <c r="AQ40" s="599">
        <f>AD49</f>
        <v>8100</v>
      </c>
      <c r="AR40" s="599">
        <f>AD55</f>
        <v>8100</v>
      </c>
      <c r="AS40" s="590"/>
      <c r="AT40" s="590"/>
      <c r="AU40" s="590"/>
      <c r="AV40" s="590"/>
      <c r="AW40" s="590"/>
      <c r="AX40" s="590"/>
      <c r="AY40" s="590"/>
      <c r="AZ40" s="590"/>
      <c r="BA40" s="590"/>
      <c r="BB40" s="590"/>
      <c r="BC40" s="590"/>
      <c r="BD40" s="590"/>
      <c r="BE40" s="590"/>
      <c r="BF40" s="590"/>
      <c r="BG40" s="590"/>
      <c r="BH40" s="590"/>
      <c r="BI40" s="590"/>
      <c r="BJ40" s="590"/>
      <c r="BK40" s="591"/>
      <c r="BL40" s="591"/>
      <c r="BM40" s="591"/>
      <c r="BN40" s="591"/>
      <c r="BO40" s="591"/>
      <c r="BP40" s="591"/>
      <c r="BQ40" s="591"/>
      <c r="BR40" s="591"/>
      <c r="BS40" s="591"/>
      <c r="BT40" s="591"/>
      <c r="BU40" s="591"/>
      <c r="BV40" s="591"/>
      <c r="BW40" s="591"/>
      <c r="BX40" s="591"/>
      <c r="BY40" s="591"/>
      <c r="BZ40" s="591"/>
      <c r="CA40" s="591"/>
      <c r="CB40" s="591"/>
      <c r="CC40" s="591"/>
      <c r="CD40" s="591"/>
      <c r="CE40" s="591"/>
      <c r="CF40" s="591"/>
    </row>
    <row r="41" spans="1:84">
      <c r="A41" s="590"/>
      <c r="B41" s="592"/>
      <c r="C41" s="592"/>
      <c r="D41" s="592"/>
      <c r="E41" s="596"/>
      <c r="F41" s="592"/>
      <c r="G41" s="592"/>
      <c r="H41" s="592"/>
      <c r="I41" s="592"/>
      <c r="J41" s="592"/>
      <c r="K41" s="592"/>
      <c r="L41" s="592"/>
      <c r="M41" s="592"/>
      <c r="N41" s="592"/>
      <c r="O41" s="592"/>
      <c r="P41" s="592"/>
      <c r="Q41" s="592"/>
      <c r="R41" s="592"/>
      <c r="S41" s="592"/>
      <c r="T41" s="592"/>
      <c r="U41" s="592"/>
      <c r="V41" s="600">
        <f>100*(+AD35/$E$9)</f>
        <v>984.65268937426913</v>
      </c>
      <c r="W41" s="610">
        <f>EXP(5.7226-(0.68367*LN(+V41)))</f>
        <v>2.7471081964564394</v>
      </c>
      <c r="X41" s="601">
        <f>(+W41*V41)/100</f>
        <v>27.04947473642931</v>
      </c>
      <c r="Y41" s="600">
        <f>100*((((X41/100)-((X41/100)-0.03574)*$E$21)-0.03574-0.00619)/0.344)</f>
        <v>43.240736412916711</v>
      </c>
      <c r="Z41" s="592">
        <f>$E$20</f>
        <v>0.25</v>
      </c>
      <c r="AA41" s="600">
        <f>Y41+Z41</f>
        <v>43.490736412916711</v>
      </c>
      <c r="AB41" s="600">
        <f>100*($E$17*$E$19+($E$18*(AA41/100))/(1-$E$21))</f>
        <v>40.765538208298572</v>
      </c>
      <c r="AC41" s="601">
        <f>AB41/V41</f>
        <v>4.1400931158990094E-2</v>
      </c>
      <c r="AD41" s="599">
        <f>ROUND($E$8/(1-AC41),0)</f>
        <v>8110</v>
      </c>
      <c r="AE41" s="592" t="str">
        <f>IF(OR(OR(AD41=AD35,AD41=(AD35+1)),AD41=(AD27-1)),"yes","not yet")</f>
        <v>yes</v>
      </c>
      <c r="AF41" s="600">
        <f>100*(1-AC41)</f>
        <v>95.859906884100994</v>
      </c>
      <c r="AG41" s="592"/>
      <c r="AH41" s="592"/>
      <c r="AI41" s="592">
        <v>4</v>
      </c>
      <c r="AJ41" s="599">
        <f>AD8</f>
        <v>8061.3252275854447</v>
      </c>
      <c r="AK41" s="599">
        <f>AD14</f>
        <v>8098.9508245240822</v>
      </c>
      <c r="AL41" s="599">
        <f>AD20</f>
        <v>8097.956158116649</v>
      </c>
      <c r="AM41" s="599">
        <f>AD26</f>
        <v>8097.9823545793433</v>
      </c>
      <c r="AN41" s="599">
        <f>AD32</f>
        <v>8097.9816645765886</v>
      </c>
      <c r="AO41" s="599">
        <f>AD38</f>
        <v>8098</v>
      </c>
      <c r="AP41" s="599">
        <f>AD44</f>
        <v>8098</v>
      </c>
      <c r="AQ41" s="599">
        <f>AD50</f>
        <v>8098</v>
      </c>
      <c r="AR41" s="599">
        <f>AD56</f>
        <v>8098</v>
      </c>
      <c r="AS41" s="590"/>
      <c r="AT41" s="590"/>
      <c r="AU41" s="590"/>
      <c r="AV41" s="590"/>
      <c r="AW41" s="590"/>
      <c r="AX41" s="590"/>
      <c r="AY41" s="590"/>
      <c r="AZ41" s="590"/>
      <c r="BA41" s="590"/>
      <c r="BB41" s="590"/>
      <c r="BC41" s="590"/>
      <c r="BD41" s="590"/>
      <c r="BE41" s="590"/>
      <c r="BF41" s="590"/>
      <c r="BG41" s="590"/>
      <c r="BH41" s="590"/>
      <c r="BI41" s="590"/>
      <c r="BJ41" s="590"/>
      <c r="BK41" s="591"/>
      <c r="BL41" s="591"/>
      <c r="BM41" s="591"/>
      <c r="BN41" s="591"/>
      <c r="BO41" s="591"/>
      <c r="BP41" s="591"/>
      <c r="BQ41" s="591"/>
      <c r="BR41" s="591"/>
      <c r="BS41" s="591"/>
      <c r="BT41" s="591"/>
      <c r="BU41" s="591"/>
      <c r="BV41" s="591"/>
      <c r="BW41" s="591"/>
      <c r="BX41" s="591"/>
      <c r="BY41" s="591"/>
      <c r="BZ41" s="591"/>
      <c r="CA41" s="591"/>
      <c r="CB41" s="591"/>
      <c r="CC41" s="591"/>
      <c r="CD41" s="591"/>
      <c r="CE41" s="591"/>
      <c r="CF41" s="591"/>
    </row>
    <row r="42" spans="1:84">
      <c r="A42" s="590"/>
      <c r="B42" s="592"/>
      <c r="C42" s="592"/>
      <c r="D42" s="592"/>
      <c r="E42" s="595"/>
      <c r="F42" s="592"/>
      <c r="G42" s="592"/>
      <c r="H42" s="592"/>
      <c r="I42" s="592"/>
      <c r="J42" s="592"/>
      <c r="K42" s="592"/>
      <c r="L42" s="592"/>
      <c r="M42" s="592"/>
      <c r="N42" s="592"/>
      <c r="O42" s="592"/>
      <c r="P42" s="592"/>
      <c r="Q42" s="592"/>
      <c r="R42" s="592"/>
      <c r="S42" s="592"/>
      <c r="T42" s="592"/>
      <c r="U42" s="592"/>
      <c r="V42" s="600">
        <f>100*(+AD36/$E$9)</f>
        <v>983.92421636116842</v>
      </c>
      <c r="W42" s="610">
        <f>EXP(5.70827-(0.68367*LN(+V42)))</f>
        <v>2.7093934169276559</v>
      </c>
      <c r="X42" s="601">
        <f>(+W42*V42)/100</f>
        <v>26.658377945646521</v>
      </c>
      <c r="Y42" s="600">
        <f>100*((((X42/100)-((X42/100)-0.03574)*$E$21)-0.03574-0.00619)/0.344)</f>
        <v>42.490376291066006</v>
      </c>
      <c r="Z42" s="592">
        <f>$E$20</f>
        <v>0.25</v>
      </c>
      <c r="AA42" s="600">
        <f>Y42+Z42</f>
        <v>42.740376291066006</v>
      </c>
      <c r="AB42" s="600">
        <f>100*($E$17*$E$19+($E$18*(AA42/100))/(1-$E$21))</f>
        <v>40.083392642979753</v>
      </c>
      <c r="AC42" s="601">
        <f>AB42/V42</f>
        <v>4.0738292620969875E-2</v>
      </c>
      <c r="AD42" s="599">
        <f>ROUND($E$8/(1-AC42),0)</f>
        <v>8104</v>
      </c>
      <c r="AE42" s="592" t="str">
        <f>IF(OR(OR(AD42=AD36,AD42=(AD36+5)),AD42=(AD28-5)),"yes","not yet")</f>
        <v>yes</v>
      </c>
      <c r="AF42" s="600">
        <f>100*(1-AC42)</f>
        <v>95.926170737903021</v>
      </c>
      <c r="AG42" s="592"/>
      <c r="AH42" s="592"/>
      <c r="AI42" s="592"/>
      <c r="AJ42" s="592"/>
      <c r="AK42" s="592"/>
      <c r="AL42" s="592"/>
      <c r="AM42" s="592"/>
      <c r="AN42" s="592"/>
      <c r="AO42" s="592"/>
      <c r="AP42" s="592"/>
      <c r="AQ42" s="592"/>
      <c r="AR42" s="592"/>
      <c r="AS42" s="590"/>
      <c r="AT42" s="590"/>
      <c r="AU42" s="590"/>
      <c r="AV42" s="590"/>
      <c r="AW42" s="590"/>
      <c r="AX42" s="590"/>
      <c r="AY42" s="590"/>
      <c r="AZ42" s="590"/>
      <c r="BA42" s="590"/>
      <c r="BB42" s="590"/>
      <c r="BC42" s="590"/>
      <c r="BD42" s="590"/>
      <c r="BE42" s="590"/>
      <c r="BF42" s="590"/>
      <c r="BG42" s="590"/>
      <c r="BH42" s="590"/>
      <c r="BI42" s="590"/>
      <c r="BJ42" s="590"/>
      <c r="BK42" s="591"/>
      <c r="BL42" s="591"/>
      <c r="BM42" s="591"/>
      <c r="BN42" s="591"/>
      <c r="BO42" s="591"/>
      <c r="BP42" s="591"/>
      <c r="BQ42" s="591"/>
      <c r="BR42" s="591"/>
      <c r="BS42" s="591"/>
      <c r="BT42" s="591"/>
      <c r="BU42" s="591"/>
      <c r="BV42" s="591"/>
      <c r="BW42" s="591"/>
      <c r="BX42" s="591"/>
      <c r="BY42" s="591"/>
      <c r="BZ42" s="591"/>
      <c r="CA42" s="591"/>
      <c r="CB42" s="591"/>
      <c r="CC42" s="591"/>
      <c r="CD42" s="591"/>
      <c r="CE42" s="591"/>
      <c r="CF42" s="591"/>
    </row>
    <row r="43" spans="1:84">
      <c r="A43" s="590"/>
      <c r="B43" s="592"/>
      <c r="C43" s="592"/>
      <c r="D43" s="592"/>
      <c r="E43" s="596"/>
      <c r="F43" s="592"/>
      <c r="G43" s="592"/>
      <c r="H43" s="592"/>
      <c r="I43" s="592"/>
      <c r="J43" s="592"/>
      <c r="K43" s="592"/>
      <c r="L43" s="592"/>
      <c r="M43" s="592"/>
      <c r="N43" s="592"/>
      <c r="O43" s="592"/>
      <c r="P43" s="592"/>
      <c r="Q43" s="592"/>
      <c r="R43" s="592"/>
      <c r="S43" s="592"/>
      <c r="T43" s="592"/>
      <c r="U43" s="592"/>
      <c r="V43" s="600">
        <f>100*(+AD37/$E$9)</f>
        <v>983.43856768576802</v>
      </c>
      <c r="W43" s="610">
        <f>EXP(5.6985-(0.68367*LN(V43)))</f>
        <v>2.6839573000918131</v>
      </c>
      <c r="X43" s="601">
        <f>(+W43*V43)/100</f>
        <v>26.395071229320539</v>
      </c>
      <c r="Y43" s="600">
        <f>100*((((X43/100)-((X43/100)-0.03574)*$E$21)-0.03574-0.00619)/0.344)</f>
        <v>41.985194800440574</v>
      </c>
      <c r="Z43" s="592">
        <f>$E$20</f>
        <v>0.25</v>
      </c>
      <c r="AA43" s="600">
        <f>Y43+Z43</f>
        <v>42.235194800440574</v>
      </c>
      <c r="AB43" s="600">
        <f>100*($E$17*$E$19+($E$18*(AA43/100))/(1-$E$21))</f>
        <v>39.624136742411181</v>
      </c>
      <c r="AC43" s="601">
        <f>AB43/V43</f>
        <v>4.0291420373775734E-2</v>
      </c>
      <c r="AD43" s="599">
        <f>ROUND($E$8/(1-AC43),0)</f>
        <v>8100</v>
      </c>
      <c r="AE43" s="592" t="str">
        <f>IF(OR(OR(AD43=AD37,AD43=(AD37+5)),AD43=(AD29-5)),"yes","not yet")</f>
        <v>yes</v>
      </c>
      <c r="AF43" s="600">
        <f>100*(1-AC43)</f>
        <v>95.970857962622418</v>
      </c>
      <c r="AG43" s="592"/>
      <c r="AH43" s="592"/>
      <c r="AI43" s="592"/>
      <c r="AJ43" s="592" t="s">
        <v>390</v>
      </c>
      <c r="AK43" s="592"/>
      <c r="AL43" s="592"/>
      <c r="AM43" s="592"/>
      <c r="AN43" s="592"/>
      <c r="AO43" s="592"/>
      <c r="AP43" s="592"/>
      <c r="AQ43" s="592"/>
      <c r="AR43" s="592"/>
      <c r="AS43" s="590"/>
      <c r="AT43" s="590"/>
      <c r="AU43" s="590"/>
      <c r="AV43" s="590"/>
      <c r="AW43" s="590"/>
      <c r="AX43" s="590"/>
      <c r="AY43" s="590"/>
      <c r="AZ43" s="590"/>
      <c r="BA43" s="590"/>
      <c r="BB43" s="590"/>
      <c r="BC43" s="590"/>
      <c r="BD43" s="590"/>
      <c r="BE43" s="590"/>
      <c r="BF43" s="590"/>
      <c r="BG43" s="590"/>
      <c r="BH43" s="590"/>
      <c r="BI43" s="590"/>
      <c r="BJ43" s="590"/>
      <c r="BK43" s="591"/>
      <c r="BL43" s="591"/>
      <c r="BM43" s="591"/>
      <c r="BN43" s="591"/>
      <c r="BO43" s="591"/>
      <c r="BP43" s="591"/>
      <c r="BQ43" s="591"/>
      <c r="BR43" s="591"/>
      <c r="BS43" s="591"/>
      <c r="BT43" s="591"/>
      <c r="BU43" s="591"/>
      <c r="BV43" s="591"/>
      <c r="BW43" s="591"/>
      <c r="BX43" s="591"/>
      <c r="BY43" s="591"/>
      <c r="BZ43" s="591"/>
      <c r="CA43" s="591"/>
      <c r="CB43" s="591"/>
      <c r="CC43" s="591"/>
      <c r="CD43" s="591"/>
      <c r="CE43" s="591"/>
      <c r="CF43" s="591"/>
    </row>
    <row r="44" spans="1:84">
      <c r="A44" s="590"/>
      <c r="B44" s="592"/>
      <c r="C44" s="592"/>
      <c r="D44" s="592"/>
      <c r="E44" s="630"/>
      <c r="F44" s="592"/>
      <c r="G44" s="592"/>
      <c r="H44" s="592"/>
      <c r="I44" s="592"/>
      <c r="J44" s="592"/>
      <c r="K44" s="592"/>
      <c r="L44" s="592"/>
      <c r="M44" s="592"/>
      <c r="N44" s="592"/>
      <c r="O44" s="592"/>
      <c r="P44" s="592"/>
      <c r="Q44" s="592"/>
      <c r="R44" s="592"/>
      <c r="S44" s="592"/>
      <c r="T44" s="592"/>
      <c r="U44" s="592"/>
      <c r="V44" s="600">
        <f>100*(+AD38/$E$9)</f>
        <v>983.19574334806794</v>
      </c>
      <c r="W44" s="610">
        <f>EXP(5.6922-(0.68367*LN(V44)))</f>
        <v>2.6675518406551753</v>
      </c>
      <c r="X44" s="601">
        <f>(+W44*V44)/100</f>
        <v>26.22725614892472</v>
      </c>
      <c r="Y44" s="600">
        <f>100*((((X44/100)-((X44/100)-0.03574)*$E$21)-0.03574-0.00619)/0.344)</f>
        <v>41.663224006657892</v>
      </c>
      <c r="Z44" s="592">
        <f>$E$20</f>
        <v>0.25</v>
      </c>
      <c r="AA44" s="600">
        <f>Y44+Z44</f>
        <v>41.913224006657892</v>
      </c>
      <c r="AB44" s="600">
        <f>100*($E$17*$E$19+($E$18*(AA44/100))/(1-$E$21))</f>
        <v>39.331436020790555</v>
      </c>
      <c r="AC44" s="601">
        <f>AB44/V44</f>
        <v>4.0003667923597344E-2</v>
      </c>
      <c r="AD44" s="599">
        <f>ROUND($E$8/(1-AC44),0)</f>
        <v>8098</v>
      </c>
      <c r="AE44" s="592" t="str">
        <f>IF(OR(OR(AD44=AD38,AD44=(AD38+5)),AD44=(AD30-5)),"yes","not yet")</f>
        <v>yes</v>
      </c>
      <c r="AF44" s="600">
        <f>100*(1-AC44)</f>
        <v>95.999633207640272</v>
      </c>
      <c r="AG44" s="592"/>
      <c r="AH44" s="592"/>
      <c r="AI44" s="592"/>
      <c r="AJ44" s="599">
        <f>HLOOKUP($AJ$34,$AJ$37:$AR$41,($E$12)+1)</f>
        <v>8098</v>
      </c>
      <c r="AK44" s="592"/>
      <c r="AL44" s="592"/>
      <c r="AM44" s="592"/>
      <c r="AN44" s="592"/>
      <c r="AO44" s="592"/>
      <c r="AP44" s="592"/>
      <c r="AQ44" s="592"/>
      <c r="AR44" s="592"/>
      <c r="AS44" s="590"/>
      <c r="AT44" s="590"/>
      <c r="AU44" s="590"/>
      <c r="AV44" s="590"/>
      <c r="AW44" s="590"/>
      <c r="AX44" s="590"/>
      <c r="AY44" s="590"/>
      <c r="AZ44" s="590"/>
      <c r="BA44" s="590"/>
      <c r="BB44" s="590"/>
      <c r="BC44" s="590"/>
      <c r="BD44" s="590"/>
      <c r="BE44" s="590"/>
      <c r="BF44" s="590"/>
      <c r="BG44" s="590"/>
      <c r="BH44" s="590"/>
      <c r="BI44" s="590"/>
      <c r="BJ44" s="590"/>
      <c r="BK44" s="591"/>
      <c r="BL44" s="591"/>
      <c r="BM44" s="591"/>
      <c r="BN44" s="591"/>
      <c r="BO44" s="591"/>
      <c r="BP44" s="591"/>
      <c r="BQ44" s="591"/>
      <c r="BR44" s="591"/>
      <c r="BS44" s="591"/>
      <c r="BT44" s="591"/>
      <c r="BU44" s="591"/>
      <c r="BV44" s="591"/>
      <c r="BW44" s="591"/>
      <c r="BX44" s="591"/>
      <c r="BY44" s="591"/>
      <c r="BZ44" s="591"/>
      <c r="CA44" s="591"/>
      <c r="CB44" s="591"/>
      <c r="CC44" s="591"/>
      <c r="CD44" s="591"/>
      <c r="CE44" s="591"/>
      <c r="CF44" s="591"/>
    </row>
    <row r="45" spans="1:84">
      <c r="A45" s="590"/>
      <c r="B45" s="592"/>
      <c r="C45" s="592"/>
      <c r="D45" s="592"/>
      <c r="E45" s="592"/>
      <c r="F45" s="592"/>
      <c r="G45" s="592"/>
      <c r="H45" s="592"/>
      <c r="I45" s="592"/>
      <c r="J45" s="592"/>
      <c r="K45" s="592"/>
      <c r="L45" s="592"/>
      <c r="M45" s="592"/>
      <c r="N45" s="592"/>
      <c r="O45" s="592"/>
      <c r="P45" s="592"/>
      <c r="Q45" s="592"/>
      <c r="R45" s="592"/>
      <c r="S45" s="592"/>
      <c r="T45" s="592"/>
      <c r="U45" s="592"/>
      <c r="V45" s="592"/>
      <c r="W45" s="592"/>
      <c r="X45" s="592"/>
      <c r="Y45" s="592"/>
      <c r="Z45" s="592"/>
      <c r="AA45" s="600"/>
      <c r="AB45" s="592"/>
      <c r="AC45" s="592"/>
      <c r="AD45" s="592"/>
      <c r="AE45" s="592"/>
      <c r="AF45" s="592"/>
      <c r="AG45" s="592"/>
      <c r="AH45" s="592"/>
      <c r="AI45" s="592"/>
      <c r="AJ45" s="592"/>
      <c r="AK45" s="592"/>
      <c r="AL45" s="592"/>
      <c r="AM45" s="592"/>
      <c r="AN45" s="592"/>
      <c r="AO45" s="592"/>
      <c r="AP45" s="592"/>
      <c r="AQ45" s="592"/>
      <c r="AR45" s="592"/>
      <c r="AS45" s="590"/>
      <c r="AT45" s="590"/>
      <c r="AU45" s="590"/>
      <c r="AV45" s="590"/>
      <c r="AW45" s="590"/>
      <c r="AX45" s="590"/>
      <c r="AY45" s="590"/>
      <c r="AZ45" s="590"/>
      <c r="BA45" s="590"/>
      <c r="BB45" s="590"/>
      <c r="BC45" s="590"/>
      <c r="BD45" s="590"/>
      <c r="BE45" s="590"/>
      <c r="BF45" s="590"/>
      <c r="BG45" s="590"/>
      <c r="BH45" s="590"/>
      <c r="BI45" s="590"/>
      <c r="BJ45" s="590"/>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row>
    <row r="46" spans="1:84">
      <c r="A46" s="590"/>
      <c r="B46" s="592"/>
      <c r="C46" s="592"/>
      <c r="D46" s="599"/>
      <c r="E46" s="599"/>
      <c r="F46" s="599"/>
      <c r="G46" s="592"/>
      <c r="H46" s="592"/>
      <c r="I46" s="592"/>
      <c r="J46" s="592"/>
      <c r="K46" s="592"/>
      <c r="L46" s="592"/>
      <c r="M46" s="592"/>
      <c r="N46" s="592"/>
      <c r="O46" s="592"/>
      <c r="P46" s="592"/>
      <c r="Q46" s="592"/>
      <c r="R46" s="592"/>
      <c r="S46" s="592"/>
      <c r="T46" s="592"/>
      <c r="U46" s="592"/>
      <c r="V46" s="597" t="s">
        <v>394</v>
      </c>
      <c r="W46" s="609" t="s">
        <v>331</v>
      </c>
      <c r="X46" s="609" t="s">
        <v>341</v>
      </c>
      <c r="Y46" s="609" t="s">
        <v>342</v>
      </c>
      <c r="Z46" s="592"/>
      <c r="AA46" s="600"/>
      <c r="AB46" s="592"/>
      <c r="AC46" s="592"/>
      <c r="AD46" s="592"/>
      <c r="AE46" s="592"/>
      <c r="AF46" s="592"/>
      <c r="AG46" s="592"/>
      <c r="AH46" s="592"/>
      <c r="AI46" s="592"/>
      <c r="AJ46" s="592"/>
      <c r="AK46" s="592"/>
      <c r="AL46" s="592"/>
      <c r="AM46" s="592"/>
      <c r="AN46" s="592"/>
      <c r="AO46" s="592"/>
      <c r="AP46" s="592"/>
      <c r="AQ46" s="592"/>
      <c r="AR46" s="592"/>
      <c r="AS46" s="590"/>
      <c r="AT46" s="590"/>
      <c r="AU46" s="590"/>
      <c r="AV46" s="590"/>
      <c r="AW46" s="590"/>
      <c r="AX46" s="590"/>
      <c r="AY46" s="590"/>
      <c r="AZ46" s="590"/>
      <c r="BA46" s="590"/>
      <c r="BB46" s="590"/>
      <c r="BC46" s="590"/>
      <c r="BD46" s="590"/>
      <c r="BE46" s="590"/>
      <c r="BF46" s="590"/>
      <c r="BG46" s="590"/>
      <c r="BH46" s="590"/>
      <c r="BI46" s="590"/>
      <c r="BJ46" s="590"/>
      <c r="BK46" s="591"/>
      <c r="BL46" s="591"/>
      <c r="BM46" s="591"/>
      <c r="BN46" s="591"/>
      <c r="BO46" s="591"/>
      <c r="BP46" s="591"/>
      <c r="BQ46" s="591"/>
      <c r="BR46" s="591"/>
      <c r="BS46" s="591"/>
      <c r="BT46" s="591"/>
      <c r="BU46" s="591"/>
      <c r="BV46" s="591"/>
      <c r="BW46" s="591"/>
      <c r="BX46" s="591"/>
      <c r="BY46" s="591"/>
      <c r="BZ46" s="591"/>
      <c r="CA46" s="591"/>
      <c r="CB46" s="591"/>
      <c r="CC46" s="591"/>
      <c r="CD46" s="591"/>
      <c r="CE46" s="591"/>
      <c r="CF46" s="591"/>
    </row>
    <row r="47" spans="1:84">
      <c r="A47" s="590"/>
      <c r="B47" s="592"/>
      <c r="C47" s="592"/>
      <c r="D47" s="599"/>
      <c r="E47" s="599"/>
      <c r="F47" s="599"/>
      <c r="G47" s="592"/>
      <c r="H47" s="592"/>
      <c r="I47" s="592"/>
      <c r="J47" s="592"/>
      <c r="K47" s="592"/>
      <c r="L47" s="592"/>
      <c r="M47" s="592"/>
      <c r="N47" s="592"/>
      <c r="O47" s="592"/>
      <c r="P47" s="592"/>
      <c r="Q47" s="592"/>
      <c r="R47" s="592"/>
      <c r="S47" s="592"/>
      <c r="T47" s="592"/>
      <c r="U47" s="592"/>
      <c r="V47" s="600">
        <f>100*(+AD41/$E$9)</f>
        <v>984.65268937426913</v>
      </c>
      <c r="W47" s="610">
        <f>EXP(5.7226-(0.68367*LN(+V47)))</f>
        <v>2.7471081964564394</v>
      </c>
      <c r="X47" s="601">
        <f>(+W47*V47)/100</f>
        <v>27.04947473642931</v>
      </c>
      <c r="Y47" s="600">
        <f>100*((((X47/100)-((X47/100)-0.03574)*$E$21)-0.03574-0.00619)/0.344)</f>
        <v>43.240736412916711</v>
      </c>
      <c r="Z47" s="592">
        <f>$E$20</f>
        <v>0.25</v>
      </c>
      <c r="AA47" s="600">
        <f>Y47+Z47</f>
        <v>43.490736412916711</v>
      </c>
      <c r="AB47" s="600">
        <f>100*($E$17*$E$19+($E$18*(AA47/100))/(1-$E$21))</f>
        <v>40.765538208298572</v>
      </c>
      <c r="AC47" s="601">
        <f>AB47/V47</f>
        <v>4.1400931158990094E-2</v>
      </c>
      <c r="AD47" s="599">
        <f>ROUND($E$8/(1-AC47),0)</f>
        <v>8110</v>
      </c>
      <c r="AE47" s="592" t="str">
        <f>IF(OR(OR(AD47=AD41,AD47=(AD41+1)),AD47=(AD33-1)),"yes","not yet")</f>
        <v>yes</v>
      </c>
      <c r="AF47" s="600">
        <f>100*(1-AC47)</f>
        <v>95.859906884100994</v>
      </c>
      <c r="AG47" s="592"/>
      <c r="AH47" s="592"/>
      <c r="AI47" s="592"/>
      <c r="AJ47" s="592"/>
      <c r="AK47" s="592"/>
      <c r="AL47" s="592"/>
      <c r="AM47" s="592"/>
      <c r="AN47" s="592"/>
      <c r="AO47" s="592"/>
      <c r="AP47" s="592"/>
      <c r="AQ47" s="592"/>
      <c r="AR47" s="592"/>
      <c r="AS47" s="590"/>
      <c r="AT47" s="590"/>
      <c r="AU47" s="590"/>
      <c r="AV47" s="590"/>
      <c r="AW47" s="590"/>
      <c r="AX47" s="590"/>
      <c r="AY47" s="590"/>
      <c r="AZ47" s="590"/>
      <c r="BA47" s="590"/>
      <c r="BB47" s="590"/>
      <c r="BC47" s="590"/>
      <c r="BD47" s="590"/>
      <c r="BE47" s="590"/>
      <c r="BF47" s="590"/>
      <c r="BG47" s="590"/>
      <c r="BH47" s="590"/>
      <c r="BI47" s="590"/>
      <c r="BJ47" s="590"/>
      <c r="BK47" s="591"/>
      <c r="BL47" s="591"/>
      <c r="BM47" s="591"/>
      <c r="BN47" s="591"/>
      <c r="BO47" s="591"/>
      <c r="BP47" s="591"/>
      <c r="BQ47" s="591"/>
      <c r="BR47" s="591"/>
      <c r="BS47" s="591"/>
      <c r="BT47" s="591"/>
      <c r="BU47" s="591"/>
      <c r="BV47" s="591"/>
      <c r="BW47" s="591"/>
      <c r="BX47" s="591"/>
      <c r="BY47" s="591"/>
      <c r="BZ47" s="591"/>
      <c r="CA47" s="591"/>
      <c r="CB47" s="591"/>
      <c r="CC47" s="591"/>
      <c r="CD47" s="591"/>
      <c r="CE47" s="591"/>
      <c r="CF47" s="591"/>
    </row>
    <row r="48" spans="1:84">
      <c r="A48" s="590"/>
      <c r="B48" s="592"/>
      <c r="C48" s="592"/>
      <c r="D48" s="592"/>
      <c r="E48" s="595"/>
      <c r="F48" s="592"/>
      <c r="G48" s="592"/>
      <c r="H48" s="592"/>
      <c r="I48" s="592"/>
      <c r="J48" s="592"/>
      <c r="K48" s="592"/>
      <c r="L48" s="592"/>
      <c r="M48" s="592"/>
      <c r="N48" s="592"/>
      <c r="O48" s="592"/>
      <c r="P48" s="592"/>
      <c r="Q48" s="592"/>
      <c r="R48" s="592"/>
      <c r="S48" s="592"/>
      <c r="T48" s="592"/>
      <c r="U48" s="592"/>
      <c r="V48" s="600">
        <f>100*(+AD42/$E$9)</f>
        <v>983.92421636116842</v>
      </c>
      <c r="W48" s="610">
        <f>EXP(5.70827-(0.68367*LN(+V48)))</f>
        <v>2.7093934169276559</v>
      </c>
      <c r="X48" s="601">
        <f>(+W48*V48)/100</f>
        <v>26.658377945646521</v>
      </c>
      <c r="Y48" s="600">
        <f>100*((((X48/100)-((X48/100)-0.03574)*$E$21)-0.03574-0.00619)/0.344)</f>
        <v>42.490376291066006</v>
      </c>
      <c r="Z48" s="592">
        <f>$E$20</f>
        <v>0.25</v>
      </c>
      <c r="AA48" s="600">
        <f>Y48+Z48</f>
        <v>42.740376291066006</v>
      </c>
      <c r="AB48" s="600">
        <f>100*($E$17*$E$19+($E$18*(AA48/100))/(1-$E$21))</f>
        <v>40.083392642979753</v>
      </c>
      <c r="AC48" s="601">
        <f>AB48/V48</f>
        <v>4.0738292620969875E-2</v>
      </c>
      <c r="AD48" s="599">
        <f>ROUND($E$8/(1-AC48),0)</f>
        <v>8104</v>
      </c>
      <c r="AE48" s="592" t="str">
        <f>IF(OR(OR(AD48=AD42,AD48=(AD42+1)),AD48=(AD42-1)),"yes","not yet")</f>
        <v>yes</v>
      </c>
      <c r="AF48" s="600">
        <f>100*(1-AC48)</f>
        <v>95.926170737903021</v>
      </c>
      <c r="AG48" s="592"/>
      <c r="AH48" s="592"/>
      <c r="AI48" s="592"/>
      <c r="AJ48" s="592"/>
      <c r="AK48" s="592"/>
      <c r="AL48" s="592"/>
      <c r="AM48" s="592"/>
      <c r="AN48" s="592"/>
      <c r="AO48" s="592"/>
      <c r="AP48" s="592"/>
      <c r="AQ48" s="592"/>
      <c r="AR48" s="592"/>
      <c r="AS48" s="590"/>
      <c r="AT48" s="590"/>
      <c r="AU48" s="590"/>
      <c r="AV48" s="590"/>
      <c r="AW48" s="590"/>
      <c r="AX48" s="590"/>
      <c r="AY48" s="590"/>
      <c r="AZ48" s="590"/>
      <c r="BA48" s="590"/>
      <c r="BB48" s="590"/>
      <c r="BC48" s="590"/>
      <c r="BD48" s="590"/>
      <c r="BE48" s="590"/>
      <c r="BF48" s="590"/>
      <c r="BG48" s="590"/>
      <c r="BH48" s="590"/>
      <c r="BI48" s="590"/>
      <c r="BJ48" s="590"/>
      <c r="BK48" s="591"/>
      <c r="BL48" s="591"/>
      <c r="BM48" s="591"/>
      <c r="BN48" s="591"/>
      <c r="BO48" s="591"/>
      <c r="BP48" s="591"/>
      <c r="BQ48" s="591"/>
      <c r="BR48" s="591"/>
      <c r="BS48" s="591"/>
      <c r="BT48" s="591"/>
      <c r="BU48" s="591"/>
      <c r="BV48" s="591"/>
      <c r="BW48" s="591"/>
      <c r="BX48" s="591"/>
      <c r="BY48" s="591"/>
      <c r="BZ48" s="591"/>
      <c r="CA48" s="591"/>
      <c r="CB48" s="591"/>
      <c r="CC48" s="591"/>
      <c r="CD48" s="591"/>
      <c r="CE48" s="591"/>
      <c r="CF48" s="591"/>
    </row>
    <row r="49" spans="1:84">
      <c r="A49" s="590"/>
      <c r="B49" s="592"/>
      <c r="C49" s="592"/>
      <c r="D49" s="592"/>
      <c r="E49" s="595"/>
      <c r="F49" s="592"/>
      <c r="G49" s="592"/>
      <c r="H49" s="592"/>
      <c r="I49" s="592"/>
      <c r="J49" s="592"/>
      <c r="K49" s="592"/>
      <c r="L49" s="592"/>
      <c r="M49" s="592"/>
      <c r="N49" s="592"/>
      <c r="O49" s="592"/>
      <c r="P49" s="592"/>
      <c r="Q49" s="592"/>
      <c r="R49" s="592"/>
      <c r="S49" s="592"/>
      <c r="T49" s="592"/>
      <c r="U49" s="592"/>
      <c r="V49" s="600">
        <f>100*(+AD43/$E$9)</f>
        <v>983.43856768576802</v>
      </c>
      <c r="W49" s="610">
        <f>EXP(5.6985-(0.68367*LN(V49)))</f>
        <v>2.6839573000918131</v>
      </c>
      <c r="X49" s="601">
        <f>(+W49*V49)/100</f>
        <v>26.395071229320539</v>
      </c>
      <c r="Y49" s="600">
        <f>100*((((X49/100)-((X49/100)-0.03574)*$E$21)-0.03574-0.00619)/0.344)</f>
        <v>41.985194800440574</v>
      </c>
      <c r="Z49" s="592">
        <f>$E$20</f>
        <v>0.25</v>
      </c>
      <c r="AA49" s="600">
        <f>Y49+Z49</f>
        <v>42.235194800440574</v>
      </c>
      <c r="AB49" s="600">
        <f>100*($E$17*$E$19+($E$18*(AA49/100))/(1-$E$21))</f>
        <v>39.624136742411181</v>
      </c>
      <c r="AC49" s="601">
        <f>AB49/V49</f>
        <v>4.0291420373775734E-2</v>
      </c>
      <c r="AD49" s="599">
        <f>ROUND($E$8/(1-AC49),0)</f>
        <v>8100</v>
      </c>
      <c r="AE49" s="592" t="str">
        <f>IF(OR(OR(AD49=AD43,AD49=(AD43+1)),AD49=(AD43-1)),"yes","not yet")</f>
        <v>yes</v>
      </c>
      <c r="AF49" s="600">
        <f>100*(1-AC49)</f>
        <v>95.970857962622418</v>
      </c>
      <c r="AG49" s="592"/>
      <c r="AH49" s="592"/>
      <c r="AI49" s="592"/>
      <c r="AJ49" s="592"/>
      <c r="AK49" s="592"/>
      <c r="AL49" s="592"/>
      <c r="AM49" s="592"/>
      <c r="AN49" s="592"/>
      <c r="AO49" s="592"/>
      <c r="AP49" s="592"/>
      <c r="AQ49" s="592"/>
      <c r="AR49" s="592"/>
      <c r="AS49" s="590"/>
      <c r="AT49" s="590"/>
      <c r="AU49" s="590"/>
      <c r="AV49" s="590"/>
      <c r="AW49" s="590"/>
      <c r="AX49" s="590"/>
      <c r="AY49" s="590"/>
      <c r="AZ49" s="590"/>
      <c r="BA49" s="590"/>
      <c r="BB49" s="590"/>
      <c r="BC49" s="590"/>
      <c r="BD49" s="590"/>
      <c r="BE49" s="590"/>
      <c r="BF49" s="590"/>
      <c r="BG49" s="590"/>
      <c r="BH49" s="590"/>
      <c r="BI49" s="590"/>
      <c r="BJ49" s="590"/>
      <c r="BK49" s="591"/>
      <c r="BL49" s="591"/>
      <c r="BM49" s="591"/>
      <c r="BN49" s="591"/>
      <c r="BO49" s="591"/>
      <c r="BP49" s="591"/>
      <c r="BQ49" s="591"/>
      <c r="BR49" s="591"/>
      <c r="BS49" s="591"/>
      <c r="BT49" s="591"/>
      <c r="BU49" s="591"/>
      <c r="BV49" s="591"/>
      <c r="BW49" s="591"/>
      <c r="BX49" s="591"/>
      <c r="BY49" s="591"/>
      <c r="BZ49" s="591"/>
      <c r="CA49" s="591"/>
      <c r="CB49" s="591"/>
      <c r="CC49" s="591"/>
      <c r="CD49" s="591"/>
      <c r="CE49" s="591"/>
      <c r="CF49" s="591"/>
    </row>
    <row r="50" spans="1:84">
      <c r="A50" s="590"/>
      <c r="B50" s="592"/>
      <c r="C50" s="592"/>
      <c r="D50" s="592"/>
      <c r="E50" s="595"/>
      <c r="F50" s="592"/>
      <c r="G50" s="592"/>
      <c r="H50" s="592"/>
      <c r="I50" s="592"/>
      <c r="J50" s="592"/>
      <c r="K50" s="592"/>
      <c r="L50" s="592"/>
      <c r="M50" s="592"/>
      <c r="N50" s="592"/>
      <c r="O50" s="592"/>
      <c r="P50" s="592"/>
      <c r="Q50" s="592"/>
      <c r="R50" s="592"/>
      <c r="S50" s="592"/>
      <c r="T50" s="592"/>
      <c r="U50" s="592"/>
      <c r="V50" s="600">
        <f>100*(+AD44/$E$9)</f>
        <v>983.19574334806794</v>
      </c>
      <c r="W50" s="610">
        <f>EXP(5.6922-(0.68367*LN(V50)))</f>
        <v>2.6675518406551753</v>
      </c>
      <c r="X50" s="601">
        <f>(+W50*V50)/100</f>
        <v>26.22725614892472</v>
      </c>
      <c r="Y50" s="600">
        <f>100*((((X50/100)-((X50/100)-0.03574)*$E$21)-0.03574-0.00619)/0.344)</f>
        <v>41.663224006657892</v>
      </c>
      <c r="Z50" s="592">
        <f>$E$20</f>
        <v>0.25</v>
      </c>
      <c r="AA50" s="600">
        <f>Y50+Z50</f>
        <v>41.913224006657892</v>
      </c>
      <c r="AB50" s="600">
        <f>100*($E$17*$E$19+($E$18*(AA50/100))/(1-$E$21))</f>
        <v>39.331436020790555</v>
      </c>
      <c r="AC50" s="601">
        <f>AB50/V50</f>
        <v>4.0003667923597344E-2</v>
      </c>
      <c r="AD50" s="599">
        <f>ROUND($E$8/(1-AC50),0)</f>
        <v>8098</v>
      </c>
      <c r="AE50" s="592" t="str">
        <f>IF(OR(OR(AD50=AD44,AD50=(AD44+1)),AD50=(AD44-1)),"yes","not yet")</f>
        <v>yes</v>
      </c>
      <c r="AF50" s="600">
        <f>100*(1-AC50)</f>
        <v>95.999633207640272</v>
      </c>
      <c r="AG50" s="592"/>
      <c r="AH50" s="592"/>
      <c r="AI50" s="592"/>
      <c r="AJ50" s="592"/>
      <c r="AK50" s="592"/>
      <c r="AL50" s="592"/>
      <c r="AM50" s="592"/>
      <c r="AN50" s="592"/>
      <c r="AO50" s="592"/>
      <c r="AP50" s="592"/>
      <c r="AQ50" s="592"/>
      <c r="AR50" s="592"/>
      <c r="AS50" s="590"/>
      <c r="AT50" s="590"/>
      <c r="AU50" s="590"/>
      <c r="AV50" s="590"/>
      <c r="AW50" s="590"/>
      <c r="AX50" s="590"/>
      <c r="AY50" s="590"/>
      <c r="AZ50" s="590"/>
      <c r="BA50" s="590"/>
      <c r="BB50" s="590"/>
      <c r="BC50" s="590"/>
      <c r="BD50" s="590"/>
      <c r="BE50" s="590"/>
      <c r="BF50" s="590"/>
      <c r="BG50" s="590"/>
      <c r="BH50" s="590"/>
      <c r="BI50" s="590"/>
      <c r="BJ50" s="590"/>
      <c r="BK50" s="591"/>
      <c r="BL50" s="591"/>
      <c r="BM50" s="591"/>
      <c r="BN50" s="591"/>
      <c r="BO50" s="591"/>
      <c r="BP50" s="591"/>
      <c r="BQ50" s="591"/>
      <c r="BR50" s="591"/>
      <c r="BS50" s="591"/>
      <c r="BT50" s="591"/>
      <c r="BU50" s="591"/>
      <c r="BV50" s="591"/>
      <c r="BW50" s="591"/>
      <c r="BX50" s="591"/>
      <c r="BY50" s="591"/>
      <c r="BZ50" s="591"/>
      <c r="CA50" s="591"/>
      <c r="CB50" s="591"/>
      <c r="CC50" s="591"/>
      <c r="CD50" s="591"/>
      <c r="CE50" s="591"/>
      <c r="CF50" s="591"/>
    </row>
    <row r="51" spans="1:84">
      <c r="A51" s="590"/>
      <c r="B51" s="592"/>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600"/>
      <c r="AB51" s="592"/>
      <c r="AC51" s="592"/>
      <c r="AD51" s="592"/>
      <c r="AE51" s="592"/>
      <c r="AF51" s="592"/>
      <c r="AG51" s="592"/>
      <c r="AH51" s="592"/>
      <c r="AI51" s="592"/>
      <c r="AJ51" s="592"/>
      <c r="AK51" s="592"/>
      <c r="AL51" s="592"/>
      <c r="AM51" s="592"/>
      <c r="AN51" s="592"/>
      <c r="AO51" s="592"/>
      <c r="AP51" s="592"/>
      <c r="AQ51" s="592"/>
      <c r="AR51" s="592"/>
      <c r="AS51" s="590"/>
      <c r="AT51" s="590"/>
      <c r="AU51" s="590"/>
      <c r="AV51" s="590"/>
      <c r="AW51" s="590"/>
      <c r="AX51" s="590"/>
      <c r="AY51" s="590"/>
      <c r="AZ51" s="590"/>
      <c r="BA51" s="590"/>
      <c r="BB51" s="590"/>
      <c r="BC51" s="590"/>
      <c r="BD51" s="590"/>
      <c r="BE51" s="590"/>
      <c r="BF51" s="590"/>
      <c r="BG51" s="590"/>
      <c r="BH51" s="590"/>
      <c r="BI51" s="590"/>
      <c r="BJ51" s="590"/>
      <c r="BK51" s="591"/>
      <c r="BL51" s="591"/>
      <c r="BM51" s="591"/>
      <c r="BN51" s="591"/>
      <c r="BO51" s="591"/>
      <c r="BP51" s="591"/>
      <c r="BQ51" s="591"/>
      <c r="BR51" s="591"/>
      <c r="BS51" s="591"/>
      <c r="BT51" s="591"/>
      <c r="BU51" s="591"/>
      <c r="BV51" s="591"/>
      <c r="BW51" s="591"/>
      <c r="BX51" s="591"/>
      <c r="BY51" s="591"/>
      <c r="BZ51" s="591"/>
      <c r="CA51" s="591"/>
      <c r="CB51" s="591"/>
      <c r="CC51" s="591"/>
      <c r="CD51" s="591"/>
      <c r="CE51" s="591"/>
      <c r="CF51" s="591"/>
    </row>
    <row r="52" spans="1:84">
      <c r="A52" s="590"/>
      <c r="B52" s="592"/>
      <c r="C52" s="592"/>
      <c r="D52" s="592"/>
      <c r="E52" s="592"/>
      <c r="F52" s="592"/>
      <c r="G52" s="592"/>
      <c r="H52" s="592"/>
      <c r="I52" s="592"/>
      <c r="J52" s="592"/>
      <c r="K52" s="592"/>
      <c r="L52" s="592"/>
      <c r="M52" s="592"/>
      <c r="N52" s="592"/>
      <c r="O52" s="592"/>
      <c r="P52" s="592"/>
      <c r="Q52" s="592"/>
      <c r="R52" s="592"/>
      <c r="S52" s="592"/>
      <c r="T52" s="592"/>
      <c r="U52" s="592"/>
      <c r="V52" s="597" t="s">
        <v>395</v>
      </c>
      <c r="W52" s="609" t="s">
        <v>331</v>
      </c>
      <c r="X52" s="609" t="s">
        <v>341</v>
      </c>
      <c r="Y52" s="609" t="s">
        <v>342</v>
      </c>
      <c r="Z52" s="592"/>
      <c r="AA52" s="600"/>
      <c r="AB52" s="592"/>
      <c r="AC52" s="592"/>
      <c r="AD52" s="592"/>
      <c r="AE52" s="592"/>
      <c r="AF52" s="592"/>
      <c r="AG52" s="592"/>
      <c r="AH52" s="592"/>
      <c r="AI52" s="592"/>
      <c r="AJ52" s="592"/>
      <c r="AK52" s="592"/>
      <c r="AL52" s="592"/>
      <c r="AM52" s="592"/>
      <c r="AN52" s="592"/>
      <c r="AO52" s="592"/>
      <c r="AP52" s="592"/>
      <c r="AQ52" s="592"/>
      <c r="AR52" s="592"/>
      <c r="AS52" s="590"/>
      <c r="AT52" s="590"/>
      <c r="AU52" s="590"/>
      <c r="AV52" s="590"/>
      <c r="AW52" s="590"/>
      <c r="AX52" s="590"/>
      <c r="AY52" s="590"/>
      <c r="AZ52" s="590"/>
      <c r="BA52" s="590"/>
      <c r="BB52" s="590"/>
      <c r="BC52" s="590"/>
      <c r="BD52" s="590"/>
      <c r="BE52" s="590"/>
      <c r="BF52" s="590"/>
      <c r="BG52" s="590"/>
      <c r="BH52" s="590"/>
      <c r="BI52" s="590"/>
      <c r="BJ52" s="590"/>
      <c r="BK52" s="591"/>
      <c r="BL52" s="591"/>
      <c r="BM52" s="591"/>
      <c r="BN52" s="591"/>
      <c r="BO52" s="591"/>
      <c r="BP52" s="591"/>
      <c r="BQ52" s="591"/>
      <c r="BR52" s="591"/>
      <c r="BS52" s="591"/>
      <c r="BT52" s="591"/>
      <c r="BU52" s="591"/>
      <c r="BV52" s="591"/>
      <c r="BW52" s="591"/>
      <c r="BX52" s="591"/>
      <c r="BY52" s="591"/>
      <c r="BZ52" s="591"/>
      <c r="CA52" s="591"/>
      <c r="CB52" s="591"/>
      <c r="CC52" s="591"/>
      <c r="CD52" s="591"/>
      <c r="CE52" s="591"/>
      <c r="CF52" s="591"/>
    </row>
    <row r="53" spans="1:84">
      <c r="A53" s="590"/>
      <c r="B53" s="592"/>
      <c r="C53" s="592"/>
      <c r="D53" s="592"/>
      <c r="E53" s="592"/>
      <c r="F53" s="592"/>
      <c r="G53" s="592"/>
      <c r="H53" s="592"/>
      <c r="I53" s="592"/>
      <c r="J53" s="592"/>
      <c r="K53" s="592"/>
      <c r="L53" s="592"/>
      <c r="M53" s="592"/>
      <c r="N53" s="592"/>
      <c r="O53" s="592"/>
      <c r="P53" s="592"/>
      <c r="Q53" s="592"/>
      <c r="R53" s="592"/>
      <c r="S53" s="592"/>
      <c r="T53" s="592"/>
      <c r="U53" s="592"/>
      <c r="V53" s="600">
        <f>100*(+AD47/$E$9)</f>
        <v>984.65268937426913</v>
      </c>
      <c r="W53" s="610">
        <f>EXP(5.7226-(0.68367*LN(+V53)))</f>
        <v>2.7471081964564394</v>
      </c>
      <c r="X53" s="601">
        <f>(+W53*V53)/100</f>
        <v>27.04947473642931</v>
      </c>
      <c r="Y53" s="600">
        <f>100*((((X53/100)-((X53/100)-0.03574)*$E$21)-0.03574-0.00619)/0.344)</f>
        <v>43.240736412916711</v>
      </c>
      <c r="Z53" s="592">
        <f>$E$20</f>
        <v>0.25</v>
      </c>
      <c r="AA53" s="600">
        <f>Y53+Z53</f>
        <v>43.490736412916711</v>
      </c>
      <c r="AB53" s="600">
        <f>100*($E$17*$E$19+($E$18*(AA53/100))/(1-$E$21))</f>
        <v>40.765538208298572</v>
      </c>
      <c r="AC53" s="601">
        <f>AB53/V53</f>
        <v>4.1400931158990094E-2</v>
      </c>
      <c r="AD53" s="599">
        <f>ROUND($E$8/(1-AC53),0)</f>
        <v>8110</v>
      </c>
      <c r="AE53" s="592" t="str">
        <f>IF(OR(OR(AD53=AD47,AD53=(AD47+1)),AD53=(AD39-1)),"yes","not yet")</f>
        <v>yes</v>
      </c>
      <c r="AF53" s="600">
        <f>100*(1-AC53)</f>
        <v>95.859906884100994</v>
      </c>
      <c r="AG53" s="592"/>
      <c r="AH53" s="592"/>
      <c r="AI53" s="592"/>
      <c r="AJ53" s="592"/>
      <c r="AK53" s="592"/>
      <c r="AL53" s="592"/>
      <c r="AM53" s="592"/>
      <c r="AN53" s="592"/>
      <c r="AO53" s="592"/>
      <c r="AP53" s="592"/>
      <c r="AQ53" s="592"/>
      <c r="AR53" s="592"/>
      <c r="AS53" s="590"/>
      <c r="AT53" s="590"/>
      <c r="AU53" s="590"/>
      <c r="AV53" s="590"/>
      <c r="AW53" s="590"/>
      <c r="AX53" s="590"/>
      <c r="AY53" s="590"/>
      <c r="AZ53" s="590"/>
      <c r="BA53" s="590"/>
      <c r="BB53" s="590"/>
      <c r="BC53" s="590"/>
      <c r="BD53" s="590"/>
      <c r="BE53" s="590"/>
      <c r="BF53" s="590"/>
      <c r="BG53" s="590"/>
      <c r="BH53" s="590"/>
      <c r="BI53" s="590"/>
      <c r="BJ53" s="590"/>
      <c r="BK53" s="591"/>
      <c r="BL53" s="591"/>
      <c r="BM53" s="591"/>
      <c r="BN53" s="591"/>
      <c r="BO53" s="591"/>
      <c r="BP53" s="591"/>
      <c r="BQ53" s="591"/>
      <c r="BR53" s="591"/>
      <c r="BS53" s="591"/>
      <c r="BT53" s="591"/>
      <c r="BU53" s="591"/>
      <c r="BV53" s="591"/>
      <c r="BW53" s="591"/>
      <c r="BX53" s="591"/>
      <c r="BY53" s="591"/>
      <c r="BZ53" s="591"/>
      <c r="CA53" s="591"/>
      <c r="CB53" s="591"/>
      <c r="CC53" s="591"/>
      <c r="CD53" s="591"/>
      <c r="CE53" s="591"/>
      <c r="CF53" s="591"/>
    </row>
    <row r="54" spans="1:84">
      <c r="A54" s="590"/>
      <c r="B54" s="592"/>
      <c r="C54" s="592"/>
      <c r="D54" s="592"/>
      <c r="E54" s="592"/>
      <c r="F54" s="592"/>
      <c r="G54" s="592"/>
      <c r="H54" s="592"/>
      <c r="I54" s="592"/>
      <c r="J54" s="592"/>
      <c r="K54" s="592"/>
      <c r="L54" s="592"/>
      <c r="M54" s="592"/>
      <c r="N54" s="592"/>
      <c r="O54" s="592"/>
      <c r="P54" s="592"/>
      <c r="Q54" s="592"/>
      <c r="R54" s="592"/>
      <c r="S54" s="592"/>
      <c r="T54" s="592"/>
      <c r="U54" s="592"/>
      <c r="V54" s="600">
        <f>100*(+AD48/$E$9)</f>
        <v>983.92421636116842</v>
      </c>
      <c r="W54" s="610">
        <f>EXP(5.70827-(0.68367*LN(+V54)))</f>
        <v>2.7093934169276559</v>
      </c>
      <c r="X54" s="601">
        <f>(+W54*V54)/100</f>
        <v>26.658377945646521</v>
      </c>
      <c r="Y54" s="600">
        <f>100*((((X54/100)-((X54/100)-0.03574)*$E$21)-0.03574-0.00619)/0.344)</f>
        <v>42.490376291066006</v>
      </c>
      <c r="Z54" s="592">
        <f>$E$20</f>
        <v>0.25</v>
      </c>
      <c r="AA54" s="600">
        <f>Y54+Z54</f>
        <v>42.740376291066006</v>
      </c>
      <c r="AB54" s="600">
        <f>100*($E$17*$E$19+($E$18*(AA54/100))/(1-$E$21))</f>
        <v>40.083392642979753</v>
      </c>
      <c r="AC54" s="601">
        <f>AB54/V54</f>
        <v>4.0738292620969875E-2</v>
      </c>
      <c r="AD54" s="599">
        <f>ROUND($E$8/(1-AC54),0)</f>
        <v>8104</v>
      </c>
      <c r="AE54" s="592" t="str">
        <f>IF(OR(OR(AD54=AD48,AD54=(AD48+1)),AD54=(AD48-1)),"yes","not yet")</f>
        <v>yes</v>
      </c>
      <c r="AF54" s="600">
        <f>100*(1-AC54)</f>
        <v>95.926170737903021</v>
      </c>
      <c r="AG54" s="592"/>
      <c r="AH54" s="592"/>
      <c r="AI54" s="592"/>
      <c r="AJ54" s="592"/>
      <c r="AK54" s="592"/>
      <c r="AL54" s="592"/>
      <c r="AM54" s="592"/>
      <c r="AN54" s="592"/>
      <c r="AO54" s="592"/>
      <c r="AP54" s="592"/>
      <c r="AQ54" s="592"/>
      <c r="AR54" s="592"/>
      <c r="AS54" s="590"/>
      <c r="AT54" s="590"/>
      <c r="AU54" s="590"/>
      <c r="AV54" s="590"/>
      <c r="AW54" s="590"/>
      <c r="AX54" s="590"/>
      <c r="AY54" s="590"/>
      <c r="AZ54" s="590"/>
      <c r="BA54" s="590"/>
      <c r="BB54" s="590"/>
      <c r="BC54" s="590"/>
      <c r="BD54" s="590"/>
      <c r="BE54" s="590"/>
      <c r="BF54" s="590"/>
      <c r="BG54" s="590"/>
      <c r="BH54" s="590"/>
      <c r="BI54" s="590"/>
      <c r="BJ54" s="590"/>
      <c r="BK54" s="591"/>
      <c r="BL54" s="591"/>
      <c r="BM54" s="591"/>
      <c r="BN54" s="591"/>
      <c r="BO54" s="591"/>
      <c r="BP54" s="591"/>
      <c r="BQ54" s="591"/>
      <c r="BR54" s="591"/>
      <c r="BS54" s="591"/>
      <c r="BT54" s="591"/>
      <c r="BU54" s="591"/>
      <c r="BV54" s="591"/>
      <c r="BW54" s="591"/>
      <c r="BX54" s="591"/>
      <c r="BY54" s="591"/>
      <c r="BZ54" s="591"/>
      <c r="CA54" s="591"/>
      <c r="CB54" s="591"/>
      <c r="CC54" s="591"/>
      <c r="CD54" s="591"/>
      <c r="CE54" s="591"/>
      <c r="CF54" s="591"/>
    </row>
    <row r="55" spans="1:84">
      <c r="A55" s="590"/>
      <c r="B55" s="592"/>
      <c r="C55" s="592"/>
      <c r="D55" s="592"/>
      <c r="E55" s="592"/>
      <c r="F55" s="592"/>
      <c r="G55" s="592"/>
      <c r="H55" s="592"/>
      <c r="I55" s="592"/>
      <c r="J55" s="592"/>
      <c r="K55" s="592"/>
      <c r="L55" s="592"/>
      <c r="M55" s="592"/>
      <c r="N55" s="592"/>
      <c r="O55" s="592"/>
      <c r="P55" s="592"/>
      <c r="Q55" s="592"/>
      <c r="R55" s="592"/>
      <c r="S55" s="592"/>
      <c r="T55" s="592"/>
      <c r="U55" s="592"/>
      <c r="V55" s="600">
        <f>100*(+AD49/$E$9)</f>
        <v>983.43856768576802</v>
      </c>
      <c r="W55" s="610">
        <f>EXP(5.6985-(0.68367*LN(V55)))</f>
        <v>2.6839573000918131</v>
      </c>
      <c r="X55" s="601">
        <f>(+W55*V55)/100</f>
        <v>26.395071229320539</v>
      </c>
      <c r="Y55" s="600">
        <f>100*((((X55/100)-((X55/100)-0.03574)*$E$21)-0.03574-0.00619)/0.344)</f>
        <v>41.985194800440574</v>
      </c>
      <c r="Z55" s="592">
        <f>$E$20</f>
        <v>0.25</v>
      </c>
      <c r="AA55" s="600">
        <f>Y55+Z55</f>
        <v>42.235194800440574</v>
      </c>
      <c r="AB55" s="600">
        <f>100*($E$17*$E$19+($E$18*(AA55/100))/(1-$E$21))</f>
        <v>39.624136742411181</v>
      </c>
      <c r="AC55" s="601">
        <f>AB55/V55</f>
        <v>4.0291420373775734E-2</v>
      </c>
      <c r="AD55" s="599">
        <f>ROUND($E$8/(1-AC55),0)</f>
        <v>8100</v>
      </c>
      <c r="AE55" s="592" t="str">
        <f>IF(OR(OR(AD55=AD49,AD55=(AD49+1)),AD55=(AD49-1)),"yes","not yet")</f>
        <v>yes</v>
      </c>
      <c r="AF55" s="600">
        <f>100*(1-AC55)</f>
        <v>95.970857962622418</v>
      </c>
      <c r="AG55" s="592"/>
      <c r="AH55" s="592"/>
      <c r="AI55" s="592"/>
      <c r="AJ55" s="592"/>
      <c r="AK55" s="592"/>
      <c r="AL55" s="592"/>
      <c r="AM55" s="592"/>
      <c r="AN55" s="592"/>
      <c r="AO55" s="592"/>
      <c r="AP55" s="592"/>
      <c r="AQ55" s="592"/>
      <c r="AR55" s="592"/>
      <c r="AS55" s="590"/>
      <c r="AT55" s="590"/>
      <c r="AU55" s="590"/>
      <c r="AV55" s="590"/>
      <c r="AW55" s="590"/>
      <c r="AX55" s="590"/>
      <c r="AY55" s="590"/>
      <c r="AZ55" s="590"/>
      <c r="BA55" s="590"/>
      <c r="BB55" s="590"/>
      <c r="BC55" s="590"/>
      <c r="BD55" s="590"/>
      <c r="BE55" s="590"/>
      <c r="BF55" s="590"/>
      <c r="BG55" s="590"/>
      <c r="BH55" s="590"/>
      <c r="BI55" s="590"/>
      <c r="BJ55" s="590"/>
      <c r="BK55" s="591"/>
      <c r="BL55" s="591"/>
      <c r="BM55" s="591"/>
      <c r="BN55" s="591"/>
      <c r="BO55" s="591"/>
      <c r="BP55" s="591"/>
      <c r="BQ55" s="591"/>
      <c r="BR55" s="591"/>
      <c r="BS55" s="591"/>
      <c r="BT55" s="591"/>
      <c r="BU55" s="591"/>
      <c r="BV55" s="591"/>
      <c r="BW55" s="591"/>
      <c r="BX55" s="591"/>
      <c r="BY55" s="591"/>
      <c r="BZ55" s="591"/>
      <c r="CA55" s="591"/>
      <c r="CB55" s="591"/>
      <c r="CC55" s="591"/>
      <c r="CD55" s="591"/>
      <c r="CE55" s="591"/>
      <c r="CF55" s="591"/>
    </row>
    <row r="56" spans="1:84">
      <c r="A56" s="590"/>
      <c r="B56" s="592"/>
      <c r="C56" s="592"/>
      <c r="D56" s="592"/>
      <c r="E56" s="592"/>
      <c r="F56" s="592"/>
      <c r="G56" s="592"/>
      <c r="H56" s="592"/>
      <c r="I56" s="592"/>
      <c r="J56" s="592"/>
      <c r="K56" s="592"/>
      <c r="L56" s="592"/>
      <c r="M56" s="592"/>
      <c r="N56" s="592"/>
      <c r="O56" s="592"/>
      <c r="P56" s="592"/>
      <c r="Q56" s="592"/>
      <c r="R56" s="592"/>
      <c r="S56" s="592"/>
      <c r="T56" s="592"/>
      <c r="U56" s="592"/>
      <c r="V56" s="600">
        <f>100*(+AD50/$E$9)</f>
        <v>983.19574334806794</v>
      </c>
      <c r="W56" s="610">
        <f>EXP(5.6922-(0.68367*LN(V56)))</f>
        <v>2.6675518406551753</v>
      </c>
      <c r="X56" s="601">
        <f>(+W56*V56)/100</f>
        <v>26.22725614892472</v>
      </c>
      <c r="Y56" s="600">
        <f>100*((((X56/100)-((X56/100)-0.03574)*$E$21)-0.03574-0.00619)/0.344)</f>
        <v>41.663224006657892</v>
      </c>
      <c r="Z56" s="592">
        <f>$E$20</f>
        <v>0.25</v>
      </c>
      <c r="AA56" s="600">
        <f>Y56+Z56</f>
        <v>41.913224006657892</v>
      </c>
      <c r="AB56" s="600">
        <f>100*($E$17*$E$19+($E$18*(AA56/100))/(1-$E$21))</f>
        <v>39.331436020790555</v>
      </c>
      <c r="AC56" s="601">
        <f>AB56/V56</f>
        <v>4.0003667923597344E-2</v>
      </c>
      <c r="AD56" s="599">
        <f>ROUND($E$8/(1-AC56),0)</f>
        <v>8098</v>
      </c>
      <c r="AE56" s="592" t="str">
        <f>IF(OR(OR(AD56=AD50,AD56=(AD50+1)),AD56=(AD50-1)),"yes","not yet")</f>
        <v>yes</v>
      </c>
      <c r="AF56" s="600">
        <f>100*(1-AC56)</f>
        <v>95.999633207640272</v>
      </c>
      <c r="AG56" s="592"/>
      <c r="AH56" s="592"/>
      <c r="AI56" s="592"/>
      <c r="AJ56" s="592"/>
      <c r="AK56" s="592"/>
      <c r="AL56" s="592"/>
      <c r="AM56" s="592"/>
      <c r="AN56" s="592"/>
      <c r="AO56" s="592"/>
      <c r="AP56" s="592"/>
      <c r="AQ56" s="592"/>
      <c r="AR56" s="592"/>
      <c r="AS56" s="590"/>
      <c r="AT56" s="590"/>
      <c r="AU56" s="590"/>
      <c r="AV56" s="590"/>
      <c r="AW56" s="590"/>
      <c r="AX56" s="590"/>
      <c r="AY56" s="590"/>
      <c r="AZ56" s="590"/>
      <c r="BA56" s="590"/>
      <c r="BB56" s="590"/>
      <c r="BC56" s="590"/>
      <c r="BD56" s="590"/>
      <c r="BE56" s="590"/>
      <c r="BF56" s="590"/>
      <c r="BG56" s="590"/>
      <c r="BH56" s="590"/>
      <c r="BI56" s="590"/>
      <c r="BJ56" s="590"/>
      <c r="BK56" s="591"/>
      <c r="BL56" s="591"/>
      <c r="BM56" s="591"/>
      <c r="BN56" s="591"/>
      <c r="BO56" s="591"/>
      <c r="BP56" s="591"/>
      <c r="BQ56" s="591"/>
      <c r="BR56" s="591"/>
      <c r="BS56" s="591"/>
      <c r="BT56" s="591"/>
      <c r="BU56" s="591"/>
      <c r="BV56" s="591"/>
      <c r="BW56" s="591"/>
      <c r="BX56" s="591"/>
      <c r="BY56" s="591"/>
      <c r="BZ56" s="591"/>
      <c r="CA56" s="591"/>
      <c r="CB56" s="591"/>
      <c r="CC56" s="591"/>
      <c r="CD56" s="591"/>
      <c r="CE56" s="591"/>
      <c r="CF56" s="591"/>
    </row>
    <row r="57" spans="1:84">
      <c r="A57" s="590"/>
      <c r="B57" s="592"/>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600"/>
      <c r="AB57" s="592"/>
      <c r="AC57" s="592"/>
      <c r="AD57" s="592"/>
      <c r="AE57" s="592"/>
      <c r="AF57" s="592"/>
      <c r="AG57" s="592"/>
      <c r="AH57" s="592"/>
      <c r="AI57" s="592"/>
      <c r="AJ57" s="592"/>
      <c r="AK57" s="592"/>
      <c r="AL57" s="592"/>
      <c r="AM57" s="592"/>
      <c r="AN57" s="592"/>
      <c r="AO57" s="592"/>
      <c r="AP57" s="592"/>
      <c r="AQ57" s="592"/>
      <c r="AR57" s="592"/>
      <c r="AS57" s="590"/>
      <c r="AT57" s="590"/>
      <c r="AU57" s="590"/>
      <c r="AV57" s="590"/>
      <c r="AW57" s="590"/>
      <c r="AX57" s="590"/>
      <c r="AY57" s="590"/>
      <c r="AZ57" s="590"/>
      <c r="BA57" s="590"/>
      <c r="BB57" s="590"/>
      <c r="BC57" s="590"/>
      <c r="BD57" s="590"/>
      <c r="BE57" s="590"/>
      <c r="BF57" s="590"/>
      <c r="BG57" s="590"/>
      <c r="BH57" s="590"/>
      <c r="BI57" s="590"/>
      <c r="BJ57" s="590"/>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row>
    <row r="58" spans="1:84">
      <c r="A58" s="590"/>
      <c r="B58" s="590"/>
      <c r="C58" s="590"/>
      <c r="D58" s="590"/>
      <c r="E58" s="590"/>
      <c r="F58" s="590"/>
      <c r="G58" s="590"/>
      <c r="H58" s="590"/>
      <c r="I58" s="590"/>
      <c r="J58" s="590"/>
      <c r="K58" s="590"/>
      <c r="L58" s="590"/>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0"/>
      <c r="AP58" s="590"/>
      <c r="AQ58" s="590"/>
      <c r="AR58" s="590"/>
      <c r="AS58" s="590"/>
      <c r="AT58" s="590"/>
      <c r="AU58" s="590"/>
      <c r="AV58" s="590"/>
      <c r="AW58" s="590"/>
      <c r="AX58" s="590"/>
      <c r="AY58" s="590"/>
      <c r="AZ58" s="590"/>
      <c r="BA58" s="590"/>
      <c r="BB58" s="590"/>
      <c r="BC58" s="590"/>
      <c r="BD58" s="590"/>
      <c r="BE58" s="590"/>
      <c r="BF58" s="590"/>
      <c r="BG58" s="590"/>
      <c r="BH58" s="590"/>
      <c r="BI58" s="590"/>
      <c r="BJ58" s="590"/>
      <c r="BK58" s="591"/>
      <c r="BL58" s="591"/>
      <c r="BM58" s="591"/>
      <c r="BN58" s="591"/>
      <c r="BO58" s="591"/>
      <c r="BP58" s="591"/>
      <c r="BQ58" s="591"/>
      <c r="BR58" s="591"/>
      <c r="BS58" s="591"/>
      <c r="BT58" s="591"/>
      <c r="BU58" s="591"/>
      <c r="BV58" s="591"/>
      <c r="BW58" s="591"/>
      <c r="BX58" s="591"/>
      <c r="BY58" s="591"/>
      <c r="BZ58" s="591"/>
      <c r="CA58" s="591"/>
      <c r="CB58" s="591"/>
      <c r="CC58" s="591"/>
      <c r="CD58" s="591"/>
      <c r="CE58" s="591"/>
      <c r="CF58" s="591"/>
    </row>
    <row r="59" spans="1:84">
      <c r="A59" s="590"/>
      <c r="B59" s="590"/>
      <c r="C59" s="590"/>
      <c r="D59" s="590"/>
      <c r="E59" s="590"/>
      <c r="F59" s="590"/>
      <c r="G59" s="590"/>
      <c r="H59" s="590"/>
      <c r="I59" s="590"/>
      <c r="J59" s="590"/>
      <c r="K59" s="590"/>
      <c r="L59" s="590"/>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0"/>
      <c r="AP59" s="590"/>
      <c r="AQ59" s="590"/>
      <c r="AR59" s="590"/>
      <c r="AS59" s="590"/>
      <c r="AT59" s="590"/>
      <c r="AU59" s="590"/>
      <c r="AV59" s="590"/>
      <c r="AW59" s="590"/>
      <c r="AX59" s="590"/>
      <c r="AY59" s="590"/>
      <c r="AZ59" s="590"/>
      <c r="BA59" s="590"/>
      <c r="BB59" s="590"/>
      <c r="BC59" s="590"/>
      <c r="BD59" s="590"/>
      <c r="BE59" s="590"/>
      <c r="BF59" s="590"/>
      <c r="BG59" s="590"/>
      <c r="BH59" s="590"/>
      <c r="BI59" s="590"/>
      <c r="BJ59" s="590"/>
      <c r="BK59" s="591"/>
      <c r="BL59" s="591"/>
      <c r="BM59" s="591"/>
      <c r="BN59" s="591"/>
      <c r="BO59" s="591"/>
      <c r="BP59" s="591"/>
      <c r="BQ59" s="591"/>
      <c r="BR59" s="591"/>
      <c r="BS59" s="591"/>
      <c r="BT59" s="591"/>
      <c r="BU59" s="591"/>
      <c r="BV59" s="591"/>
      <c r="BW59" s="591"/>
      <c r="BX59" s="591"/>
      <c r="BY59" s="591"/>
      <c r="BZ59" s="591"/>
      <c r="CA59" s="591"/>
      <c r="CB59" s="591"/>
      <c r="CC59" s="591"/>
      <c r="CD59" s="591"/>
      <c r="CE59" s="591"/>
      <c r="CF59" s="591"/>
    </row>
    <row r="60" spans="1:84">
      <c r="A60" s="59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590"/>
      <c r="AY60" s="590"/>
      <c r="AZ60" s="590"/>
      <c r="BA60" s="590"/>
      <c r="BB60" s="590"/>
      <c r="BC60" s="590"/>
      <c r="BD60" s="590"/>
      <c r="BE60" s="590"/>
      <c r="BF60" s="590"/>
      <c r="BG60" s="590"/>
      <c r="BH60" s="590"/>
      <c r="BI60" s="590"/>
      <c r="BJ60" s="590"/>
      <c r="BK60" s="591"/>
      <c r="BL60" s="591"/>
      <c r="BM60" s="591"/>
      <c r="BN60" s="591"/>
      <c r="BO60" s="591"/>
      <c r="BP60" s="591"/>
      <c r="BQ60" s="591"/>
      <c r="BR60" s="591"/>
      <c r="BS60" s="591"/>
      <c r="BT60" s="591"/>
      <c r="BU60" s="591"/>
      <c r="BV60" s="591"/>
      <c r="BW60" s="591"/>
      <c r="BX60" s="591"/>
      <c r="BY60" s="591"/>
      <c r="BZ60" s="591"/>
      <c r="CA60" s="591"/>
      <c r="CB60" s="591"/>
      <c r="CC60" s="591"/>
      <c r="CD60" s="591"/>
      <c r="CE60" s="591"/>
      <c r="CF60" s="591"/>
    </row>
    <row r="61" spans="1:84">
      <c r="A61" s="590"/>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0"/>
      <c r="AQ61" s="590"/>
      <c r="AR61" s="590"/>
      <c r="AS61" s="590"/>
      <c r="AT61" s="590"/>
      <c r="AU61" s="590"/>
      <c r="AV61" s="590"/>
      <c r="AW61" s="590"/>
      <c r="AX61" s="590"/>
      <c r="AY61" s="590"/>
      <c r="AZ61" s="590"/>
      <c r="BA61" s="590"/>
      <c r="BB61" s="590"/>
      <c r="BC61" s="590"/>
      <c r="BD61" s="590"/>
      <c r="BE61" s="590"/>
      <c r="BF61" s="590"/>
      <c r="BG61" s="590"/>
      <c r="BH61" s="590"/>
      <c r="BI61" s="590"/>
      <c r="BJ61" s="590"/>
      <c r="BK61" s="591"/>
      <c r="BL61" s="591"/>
      <c r="BM61" s="591"/>
      <c r="BN61" s="591"/>
      <c r="BO61" s="591"/>
      <c r="BP61" s="591"/>
      <c r="BQ61" s="591"/>
      <c r="BR61" s="591"/>
      <c r="BS61" s="591"/>
      <c r="BT61" s="591"/>
      <c r="BU61" s="591"/>
      <c r="BV61" s="591"/>
      <c r="BW61" s="591"/>
      <c r="BX61" s="591"/>
      <c r="BY61" s="591"/>
      <c r="BZ61" s="591"/>
      <c r="CA61" s="591"/>
      <c r="CB61" s="591"/>
      <c r="CC61" s="591"/>
      <c r="CD61" s="591"/>
      <c r="CE61" s="591"/>
      <c r="CF61" s="591"/>
    </row>
    <row r="62" spans="1:84">
      <c r="A62" s="590"/>
      <c r="B62" s="590"/>
      <c r="C62" s="590"/>
      <c r="D62" s="590"/>
      <c r="E62" s="590"/>
      <c r="F62" s="590"/>
      <c r="G62" s="590"/>
      <c r="H62" s="590"/>
      <c r="I62" s="590"/>
      <c r="J62" s="590"/>
      <c r="K62" s="590"/>
      <c r="L62" s="590"/>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90"/>
      <c r="AZ62" s="590"/>
      <c r="BA62" s="590"/>
      <c r="BB62" s="590"/>
      <c r="BC62" s="590"/>
      <c r="BD62" s="590"/>
      <c r="BE62" s="590"/>
      <c r="BF62" s="590"/>
      <c r="BG62" s="590"/>
      <c r="BH62" s="590"/>
      <c r="BI62" s="590"/>
      <c r="BJ62" s="590"/>
      <c r="BK62" s="591"/>
      <c r="BL62" s="591"/>
      <c r="BM62" s="591"/>
      <c r="BN62" s="591"/>
      <c r="BO62" s="591"/>
      <c r="BP62" s="591"/>
      <c r="BQ62" s="591"/>
      <c r="BR62" s="591"/>
      <c r="BS62" s="591"/>
      <c r="BT62" s="591"/>
      <c r="BU62" s="591"/>
      <c r="BV62" s="591"/>
      <c r="BW62" s="591"/>
      <c r="BX62" s="591"/>
      <c r="BY62" s="591"/>
      <c r="BZ62" s="591"/>
      <c r="CA62" s="591"/>
      <c r="CB62" s="591"/>
      <c r="CC62" s="591"/>
      <c r="CD62" s="591"/>
      <c r="CE62" s="591"/>
      <c r="CF62" s="591"/>
    </row>
    <row r="63" spans="1:84">
      <c r="A63" s="590"/>
      <c r="B63" s="590"/>
      <c r="C63" s="590"/>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1"/>
      <c r="BL63" s="591"/>
      <c r="BM63" s="591"/>
      <c r="BN63" s="591"/>
      <c r="BO63" s="591"/>
      <c r="BP63" s="591"/>
      <c r="BQ63" s="591"/>
      <c r="BR63" s="591"/>
      <c r="BS63" s="591"/>
      <c r="BT63" s="591"/>
      <c r="BU63" s="591"/>
      <c r="BV63" s="591"/>
      <c r="BW63" s="591"/>
      <c r="BX63" s="591"/>
      <c r="BY63" s="591"/>
      <c r="BZ63" s="591"/>
      <c r="CA63" s="591"/>
      <c r="CB63" s="591"/>
      <c r="CC63" s="591"/>
      <c r="CD63" s="591"/>
      <c r="CE63" s="591"/>
      <c r="CF63" s="591"/>
    </row>
    <row r="64" spans="1:84">
      <c r="A64" s="590"/>
      <c r="B64" s="590"/>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90"/>
      <c r="AZ64" s="590"/>
      <c r="BA64" s="590"/>
      <c r="BB64" s="590"/>
      <c r="BC64" s="590"/>
      <c r="BD64" s="590"/>
      <c r="BE64" s="590"/>
      <c r="BF64" s="590"/>
      <c r="BG64" s="590"/>
      <c r="BH64" s="590"/>
      <c r="BI64" s="590"/>
      <c r="BJ64" s="590"/>
      <c r="BK64" s="591"/>
      <c r="BL64" s="591"/>
      <c r="BM64" s="591"/>
      <c r="BN64" s="591"/>
      <c r="BO64" s="591"/>
      <c r="BP64" s="591"/>
      <c r="BQ64" s="591"/>
      <c r="BR64" s="591"/>
      <c r="BS64" s="591"/>
      <c r="BT64" s="591"/>
      <c r="BU64" s="591"/>
      <c r="BV64" s="591"/>
      <c r="BW64" s="591"/>
      <c r="BX64" s="591"/>
      <c r="BY64" s="591"/>
      <c r="BZ64" s="591"/>
      <c r="CA64" s="591"/>
      <c r="CB64" s="591"/>
      <c r="CC64" s="591"/>
      <c r="CD64" s="591"/>
      <c r="CE64" s="591"/>
      <c r="CF64" s="591"/>
    </row>
    <row r="65" spans="1:84">
      <c r="A65" s="590"/>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90"/>
      <c r="AZ65" s="590"/>
      <c r="BA65" s="590"/>
      <c r="BB65" s="590"/>
      <c r="BC65" s="590"/>
      <c r="BD65" s="590"/>
      <c r="BE65" s="590"/>
      <c r="BF65" s="590"/>
      <c r="BG65" s="590"/>
      <c r="BH65" s="590"/>
      <c r="BI65" s="590"/>
      <c r="BJ65" s="590"/>
      <c r="BK65" s="591"/>
      <c r="BL65" s="591"/>
      <c r="BM65" s="591"/>
      <c r="BN65" s="591"/>
      <c r="BO65" s="591"/>
      <c r="BP65" s="591"/>
      <c r="BQ65" s="591"/>
      <c r="BR65" s="591"/>
      <c r="BS65" s="591"/>
      <c r="BT65" s="591"/>
      <c r="BU65" s="591"/>
      <c r="BV65" s="591"/>
      <c r="BW65" s="591"/>
      <c r="BX65" s="591"/>
      <c r="BY65" s="591"/>
      <c r="BZ65" s="591"/>
      <c r="CA65" s="591"/>
      <c r="CB65" s="591"/>
      <c r="CC65" s="591"/>
      <c r="CD65" s="591"/>
      <c r="CE65" s="591"/>
      <c r="CF65" s="591"/>
    </row>
    <row r="66" spans="1:84">
      <c r="A66" s="590"/>
      <c r="B66" s="590"/>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c r="BF66" s="590"/>
      <c r="BG66" s="590"/>
      <c r="BH66" s="590"/>
      <c r="BI66" s="590"/>
      <c r="BJ66" s="590"/>
      <c r="BK66" s="591"/>
      <c r="BL66" s="591"/>
      <c r="BM66" s="591"/>
      <c r="BN66" s="591"/>
      <c r="BO66" s="591"/>
      <c r="BP66" s="591"/>
      <c r="BQ66" s="591"/>
      <c r="BR66" s="591"/>
      <c r="BS66" s="591"/>
      <c r="BT66" s="591"/>
      <c r="BU66" s="591"/>
      <c r="BV66" s="591"/>
      <c r="BW66" s="591"/>
      <c r="BX66" s="591"/>
      <c r="BY66" s="591"/>
      <c r="BZ66" s="591"/>
      <c r="CA66" s="591"/>
      <c r="CB66" s="591"/>
      <c r="CC66" s="591"/>
      <c r="CD66" s="591"/>
      <c r="CE66" s="591"/>
      <c r="CF66" s="591"/>
    </row>
    <row r="67" spans="1:84">
      <c r="A67" s="590"/>
      <c r="B67" s="590"/>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1"/>
      <c r="BL67" s="591"/>
      <c r="BM67" s="591"/>
      <c r="BN67" s="591"/>
      <c r="BO67" s="591"/>
      <c r="BP67" s="591"/>
      <c r="BQ67" s="591"/>
      <c r="BR67" s="591"/>
      <c r="BS67" s="591"/>
      <c r="BT67" s="591"/>
      <c r="BU67" s="591"/>
      <c r="BV67" s="591"/>
      <c r="BW67" s="591"/>
      <c r="BX67" s="591"/>
      <c r="BY67" s="591"/>
      <c r="BZ67" s="591"/>
      <c r="CA67" s="591"/>
      <c r="CB67" s="591"/>
      <c r="CC67" s="591"/>
      <c r="CD67" s="591"/>
      <c r="CE67" s="591"/>
      <c r="CF67" s="591"/>
    </row>
    <row r="68" spans="1:84">
      <c r="A68" s="590"/>
      <c r="B68" s="590"/>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1"/>
      <c r="BL68" s="591"/>
      <c r="BM68" s="591"/>
      <c r="BN68" s="591"/>
      <c r="BO68" s="591"/>
      <c r="BP68" s="591"/>
      <c r="BQ68" s="591"/>
      <c r="BR68" s="591"/>
      <c r="BS68" s="591"/>
      <c r="BT68" s="591"/>
      <c r="BU68" s="591"/>
      <c r="BV68" s="591"/>
      <c r="BW68" s="591"/>
      <c r="BX68" s="591"/>
      <c r="BY68" s="591"/>
      <c r="BZ68" s="591"/>
      <c r="CA68" s="591"/>
      <c r="CB68" s="591"/>
      <c r="CC68" s="591"/>
      <c r="CD68" s="591"/>
      <c r="CE68" s="591"/>
      <c r="CF68" s="591"/>
    </row>
    <row r="69" spans="1:84">
      <c r="A69" s="590"/>
      <c r="B69" s="590"/>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1"/>
      <c r="BL69" s="591"/>
      <c r="BM69" s="591"/>
      <c r="BN69" s="591"/>
      <c r="BO69" s="591"/>
      <c r="BP69" s="591"/>
      <c r="BQ69" s="591"/>
      <c r="BR69" s="591"/>
      <c r="BS69" s="591"/>
      <c r="BT69" s="591"/>
      <c r="BU69" s="591"/>
      <c r="BV69" s="591"/>
      <c r="BW69" s="591"/>
      <c r="BX69" s="591"/>
      <c r="BY69" s="591"/>
      <c r="BZ69" s="591"/>
      <c r="CA69" s="591"/>
      <c r="CB69" s="591"/>
      <c r="CC69" s="591"/>
      <c r="CD69" s="591"/>
      <c r="CE69" s="591"/>
      <c r="CF69" s="591"/>
    </row>
    <row r="70" spans="1:84">
      <c r="A70" s="590"/>
      <c r="B70" s="590"/>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590"/>
      <c r="BH70" s="590"/>
      <c r="BI70" s="590"/>
      <c r="BJ70" s="590"/>
      <c r="BK70" s="591"/>
      <c r="BL70" s="591"/>
      <c r="BM70" s="591"/>
      <c r="BN70" s="591"/>
      <c r="BO70" s="591"/>
      <c r="BP70" s="591"/>
      <c r="BQ70" s="591"/>
      <c r="BR70" s="591"/>
      <c r="BS70" s="591"/>
      <c r="BT70" s="591"/>
      <c r="BU70" s="591"/>
      <c r="BV70" s="591"/>
      <c r="BW70" s="591"/>
      <c r="BX70" s="591"/>
      <c r="BY70" s="591"/>
      <c r="BZ70" s="591"/>
      <c r="CA70" s="591"/>
      <c r="CB70" s="591"/>
      <c r="CC70" s="591"/>
      <c r="CD70" s="591"/>
      <c r="CE70" s="591"/>
      <c r="CF70" s="591"/>
    </row>
    <row r="71" spans="1:84">
      <c r="A71" s="590"/>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1"/>
      <c r="BL71" s="591"/>
      <c r="BM71" s="591"/>
      <c r="BN71" s="591"/>
      <c r="BO71" s="591"/>
      <c r="BP71" s="591"/>
      <c r="BQ71" s="591"/>
      <c r="BR71" s="591"/>
      <c r="BS71" s="591"/>
      <c r="BT71" s="591"/>
      <c r="BU71" s="591"/>
      <c r="BV71" s="591"/>
      <c r="BW71" s="591"/>
      <c r="BX71" s="591"/>
      <c r="BY71" s="591"/>
      <c r="BZ71" s="591"/>
      <c r="CA71" s="591"/>
      <c r="CB71" s="591"/>
      <c r="CC71" s="591"/>
      <c r="CD71" s="591"/>
      <c r="CE71" s="591"/>
      <c r="CF71" s="591"/>
    </row>
    <row r="72" spans="1:84">
      <c r="A72" s="590"/>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1"/>
      <c r="BL72" s="591"/>
      <c r="BM72" s="591"/>
      <c r="BN72" s="591"/>
      <c r="BO72" s="591"/>
      <c r="BP72" s="591"/>
      <c r="BQ72" s="591"/>
      <c r="BR72" s="591"/>
      <c r="BS72" s="591"/>
      <c r="BT72" s="591"/>
      <c r="BU72" s="591"/>
      <c r="BV72" s="591"/>
      <c r="BW72" s="591"/>
      <c r="BX72" s="591"/>
      <c r="BY72" s="591"/>
      <c r="BZ72" s="591"/>
      <c r="CA72" s="591"/>
      <c r="CB72" s="591"/>
      <c r="CC72" s="591"/>
      <c r="CD72" s="591"/>
      <c r="CE72" s="591"/>
      <c r="CF72" s="591"/>
    </row>
    <row r="73" spans="1:84">
      <c r="A73" s="590"/>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590"/>
      <c r="BH73" s="590"/>
      <c r="BI73" s="590"/>
      <c r="BJ73" s="590"/>
      <c r="BK73" s="591"/>
      <c r="BL73" s="591"/>
      <c r="BM73" s="591"/>
      <c r="BN73" s="591"/>
      <c r="BO73" s="591"/>
      <c r="BP73" s="591"/>
      <c r="BQ73" s="591"/>
      <c r="BR73" s="591"/>
      <c r="BS73" s="591"/>
      <c r="BT73" s="591"/>
      <c r="BU73" s="591"/>
      <c r="BV73" s="591"/>
      <c r="BW73" s="591"/>
      <c r="BX73" s="591"/>
      <c r="BY73" s="591"/>
      <c r="BZ73" s="591"/>
      <c r="CA73" s="591"/>
      <c r="CB73" s="591"/>
      <c r="CC73" s="591"/>
      <c r="CD73" s="591"/>
      <c r="CE73" s="591"/>
      <c r="CF73" s="591"/>
    </row>
    <row r="74" spans="1:84">
      <c r="A74" s="590"/>
      <c r="B74" s="590"/>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1"/>
      <c r="BL74" s="591"/>
      <c r="BM74" s="591"/>
      <c r="BN74" s="591"/>
      <c r="BO74" s="591"/>
      <c r="BP74" s="591"/>
      <c r="BQ74" s="591"/>
      <c r="BR74" s="591"/>
      <c r="BS74" s="591"/>
      <c r="BT74" s="591"/>
      <c r="BU74" s="591"/>
      <c r="BV74" s="591"/>
      <c r="BW74" s="591"/>
      <c r="BX74" s="591"/>
      <c r="BY74" s="591"/>
      <c r="BZ74" s="591"/>
      <c r="CA74" s="591"/>
      <c r="CB74" s="591"/>
      <c r="CC74" s="591"/>
      <c r="CD74" s="591"/>
      <c r="CE74" s="591"/>
      <c r="CF74" s="591"/>
    </row>
    <row r="75" spans="1:84">
      <c r="A75" s="590"/>
      <c r="B75" s="590"/>
      <c r="C75" s="590"/>
      <c r="D75" s="590"/>
      <c r="E75" s="590"/>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0"/>
      <c r="AP75" s="590"/>
      <c r="AQ75" s="590"/>
      <c r="AR75" s="590"/>
      <c r="AS75" s="590"/>
      <c r="AT75" s="590"/>
      <c r="AU75" s="590"/>
      <c r="AV75" s="590"/>
      <c r="AW75" s="590"/>
      <c r="AX75" s="590"/>
      <c r="AY75" s="590"/>
      <c r="AZ75" s="590"/>
      <c r="BA75" s="590"/>
      <c r="BB75" s="590"/>
      <c r="BC75" s="590"/>
      <c r="BD75" s="590"/>
      <c r="BE75" s="590"/>
      <c r="BF75" s="590"/>
      <c r="BG75" s="590"/>
      <c r="BH75" s="590"/>
      <c r="BI75" s="590"/>
      <c r="BJ75" s="590"/>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row>
    <row r="76" spans="1:84">
      <c r="A76" s="590"/>
      <c r="B76" s="590"/>
      <c r="C76" s="590"/>
      <c r="D76" s="590"/>
      <c r="E76" s="590"/>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590"/>
      <c r="BH76" s="590"/>
      <c r="BI76" s="590"/>
      <c r="BJ76" s="590"/>
      <c r="BK76" s="591"/>
      <c r="BL76" s="591"/>
      <c r="BM76" s="591"/>
      <c r="BN76" s="591"/>
      <c r="BO76" s="591"/>
      <c r="BP76" s="591"/>
      <c r="BQ76" s="591"/>
      <c r="BR76" s="591"/>
      <c r="BS76" s="591"/>
      <c r="BT76" s="591"/>
      <c r="BU76" s="591"/>
      <c r="BV76" s="591"/>
      <c r="BW76" s="591"/>
      <c r="BX76" s="591"/>
      <c r="BY76" s="591"/>
      <c r="BZ76" s="591"/>
      <c r="CA76" s="591"/>
      <c r="CB76" s="591"/>
      <c r="CC76" s="591"/>
      <c r="CD76" s="591"/>
      <c r="CE76" s="591"/>
      <c r="CF76" s="591"/>
    </row>
    <row r="77" spans="1:84">
      <c r="A77" s="590"/>
      <c r="B77" s="590"/>
      <c r="C77" s="590"/>
      <c r="D77" s="590"/>
      <c r="E77" s="590"/>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0"/>
      <c r="AP77" s="590"/>
      <c r="AQ77" s="590"/>
      <c r="AR77" s="590"/>
      <c r="AS77" s="590"/>
      <c r="AT77" s="590"/>
      <c r="AU77" s="590"/>
      <c r="AV77" s="590"/>
      <c r="AW77" s="590"/>
      <c r="AX77" s="590"/>
      <c r="AY77" s="590"/>
      <c r="AZ77" s="590"/>
      <c r="BA77" s="590"/>
      <c r="BB77" s="590"/>
      <c r="BC77" s="590"/>
      <c r="BD77" s="590"/>
      <c r="BE77" s="590"/>
      <c r="BF77" s="590"/>
      <c r="BG77" s="590"/>
      <c r="BH77" s="590"/>
      <c r="BI77" s="590"/>
      <c r="BJ77" s="590"/>
      <c r="BK77" s="591"/>
      <c r="BL77" s="591"/>
      <c r="BM77" s="591"/>
      <c r="BN77" s="591"/>
      <c r="BO77" s="591"/>
      <c r="BP77" s="591"/>
      <c r="BQ77" s="591"/>
      <c r="BR77" s="591"/>
      <c r="BS77" s="591"/>
      <c r="BT77" s="591"/>
      <c r="BU77" s="591"/>
      <c r="BV77" s="591"/>
      <c r="BW77" s="591"/>
      <c r="BX77" s="591"/>
      <c r="BY77" s="591"/>
      <c r="BZ77" s="591"/>
      <c r="CA77" s="591"/>
      <c r="CB77" s="591"/>
      <c r="CC77" s="591"/>
      <c r="CD77" s="591"/>
      <c r="CE77" s="591"/>
      <c r="CF77" s="591"/>
    </row>
    <row r="78" spans="1:84">
      <c r="A78" s="590"/>
      <c r="B78" s="590"/>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0"/>
      <c r="AP78" s="590"/>
      <c r="AQ78" s="590"/>
      <c r="AR78" s="590"/>
      <c r="AS78" s="590"/>
      <c r="AT78" s="590"/>
      <c r="AU78" s="590"/>
      <c r="AV78" s="590"/>
      <c r="AW78" s="590"/>
      <c r="AX78" s="590"/>
      <c r="AY78" s="590"/>
      <c r="AZ78" s="590"/>
      <c r="BA78" s="590"/>
      <c r="BB78" s="590"/>
      <c r="BC78" s="590"/>
      <c r="BD78" s="590"/>
      <c r="BE78" s="590"/>
      <c r="BF78" s="590"/>
      <c r="BG78" s="590"/>
      <c r="BH78" s="590"/>
      <c r="BI78" s="590"/>
      <c r="BJ78" s="590"/>
      <c r="BK78" s="591"/>
      <c r="BL78" s="591"/>
      <c r="BM78" s="591"/>
      <c r="BN78" s="591"/>
      <c r="BO78" s="591"/>
      <c r="BP78" s="591"/>
      <c r="BQ78" s="591"/>
      <c r="BR78" s="591"/>
      <c r="BS78" s="591"/>
      <c r="BT78" s="591"/>
      <c r="BU78" s="591"/>
      <c r="BV78" s="591"/>
      <c r="BW78" s="591"/>
      <c r="BX78" s="591"/>
      <c r="BY78" s="591"/>
      <c r="BZ78" s="591"/>
      <c r="CA78" s="591"/>
      <c r="CB78" s="591"/>
      <c r="CC78" s="591"/>
      <c r="CD78" s="591"/>
      <c r="CE78" s="591"/>
      <c r="CF78" s="591"/>
    </row>
    <row r="79" spans="1:84">
      <c r="A79" s="590"/>
      <c r="B79" s="590"/>
      <c r="C79" s="590"/>
      <c r="D79" s="590"/>
      <c r="E79" s="590"/>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0"/>
      <c r="AP79" s="590"/>
      <c r="AQ79" s="590"/>
      <c r="AR79" s="590"/>
      <c r="AS79" s="590"/>
      <c r="AT79" s="590"/>
      <c r="AU79" s="590"/>
      <c r="AV79" s="590"/>
      <c r="AW79" s="590"/>
      <c r="AX79" s="590"/>
      <c r="AY79" s="590"/>
      <c r="AZ79" s="590"/>
      <c r="BA79" s="590"/>
      <c r="BB79" s="590"/>
      <c r="BC79" s="590"/>
      <c r="BD79" s="590"/>
      <c r="BE79" s="590"/>
      <c r="BF79" s="590"/>
      <c r="BG79" s="590"/>
      <c r="BH79" s="590"/>
      <c r="BI79" s="590"/>
      <c r="BJ79" s="590"/>
      <c r="BK79" s="591"/>
      <c r="BL79" s="591"/>
      <c r="BM79" s="591"/>
      <c r="BN79" s="591"/>
      <c r="BO79" s="591"/>
      <c r="BP79" s="591"/>
      <c r="BQ79" s="591"/>
      <c r="BR79" s="591"/>
      <c r="BS79" s="591"/>
      <c r="BT79" s="591"/>
      <c r="BU79" s="591"/>
      <c r="BV79" s="591"/>
      <c r="BW79" s="591"/>
      <c r="BX79" s="591"/>
      <c r="BY79" s="591"/>
      <c r="BZ79" s="591"/>
      <c r="CA79" s="591"/>
      <c r="CB79" s="591"/>
      <c r="CC79" s="591"/>
      <c r="CD79" s="591"/>
      <c r="CE79" s="591"/>
      <c r="CF79" s="591"/>
    </row>
    <row r="80" spans="1:84">
      <c r="A80" s="590"/>
      <c r="B80" s="590"/>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0"/>
      <c r="AP80" s="590"/>
      <c r="AQ80" s="590"/>
      <c r="AR80" s="590"/>
      <c r="AS80" s="590"/>
      <c r="AT80" s="590"/>
      <c r="AU80" s="590"/>
      <c r="AV80" s="590"/>
      <c r="AW80" s="590"/>
      <c r="AX80" s="590"/>
      <c r="AY80" s="590"/>
      <c r="AZ80" s="590"/>
      <c r="BA80" s="590"/>
      <c r="BB80" s="590"/>
      <c r="BC80" s="590"/>
      <c r="BD80" s="590"/>
      <c r="BE80" s="590"/>
      <c r="BF80" s="590"/>
      <c r="BG80" s="590"/>
      <c r="BH80" s="590"/>
      <c r="BI80" s="590"/>
      <c r="BJ80" s="590"/>
      <c r="BK80" s="591"/>
      <c r="BL80" s="591"/>
      <c r="BM80" s="591"/>
      <c r="BN80" s="591"/>
      <c r="BO80" s="591"/>
      <c r="BP80" s="591"/>
      <c r="BQ80" s="591"/>
      <c r="BR80" s="591"/>
      <c r="BS80" s="591"/>
      <c r="BT80" s="591"/>
      <c r="BU80" s="591"/>
      <c r="BV80" s="591"/>
      <c r="BW80" s="591"/>
      <c r="BX80" s="591"/>
      <c r="BY80" s="591"/>
      <c r="BZ80" s="591"/>
      <c r="CA80" s="591"/>
      <c r="CB80" s="591"/>
      <c r="CC80" s="591"/>
      <c r="CD80" s="591"/>
      <c r="CE80" s="591"/>
      <c r="CF80" s="591"/>
    </row>
    <row r="81" spans="1:84">
      <c r="A81" s="590"/>
      <c r="B81" s="590"/>
      <c r="C81" s="590"/>
      <c r="D81" s="590"/>
      <c r="E81" s="590"/>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0"/>
      <c r="AP81" s="590"/>
      <c r="AQ81" s="590"/>
      <c r="AR81" s="590"/>
      <c r="AS81" s="590"/>
      <c r="AT81" s="590"/>
      <c r="AU81" s="590"/>
      <c r="AV81" s="590"/>
      <c r="AW81" s="590"/>
      <c r="AX81" s="590"/>
      <c r="AY81" s="590"/>
      <c r="AZ81" s="590"/>
      <c r="BA81" s="590"/>
      <c r="BB81" s="590"/>
      <c r="BC81" s="590"/>
      <c r="BD81" s="590"/>
      <c r="BE81" s="590"/>
      <c r="BF81" s="590"/>
      <c r="BG81" s="590"/>
      <c r="BH81" s="590"/>
      <c r="BI81" s="590"/>
      <c r="BJ81" s="590"/>
      <c r="BK81" s="591"/>
      <c r="BL81" s="591"/>
      <c r="BM81" s="591"/>
      <c r="BN81" s="591"/>
      <c r="BO81" s="591"/>
      <c r="BP81" s="591"/>
      <c r="BQ81" s="591"/>
      <c r="BR81" s="591"/>
      <c r="BS81" s="591"/>
      <c r="BT81" s="591"/>
      <c r="BU81" s="591"/>
      <c r="BV81" s="591"/>
      <c r="BW81" s="591"/>
      <c r="BX81" s="591"/>
      <c r="BY81" s="591"/>
      <c r="BZ81" s="591"/>
      <c r="CA81" s="591"/>
      <c r="CB81" s="591"/>
      <c r="CC81" s="591"/>
      <c r="CD81" s="591"/>
      <c r="CE81" s="591"/>
      <c r="CF81" s="591"/>
    </row>
    <row r="82" spans="1:84">
      <c r="A82" s="590"/>
      <c r="B82" s="590"/>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0"/>
      <c r="AP82" s="590"/>
      <c r="AQ82" s="590"/>
      <c r="AR82" s="590"/>
      <c r="AS82" s="590"/>
      <c r="AT82" s="590"/>
      <c r="AU82" s="590"/>
      <c r="AV82" s="590"/>
      <c r="AW82" s="590"/>
      <c r="AX82" s="590"/>
      <c r="AY82" s="590"/>
      <c r="AZ82" s="590"/>
      <c r="BA82" s="590"/>
      <c r="BB82" s="590"/>
      <c r="BC82" s="590"/>
      <c r="BD82" s="590"/>
      <c r="BE82" s="590"/>
      <c r="BF82" s="590"/>
      <c r="BG82" s="590"/>
      <c r="BH82" s="590"/>
      <c r="BI82" s="590"/>
      <c r="BJ82" s="590"/>
      <c r="BK82" s="591"/>
      <c r="BL82" s="591"/>
      <c r="BM82" s="591"/>
      <c r="BN82" s="591"/>
      <c r="BO82" s="591"/>
      <c r="BP82" s="591"/>
      <c r="BQ82" s="591"/>
      <c r="BR82" s="591"/>
      <c r="BS82" s="591"/>
      <c r="BT82" s="591"/>
      <c r="BU82" s="591"/>
      <c r="BV82" s="591"/>
      <c r="BW82" s="591"/>
      <c r="BX82" s="591"/>
      <c r="BY82" s="591"/>
      <c r="BZ82" s="591"/>
      <c r="CA82" s="591"/>
      <c r="CB82" s="591"/>
      <c r="CC82" s="591"/>
      <c r="CD82" s="591"/>
      <c r="CE82" s="591"/>
      <c r="CF82" s="591"/>
    </row>
    <row r="83" spans="1:84">
      <c r="A83" s="590"/>
      <c r="B83" s="590"/>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0"/>
      <c r="AP83" s="590"/>
      <c r="AQ83" s="590"/>
      <c r="AR83" s="590"/>
      <c r="AS83" s="590"/>
      <c r="AT83" s="590"/>
      <c r="AU83" s="590"/>
      <c r="AV83" s="590"/>
      <c r="AW83" s="590"/>
      <c r="AX83" s="590"/>
      <c r="AY83" s="590"/>
      <c r="AZ83" s="590"/>
      <c r="BA83" s="590"/>
      <c r="BB83" s="590"/>
      <c r="BC83" s="590"/>
      <c r="BD83" s="590"/>
      <c r="BE83" s="590"/>
      <c r="BF83" s="590"/>
      <c r="BG83" s="590"/>
      <c r="BH83" s="590"/>
      <c r="BI83" s="590"/>
      <c r="BJ83" s="590"/>
      <c r="BK83" s="591"/>
      <c r="BL83" s="591"/>
      <c r="BM83" s="591"/>
      <c r="BN83" s="591"/>
      <c r="BO83" s="591"/>
      <c r="BP83" s="591"/>
      <c r="BQ83" s="591"/>
      <c r="BR83" s="591"/>
      <c r="BS83" s="591"/>
      <c r="BT83" s="591"/>
      <c r="BU83" s="591"/>
      <c r="BV83" s="591"/>
      <c r="BW83" s="591"/>
      <c r="BX83" s="591"/>
      <c r="BY83" s="591"/>
      <c r="BZ83" s="591"/>
      <c r="CA83" s="591"/>
      <c r="CB83" s="591"/>
      <c r="CC83" s="591"/>
      <c r="CD83" s="591"/>
      <c r="CE83" s="591"/>
      <c r="CF83" s="591"/>
    </row>
    <row r="84" spans="1:84">
      <c r="A84" s="590"/>
      <c r="B84" s="590"/>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0"/>
      <c r="AP84" s="590"/>
      <c r="AQ84" s="590"/>
      <c r="AR84" s="590"/>
      <c r="AS84" s="590"/>
      <c r="AT84" s="590"/>
      <c r="AU84" s="590"/>
      <c r="AV84" s="590"/>
      <c r="AW84" s="590"/>
      <c r="AX84" s="590"/>
      <c r="AY84" s="590"/>
      <c r="AZ84" s="590"/>
      <c r="BA84" s="590"/>
      <c r="BB84" s="590"/>
      <c r="BC84" s="590"/>
      <c r="BD84" s="590"/>
      <c r="BE84" s="590"/>
      <c r="BF84" s="590"/>
      <c r="BG84" s="590"/>
      <c r="BH84" s="590"/>
      <c r="BI84" s="590"/>
      <c r="BJ84" s="590"/>
      <c r="BK84" s="591"/>
      <c r="BL84" s="591"/>
      <c r="BM84" s="591"/>
      <c r="BN84" s="591"/>
      <c r="BO84" s="591"/>
      <c r="BP84" s="591"/>
      <c r="BQ84" s="591"/>
      <c r="BR84" s="591"/>
      <c r="BS84" s="591"/>
      <c r="BT84" s="591"/>
      <c r="BU84" s="591"/>
      <c r="BV84" s="591"/>
      <c r="BW84" s="591"/>
      <c r="BX84" s="591"/>
      <c r="BY84" s="591"/>
      <c r="BZ84" s="591"/>
      <c r="CA84" s="591"/>
      <c r="CB84" s="591"/>
      <c r="CC84" s="591"/>
      <c r="CD84" s="591"/>
      <c r="CE84" s="591"/>
      <c r="CF84" s="591"/>
    </row>
    <row r="85" spans="1:84">
      <c r="A85" s="590"/>
      <c r="B85" s="590"/>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0"/>
      <c r="AP85" s="590"/>
      <c r="AQ85" s="590"/>
      <c r="AR85" s="590"/>
      <c r="AS85" s="590"/>
      <c r="AT85" s="590"/>
      <c r="AU85" s="590"/>
      <c r="AV85" s="590"/>
      <c r="AW85" s="590"/>
      <c r="AX85" s="590"/>
      <c r="AY85" s="590"/>
      <c r="AZ85" s="590"/>
      <c r="BA85" s="590"/>
      <c r="BB85" s="590"/>
      <c r="BC85" s="590"/>
      <c r="BD85" s="590"/>
      <c r="BE85" s="590"/>
      <c r="BF85" s="590"/>
      <c r="BG85" s="590"/>
      <c r="BH85" s="590"/>
      <c r="BI85" s="590"/>
      <c r="BJ85" s="590"/>
      <c r="BK85" s="591"/>
      <c r="BL85" s="591"/>
      <c r="BM85" s="591"/>
      <c r="BN85" s="591"/>
      <c r="BO85" s="591"/>
      <c r="BP85" s="591"/>
      <c r="BQ85" s="591"/>
      <c r="BR85" s="591"/>
      <c r="BS85" s="591"/>
      <c r="BT85" s="591"/>
      <c r="BU85" s="591"/>
      <c r="BV85" s="591"/>
      <c r="BW85" s="591"/>
      <c r="BX85" s="591"/>
      <c r="BY85" s="591"/>
      <c r="BZ85" s="591"/>
      <c r="CA85" s="591"/>
      <c r="CB85" s="591"/>
      <c r="CC85" s="591"/>
      <c r="CD85" s="591"/>
      <c r="CE85" s="591"/>
      <c r="CF85" s="591"/>
    </row>
    <row r="86" spans="1:84">
      <c r="A86" s="590"/>
      <c r="B86" s="590"/>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0"/>
      <c r="AP86" s="590"/>
      <c r="AQ86" s="590"/>
      <c r="AR86" s="590"/>
      <c r="AS86" s="590"/>
      <c r="AT86" s="590"/>
      <c r="AU86" s="590"/>
      <c r="AV86" s="590"/>
      <c r="AW86" s="590"/>
      <c r="AX86" s="590"/>
      <c r="AY86" s="590"/>
      <c r="AZ86" s="590"/>
      <c r="BA86" s="590"/>
      <c r="BB86" s="590"/>
      <c r="BC86" s="590"/>
      <c r="BD86" s="590"/>
      <c r="BE86" s="590"/>
      <c r="BF86" s="590"/>
      <c r="BG86" s="590"/>
      <c r="BH86" s="590"/>
      <c r="BI86" s="590"/>
      <c r="BJ86" s="590"/>
      <c r="BK86" s="591"/>
      <c r="BL86" s="591"/>
      <c r="BM86" s="591"/>
      <c r="BN86" s="591"/>
      <c r="BO86" s="591"/>
      <c r="BP86" s="591"/>
      <c r="BQ86" s="591"/>
      <c r="BR86" s="591"/>
      <c r="BS86" s="591"/>
      <c r="BT86" s="591"/>
      <c r="BU86" s="591"/>
      <c r="BV86" s="591"/>
      <c r="BW86" s="591"/>
      <c r="BX86" s="591"/>
      <c r="BY86" s="591"/>
      <c r="BZ86" s="591"/>
      <c r="CA86" s="591"/>
      <c r="CB86" s="591"/>
      <c r="CC86" s="591"/>
      <c r="CD86" s="591"/>
      <c r="CE86" s="591"/>
      <c r="CF86" s="591"/>
    </row>
    <row r="87" spans="1:84">
      <c r="A87" s="590"/>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0"/>
      <c r="AP87" s="590"/>
      <c r="AQ87" s="590"/>
      <c r="AR87" s="590"/>
      <c r="AS87" s="590"/>
      <c r="AT87" s="590"/>
      <c r="AU87" s="590"/>
      <c r="AV87" s="590"/>
      <c r="AW87" s="590"/>
      <c r="AX87" s="590"/>
      <c r="AY87" s="590"/>
      <c r="AZ87" s="590"/>
      <c r="BA87" s="590"/>
      <c r="BB87" s="590"/>
      <c r="BC87" s="590"/>
      <c r="BD87" s="590"/>
      <c r="BE87" s="590"/>
      <c r="BF87" s="590"/>
      <c r="BG87" s="590"/>
      <c r="BH87" s="590"/>
      <c r="BI87" s="590"/>
      <c r="BJ87" s="590"/>
      <c r="BK87" s="591"/>
      <c r="BL87" s="591"/>
      <c r="BM87" s="591"/>
      <c r="BN87" s="591"/>
      <c r="BO87" s="591"/>
      <c r="BP87" s="591"/>
      <c r="BQ87" s="591"/>
      <c r="BR87" s="591"/>
      <c r="BS87" s="591"/>
      <c r="BT87" s="591"/>
      <c r="BU87" s="591"/>
      <c r="BV87" s="591"/>
      <c r="BW87" s="591"/>
      <c r="BX87" s="591"/>
      <c r="BY87" s="591"/>
      <c r="BZ87" s="591"/>
      <c r="CA87" s="591"/>
      <c r="CB87" s="591"/>
      <c r="CC87" s="591"/>
      <c r="CD87" s="591"/>
      <c r="CE87" s="591"/>
      <c r="CF87" s="591"/>
    </row>
    <row r="88" spans="1:84">
      <c r="A88" s="590"/>
      <c r="B88" s="590"/>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1"/>
      <c r="BL88" s="591"/>
      <c r="BM88" s="591"/>
      <c r="BN88" s="591"/>
      <c r="BO88" s="591"/>
      <c r="BP88" s="591"/>
      <c r="BQ88" s="591"/>
      <c r="BR88" s="591"/>
      <c r="BS88" s="591"/>
      <c r="BT88" s="591"/>
      <c r="BU88" s="591"/>
      <c r="BV88" s="591"/>
      <c r="BW88" s="591"/>
      <c r="BX88" s="591"/>
      <c r="BY88" s="591"/>
      <c r="BZ88" s="591"/>
      <c r="CA88" s="591"/>
      <c r="CB88" s="591"/>
      <c r="CC88" s="591"/>
      <c r="CD88" s="591"/>
      <c r="CE88" s="591"/>
      <c r="CF88" s="591"/>
    </row>
    <row r="89" spans="1:84">
      <c r="A89" s="590"/>
      <c r="B89" s="590"/>
      <c r="C89" s="590"/>
      <c r="D89" s="590"/>
      <c r="E89" s="590"/>
      <c r="F89" s="590"/>
      <c r="G89" s="590"/>
      <c r="H89" s="590"/>
      <c r="I89" s="590"/>
      <c r="J89" s="590"/>
      <c r="K89" s="590"/>
      <c r="L89" s="590"/>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0"/>
      <c r="AP89" s="590"/>
      <c r="AQ89" s="590"/>
      <c r="AR89" s="590"/>
      <c r="AS89" s="590"/>
      <c r="AT89" s="590"/>
      <c r="AU89" s="590"/>
      <c r="AV89" s="590"/>
      <c r="AW89" s="590"/>
      <c r="AX89" s="590"/>
      <c r="AY89" s="590"/>
      <c r="AZ89" s="590"/>
      <c r="BA89" s="590"/>
      <c r="BB89" s="590"/>
      <c r="BC89" s="590"/>
      <c r="BD89" s="590"/>
      <c r="BE89" s="590"/>
      <c r="BF89" s="590"/>
      <c r="BG89" s="590"/>
      <c r="BH89" s="590"/>
      <c r="BI89" s="590"/>
      <c r="BJ89" s="590"/>
      <c r="BK89" s="591"/>
      <c r="BL89" s="591"/>
      <c r="BM89" s="591"/>
      <c r="BN89" s="591"/>
      <c r="BO89" s="591"/>
      <c r="BP89" s="591"/>
      <c r="BQ89" s="591"/>
      <c r="BR89" s="591"/>
      <c r="BS89" s="591"/>
      <c r="BT89" s="591"/>
      <c r="BU89" s="591"/>
      <c r="BV89" s="591"/>
      <c r="BW89" s="591"/>
      <c r="BX89" s="591"/>
      <c r="BY89" s="591"/>
      <c r="BZ89" s="591"/>
      <c r="CA89" s="591"/>
      <c r="CB89" s="591"/>
      <c r="CC89" s="591"/>
      <c r="CD89" s="591"/>
      <c r="CE89" s="591"/>
      <c r="CF89" s="591"/>
    </row>
    <row r="90" spans="1:84">
      <c r="A90" s="590"/>
      <c r="B90" s="590"/>
      <c r="C90" s="590"/>
      <c r="D90" s="590"/>
      <c r="E90" s="590"/>
      <c r="F90" s="590"/>
      <c r="G90" s="590"/>
      <c r="H90" s="590"/>
      <c r="I90" s="590"/>
      <c r="J90" s="590"/>
      <c r="K90" s="590"/>
      <c r="L90" s="590"/>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0"/>
      <c r="AP90" s="590"/>
      <c r="AQ90" s="590"/>
      <c r="AR90" s="590"/>
      <c r="AS90" s="590"/>
      <c r="AT90" s="590"/>
      <c r="AU90" s="590"/>
      <c r="AV90" s="590"/>
      <c r="AW90" s="590"/>
      <c r="AX90" s="590"/>
      <c r="AY90" s="590"/>
      <c r="AZ90" s="590"/>
      <c r="BA90" s="590"/>
      <c r="BB90" s="590"/>
      <c r="BC90" s="590"/>
      <c r="BD90" s="590"/>
      <c r="BE90" s="590"/>
      <c r="BF90" s="590"/>
      <c r="BG90" s="590"/>
      <c r="BH90" s="590"/>
      <c r="BI90" s="590"/>
      <c r="BJ90" s="590"/>
      <c r="BK90" s="591"/>
      <c r="BL90" s="591"/>
      <c r="BM90" s="591"/>
      <c r="BN90" s="591"/>
      <c r="BO90" s="591"/>
      <c r="BP90" s="591"/>
      <c r="BQ90" s="591"/>
      <c r="BR90" s="591"/>
      <c r="BS90" s="591"/>
      <c r="BT90" s="591"/>
      <c r="BU90" s="591"/>
      <c r="BV90" s="591"/>
      <c r="BW90" s="591"/>
      <c r="BX90" s="591"/>
      <c r="BY90" s="591"/>
      <c r="BZ90" s="591"/>
      <c r="CA90" s="591"/>
      <c r="CB90" s="591"/>
      <c r="CC90" s="591"/>
      <c r="CD90" s="591"/>
      <c r="CE90" s="591"/>
      <c r="CF90" s="591"/>
    </row>
    <row r="91" spans="1:84">
      <c r="A91" s="590"/>
      <c r="B91" s="590"/>
      <c r="C91" s="590"/>
      <c r="D91" s="590"/>
      <c r="E91" s="590"/>
      <c r="F91" s="590"/>
      <c r="G91" s="590"/>
      <c r="H91" s="590"/>
      <c r="I91" s="590"/>
      <c r="J91" s="590"/>
      <c r="K91" s="590"/>
      <c r="L91" s="590"/>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0"/>
      <c r="AP91" s="590"/>
      <c r="AQ91" s="590"/>
      <c r="AR91" s="590"/>
      <c r="AS91" s="590"/>
      <c r="AT91" s="590"/>
      <c r="AU91" s="590"/>
      <c r="AV91" s="590"/>
      <c r="AW91" s="590"/>
      <c r="AX91" s="590"/>
      <c r="AY91" s="590"/>
      <c r="AZ91" s="590"/>
      <c r="BA91" s="590"/>
      <c r="BB91" s="590"/>
      <c r="BC91" s="590"/>
      <c r="BD91" s="590"/>
      <c r="BE91" s="590"/>
      <c r="BF91" s="590"/>
      <c r="BG91" s="590"/>
      <c r="BH91" s="590"/>
      <c r="BI91" s="590"/>
      <c r="BJ91" s="590"/>
      <c r="BK91" s="591"/>
      <c r="BL91" s="591"/>
      <c r="BM91" s="591"/>
      <c r="BN91" s="591"/>
      <c r="BO91" s="591"/>
      <c r="BP91" s="591"/>
      <c r="BQ91" s="591"/>
      <c r="BR91" s="591"/>
      <c r="BS91" s="591"/>
      <c r="BT91" s="591"/>
      <c r="BU91" s="591"/>
      <c r="BV91" s="591"/>
      <c r="BW91" s="591"/>
      <c r="BX91" s="591"/>
      <c r="BY91" s="591"/>
      <c r="BZ91" s="591"/>
      <c r="CA91" s="591"/>
      <c r="CB91" s="591"/>
      <c r="CC91" s="591"/>
      <c r="CD91" s="591"/>
      <c r="CE91" s="591"/>
      <c r="CF91" s="591"/>
    </row>
    <row r="92" spans="1:84">
      <c r="A92" s="590"/>
      <c r="B92" s="590"/>
      <c r="C92" s="590"/>
      <c r="D92" s="590"/>
      <c r="E92" s="590"/>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0"/>
      <c r="AP92" s="590"/>
      <c r="AQ92" s="590"/>
      <c r="AR92" s="590"/>
      <c r="AS92" s="590"/>
      <c r="AT92" s="590"/>
      <c r="AU92" s="590"/>
      <c r="AV92" s="590"/>
      <c r="AW92" s="590"/>
      <c r="AX92" s="590"/>
      <c r="AY92" s="590"/>
      <c r="AZ92" s="590"/>
      <c r="BA92" s="590"/>
      <c r="BB92" s="590"/>
      <c r="BC92" s="590"/>
      <c r="BD92" s="590"/>
      <c r="BE92" s="590"/>
      <c r="BF92" s="590"/>
      <c r="BG92" s="590"/>
      <c r="BH92" s="590"/>
      <c r="BI92" s="590"/>
      <c r="BJ92" s="590"/>
      <c r="BK92" s="591"/>
      <c r="BL92" s="591"/>
      <c r="BM92" s="591"/>
      <c r="BN92" s="591"/>
      <c r="BO92" s="591"/>
      <c r="BP92" s="591"/>
      <c r="BQ92" s="591"/>
      <c r="BR92" s="591"/>
      <c r="BS92" s="591"/>
      <c r="BT92" s="591"/>
      <c r="BU92" s="591"/>
      <c r="BV92" s="591"/>
      <c r="BW92" s="591"/>
      <c r="BX92" s="591"/>
      <c r="BY92" s="591"/>
      <c r="BZ92" s="591"/>
      <c r="CA92" s="591"/>
      <c r="CB92" s="591"/>
      <c r="CC92" s="591"/>
      <c r="CD92" s="591"/>
      <c r="CE92" s="591"/>
      <c r="CF92" s="591"/>
    </row>
    <row r="93" spans="1:84">
      <c r="A93" s="590"/>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0"/>
      <c r="AP93" s="590"/>
      <c r="AQ93" s="590"/>
      <c r="AR93" s="590"/>
      <c r="AS93" s="590"/>
      <c r="AT93" s="590"/>
      <c r="AU93" s="590"/>
      <c r="AV93" s="590"/>
      <c r="AW93" s="590"/>
      <c r="AX93" s="590"/>
      <c r="AY93" s="590"/>
      <c r="AZ93" s="590"/>
      <c r="BA93" s="590"/>
      <c r="BB93" s="590"/>
      <c r="BC93" s="590"/>
      <c r="BD93" s="590"/>
      <c r="BE93" s="590"/>
      <c r="BF93" s="590"/>
      <c r="BG93" s="590"/>
      <c r="BH93" s="590"/>
      <c r="BI93" s="590"/>
      <c r="BJ93" s="590"/>
      <c r="BK93" s="591"/>
      <c r="BL93" s="591"/>
      <c r="BM93" s="591"/>
      <c r="BN93" s="591"/>
      <c r="BO93" s="591"/>
      <c r="BP93" s="591"/>
      <c r="BQ93" s="591"/>
      <c r="BR93" s="591"/>
      <c r="BS93" s="591"/>
      <c r="BT93" s="591"/>
      <c r="BU93" s="591"/>
      <c r="BV93" s="591"/>
      <c r="BW93" s="591"/>
      <c r="BX93" s="591"/>
      <c r="BY93" s="591"/>
      <c r="BZ93" s="591"/>
      <c r="CA93" s="591"/>
      <c r="CB93" s="591"/>
      <c r="CC93" s="591"/>
      <c r="CD93" s="591"/>
      <c r="CE93" s="591"/>
      <c r="CF93" s="591"/>
    </row>
    <row r="94" spans="1:84">
      <c r="A94" s="590"/>
      <c r="B94" s="590"/>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0"/>
      <c r="AP94" s="590"/>
      <c r="AQ94" s="590"/>
      <c r="AR94" s="590"/>
      <c r="AS94" s="590"/>
      <c r="AT94" s="590"/>
      <c r="AU94" s="590"/>
      <c r="AV94" s="590"/>
      <c r="AW94" s="590"/>
      <c r="AX94" s="590"/>
      <c r="AY94" s="590"/>
      <c r="AZ94" s="590"/>
      <c r="BA94" s="590"/>
      <c r="BB94" s="590"/>
      <c r="BC94" s="590"/>
      <c r="BD94" s="590"/>
      <c r="BE94" s="590"/>
      <c r="BF94" s="590"/>
      <c r="BG94" s="590"/>
      <c r="BH94" s="590"/>
      <c r="BI94" s="590"/>
      <c r="BJ94" s="590"/>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row>
    <row r="95" spans="1:84">
      <c r="A95" s="590"/>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0"/>
      <c r="AP95" s="590"/>
      <c r="AQ95" s="590"/>
      <c r="AR95" s="590"/>
      <c r="AS95" s="590"/>
      <c r="AT95" s="590"/>
      <c r="AU95" s="590"/>
      <c r="AV95" s="590"/>
      <c r="AW95" s="590"/>
      <c r="AX95" s="590"/>
      <c r="AY95" s="590"/>
      <c r="AZ95" s="590"/>
      <c r="BA95" s="590"/>
      <c r="BB95" s="590"/>
      <c r="BC95" s="590"/>
      <c r="BD95" s="590"/>
      <c r="BE95" s="590"/>
      <c r="BF95" s="590"/>
      <c r="BG95" s="590"/>
      <c r="BH95" s="590"/>
      <c r="BI95" s="590"/>
      <c r="BJ95" s="590"/>
      <c r="BK95" s="591"/>
      <c r="BL95" s="591"/>
      <c r="BM95" s="591"/>
      <c r="BN95" s="591"/>
      <c r="BO95" s="591"/>
      <c r="BP95" s="591"/>
      <c r="BQ95" s="591"/>
      <c r="BR95" s="591"/>
      <c r="BS95" s="591"/>
      <c r="BT95" s="591"/>
      <c r="BU95" s="591"/>
      <c r="BV95" s="591"/>
      <c r="BW95" s="591"/>
      <c r="BX95" s="591"/>
      <c r="BY95" s="591"/>
      <c r="BZ95" s="591"/>
      <c r="CA95" s="591"/>
      <c r="CB95" s="591"/>
      <c r="CC95" s="591"/>
      <c r="CD95" s="591"/>
      <c r="CE95" s="591"/>
      <c r="CF95" s="591"/>
    </row>
    <row r="96" spans="1:84">
      <c r="A96" s="590"/>
      <c r="B96" s="590"/>
      <c r="C96" s="590"/>
      <c r="D96" s="590"/>
      <c r="E96" s="590"/>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0"/>
      <c r="AP96" s="590"/>
      <c r="AQ96" s="590"/>
      <c r="AR96" s="590"/>
      <c r="AS96" s="590"/>
      <c r="AT96" s="590"/>
      <c r="AU96" s="590"/>
      <c r="AV96" s="590"/>
      <c r="AW96" s="590"/>
      <c r="AX96" s="590"/>
      <c r="AY96" s="590"/>
      <c r="AZ96" s="590"/>
      <c r="BA96" s="590"/>
      <c r="BB96" s="590"/>
      <c r="BC96" s="590"/>
      <c r="BD96" s="590"/>
      <c r="BE96" s="590"/>
      <c r="BF96" s="590"/>
      <c r="BG96" s="590"/>
      <c r="BH96" s="590"/>
      <c r="BI96" s="590"/>
      <c r="BJ96" s="590"/>
      <c r="BK96" s="591"/>
      <c r="BL96" s="591"/>
      <c r="BM96" s="591"/>
      <c r="BN96" s="591"/>
      <c r="BO96" s="591"/>
      <c r="BP96" s="591"/>
      <c r="BQ96" s="591"/>
      <c r="BR96" s="591"/>
      <c r="BS96" s="591"/>
      <c r="BT96" s="591"/>
      <c r="BU96" s="591"/>
      <c r="BV96" s="591"/>
      <c r="BW96" s="591"/>
      <c r="BX96" s="591"/>
      <c r="BY96" s="591"/>
      <c r="BZ96" s="591"/>
      <c r="CA96" s="591"/>
      <c r="CB96" s="591"/>
      <c r="CC96" s="591"/>
      <c r="CD96" s="591"/>
      <c r="CE96" s="591"/>
      <c r="CF96" s="591"/>
    </row>
    <row r="97" spans="1:84">
      <c r="A97" s="590"/>
      <c r="B97" s="590"/>
      <c r="C97" s="590"/>
      <c r="D97" s="590"/>
      <c r="E97" s="590"/>
      <c r="F97" s="590"/>
      <c r="G97" s="590"/>
      <c r="H97" s="590"/>
      <c r="I97" s="590"/>
      <c r="J97" s="590"/>
      <c r="K97" s="590"/>
      <c r="L97" s="590"/>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0"/>
      <c r="AP97" s="590"/>
      <c r="AQ97" s="590"/>
      <c r="AR97" s="590"/>
      <c r="AS97" s="590"/>
      <c r="AT97" s="590"/>
      <c r="AU97" s="590"/>
      <c r="AV97" s="590"/>
      <c r="AW97" s="590"/>
      <c r="AX97" s="590"/>
      <c r="AY97" s="590"/>
      <c r="AZ97" s="590"/>
      <c r="BA97" s="590"/>
      <c r="BB97" s="590"/>
      <c r="BC97" s="590"/>
      <c r="BD97" s="590"/>
      <c r="BE97" s="590"/>
      <c r="BF97" s="590"/>
      <c r="BG97" s="590"/>
      <c r="BH97" s="590"/>
      <c r="BI97" s="590"/>
      <c r="BJ97" s="590"/>
      <c r="BK97" s="591"/>
      <c r="BL97" s="591"/>
      <c r="BM97" s="591"/>
      <c r="BN97" s="591"/>
      <c r="BO97" s="591"/>
      <c r="BP97" s="591"/>
      <c r="BQ97" s="591"/>
      <c r="BR97" s="591"/>
      <c r="BS97" s="591"/>
      <c r="BT97" s="591"/>
      <c r="BU97" s="591"/>
      <c r="BV97" s="591"/>
      <c r="BW97" s="591"/>
      <c r="BX97" s="591"/>
      <c r="BY97" s="591"/>
      <c r="BZ97" s="591"/>
      <c r="CA97" s="591"/>
      <c r="CB97" s="591"/>
      <c r="CC97" s="591"/>
      <c r="CD97" s="591"/>
      <c r="CE97" s="591"/>
      <c r="CF97" s="591"/>
    </row>
    <row r="98" spans="1:84">
      <c r="A98" s="590"/>
      <c r="B98" s="590"/>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0"/>
      <c r="AP98" s="590"/>
      <c r="AQ98" s="590"/>
      <c r="AR98" s="590"/>
      <c r="AS98" s="590"/>
      <c r="AT98" s="590"/>
      <c r="AU98" s="590"/>
      <c r="AV98" s="590"/>
      <c r="AW98" s="590"/>
      <c r="AX98" s="590"/>
      <c r="AY98" s="590"/>
      <c r="AZ98" s="590"/>
      <c r="BA98" s="590"/>
      <c r="BB98" s="590"/>
      <c r="BC98" s="590"/>
      <c r="BD98" s="590"/>
      <c r="BE98" s="590"/>
      <c r="BF98" s="590"/>
      <c r="BG98" s="590"/>
      <c r="BH98" s="590"/>
      <c r="BI98" s="590"/>
      <c r="BJ98" s="590"/>
      <c r="BK98" s="591"/>
      <c r="BL98" s="591"/>
      <c r="BM98" s="591"/>
      <c r="BN98" s="591"/>
      <c r="BO98" s="591"/>
      <c r="BP98" s="591"/>
      <c r="BQ98" s="591"/>
      <c r="BR98" s="591"/>
      <c r="BS98" s="591"/>
      <c r="BT98" s="591"/>
      <c r="BU98" s="591"/>
      <c r="BV98" s="591"/>
      <c r="BW98" s="591"/>
      <c r="BX98" s="591"/>
      <c r="BY98" s="591"/>
      <c r="BZ98" s="591"/>
      <c r="CA98" s="591"/>
      <c r="CB98" s="591"/>
      <c r="CC98" s="591"/>
      <c r="CD98" s="591"/>
      <c r="CE98" s="591"/>
      <c r="CF98" s="591"/>
    </row>
    <row r="99" spans="1:84">
      <c r="A99" s="590"/>
      <c r="B99" s="590"/>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1"/>
      <c r="BL99" s="591"/>
      <c r="BM99" s="591"/>
      <c r="BN99" s="591"/>
      <c r="BO99" s="591"/>
      <c r="BP99" s="591"/>
      <c r="BQ99" s="591"/>
      <c r="BR99" s="591"/>
      <c r="BS99" s="591"/>
      <c r="BT99" s="591"/>
      <c r="BU99" s="591"/>
      <c r="BV99" s="591"/>
      <c r="BW99" s="591"/>
      <c r="BX99" s="591"/>
      <c r="BY99" s="591"/>
      <c r="BZ99" s="591"/>
      <c r="CA99" s="591"/>
      <c r="CB99" s="591"/>
      <c r="CC99" s="591"/>
      <c r="CD99" s="591"/>
      <c r="CE99" s="591"/>
      <c r="CF99" s="591"/>
    </row>
    <row r="100" spans="1:84">
      <c r="A100" s="590"/>
      <c r="B100" s="590"/>
      <c r="C100" s="590"/>
      <c r="D100" s="590"/>
      <c r="E100" s="590"/>
      <c r="F100" s="590"/>
      <c r="G100" s="590"/>
      <c r="H100" s="590"/>
      <c r="I100" s="590"/>
      <c r="J100" s="590"/>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0"/>
      <c r="AP100" s="590"/>
      <c r="AQ100" s="590"/>
      <c r="AR100" s="590"/>
      <c r="AS100" s="590"/>
      <c r="AT100" s="590"/>
      <c r="AU100" s="590"/>
      <c r="AV100" s="590"/>
      <c r="AW100" s="590"/>
      <c r="AX100" s="590"/>
      <c r="AY100" s="590"/>
      <c r="AZ100" s="590"/>
      <c r="BA100" s="590"/>
      <c r="BB100" s="590"/>
      <c r="BC100" s="590"/>
      <c r="BD100" s="590"/>
      <c r="BE100" s="590"/>
      <c r="BF100" s="590"/>
      <c r="BG100" s="590"/>
      <c r="BH100" s="590"/>
      <c r="BI100" s="590"/>
      <c r="BJ100" s="590"/>
      <c r="BK100" s="591"/>
      <c r="BL100" s="591"/>
      <c r="BM100" s="591"/>
      <c r="BN100" s="591"/>
      <c r="BO100" s="591"/>
      <c r="BP100" s="591"/>
      <c r="BQ100" s="591"/>
      <c r="BR100" s="591"/>
      <c r="BS100" s="591"/>
      <c r="BT100" s="591"/>
      <c r="BU100" s="591"/>
      <c r="BV100" s="591"/>
      <c r="BW100" s="591"/>
      <c r="BX100" s="591"/>
      <c r="BY100" s="591"/>
      <c r="BZ100" s="591"/>
      <c r="CA100" s="591"/>
      <c r="CB100" s="591"/>
      <c r="CC100" s="591"/>
      <c r="CD100" s="591"/>
      <c r="CE100" s="591"/>
      <c r="CF100" s="591"/>
    </row>
    <row r="101" spans="1:84">
      <c r="A101" s="590"/>
      <c r="B101" s="590"/>
      <c r="C101" s="590"/>
      <c r="D101" s="590"/>
      <c r="E101" s="590"/>
      <c r="F101" s="590"/>
      <c r="G101" s="590"/>
      <c r="H101" s="590"/>
      <c r="I101" s="590"/>
      <c r="J101" s="590"/>
      <c r="K101" s="590"/>
      <c r="L101" s="590"/>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0"/>
      <c r="AP101" s="590"/>
      <c r="AQ101" s="590"/>
      <c r="AR101" s="590"/>
      <c r="AS101" s="590"/>
      <c r="AT101" s="590"/>
      <c r="AU101" s="590"/>
      <c r="AV101" s="590"/>
      <c r="AW101" s="590"/>
      <c r="AX101" s="590"/>
      <c r="AY101" s="590"/>
      <c r="AZ101" s="590"/>
      <c r="BA101" s="590"/>
      <c r="BB101" s="590"/>
      <c r="BC101" s="590"/>
      <c r="BD101" s="590"/>
      <c r="BE101" s="590"/>
      <c r="BF101" s="590"/>
      <c r="BG101" s="590"/>
      <c r="BH101" s="590"/>
      <c r="BI101" s="590"/>
      <c r="BJ101" s="590"/>
      <c r="BK101" s="591"/>
      <c r="BL101" s="591"/>
      <c r="BM101" s="591"/>
      <c r="BN101" s="591"/>
      <c r="BO101" s="591"/>
      <c r="BP101" s="591"/>
      <c r="BQ101" s="591"/>
      <c r="BR101" s="591"/>
      <c r="BS101" s="591"/>
      <c r="BT101" s="591"/>
      <c r="BU101" s="591"/>
      <c r="BV101" s="591"/>
      <c r="BW101" s="591"/>
      <c r="BX101" s="591"/>
      <c r="BY101" s="591"/>
      <c r="BZ101" s="591"/>
      <c r="CA101" s="591"/>
      <c r="CB101" s="591"/>
      <c r="CC101" s="591"/>
      <c r="CD101" s="591"/>
      <c r="CE101" s="591"/>
      <c r="CF101" s="591"/>
    </row>
    <row r="102" spans="1:84">
      <c r="A102" s="590"/>
      <c r="B102" s="590"/>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0"/>
      <c r="AP102" s="590"/>
      <c r="AQ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1"/>
      <c r="BL102" s="591"/>
      <c r="BM102" s="591"/>
      <c r="BN102" s="591"/>
      <c r="BO102" s="591"/>
      <c r="BP102" s="591"/>
      <c r="BQ102" s="591"/>
      <c r="BR102" s="591"/>
      <c r="BS102" s="591"/>
      <c r="BT102" s="591"/>
      <c r="BU102" s="591"/>
      <c r="BV102" s="591"/>
      <c r="BW102" s="591"/>
      <c r="BX102" s="591"/>
      <c r="BY102" s="591"/>
      <c r="BZ102" s="591"/>
      <c r="CA102" s="591"/>
      <c r="CB102" s="591"/>
      <c r="CC102" s="591"/>
      <c r="CD102" s="591"/>
      <c r="CE102" s="591"/>
      <c r="CF102" s="591"/>
    </row>
    <row r="103" spans="1:84">
      <c r="A103" s="590"/>
      <c r="B103" s="590"/>
      <c r="C103" s="590"/>
      <c r="D103" s="590"/>
      <c r="E103" s="590"/>
      <c r="F103" s="590"/>
      <c r="G103" s="590"/>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1"/>
      <c r="BL103" s="591"/>
      <c r="BM103" s="591"/>
      <c r="BN103" s="591"/>
      <c r="BO103" s="591"/>
      <c r="BP103" s="591"/>
      <c r="BQ103" s="591"/>
      <c r="BR103" s="591"/>
      <c r="BS103" s="591"/>
      <c r="BT103" s="591"/>
      <c r="BU103" s="591"/>
      <c r="BV103" s="591"/>
      <c r="BW103" s="591"/>
      <c r="BX103" s="591"/>
      <c r="BY103" s="591"/>
      <c r="BZ103" s="591"/>
      <c r="CA103" s="591"/>
      <c r="CB103" s="591"/>
      <c r="CC103" s="591"/>
      <c r="CD103" s="591"/>
      <c r="CE103" s="591"/>
      <c r="CF103" s="591"/>
    </row>
    <row r="104" spans="1:84">
      <c r="A104" s="590"/>
      <c r="B104" s="590"/>
      <c r="C104" s="590"/>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0"/>
      <c r="AP104" s="590"/>
      <c r="AQ104" s="590"/>
      <c r="AR104" s="590"/>
      <c r="AS104" s="590"/>
      <c r="AT104" s="590"/>
      <c r="AU104" s="590"/>
      <c r="AV104" s="590"/>
      <c r="AW104" s="590"/>
      <c r="AX104" s="590"/>
      <c r="AY104" s="590"/>
      <c r="AZ104" s="590"/>
      <c r="BA104" s="590"/>
      <c r="BB104" s="590"/>
      <c r="BC104" s="590"/>
      <c r="BD104" s="590"/>
      <c r="BE104" s="590"/>
      <c r="BF104" s="590"/>
      <c r="BG104" s="590"/>
      <c r="BH104" s="590"/>
      <c r="BI104" s="590"/>
      <c r="BJ104" s="590"/>
      <c r="BK104" s="591"/>
      <c r="BL104" s="591"/>
      <c r="BM104" s="591"/>
      <c r="BN104" s="591"/>
      <c r="BO104" s="591"/>
      <c r="BP104" s="591"/>
      <c r="BQ104" s="591"/>
      <c r="BR104" s="591"/>
      <c r="BS104" s="591"/>
      <c r="BT104" s="591"/>
      <c r="BU104" s="591"/>
      <c r="BV104" s="591"/>
      <c r="BW104" s="591"/>
      <c r="BX104" s="591"/>
      <c r="BY104" s="591"/>
      <c r="BZ104" s="591"/>
      <c r="CA104" s="591"/>
      <c r="CB104" s="591"/>
      <c r="CC104" s="591"/>
      <c r="CD104" s="591"/>
      <c r="CE104" s="591"/>
      <c r="CF104" s="591"/>
    </row>
    <row r="105" spans="1:84">
      <c r="A105" s="590"/>
      <c r="B105" s="590"/>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0"/>
      <c r="AP105" s="590"/>
      <c r="AQ105" s="590"/>
      <c r="AR105" s="590"/>
      <c r="AS105" s="590"/>
      <c r="AT105" s="590"/>
      <c r="AU105" s="590"/>
      <c r="AV105" s="590"/>
      <c r="AW105" s="590"/>
      <c r="AX105" s="590"/>
      <c r="AY105" s="590"/>
      <c r="AZ105" s="590"/>
      <c r="BA105" s="590"/>
      <c r="BB105" s="590"/>
      <c r="BC105" s="590"/>
      <c r="BD105" s="590"/>
      <c r="BE105" s="590"/>
      <c r="BF105" s="590"/>
      <c r="BG105" s="590"/>
      <c r="BH105" s="590"/>
      <c r="BI105" s="590"/>
      <c r="BJ105" s="590"/>
      <c r="BK105" s="591"/>
      <c r="BL105" s="591"/>
      <c r="BM105" s="591"/>
      <c r="BN105" s="591"/>
      <c r="BO105" s="591"/>
      <c r="BP105" s="591"/>
      <c r="BQ105" s="591"/>
      <c r="BR105" s="591"/>
      <c r="BS105" s="591"/>
      <c r="BT105" s="591"/>
      <c r="BU105" s="591"/>
      <c r="BV105" s="591"/>
      <c r="BW105" s="591"/>
      <c r="BX105" s="591"/>
      <c r="BY105" s="591"/>
      <c r="BZ105" s="591"/>
      <c r="CA105" s="591"/>
      <c r="CB105" s="591"/>
      <c r="CC105" s="591"/>
      <c r="CD105" s="591"/>
      <c r="CE105" s="591"/>
      <c r="CF105" s="591"/>
    </row>
    <row r="106" spans="1:84">
      <c r="A106" s="590"/>
      <c r="B106" s="590"/>
      <c r="C106" s="590"/>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0"/>
      <c r="AP106" s="590"/>
      <c r="AQ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1"/>
      <c r="BL106" s="591"/>
      <c r="BM106" s="591"/>
      <c r="BN106" s="591"/>
      <c r="BO106" s="591"/>
      <c r="BP106" s="591"/>
      <c r="BQ106" s="591"/>
      <c r="BR106" s="591"/>
      <c r="BS106" s="591"/>
      <c r="BT106" s="591"/>
      <c r="BU106" s="591"/>
      <c r="BV106" s="591"/>
      <c r="BW106" s="591"/>
      <c r="BX106" s="591"/>
      <c r="BY106" s="591"/>
      <c r="BZ106" s="591"/>
      <c r="CA106" s="591"/>
      <c r="CB106" s="591"/>
      <c r="CC106" s="591"/>
      <c r="CD106" s="591"/>
      <c r="CE106" s="591"/>
      <c r="CF106" s="591"/>
    </row>
    <row r="107" spans="1:84">
      <c r="A107" s="590"/>
      <c r="B107" s="590"/>
      <c r="C107" s="590"/>
      <c r="D107" s="590"/>
      <c r="E107" s="590"/>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0"/>
      <c r="AP107" s="590"/>
      <c r="AQ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1"/>
      <c r="BL107" s="591"/>
      <c r="BM107" s="591"/>
      <c r="BN107" s="591"/>
      <c r="BO107" s="591"/>
      <c r="BP107" s="591"/>
      <c r="BQ107" s="591"/>
      <c r="BR107" s="591"/>
      <c r="BS107" s="591"/>
      <c r="BT107" s="591"/>
      <c r="BU107" s="591"/>
      <c r="BV107" s="591"/>
      <c r="BW107" s="591"/>
      <c r="BX107" s="591"/>
      <c r="BY107" s="591"/>
      <c r="BZ107" s="591"/>
      <c r="CA107" s="591"/>
      <c r="CB107" s="591"/>
      <c r="CC107" s="591"/>
      <c r="CD107" s="591"/>
      <c r="CE107" s="591"/>
      <c r="CF107" s="591"/>
    </row>
    <row r="108" spans="1:84">
      <c r="A108" s="590"/>
      <c r="B108" s="590"/>
      <c r="C108" s="590"/>
      <c r="D108" s="590"/>
      <c r="E108" s="590"/>
      <c r="F108" s="590"/>
      <c r="G108" s="590"/>
      <c r="H108" s="590"/>
      <c r="I108" s="590"/>
      <c r="J108" s="590"/>
      <c r="K108" s="590"/>
      <c r="L108" s="590"/>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0"/>
      <c r="AP108" s="590"/>
      <c r="AQ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1"/>
      <c r="BL108" s="591"/>
      <c r="BM108" s="591"/>
      <c r="BN108" s="591"/>
      <c r="BO108" s="591"/>
      <c r="BP108" s="591"/>
      <c r="BQ108" s="591"/>
      <c r="BR108" s="591"/>
      <c r="BS108" s="591"/>
      <c r="BT108" s="591"/>
      <c r="BU108" s="591"/>
      <c r="BV108" s="591"/>
      <c r="BW108" s="591"/>
      <c r="BX108" s="591"/>
      <c r="BY108" s="591"/>
      <c r="BZ108" s="591"/>
      <c r="CA108" s="591"/>
      <c r="CB108" s="591"/>
      <c r="CC108" s="591"/>
      <c r="CD108" s="591"/>
      <c r="CE108" s="591"/>
      <c r="CF108" s="591"/>
    </row>
    <row r="109" spans="1:84">
      <c r="A109" s="590"/>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0"/>
      <c r="AP109" s="590"/>
      <c r="AQ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1"/>
      <c r="BL109" s="591"/>
      <c r="BM109" s="591"/>
      <c r="BN109" s="591"/>
      <c r="BO109" s="591"/>
      <c r="BP109" s="591"/>
      <c r="BQ109" s="591"/>
      <c r="BR109" s="591"/>
      <c r="BS109" s="591"/>
      <c r="BT109" s="591"/>
      <c r="BU109" s="591"/>
      <c r="BV109" s="591"/>
      <c r="BW109" s="591"/>
      <c r="BX109" s="591"/>
      <c r="BY109" s="591"/>
      <c r="BZ109" s="591"/>
      <c r="CA109" s="591"/>
      <c r="CB109" s="591"/>
      <c r="CC109" s="591"/>
      <c r="CD109" s="591"/>
      <c r="CE109" s="591"/>
      <c r="CF109" s="591"/>
    </row>
    <row r="110" spans="1:84">
      <c r="A110" s="590"/>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0"/>
      <c r="AP110" s="590"/>
      <c r="AQ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1"/>
      <c r="BL110" s="591"/>
      <c r="BM110" s="591"/>
      <c r="BN110" s="591"/>
      <c r="BO110" s="591"/>
      <c r="BP110" s="591"/>
      <c r="BQ110" s="591"/>
      <c r="BR110" s="591"/>
      <c r="BS110" s="591"/>
      <c r="BT110" s="591"/>
      <c r="BU110" s="591"/>
      <c r="BV110" s="591"/>
      <c r="BW110" s="591"/>
      <c r="BX110" s="591"/>
      <c r="BY110" s="591"/>
      <c r="BZ110" s="591"/>
      <c r="CA110" s="591"/>
      <c r="CB110" s="591"/>
      <c r="CC110" s="591"/>
      <c r="CD110" s="591"/>
      <c r="CE110" s="591"/>
      <c r="CF110" s="591"/>
    </row>
    <row r="111" spans="1:84">
      <c r="A111" s="590"/>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0"/>
      <c r="AP111" s="590"/>
      <c r="AQ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1"/>
      <c r="BL111" s="591"/>
      <c r="BM111" s="591"/>
      <c r="BN111" s="591"/>
      <c r="BO111" s="591"/>
      <c r="BP111" s="591"/>
      <c r="BQ111" s="591"/>
      <c r="BR111" s="591"/>
      <c r="BS111" s="591"/>
      <c r="BT111" s="591"/>
      <c r="BU111" s="591"/>
      <c r="BV111" s="591"/>
      <c r="BW111" s="591"/>
      <c r="BX111" s="591"/>
      <c r="BY111" s="591"/>
      <c r="BZ111" s="591"/>
      <c r="CA111" s="591"/>
      <c r="CB111" s="591"/>
      <c r="CC111" s="591"/>
      <c r="CD111" s="591"/>
      <c r="CE111" s="591"/>
      <c r="CF111" s="591"/>
    </row>
    <row r="112" spans="1:84">
      <c r="A112" s="590"/>
      <c r="B112" s="590"/>
      <c r="C112" s="590"/>
      <c r="D112" s="590"/>
      <c r="E112" s="590"/>
      <c r="F112" s="590"/>
      <c r="G112" s="590"/>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1"/>
      <c r="BL112" s="591"/>
      <c r="BM112" s="591"/>
      <c r="BN112" s="591"/>
      <c r="BO112" s="591"/>
      <c r="BP112" s="591"/>
      <c r="BQ112" s="591"/>
      <c r="BR112" s="591"/>
      <c r="BS112" s="591"/>
      <c r="BT112" s="591"/>
      <c r="BU112" s="591"/>
      <c r="BV112" s="591"/>
      <c r="BW112" s="591"/>
      <c r="BX112" s="591"/>
      <c r="BY112" s="591"/>
      <c r="BZ112" s="591"/>
      <c r="CA112" s="591"/>
      <c r="CB112" s="591"/>
      <c r="CC112" s="591"/>
      <c r="CD112" s="591"/>
      <c r="CE112" s="591"/>
      <c r="CF112" s="591"/>
    </row>
    <row r="113" spans="1:84">
      <c r="A113" s="590"/>
      <c r="B113" s="590"/>
      <c r="C113" s="590"/>
      <c r="D113" s="590"/>
      <c r="E113" s="590"/>
      <c r="F113" s="590"/>
      <c r="G113" s="590"/>
      <c r="H113" s="590"/>
      <c r="I113" s="590"/>
      <c r="J113" s="590"/>
      <c r="K113" s="590"/>
      <c r="L113" s="590"/>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0"/>
      <c r="AP113" s="590"/>
      <c r="AQ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1"/>
      <c r="BL113" s="591"/>
      <c r="BM113" s="591"/>
      <c r="BN113" s="591"/>
      <c r="BO113" s="591"/>
      <c r="BP113" s="591"/>
      <c r="BQ113" s="591"/>
      <c r="BR113" s="591"/>
      <c r="BS113" s="591"/>
      <c r="BT113" s="591"/>
      <c r="BU113" s="591"/>
      <c r="BV113" s="591"/>
      <c r="BW113" s="591"/>
      <c r="BX113" s="591"/>
      <c r="BY113" s="591"/>
      <c r="BZ113" s="591"/>
      <c r="CA113" s="591"/>
      <c r="CB113" s="591"/>
      <c r="CC113" s="591"/>
      <c r="CD113" s="591"/>
      <c r="CE113" s="591"/>
      <c r="CF113" s="591"/>
    </row>
    <row r="114" spans="1:84">
      <c r="A114" s="590"/>
      <c r="B114" s="590"/>
      <c r="C114" s="590"/>
      <c r="D114" s="590"/>
      <c r="E114" s="590"/>
      <c r="F114" s="590"/>
      <c r="G114" s="590"/>
      <c r="H114" s="590"/>
      <c r="I114" s="590"/>
      <c r="J114" s="590"/>
      <c r="K114" s="590"/>
      <c r="L114" s="590"/>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0"/>
      <c r="AP114" s="590"/>
      <c r="AQ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1"/>
      <c r="BL114" s="591"/>
      <c r="BM114" s="591"/>
      <c r="BN114" s="591"/>
      <c r="BO114" s="591"/>
      <c r="BP114" s="591"/>
      <c r="BQ114" s="591"/>
      <c r="BR114" s="591"/>
      <c r="BS114" s="591"/>
      <c r="BT114" s="591"/>
      <c r="BU114" s="591"/>
      <c r="BV114" s="591"/>
      <c r="BW114" s="591"/>
      <c r="BX114" s="591"/>
      <c r="BY114" s="591"/>
      <c r="BZ114" s="591"/>
      <c r="CA114" s="591"/>
      <c r="CB114" s="591"/>
      <c r="CC114" s="591"/>
      <c r="CD114" s="591"/>
      <c r="CE114" s="591"/>
      <c r="CF114" s="591"/>
    </row>
    <row r="115" spans="1:84">
      <c r="A115" s="590"/>
      <c r="B115" s="590"/>
      <c r="C115" s="590"/>
      <c r="D115" s="590"/>
      <c r="E115" s="590"/>
      <c r="F115" s="590"/>
      <c r="G115" s="590"/>
      <c r="H115" s="590"/>
      <c r="I115" s="590"/>
      <c r="J115" s="590"/>
      <c r="K115" s="590"/>
      <c r="L115" s="590"/>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0"/>
      <c r="AP115" s="590"/>
      <c r="AQ115" s="590"/>
      <c r="AR115" s="590"/>
      <c r="AS115" s="590"/>
      <c r="AT115" s="590"/>
      <c r="AU115" s="590"/>
      <c r="AV115" s="590"/>
      <c r="AW115" s="590"/>
      <c r="AX115" s="590"/>
      <c r="AY115" s="590"/>
      <c r="AZ115" s="590"/>
      <c r="BA115" s="590"/>
      <c r="BB115" s="590"/>
      <c r="BC115" s="590"/>
      <c r="BD115" s="590"/>
      <c r="BE115" s="590"/>
      <c r="BF115" s="590"/>
      <c r="BG115" s="590"/>
      <c r="BH115" s="590"/>
      <c r="BI115" s="590"/>
      <c r="BJ115" s="590"/>
      <c r="BK115" s="591"/>
      <c r="BL115" s="591"/>
      <c r="BM115" s="591"/>
      <c r="BN115" s="591"/>
      <c r="BO115" s="591"/>
      <c r="BP115" s="591"/>
      <c r="BQ115" s="591"/>
      <c r="BR115" s="591"/>
      <c r="BS115" s="591"/>
      <c r="BT115" s="591"/>
      <c r="BU115" s="591"/>
      <c r="BV115" s="591"/>
      <c r="BW115" s="591"/>
      <c r="BX115" s="591"/>
      <c r="BY115" s="591"/>
      <c r="BZ115" s="591"/>
      <c r="CA115" s="591"/>
      <c r="CB115" s="591"/>
      <c r="CC115" s="591"/>
      <c r="CD115" s="591"/>
      <c r="CE115" s="591"/>
      <c r="CF115" s="591"/>
    </row>
    <row r="116" spans="1:84">
      <c r="A116" s="590"/>
      <c r="B116" s="590"/>
      <c r="C116" s="590"/>
      <c r="D116" s="590"/>
      <c r="E116" s="590"/>
      <c r="F116" s="590"/>
      <c r="G116" s="590"/>
      <c r="H116" s="590"/>
      <c r="I116" s="590"/>
      <c r="J116" s="590"/>
      <c r="K116" s="590"/>
      <c r="L116" s="590"/>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0"/>
      <c r="AP116" s="590"/>
      <c r="AQ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1"/>
      <c r="BL116" s="591"/>
      <c r="BM116" s="591"/>
      <c r="BN116" s="591"/>
      <c r="BO116" s="591"/>
      <c r="BP116" s="591"/>
      <c r="BQ116" s="591"/>
      <c r="BR116" s="591"/>
      <c r="BS116" s="591"/>
      <c r="BT116" s="591"/>
      <c r="BU116" s="591"/>
      <c r="BV116" s="591"/>
      <c r="BW116" s="591"/>
      <c r="BX116" s="591"/>
      <c r="BY116" s="591"/>
      <c r="BZ116" s="591"/>
      <c r="CA116" s="591"/>
      <c r="CB116" s="591"/>
      <c r="CC116" s="591"/>
      <c r="CD116" s="591"/>
      <c r="CE116" s="591"/>
      <c r="CF116" s="591"/>
    </row>
    <row r="117" spans="1:84">
      <c r="A117" s="590"/>
      <c r="B117" s="590"/>
      <c r="C117" s="590"/>
      <c r="D117" s="590"/>
      <c r="E117" s="590"/>
      <c r="F117" s="590"/>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0"/>
      <c r="AP117" s="590"/>
      <c r="AQ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1"/>
      <c r="BL117" s="591"/>
      <c r="BM117" s="591"/>
      <c r="BN117" s="591"/>
      <c r="BO117" s="591"/>
      <c r="BP117" s="591"/>
      <c r="BQ117" s="591"/>
      <c r="BR117" s="591"/>
      <c r="BS117" s="591"/>
      <c r="BT117" s="591"/>
      <c r="BU117" s="591"/>
      <c r="BV117" s="591"/>
      <c r="BW117" s="591"/>
      <c r="BX117" s="591"/>
      <c r="BY117" s="591"/>
      <c r="BZ117" s="591"/>
      <c r="CA117" s="591"/>
      <c r="CB117" s="591"/>
      <c r="CC117" s="591"/>
      <c r="CD117" s="591"/>
      <c r="CE117" s="591"/>
      <c r="CF117" s="591"/>
    </row>
    <row r="118" spans="1:84">
      <c r="A118" s="590"/>
      <c r="B118" s="590"/>
      <c r="C118" s="590"/>
      <c r="D118" s="590"/>
      <c r="E118" s="590"/>
      <c r="F118" s="590"/>
      <c r="G118" s="590"/>
      <c r="H118" s="590"/>
      <c r="I118" s="590"/>
      <c r="J118" s="590"/>
      <c r="K118" s="590"/>
      <c r="L118" s="590"/>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0"/>
      <c r="AP118" s="590"/>
      <c r="AQ118" s="590"/>
      <c r="AR118" s="590"/>
      <c r="AS118" s="590"/>
      <c r="AT118" s="590"/>
      <c r="AU118" s="590"/>
      <c r="AV118" s="590"/>
      <c r="AW118" s="590"/>
      <c r="AX118" s="590"/>
      <c r="AY118" s="590"/>
      <c r="AZ118" s="590"/>
      <c r="BA118" s="590"/>
      <c r="BB118" s="590"/>
      <c r="BC118" s="590"/>
      <c r="BD118" s="590"/>
      <c r="BE118" s="590"/>
      <c r="BF118" s="590"/>
      <c r="BG118" s="590"/>
      <c r="BH118" s="590"/>
      <c r="BI118" s="590"/>
      <c r="BJ118" s="590"/>
      <c r="BK118" s="591"/>
      <c r="BL118" s="591"/>
      <c r="BM118" s="591"/>
      <c r="BN118" s="591"/>
      <c r="BO118" s="591"/>
      <c r="BP118" s="591"/>
      <c r="BQ118" s="591"/>
      <c r="BR118" s="591"/>
      <c r="BS118" s="591"/>
      <c r="BT118" s="591"/>
      <c r="BU118" s="591"/>
      <c r="BV118" s="591"/>
      <c r="BW118" s="591"/>
      <c r="BX118" s="591"/>
      <c r="BY118" s="591"/>
      <c r="BZ118" s="591"/>
      <c r="CA118" s="591"/>
      <c r="CB118" s="591"/>
      <c r="CC118" s="591"/>
      <c r="CD118" s="591"/>
      <c r="CE118" s="591"/>
      <c r="CF118" s="591"/>
    </row>
    <row r="119" spans="1:84">
      <c r="A119" s="590"/>
      <c r="B119" s="590"/>
      <c r="C119" s="590"/>
      <c r="D119" s="590"/>
      <c r="E119" s="590"/>
      <c r="F119" s="590"/>
      <c r="G119" s="590"/>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1"/>
      <c r="BL119" s="591"/>
      <c r="BM119" s="591"/>
      <c r="BN119" s="591"/>
      <c r="BO119" s="591"/>
      <c r="BP119" s="591"/>
      <c r="BQ119" s="591"/>
      <c r="BR119" s="591"/>
      <c r="BS119" s="591"/>
      <c r="BT119" s="591"/>
      <c r="BU119" s="591"/>
      <c r="BV119" s="591"/>
      <c r="BW119" s="591"/>
      <c r="BX119" s="591"/>
      <c r="BY119" s="591"/>
      <c r="BZ119" s="591"/>
      <c r="CA119" s="591"/>
      <c r="CB119" s="591"/>
      <c r="CC119" s="591"/>
      <c r="CD119" s="591"/>
      <c r="CE119" s="591"/>
      <c r="CF119" s="591"/>
    </row>
    <row r="120" spans="1:84">
      <c r="A120" s="590"/>
      <c r="B120" s="590"/>
      <c r="C120" s="590"/>
      <c r="D120" s="590"/>
      <c r="E120" s="590"/>
      <c r="F120" s="590"/>
      <c r="G120" s="590"/>
      <c r="H120" s="590"/>
      <c r="I120" s="590"/>
      <c r="J120" s="590"/>
      <c r="K120" s="590"/>
      <c r="L120" s="590"/>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1"/>
      <c r="BL120" s="591"/>
      <c r="BM120" s="591"/>
      <c r="BN120" s="591"/>
      <c r="BO120" s="591"/>
      <c r="BP120" s="591"/>
      <c r="BQ120" s="591"/>
      <c r="BR120" s="591"/>
      <c r="BS120" s="591"/>
      <c r="BT120" s="591"/>
      <c r="BU120" s="591"/>
      <c r="BV120" s="591"/>
      <c r="BW120" s="591"/>
      <c r="BX120" s="591"/>
      <c r="BY120" s="591"/>
      <c r="BZ120" s="591"/>
      <c r="CA120" s="591"/>
      <c r="CB120" s="591"/>
      <c r="CC120" s="591"/>
      <c r="CD120" s="591"/>
      <c r="CE120" s="591"/>
      <c r="CF120" s="591"/>
    </row>
    <row r="121" spans="1:84">
      <c r="A121" s="590"/>
      <c r="B121" s="590"/>
      <c r="C121" s="590"/>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1"/>
      <c r="BL121" s="591"/>
      <c r="BM121" s="591"/>
      <c r="BN121" s="591"/>
      <c r="BO121" s="591"/>
      <c r="BP121" s="591"/>
      <c r="BQ121" s="591"/>
      <c r="BR121" s="591"/>
      <c r="BS121" s="591"/>
      <c r="BT121" s="591"/>
      <c r="BU121" s="591"/>
      <c r="BV121" s="591"/>
      <c r="BW121" s="591"/>
      <c r="BX121" s="591"/>
      <c r="BY121" s="591"/>
      <c r="BZ121" s="591"/>
      <c r="CA121" s="591"/>
      <c r="CB121" s="591"/>
      <c r="CC121" s="591"/>
      <c r="CD121" s="591"/>
      <c r="CE121" s="591"/>
      <c r="CF121" s="591"/>
    </row>
    <row r="122" spans="1:84">
      <c r="A122" s="590"/>
      <c r="B122" s="590"/>
      <c r="C122" s="590"/>
      <c r="D122" s="590"/>
      <c r="E122" s="590"/>
      <c r="F122" s="590"/>
      <c r="G122" s="590"/>
      <c r="H122" s="590"/>
      <c r="I122" s="590"/>
      <c r="J122" s="590"/>
      <c r="K122" s="590"/>
      <c r="L122" s="590"/>
      <c r="M122" s="590"/>
      <c r="N122" s="590"/>
      <c r="O122" s="590"/>
      <c r="P122" s="590"/>
      <c r="Q122" s="590"/>
      <c r="R122" s="590"/>
      <c r="S122" s="590"/>
      <c r="T122" s="590"/>
      <c r="U122" s="590"/>
      <c r="V122" s="590"/>
      <c r="W122" s="590"/>
      <c r="X122" s="590"/>
      <c r="Y122" s="590"/>
      <c r="Z122" s="590"/>
      <c r="AA122" s="590"/>
      <c r="AB122" s="590"/>
      <c r="AC122" s="590"/>
      <c r="AD122" s="590"/>
      <c r="AE122" s="590"/>
      <c r="AF122" s="590"/>
      <c r="AG122" s="590"/>
      <c r="AH122" s="590"/>
      <c r="AI122" s="590"/>
      <c r="AJ122" s="590"/>
      <c r="AK122" s="590"/>
      <c r="AL122" s="590"/>
      <c r="AM122" s="590"/>
      <c r="AN122" s="590"/>
      <c r="AO122" s="590"/>
      <c r="AP122" s="590"/>
      <c r="AQ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1"/>
      <c r="BL122" s="591"/>
      <c r="BM122" s="591"/>
      <c r="BN122" s="591"/>
      <c r="BO122" s="591"/>
      <c r="BP122" s="591"/>
      <c r="BQ122" s="591"/>
      <c r="BR122" s="591"/>
      <c r="BS122" s="591"/>
      <c r="BT122" s="591"/>
      <c r="BU122" s="591"/>
      <c r="BV122" s="591"/>
      <c r="BW122" s="591"/>
      <c r="BX122" s="591"/>
      <c r="BY122" s="591"/>
      <c r="BZ122" s="591"/>
      <c r="CA122" s="591"/>
      <c r="CB122" s="591"/>
      <c r="CC122" s="591"/>
      <c r="CD122" s="591"/>
      <c r="CE122" s="591"/>
      <c r="CF122" s="591"/>
    </row>
    <row r="123" spans="1:84">
      <c r="A123" s="590"/>
      <c r="B123" s="590"/>
      <c r="C123" s="590"/>
      <c r="D123" s="590"/>
      <c r="E123" s="590"/>
      <c r="F123" s="590"/>
      <c r="G123" s="590"/>
      <c r="H123" s="590"/>
      <c r="I123" s="590"/>
      <c r="J123" s="590"/>
      <c r="K123" s="590"/>
      <c r="L123" s="590"/>
      <c r="M123" s="590"/>
      <c r="N123" s="590"/>
      <c r="O123" s="590"/>
      <c r="P123" s="590"/>
      <c r="Q123" s="590"/>
      <c r="R123" s="590"/>
      <c r="S123" s="590"/>
      <c r="T123" s="590"/>
      <c r="U123" s="590"/>
      <c r="V123" s="590"/>
      <c r="W123" s="590"/>
      <c r="X123" s="590"/>
      <c r="Y123" s="590"/>
      <c r="Z123" s="590"/>
      <c r="AA123" s="590"/>
      <c r="AB123" s="590"/>
      <c r="AC123" s="590"/>
      <c r="AD123" s="590"/>
      <c r="AE123" s="590"/>
      <c r="AF123" s="590"/>
      <c r="AG123" s="590"/>
      <c r="AH123" s="590"/>
      <c r="AI123" s="590"/>
      <c r="AJ123" s="590"/>
      <c r="AK123" s="590"/>
      <c r="AL123" s="590"/>
      <c r="AM123" s="590"/>
      <c r="AN123" s="590"/>
      <c r="AO123" s="590"/>
      <c r="AP123" s="590"/>
      <c r="AQ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1"/>
      <c r="BL123" s="591"/>
      <c r="BM123" s="591"/>
      <c r="BN123" s="591"/>
      <c r="BO123" s="591"/>
      <c r="BP123" s="591"/>
      <c r="BQ123" s="591"/>
      <c r="BR123" s="591"/>
      <c r="BS123" s="591"/>
      <c r="BT123" s="591"/>
      <c r="BU123" s="591"/>
      <c r="BV123" s="591"/>
      <c r="BW123" s="591"/>
      <c r="BX123" s="591"/>
      <c r="BY123" s="591"/>
      <c r="BZ123" s="591"/>
      <c r="CA123" s="591"/>
      <c r="CB123" s="591"/>
      <c r="CC123" s="591"/>
      <c r="CD123" s="591"/>
      <c r="CE123" s="591"/>
      <c r="CF123" s="591"/>
    </row>
    <row r="124" spans="1:84">
      <c r="A124" s="590"/>
      <c r="B124" s="590"/>
      <c r="C124" s="590"/>
      <c r="D124" s="590"/>
      <c r="E124" s="590"/>
      <c r="F124" s="590"/>
      <c r="G124" s="590"/>
      <c r="H124" s="590"/>
      <c r="I124" s="590"/>
      <c r="J124" s="590"/>
      <c r="K124" s="590"/>
      <c r="L124" s="590"/>
      <c r="M124" s="590"/>
      <c r="N124" s="590"/>
      <c r="O124" s="590"/>
      <c r="P124" s="590"/>
      <c r="Q124" s="590"/>
      <c r="R124" s="590"/>
      <c r="S124" s="590"/>
      <c r="T124" s="590"/>
      <c r="U124" s="590"/>
      <c r="V124" s="590"/>
      <c r="W124" s="590"/>
      <c r="X124" s="590"/>
      <c r="Y124" s="590"/>
      <c r="Z124" s="590"/>
      <c r="AA124" s="590"/>
      <c r="AB124" s="590"/>
      <c r="AC124" s="590"/>
      <c r="AD124" s="590"/>
      <c r="AE124" s="590"/>
      <c r="AF124" s="590"/>
      <c r="AG124" s="590"/>
      <c r="AH124" s="590"/>
      <c r="AI124" s="590"/>
      <c r="AJ124" s="590"/>
      <c r="AK124" s="590"/>
      <c r="AL124" s="590"/>
      <c r="AM124" s="590"/>
      <c r="AN124" s="590"/>
      <c r="AO124" s="590"/>
      <c r="AP124" s="590"/>
      <c r="AQ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1"/>
      <c r="BL124" s="591"/>
      <c r="BM124" s="591"/>
      <c r="BN124" s="591"/>
      <c r="BO124" s="591"/>
      <c r="BP124" s="591"/>
      <c r="BQ124" s="591"/>
      <c r="BR124" s="591"/>
      <c r="BS124" s="591"/>
      <c r="BT124" s="591"/>
      <c r="BU124" s="591"/>
      <c r="BV124" s="591"/>
      <c r="BW124" s="591"/>
      <c r="BX124" s="591"/>
      <c r="BY124" s="591"/>
      <c r="BZ124" s="591"/>
      <c r="CA124" s="591"/>
      <c r="CB124" s="591"/>
      <c r="CC124" s="591"/>
      <c r="CD124" s="591"/>
      <c r="CE124" s="591"/>
      <c r="CF124" s="591"/>
    </row>
    <row r="125" spans="1:84">
      <c r="A125" s="590"/>
      <c r="B125" s="590"/>
      <c r="C125" s="590"/>
      <c r="D125" s="590"/>
      <c r="E125" s="590"/>
      <c r="F125" s="590"/>
      <c r="G125" s="590"/>
      <c r="H125" s="590"/>
      <c r="I125" s="590"/>
      <c r="J125" s="590"/>
      <c r="K125" s="590"/>
      <c r="L125" s="590"/>
      <c r="M125" s="590"/>
      <c r="N125" s="590"/>
      <c r="O125" s="590"/>
      <c r="P125" s="590"/>
      <c r="Q125" s="590"/>
      <c r="R125" s="590"/>
      <c r="S125" s="590"/>
      <c r="T125" s="590"/>
      <c r="U125" s="590"/>
      <c r="V125" s="590"/>
      <c r="W125" s="590"/>
      <c r="X125" s="590"/>
      <c r="Y125" s="590"/>
      <c r="Z125" s="590"/>
      <c r="AA125" s="590"/>
      <c r="AB125" s="590"/>
      <c r="AC125" s="590"/>
      <c r="AD125" s="590"/>
      <c r="AE125" s="590"/>
      <c r="AF125" s="590"/>
      <c r="AG125" s="590"/>
      <c r="AH125" s="590"/>
      <c r="AI125" s="590"/>
      <c r="AJ125" s="590"/>
      <c r="AK125" s="590"/>
      <c r="AL125" s="590"/>
      <c r="AM125" s="590"/>
      <c r="AN125" s="590"/>
      <c r="AO125" s="590"/>
      <c r="AP125" s="590"/>
      <c r="AQ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1"/>
      <c r="BL125" s="591"/>
      <c r="BM125" s="591"/>
      <c r="BN125" s="591"/>
      <c r="BO125" s="591"/>
      <c r="BP125" s="591"/>
      <c r="BQ125" s="591"/>
      <c r="BR125" s="591"/>
      <c r="BS125" s="591"/>
      <c r="BT125" s="591"/>
      <c r="BU125" s="591"/>
      <c r="BV125" s="591"/>
      <c r="BW125" s="591"/>
      <c r="BX125" s="591"/>
      <c r="BY125" s="591"/>
      <c r="BZ125" s="591"/>
      <c r="CA125" s="591"/>
      <c r="CB125" s="591"/>
      <c r="CC125" s="591"/>
      <c r="CD125" s="591"/>
      <c r="CE125" s="591"/>
      <c r="CF125" s="591"/>
    </row>
    <row r="126" spans="1:84">
      <c r="A126" s="590"/>
      <c r="B126" s="590"/>
      <c r="C126" s="590"/>
      <c r="D126" s="590"/>
      <c r="E126" s="590"/>
      <c r="F126" s="590"/>
      <c r="G126" s="590"/>
      <c r="H126" s="590"/>
      <c r="I126" s="590"/>
      <c r="J126" s="590"/>
      <c r="K126" s="590"/>
      <c r="L126" s="590"/>
      <c r="M126" s="590"/>
      <c r="N126" s="590"/>
      <c r="O126" s="590"/>
      <c r="P126" s="590"/>
      <c r="Q126" s="590"/>
      <c r="R126" s="590"/>
      <c r="S126" s="590"/>
      <c r="T126" s="590"/>
      <c r="U126" s="590"/>
      <c r="V126" s="590"/>
      <c r="W126" s="590"/>
      <c r="X126" s="590"/>
      <c r="Y126" s="590"/>
      <c r="Z126" s="590"/>
      <c r="AA126" s="590"/>
      <c r="AB126" s="590"/>
      <c r="AC126" s="590"/>
      <c r="AD126" s="590"/>
      <c r="AE126" s="590"/>
      <c r="AF126" s="590"/>
      <c r="AG126" s="590"/>
      <c r="AH126" s="590"/>
      <c r="AI126" s="590"/>
      <c r="AJ126" s="590"/>
      <c r="AK126" s="590"/>
      <c r="AL126" s="590"/>
      <c r="AM126" s="590"/>
      <c r="AN126" s="590"/>
      <c r="AO126" s="590"/>
      <c r="AP126" s="590"/>
      <c r="AQ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1"/>
      <c r="BL126" s="591"/>
      <c r="BM126" s="591"/>
      <c r="BN126" s="591"/>
      <c r="BO126" s="591"/>
      <c r="BP126" s="591"/>
      <c r="BQ126" s="591"/>
      <c r="BR126" s="591"/>
      <c r="BS126" s="591"/>
      <c r="BT126" s="591"/>
      <c r="BU126" s="591"/>
      <c r="BV126" s="591"/>
      <c r="BW126" s="591"/>
      <c r="BX126" s="591"/>
      <c r="BY126" s="591"/>
      <c r="BZ126" s="591"/>
      <c r="CA126" s="591"/>
      <c r="CB126" s="591"/>
      <c r="CC126" s="591"/>
      <c r="CD126" s="591"/>
      <c r="CE126" s="591"/>
      <c r="CF126" s="591"/>
    </row>
    <row r="127" spans="1:84">
      <c r="A127" s="590"/>
      <c r="B127" s="590"/>
      <c r="C127" s="590"/>
      <c r="D127" s="590"/>
      <c r="E127" s="590"/>
      <c r="F127" s="590"/>
      <c r="G127" s="590"/>
      <c r="H127" s="590"/>
      <c r="I127" s="590"/>
      <c r="J127" s="590"/>
      <c r="K127" s="590"/>
      <c r="L127" s="590"/>
      <c r="M127" s="590"/>
      <c r="N127" s="590"/>
      <c r="O127" s="590"/>
      <c r="P127" s="590"/>
      <c r="Q127" s="590"/>
      <c r="R127" s="590"/>
      <c r="S127" s="590"/>
      <c r="T127" s="590"/>
      <c r="U127" s="590"/>
      <c r="V127" s="590"/>
      <c r="W127" s="590"/>
      <c r="X127" s="590"/>
      <c r="Y127" s="590"/>
      <c r="Z127" s="590"/>
      <c r="AA127" s="590"/>
      <c r="AB127" s="590"/>
      <c r="AC127" s="590"/>
      <c r="AD127" s="590"/>
      <c r="AE127" s="590"/>
      <c r="AF127" s="590"/>
      <c r="AG127" s="590"/>
      <c r="AH127" s="590"/>
      <c r="AI127" s="590"/>
      <c r="AJ127" s="590"/>
      <c r="AK127" s="590"/>
      <c r="AL127" s="590"/>
      <c r="AM127" s="590"/>
      <c r="AN127" s="590"/>
      <c r="AO127" s="590"/>
      <c r="AP127" s="590"/>
      <c r="AQ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1"/>
      <c r="BL127" s="591"/>
      <c r="BM127" s="591"/>
      <c r="BN127" s="591"/>
      <c r="BO127" s="591"/>
      <c r="BP127" s="591"/>
      <c r="BQ127" s="591"/>
      <c r="BR127" s="591"/>
      <c r="BS127" s="591"/>
      <c r="BT127" s="591"/>
      <c r="BU127" s="591"/>
      <c r="BV127" s="591"/>
      <c r="BW127" s="591"/>
      <c r="BX127" s="591"/>
      <c r="BY127" s="591"/>
      <c r="BZ127" s="591"/>
      <c r="CA127" s="591"/>
      <c r="CB127" s="591"/>
      <c r="CC127" s="591"/>
      <c r="CD127" s="591"/>
      <c r="CE127" s="591"/>
      <c r="CF127" s="591"/>
    </row>
    <row r="128" spans="1:84">
      <c r="A128" s="590"/>
      <c r="B128" s="590"/>
      <c r="C128" s="590"/>
      <c r="D128" s="590"/>
      <c r="E128" s="590"/>
      <c r="F128" s="590"/>
      <c r="G128" s="590"/>
      <c r="H128" s="590"/>
      <c r="I128" s="590"/>
      <c r="J128" s="590"/>
      <c r="K128" s="590"/>
      <c r="L128" s="590"/>
      <c r="M128" s="590"/>
      <c r="N128" s="590"/>
      <c r="O128" s="590"/>
      <c r="P128" s="590"/>
      <c r="Q128" s="590"/>
      <c r="R128" s="590"/>
      <c r="S128" s="590"/>
      <c r="T128" s="590"/>
      <c r="U128" s="590"/>
      <c r="V128" s="590"/>
      <c r="W128" s="590"/>
      <c r="X128" s="590"/>
      <c r="Y128" s="590"/>
      <c r="Z128" s="590"/>
      <c r="AA128" s="590"/>
      <c r="AB128" s="590"/>
      <c r="AC128" s="590"/>
      <c r="AD128" s="590"/>
      <c r="AE128" s="590"/>
      <c r="AF128" s="590"/>
      <c r="AG128" s="590"/>
      <c r="AH128" s="590"/>
      <c r="AI128" s="590"/>
      <c r="AJ128" s="590"/>
      <c r="AK128" s="590"/>
      <c r="AL128" s="590"/>
      <c r="AM128" s="590"/>
      <c r="AN128" s="590"/>
      <c r="AO128" s="590"/>
      <c r="AP128" s="590"/>
      <c r="AQ128" s="590"/>
      <c r="AR128" s="590"/>
      <c r="AS128" s="590"/>
      <c r="AT128" s="590"/>
      <c r="AU128" s="590"/>
      <c r="AV128" s="590"/>
      <c r="AW128" s="590"/>
      <c r="AX128" s="590"/>
      <c r="AY128" s="590"/>
      <c r="AZ128" s="590"/>
      <c r="BA128" s="590"/>
      <c r="BB128" s="590"/>
      <c r="BC128" s="590"/>
      <c r="BD128" s="590"/>
      <c r="BE128" s="590"/>
      <c r="BF128" s="590"/>
      <c r="BG128" s="590"/>
      <c r="BH128" s="590"/>
      <c r="BI128" s="590"/>
      <c r="BJ128" s="590"/>
      <c r="BK128" s="591"/>
      <c r="BL128" s="591"/>
      <c r="BM128" s="591"/>
      <c r="BN128" s="591"/>
      <c r="BO128" s="591"/>
      <c r="BP128" s="591"/>
      <c r="BQ128" s="591"/>
      <c r="BR128" s="591"/>
      <c r="BS128" s="591"/>
      <c r="BT128" s="591"/>
      <c r="BU128" s="591"/>
      <c r="BV128" s="591"/>
      <c r="BW128" s="591"/>
      <c r="BX128" s="591"/>
      <c r="BY128" s="591"/>
      <c r="BZ128" s="591"/>
      <c r="CA128" s="591"/>
      <c r="CB128" s="591"/>
      <c r="CC128" s="591"/>
      <c r="CD128" s="591"/>
      <c r="CE128" s="591"/>
      <c r="CF128" s="591"/>
    </row>
    <row r="129" spans="1:84">
      <c r="A129" s="590"/>
      <c r="B129" s="590"/>
      <c r="C129" s="590"/>
      <c r="D129" s="590"/>
      <c r="E129" s="590"/>
      <c r="F129" s="590"/>
      <c r="G129" s="590"/>
      <c r="H129" s="590"/>
      <c r="I129" s="590"/>
      <c r="J129" s="590"/>
      <c r="K129" s="590"/>
      <c r="L129" s="590"/>
      <c r="M129" s="590"/>
      <c r="N129" s="590"/>
      <c r="O129" s="590"/>
      <c r="P129" s="590"/>
      <c r="Q129" s="590"/>
      <c r="R129" s="590"/>
      <c r="S129" s="590"/>
      <c r="T129" s="590"/>
      <c r="U129" s="590"/>
      <c r="V129" s="590"/>
      <c r="W129" s="590"/>
      <c r="X129" s="590"/>
      <c r="Y129" s="590"/>
      <c r="Z129" s="590"/>
      <c r="AA129" s="590"/>
      <c r="AB129" s="590"/>
      <c r="AC129" s="590"/>
      <c r="AD129" s="590"/>
      <c r="AE129" s="590"/>
      <c r="AF129" s="590"/>
      <c r="AG129" s="590"/>
      <c r="AH129" s="590"/>
      <c r="AI129" s="590"/>
      <c r="AJ129" s="590"/>
      <c r="AK129" s="590"/>
      <c r="AL129" s="590"/>
      <c r="AM129" s="590"/>
      <c r="AN129" s="590"/>
      <c r="AO129" s="590"/>
      <c r="AP129" s="590"/>
      <c r="AQ129" s="590"/>
      <c r="AR129" s="590"/>
      <c r="AS129" s="590"/>
      <c r="AT129" s="590"/>
      <c r="AU129" s="590"/>
      <c r="AV129" s="590"/>
      <c r="AW129" s="590"/>
      <c r="AX129" s="590"/>
      <c r="AY129" s="590"/>
      <c r="AZ129" s="590"/>
      <c r="BA129" s="590"/>
      <c r="BB129" s="590"/>
      <c r="BC129" s="590"/>
      <c r="BD129" s="590"/>
      <c r="BE129" s="590"/>
      <c r="BF129" s="590"/>
      <c r="BG129" s="590"/>
      <c r="BH129" s="590"/>
      <c r="BI129" s="590"/>
      <c r="BJ129" s="590"/>
      <c r="BK129" s="591"/>
      <c r="BL129" s="591"/>
      <c r="BM129" s="591"/>
      <c r="BN129" s="591"/>
      <c r="BO129" s="591"/>
      <c r="BP129" s="591"/>
      <c r="BQ129" s="591"/>
      <c r="BR129" s="591"/>
      <c r="BS129" s="591"/>
      <c r="BT129" s="591"/>
      <c r="BU129" s="591"/>
      <c r="BV129" s="591"/>
      <c r="BW129" s="591"/>
      <c r="BX129" s="591"/>
      <c r="BY129" s="591"/>
      <c r="BZ129" s="591"/>
      <c r="CA129" s="591"/>
      <c r="CB129" s="591"/>
      <c r="CC129" s="591"/>
      <c r="CD129" s="591"/>
      <c r="CE129" s="591"/>
      <c r="CF129" s="591"/>
    </row>
    <row r="130" spans="1:84">
      <c r="A130" s="590"/>
      <c r="B130" s="590"/>
      <c r="C130" s="590"/>
      <c r="D130" s="590"/>
      <c r="E130" s="590"/>
      <c r="F130" s="590"/>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0"/>
      <c r="AQ130" s="590"/>
      <c r="AR130" s="590"/>
      <c r="AS130" s="590"/>
      <c r="AT130" s="590"/>
      <c r="AU130" s="590"/>
      <c r="AV130" s="590"/>
      <c r="AW130" s="590"/>
      <c r="AX130" s="590"/>
      <c r="AY130" s="590"/>
      <c r="AZ130" s="590"/>
      <c r="BA130" s="590"/>
      <c r="BB130" s="590"/>
      <c r="BC130" s="590"/>
      <c r="BD130" s="590"/>
      <c r="BE130" s="590"/>
      <c r="BF130" s="590"/>
      <c r="BG130" s="590"/>
      <c r="BH130" s="590"/>
      <c r="BI130" s="590"/>
      <c r="BJ130" s="590"/>
      <c r="BK130" s="591"/>
      <c r="BL130" s="591"/>
      <c r="BM130" s="591"/>
      <c r="BN130" s="591"/>
      <c r="BO130" s="591"/>
      <c r="BP130" s="591"/>
      <c r="BQ130" s="591"/>
      <c r="BR130" s="591"/>
      <c r="BS130" s="591"/>
      <c r="BT130" s="591"/>
      <c r="BU130" s="591"/>
      <c r="BV130" s="591"/>
      <c r="BW130" s="591"/>
      <c r="BX130" s="591"/>
      <c r="BY130" s="591"/>
      <c r="BZ130" s="591"/>
      <c r="CA130" s="591"/>
      <c r="CB130" s="591"/>
      <c r="CC130" s="591"/>
      <c r="CD130" s="591"/>
      <c r="CE130" s="591"/>
      <c r="CF130" s="591"/>
    </row>
    <row r="131" spans="1:84">
      <c r="A131" s="590"/>
      <c r="B131" s="590"/>
      <c r="C131" s="590"/>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1"/>
      <c r="BL131" s="591"/>
      <c r="BM131" s="591"/>
      <c r="BN131" s="591"/>
      <c r="BO131" s="591"/>
      <c r="BP131" s="591"/>
      <c r="BQ131" s="591"/>
      <c r="BR131" s="591"/>
      <c r="BS131" s="591"/>
      <c r="BT131" s="591"/>
      <c r="BU131" s="591"/>
      <c r="BV131" s="591"/>
      <c r="BW131" s="591"/>
      <c r="BX131" s="591"/>
      <c r="BY131" s="591"/>
      <c r="BZ131" s="591"/>
      <c r="CA131" s="591"/>
      <c r="CB131" s="591"/>
      <c r="CC131" s="591"/>
      <c r="CD131" s="591"/>
      <c r="CE131" s="591"/>
      <c r="CF131" s="591"/>
    </row>
    <row r="132" spans="1:84">
      <c r="A132" s="590"/>
      <c r="B132" s="590"/>
      <c r="C132" s="590"/>
      <c r="D132" s="590"/>
      <c r="E132" s="590"/>
      <c r="F132" s="590"/>
      <c r="G132" s="590"/>
      <c r="H132" s="590"/>
      <c r="I132" s="590"/>
      <c r="J132" s="590"/>
      <c r="K132" s="590"/>
      <c r="L132" s="590"/>
      <c r="M132" s="590"/>
      <c r="N132" s="590"/>
      <c r="O132" s="590"/>
      <c r="P132" s="590"/>
      <c r="Q132" s="590"/>
      <c r="R132" s="590"/>
      <c r="S132" s="590"/>
      <c r="T132" s="590"/>
      <c r="U132" s="590"/>
      <c r="V132" s="590"/>
      <c r="W132" s="590"/>
      <c r="X132" s="590"/>
      <c r="Y132" s="590"/>
      <c r="Z132" s="590"/>
      <c r="AA132" s="590"/>
      <c r="AB132" s="590"/>
      <c r="AC132" s="590"/>
      <c r="AD132" s="590"/>
      <c r="AE132" s="590"/>
      <c r="AF132" s="590"/>
      <c r="AG132" s="590"/>
      <c r="AH132" s="590"/>
      <c r="AI132" s="590"/>
      <c r="AJ132" s="590"/>
      <c r="AK132" s="590"/>
      <c r="AL132" s="590"/>
      <c r="AM132" s="590"/>
      <c r="AN132" s="590"/>
      <c r="AO132" s="590"/>
      <c r="AP132" s="590"/>
      <c r="AQ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1"/>
      <c r="BL132" s="591"/>
      <c r="BM132" s="591"/>
      <c r="BN132" s="591"/>
      <c r="BO132" s="591"/>
      <c r="BP132" s="591"/>
      <c r="BQ132" s="591"/>
      <c r="BR132" s="591"/>
      <c r="BS132" s="591"/>
      <c r="BT132" s="591"/>
      <c r="BU132" s="591"/>
      <c r="BV132" s="591"/>
      <c r="BW132" s="591"/>
      <c r="BX132" s="591"/>
      <c r="BY132" s="591"/>
      <c r="BZ132" s="591"/>
      <c r="CA132" s="591"/>
      <c r="CB132" s="591"/>
      <c r="CC132" s="591"/>
      <c r="CD132" s="591"/>
      <c r="CE132" s="591"/>
      <c r="CF132" s="591"/>
    </row>
    <row r="133" spans="1:84">
      <c r="A133" s="590"/>
      <c r="B133" s="590"/>
      <c r="C133" s="590"/>
      <c r="D133" s="590"/>
      <c r="E133" s="590"/>
      <c r="F133" s="590"/>
      <c r="G133" s="590"/>
      <c r="H133" s="590"/>
      <c r="I133" s="590"/>
      <c r="J133" s="590"/>
      <c r="K133" s="590"/>
      <c r="L133" s="590"/>
      <c r="M133" s="590"/>
      <c r="N133" s="590"/>
      <c r="O133" s="590"/>
      <c r="P133" s="590"/>
      <c r="Q133" s="590"/>
      <c r="R133" s="590"/>
      <c r="S133" s="590"/>
      <c r="T133" s="590"/>
      <c r="U133" s="590"/>
      <c r="V133" s="590"/>
      <c r="W133" s="590"/>
      <c r="X133" s="590"/>
      <c r="Y133" s="590"/>
      <c r="Z133" s="590"/>
      <c r="AA133" s="590"/>
      <c r="AB133" s="590"/>
      <c r="AC133" s="590"/>
      <c r="AD133" s="590"/>
      <c r="AE133" s="590"/>
      <c r="AF133" s="590"/>
      <c r="AG133" s="590"/>
      <c r="AH133" s="590"/>
      <c r="AI133" s="590"/>
      <c r="AJ133" s="590"/>
      <c r="AK133" s="590"/>
      <c r="AL133" s="590"/>
      <c r="AM133" s="590"/>
      <c r="AN133" s="590"/>
      <c r="AO133" s="590"/>
      <c r="AP133" s="590"/>
      <c r="AQ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1"/>
      <c r="BL133" s="591"/>
      <c r="BM133" s="591"/>
      <c r="BN133" s="591"/>
      <c r="BO133" s="591"/>
      <c r="BP133" s="591"/>
      <c r="BQ133" s="591"/>
      <c r="BR133" s="591"/>
      <c r="BS133" s="591"/>
      <c r="BT133" s="591"/>
      <c r="BU133" s="591"/>
      <c r="BV133" s="591"/>
      <c r="BW133" s="591"/>
      <c r="BX133" s="591"/>
      <c r="BY133" s="591"/>
      <c r="BZ133" s="591"/>
      <c r="CA133" s="591"/>
      <c r="CB133" s="591"/>
      <c r="CC133" s="591"/>
      <c r="CD133" s="591"/>
      <c r="CE133" s="591"/>
      <c r="CF133" s="591"/>
    </row>
    <row r="134" spans="1:84">
      <c r="A134" s="590"/>
      <c r="B134" s="590"/>
      <c r="C134" s="590"/>
      <c r="D134" s="590"/>
      <c r="E134" s="590"/>
      <c r="F134" s="590"/>
      <c r="G134" s="590"/>
      <c r="H134" s="590"/>
      <c r="I134" s="590"/>
      <c r="J134" s="590"/>
      <c r="K134" s="590"/>
      <c r="L134" s="590"/>
      <c r="M134" s="590"/>
      <c r="N134" s="590"/>
      <c r="O134" s="590"/>
      <c r="P134" s="590"/>
      <c r="Q134" s="590"/>
      <c r="R134" s="590"/>
      <c r="S134" s="590"/>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0"/>
      <c r="AQ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1"/>
      <c r="BL134" s="591"/>
      <c r="BM134" s="591"/>
      <c r="BN134" s="591"/>
      <c r="BO134" s="591"/>
      <c r="BP134" s="591"/>
      <c r="BQ134" s="591"/>
      <c r="BR134" s="591"/>
      <c r="BS134" s="591"/>
      <c r="BT134" s="591"/>
      <c r="BU134" s="591"/>
      <c r="BV134" s="591"/>
      <c r="BW134" s="591"/>
      <c r="BX134" s="591"/>
      <c r="BY134" s="591"/>
      <c r="BZ134" s="591"/>
      <c r="CA134" s="591"/>
      <c r="CB134" s="591"/>
      <c r="CC134" s="591"/>
      <c r="CD134" s="591"/>
      <c r="CE134" s="591"/>
      <c r="CF134" s="591"/>
    </row>
    <row r="135" spans="1:84">
      <c r="A135" s="590"/>
      <c r="B135" s="590"/>
      <c r="C135" s="590"/>
      <c r="D135" s="590"/>
      <c r="E135" s="590"/>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1"/>
      <c r="BL135" s="591"/>
      <c r="BM135" s="591"/>
      <c r="BN135" s="591"/>
      <c r="BO135" s="591"/>
      <c r="BP135" s="591"/>
      <c r="BQ135" s="591"/>
      <c r="BR135" s="591"/>
      <c r="BS135" s="591"/>
      <c r="BT135" s="591"/>
      <c r="BU135" s="591"/>
      <c r="BV135" s="591"/>
      <c r="BW135" s="591"/>
      <c r="BX135" s="591"/>
      <c r="BY135" s="591"/>
      <c r="BZ135" s="591"/>
      <c r="CA135" s="591"/>
      <c r="CB135" s="591"/>
      <c r="CC135" s="591"/>
      <c r="CD135" s="591"/>
      <c r="CE135" s="591"/>
      <c r="CF135" s="591"/>
    </row>
    <row r="136" spans="1:84">
      <c r="A136" s="590"/>
      <c r="B136" s="590"/>
      <c r="C136" s="590"/>
      <c r="D136" s="590"/>
      <c r="E136" s="590"/>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0"/>
      <c r="AQ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1"/>
      <c r="BL136" s="591"/>
      <c r="BM136" s="591"/>
      <c r="BN136" s="591"/>
      <c r="BO136" s="591"/>
      <c r="BP136" s="591"/>
      <c r="BQ136" s="591"/>
      <c r="BR136" s="591"/>
      <c r="BS136" s="591"/>
      <c r="BT136" s="591"/>
      <c r="BU136" s="591"/>
      <c r="BV136" s="591"/>
      <c r="BW136" s="591"/>
      <c r="BX136" s="591"/>
      <c r="BY136" s="591"/>
      <c r="BZ136" s="591"/>
      <c r="CA136" s="591"/>
      <c r="CB136" s="591"/>
      <c r="CC136" s="591"/>
      <c r="CD136" s="591"/>
      <c r="CE136" s="591"/>
      <c r="CF136" s="591"/>
    </row>
    <row r="137" spans="1:84">
      <c r="A137" s="590"/>
      <c r="B137" s="590"/>
      <c r="C137" s="590"/>
      <c r="D137" s="590"/>
      <c r="E137" s="590"/>
      <c r="F137" s="590"/>
      <c r="G137" s="590"/>
      <c r="H137" s="590"/>
      <c r="I137" s="590"/>
      <c r="J137" s="590"/>
      <c r="K137" s="590"/>
      <c r="L137" s="590"/>
      <c r="M137" s="590"/>
      <c r="N137" s="590"/>
      <c r="O137" s="590"/>
      <c r="P137" s="590"/>
      <c r="Q137" s="590"/>
      <c r="R137" s="590"/>
      <c r="S137" s="590"/>
      <c r="T137" s="590"/>
      <c r="U137" s="590"/>
      <c r="V137" s="590"/>
      <c r="W137" s="590"/>
      <c r="X137" s="590"/>
      <c r="Y137" s="590"/>
      <c r="Z137" s="590"/>
      <c r="AA137" s="590"/>
      <c r="AB137" s="590"/>
      <c r="AC137" s="590"/>
      <c r="AD137" s="590"/>
      <c r="AE137" s="590"/>
      <c r="AF137" s="590"/>
      <c r="AG137" s="590"/>
      <c r="AH137" s="590"/>
      <c r="AI137" s="590"/>
      <c r="AJ137" s="590"/>
      <c r="AK137" s="590"/>
      <c r="AL137" s="590"/>
      <c r="AM137" s="590"/>
      <c r="AN137" s="590"/>
      <c r="AO137" s="590"/>
      <c r="AP137" s="590"/>
      <c r="AQ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1"/>
      <c r="BL137" s="591"/>
      <c r="BM137" s="591"/>
      <c r="BN137" s="591"/>
      <c r="BO137" s="591"/>
      <c r="BP137" s="591"/>
      <c r="BQ137" s="591"/>
      <c r="BR137" s="591"/>
      <c r="BS137" s="591"/>
      <c r="BT137" s="591"/>
      <c r="BU137" s="591"/>
      <c r="BV137" s="591"/>
      <c r="BW137" s="591"/>
      <c r="BX137" s="591"/>
      <c r="BY137" s="591"/>
      <c r="BZ137" s="591"/>
      <c r="CA137" s="591"/>
      <c r="CB137" s="591"/>
      <c r="CC137" s="591"/>
      <c r="CD137" s="591"/>
      <c r="CE137" s="591"/>
      <c r="CF137" s="591"/>
    </row>
    <row r="138" spans="1:84">
      <c r="A138" s="590"/>
      <c r="B138" s="590"/>
      <c r="C138" s="590"/>
      <c r="D138" s="590"/>
      <c r="E138" s="590"/>
      <c r="F138" s="590"/>
      <c r="G138" s="590"/>
      <c r="H138" s="590"/>
      <c r="I138" s="590"/>
      <c r="J138" s="590"/>
      <c r="K138" s="590"/>
      <c r="L138" s="590"/>
      <c r="M138" s="590"/>
      <c r="N138" s="590"/>
      <c r="O138" s="590"/>
      <c r="P138" s="590"/>
      <c r="Q138" s="590"/>
      <c r="R138" s="590"/>
      <c r="S138" s="590"/>
      <c r="T138" s="590"/>
      <c r="U138" s="590"/>
      <c r="V138" s="590"/>
      <c r="W138" s="590"/>
      <c r="X138" s="590"/>
      <c r="Y138" s="590"/>
      <c r="Z138" s="590"/>
      <c r="AA138" s="590"/>
      <c r="AB138" s="590"/>
      <c r="AC138" s="590"/>
      <c r="AD138" s="590"/>
      <c r="AE138" s="590"/>
      <c r="AF138" s="590"/>
      <c r="AG138" s="590"/>
      <c r="AH138" s="590"/>
      <c r="AI138" s="590"/>
      <c r="AJ138" s="590"/>
      <c r="AK138" s="590"/>
      <c r="AL138" s="590"/>
      <c r="AM138" s="590"/>
      <c r="AN138" s="590"/>
      <c r="AO138" s="590"/>
      <c r="AP138" s="590"/>
      <c r="AQ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1"/>
      <c r="BL138" s="591"/>
      <c r="BM138" s="591"/>
      <c r="BN138" s="591"/>
      <c r="BO138" s="591"/>
      <c r="BP138" s="591"/>
      <c r="BQ138" s="591"/>
      <c r="BR138" s="591"/>
      <c r="BS138" s="591"/>
      <c r="BT138" s="591"/>
      <c r="BU138" s="591"/>
      <c r="BV138" s="591"/>
      <c r="BW138" s="591"/>
      <c r="BX138" s="591"/>
      <c r="BY138" s="591"/>
      <c r="BZ138" s="591"/>
      <c r="CA138" s="591"/>
      <c r="CB138" s="591"/>
      <c r="CC138" s="591"/>
      <c r="CD138" s="591"/>
      <c r="CE138" s="591"/>
      <c r="CF138" s="591"/>
    </row>
    <row r="139" spans="1:84">
      <c r="A139" s="590"/>
      <c r="B139" s="590"/>
      <c r="C139" s="590"/>
      <c r="D139" s="590"/>
      <c r="E139" s="590"/>
      <c r="F139" s="590"/>
      <c r="G139" s="590"/>
      <c r="H139" s="590"/>
      <c r="I139" s="590"/>
      <c r="J139" s="590"/>
      <c r="K139" s="590"/>
      <c r="L139" s="590"/>
      <c r="M139" s="590"/>
      <c r="N139" s="590"/>
      <c r="O139" s="590"/>
      <c r="P139" s="590"/>
      <c r="Q139" s="590"/>
      <c r="R139" s="590"/>
      <c r="S139" s="590"/>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0"/>
      <c r="AQ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1"/>
      <c r="BL139" s="591"/>
      <c r="BM139" s="591"/>
      <c r="BN139" s="591"/>
      <c r="BO139" s="591"/>
      <c r="BP139" s="591"/>
      <c r="BQ139" s="591"/>
      <c r="BR139" s="591"/>
      <c r="BS139" s="591"/>
      <c r="BT139" s="591"/>
      <c r="BU139" s="591"/>
      <c r="BV139" s="591"/>
      <c r="BW139" s="591"/>
      <c r="BX139" s="591"/>
      <c r="BY139" s="591"/>
      <c r="BZ139" s="591"/>
      <c r="CA139" s="591"/>
      <c r="CB139" s="591"/>
      <c r="CC139" s="591"/>
      <c r="CD139" s="591"/>
      <c r="CE139" s="591"/>
      <c r="CF139" s="591"/>
    </row>
    <row r="140" spans="1:84">
      <c r="A140" s="590"/>
      <c r="B140" s="590"/>
      <c r="C140" s="590"/>
      <c r="D140" s="590"/>
      <c r="E140" s="590"/>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0"/>
      <c r="AK140" s="590"/>
      <c r="AL140" s="590"/>
      <c r="AM140" s="590"/>
      <c r="AN140" s="590"/>
      <c r="AO140" s="590"/>
      <c r="AP140" s="590"/>
      <c r="AQ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1"/>
      <c r="BL140" s="591"/>
      <c r="BM140" s="591"/>
      <c r="BN140" s="591"/>
      <c r="BO140" s="591"/>
      <c r="BP140" s="591"/>
      <c r="BQ140" s="591"/>
      <c r="BR140" s="591"/>
      <c r="BS140" s="591"/>
      <c r="BT140" s="591"/>
      <c r="BU140" s="591"/>
      <c r="BV140" s="591"/>
      <c r="BW140" s="591"/>
      <c r="BX140" s="591"/>
      <c r="BY140" s="591"/>
      <c r="BZ140" s="591"/>
      <c r="CA140" s="591"/>
      <c r="CB140" s="591"/>
      <c r="CC140" s="591"/>
      <c r="CD140" s="591"/>
      <c r="CE140" s="591"/>
      <c r="CF140" s="591"/>
    </row>
    <row r="141" spans="1:84">
      <c r="A141" s="590"/>
      <c r="B141" s="590"/>
      <c r="C141" s="590"/>
      <c r="D141" s="590"/>
      <c r="E141" s="590"/>
      <c r="F141" s="590"/>
      <c r="G141" s="590"/>
      <c r="H141" s="590"/>
      <c r="I141" s="590"/>
      <c r="J141" s="590"/>
      <c r="K141" s="590"/>
      <c r="L141" s="590"/>
      <c r="M141" s="590"/>
      <c r="N141" s="590"/>
      <c r="O141" s="590"/>
      <c r="P141" s="590"/>
      <c r="Q141" s="590"/>
      <c r="R141" s="590"/>
      <c r="S141" s="590"/>
      <c r="T141" s="590"/>
      <c r="U141" s="590"/>
      <c r="V141" s="590"/>
      <c r="W141" s="590"/>
      <c r="X141" s="590"/>
      <c r="Y141" s="590"/>
      <c r="Z141" s="590"/>
      <c r="AA141" s="590"/>
      <c r="AB141" s="590"/>
      <c r="AC141" s="590"/>
      <c r="AD141" s="590"/>
      <c r="AE141" s="590"/>
      <c r="AF141" s="590"/>
      <c r="AG141" s="590"/>
      <c r="AH141" s="590"/>
      <c r="AI141" s="590"/>
      <c r="AJ141" s="590"/>
      <c r="AK141" s="590"/>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1"/>
      <c r="BL141" s="591"/>
      <c r="BM141" s="591"/>
      <c r="BN141" s="591"/>
      <c r="BO141" s="591"/>
      <c r="BP141" s="591"/>
      <c r="BQ141" s="591"/>
      <c r="BR141" s="591"/>
      <c r="BS141" s="591"/>
      <c r="BT141" s="591"/>
      <c r="BU141" s="591"/>
      <c r="BV141" s="591"/>
      <c r="BW141" s="591"/>
      <c r="BX141" s="591"/>
      <c r="BY141" s="591"/>
      <c r="BZ141" s="591"/>
      <c r="CA141" s="591"/>
      <c r="CB141" s="591"/>
      <c r="CC141" s="591"/>
      <c r="CD141" s="591"/>
      <c r="CE141" s="591"/>
      <c r="CF141" s="591"/>
    </row>
    <row r="142" spans="1:84">
      <c r="A142" s="590"/>
      <c r="B142" s="590"/>
      <c r="C142" s="590"/>
      <c r="D142" s="590"/>
      <c r="E142" s="590"/>
      <c r="F142" s="590"/>
      <c r="G142" s="590"/>
      <c r="H142" s="590"/>
      <c r="I142" s="590"/>
      <c r="J142" s="590"/>
      <c r="K142" s="590"/>
      <c r="L142" s="590"/>
      <c r="M142" s="590"/>
      <c r="N142" s="590"/>
      <c r="O142" s="590"/>
      <c r="P142" s="590"/>
      <c r="Q142" s="590"/>
      <c r="R142" s="590"/>
      <c r="S142" s="590"/>
      <c r="T142" s="590"/>
      <c r="U142" s="590"/>
      <c r="V142" s="590"/>
      <c r="W142" s="590"/>
      <c r="X142" s="590"/>
      <c r="Y142" s="590"/>
      <c r="Z142" s="590"/>
      <c r="AA142" s="590"/>
      <c r="AB142" s="590"/>
      <c r="AC142" s="590"/>
      <c r="AD142" s="590"/>
      <c r="AE142" s="590"/>
      <c r="AF142" s="590"/>
      <c r="AG142" s="590"/>
      <c r="AH142" s="590"/>
      <c r="AI142" s="590"/>
      <c r="AJ142" s="590"/>
      <c r="AK142" s="590"/>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1"/>
      <c r="BL142" s="591"/>
      <c r="BM142" s="591"/>
      <c r="BN142" s="591"/>
      <c r="BO142" s="591"/>
      <c r="BP142" s="591"/>
      <c r="BQ142" s="591"/>
      <c r="BR142" s="591"/>
      <c r="BS142" s="591"/>
      <c r="BT142" s="591"/>
      <c r="BU142" s="591"/>
      <c r="BV142" s="591"/>
      <c r="BW142" s="591"/>
      <c r="BX142" s="591"/>
      <c r="BY142" s="591"/>
      <c r="BZ142" s="591"/>
      <c r="CA142" s="591"/>
      <c r="CB142" s="591"/>
      <c r="CC142" s="591"/>
      <c r="CD142" s="591"/>
      <c r="CE142" s="591"/>
      <c r="CF142" s="591"/>
    </row>
    <row r="143" spans="1:84">
      <c r="A143" s="590"/>
      <c r="B143" s="590"/>
      <c r="C143" s="590"/>
      <c r="D143" s="590"/>
      <c r="E143" s="590"/>
      <c r="F143" s="590"/>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c r="AJ143" s="590"/>
      <c r="AK143" s="590"/>
      <c r="AL143" s="590"/>
      <c r="AM143" s="590"/>
      <c r="AN143" s="590"/>
      <c r="AO143" s="590"/>
      <c r="AP143" s="590"/>
      <c r="AQ143" s="590"/>
      <c r="AR143" s="590"/>
      <c r="AS143" s="590"/>
      <c r="AT143" s="590"/>
      <c r="AU143" s="590"/>
      <c r="AV143" s="590"/>
      <c r="AW143" s="590"/>
      <c r="AX143" s="590"/>
      <c r="AY143" s="590"/>
      <c r="AZ143" s="590"/>
      <c r="BA143" s="590"/>
      <c r="BB143" s="590"/>
      <c r="BC143" s="590"/>
      <c r="BD143" s="590"/>
      <c r="BE143" s="590"/>
      <c r="BF143" s="590"/>
      <c r="BG143" s="590"/>
      <c r="BH143" s="590"/>
      <c r="BI143" s="590"/>
      <c r="BJ143" s="590"/>
      <c r="BK143" s="591"/>
      <c r="BL143" s="591"/>
      <c r="BM143" s="591"/>
      <c r="BN143" s="591"/>
      <c r="BO143" s="591"/>
      <c r="BP143" s="591"/>
      <c r="BQ143" s="591"/>
      <c r="BR143" s="591"/>
      <c r="BS143" s="591"/>
      <c r="BT143" s="591"/>
      <c r="BU143" s="591"/>
      <c r="BV143" s="591"/>
      <c r="BW143" s="591"/>
      <c r="BX143" s="591"/>
      <c r="BY143" s="591"/>
      <c r="BZ143" s="591"/>
      <c r="CA143" s="591"/>
      <c r="CB143" s="591"/>
      <c r="CC143" s="591"/>
      <c r="CD143" s="591"/>
      <c r="CE143" s="591"/>
      <c r="CF143" s="591"/>
    </row>
    <row r="144" spans="1:84">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c r="AJ144" s="590"/>
      <c r="AK144" s="590"/>
      <c r="AL144" s="590"/>
      <c r="AM144" s="590"/>
      <c r="AN144" s="590"/>
      <c r="AO144" s="590"/>
      <c r="AP144" s="590"/>
      <c r="AQ144" s="590"/>
      <c r="AR144" s="590"/>
      <c r="AS144" s="590"/>
      <c r="AT144" s="590"/>
      <c r="AU144" s="590"/>
      <c r="AV144" s="590"/>
      <c r="AW144" s="590"/>
      <c r="AX144" s="590"/>
      <c r="AY144" s="590"/>
      <c r="AZ144" s="590"/>
      <c r="BA144" s="590"/>
      <c r="BB144" s="590"/>
      <c r="BC144" s="590"/>
      <c r="BD144" s="590"/>
      <c r="BE144" s="590"/>
      <c r="BF144" s="590"/>
      <c r="BG144" s="590"/>
      <c r="BH144" s="590"/>
      <c r="BI144" s="590"/>
      <c r="BJ144" s="590"/>
      <c r="BK144" s="591"/>
      <c r="BL144" s="591"/>
      <c r="BM144" s="591"/>
      <c r="BN144" s="591"/>
      <c r="BO144" s="591"/>
      <c r="BP144" s="591"/>
      <c r="BQ144" s="591"/>
      <c r="BR144" s="591"/>
      <c r="BS144" s="591"/>
      <c r="BT144" s="591"/>
      <c r="BU144" s="591"/>
      <c r="BV144" s="591"/>
      <c r="BW144" s="591"/>
      <c r="BX144" s="591"/>
      <c r="BY144" s="591"/>
      <c r="BZ144" s="591"/>
      <c r="CA144" s="591"/>
      <c r="CB144" s="591"/>
      <c r="CC144" s="591"/>
      <c r="CD144" s="591"/>
      <c r="CE144" s="591"/>
      <c r="CF144" s="591"/>
    </row>
    <row r="145" spans="1:84">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c r="AJ145" s="590"/>
      <c r="AK145" s="590"/>
      <c r="AL145" s="590"/>
      <c r="AM145" s="590"/>
      <c r="AN145" s="590"/>
      <c r="AO145" s="590"/>
      <c r="AP145" s="590"/>
      <c r="AQ145" s="590"/>
      <c r="AR145" s="590"/>
      <c r="AS145" s="590"/>
      <c r="AT145" s="590"/>
      <c r="AU145" s="590"/>
      <c r="AV145" s="590"/>
      <c r="AW145" s="590"/>
      <c r="AX145" s="590"/>
      <c r="AY145" s="590"/>
      <c r="AZ145" s="590"/>
      <c r="BA145" s="590"/>
      <c r="BB145" s="590"/>
      <c r="BC145" s="590"/>
      <c r="BD145" s="590"/>
      <c r="BE145" s="590"/>
      <c r="BF145" s="590"/>
      <c r="BG145" s="590"/>
      <c r="BH145" s="590"/>
      <c r="BI145" s="590"/>
      <c r="BJ145" s="590"/>
      <c r="BK145" s="591"/>
      <c r="BL145" s="591"/>
      <c r="BM145" s="591"/>
      <c r="BN145" s="591"/>
      <c r="BO145" s="591"/>
      <c r="BP145" s="591"/>
      <c r="BQ145" s="591"/>
      <c r="BR145" s="591"/>
      <c r="BS145" s="591"/>
      <c r="BT145" s="591"/>
      <c r="BU145" s="591"/>
      <c r="BV145" s="591"/>
      <c r="BW145" s="591"/>
      <c r="BX145" s="591"/>
      <c r="BY145" s="591"/>
      <c r="BZ145" s="591"/>
      <c r="CA145" s="591"/>
      <c r="CB145" s="591"/>
      <c r="CC145" s="591"/>
      <c r="CD145" s="591"/>
      <c r="CE145" s="591"/>
      <c r="CF145" s="591"/>
    </row>
    <row r="146" spans="1:84">
      <c r="A146" s="590"/>
      <c r="B146" s="590"/>
      <c r="C146" s="590"/>
      <c r="D146" s="590"/>
      <c r="E146" s="590"/>
      <c r="F146" s="590"/>
      <c r="G146" s="590"/>
      <c r="H146" s="590"/>
      <c r="I146" s="590"/>
      <c r="J146" s="590"/>
      <c r="K146" s="590"/>
      <c r="L146" s="590"/>
      <c r="M146" s="590"/>
      <c r="N146" s="590"/>
      <c r="O146" s="590"/>
      <c r="P146" s="590"/>
      <c r="Q146" s="590"/>
      <c r="R146" s="590"/>
      <c r="S146" s="590"/>
      <c r="T146" s="590"/>
      <c r="U146" s="590"/>
      <c r="V146" s="590"/>
      <c r="W146" s="590"/>
      <c r="X146" s="590"/>
      <c r="Y146" s="590"/>
      <c r="Z146" s="590"/>
      <c r="AA146" s="590"/>
      <c r="AB146" s="590"/>
      <c r="AC146" s="590"/>
      <c r="AD146" s="590"/>
      <c r="AE146" s="590"/>
      <c r="AF146" s="590"/>
      <c r="AG146" s="590"/>
      <c r="AH146" s="590"/>
      <c r="AI146" s="590"/>
      <c r="AJ146" s="590"/>
      <c r="AK146" s="590"/>
      <c r="AL146" s="590"/>
      <c r="AM146" s="590"/>
      <c r="AN146" s="590"/>
      <c r="AO146" s="590"/>
      <c r="AP146" s="590"/>
      <c r="AQ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1"/>
      <c r="BL146" s="591"/>
      <c r="BM146" s="591"/>
      <c r="BN146" s="591"/>
      <c r="BO146" s="591"/>
      <c r="BP146" s="591"/>
      <c r="BQ146" s="591"/>
      <c r="BR146" s="591"/>
      <c r="BS146" s="591"/>
      <c r="BT146" s="591"/>
      <c r="BU146" s="591"/>
      <c r="BV146" s="591"/>
      <c r="BW146" s="591"/>
      <c r="BX146" s="591"/>
      <c r="BY146" s="591"/>
      <c r="BZ146" s="591"/>
      <c r="CA146" s="591"/>
      <c r="CB146" s="591"/>
      <c r="CC146" s="591"/>
      <c r="CD146" s="591"/>
      <c r="CE146" s="591"/>
      <c r="CF146" s="591"/>
    </row>
    <row r="147" spans="1:84">
      <c r="A147" s="590"/>
      <c r="B147" s="590"/>
      <c r="C147" s="590"/>
      <c r="D147" s="590"/>
      <c r="E147" s="590"/>
      <c r="F147" s="590"/>
      <c r="G147" s="590"/>
      <c r="H147" s="590"/>
      <c r="I147" s="590"/>
      <c r="J147" s="590"/>
      <c r="K147" s="590"/>
      <c r="L147" s="590"/>
      <c r="M147" s="590"/>
      <c r="N147" s="590"/>
      <c r="O147" s="590"/>
      <c r="P147" s="590"/>
      <c r="Q147" s="590"/>
      <c r="R147" s="590"/>
      <c r="S147" s="590"/>
      <c r="T147" s="590"/>
      <c r="U147" s="590"/>
      <c r="V147" s="590"/>
      <c r="W147" s="590"/>
      <c r="X147" s="590"/>
      <c r="Y147" s="590"/>
      <c r="Z147" s="590"/>
      <c r="AA147" s="590"/>
      <c r="AB147" s="590"/>
      <c r="AC147" s="590"/>
      <c r="AD147" s="590"/>
      <c r="AE147" s="590"/>
      <c r="AF147" s="590"/>
      <c r="AG147" s="590"/>
      <c r="AH147" s="590"/>
      <c r="AI147" s="590"/>
      <c r="AJ147" s="590"/>
      <c r="AK147" s="590"/>
      <c r="AL147" s="590"/>
      <c r="AM147" s="590"/>
      <c r="AN147" s="590"/>
      <c r="AO147" s="590"/>
      <c r="AP147" s="590"/>
      <c r="AQ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1"/>
      <c r="BL147" s="591"/>
      <c r="BM147" s="591"/>
      <c r="BN147" s="591"/>
      <c r="BO147" s="591"/>
      <c r="BP147" s="591"/>
      <c r="BQ147" s="591"/>
      <c r="BR147" s="591"/>
      <c r="BS147" s="591"/>
      <c r="BT147" s="591"/>
      <c r="BU147" s="591"/>
      <c r="BV147" s="591"/>
      <c r="BW147" s="591"/>
      <c r="BX147" s="591"/>
      <c r="BY147" s="591"/>
      <c r="BZ147" s="591"/>
      <c r="CA147" s="591"/>
      <c r="CB147" s="591"/>
      <c r="CC147" s="591"/>
      <c r="CD147" s="591"/>
      <c r="CE147" s="591"/>
      <c r="CF147" s="591"/>
    </row>
    <row r="148" spans="1:84">
      <c r="A148" s="590"/>
      <c r="B148" s="590"/>
      <c r="C148" s="590"/>
      <c r="D148" s="590"/>
      <c r="E148" s="590"/>
      <c r="F148" s="590"/>
      <c r="G148" s="590"/>
      <c r="H148" s="590"/>
      <c r="I148" s="590"/>
      <c r="J148" s="590"/>
      <c r="K148" s="590"/>
      <c r="L148" s="590"/>
      <c r="M148" s="590"/>
      <c r="N148" s="590"/>
      <c r="O148" s="590"/>
      <c r="P148" s="590"/>
      <c r="Q148" s="590"/>
      <c r="R148" s="590"/>
      <c r="S148" s="590"/>
      <c r="T148" s="590"/>
      <c r="U148" s="590"/>
      <c r="V148" s="590"/>
      <c r="W148" s="590"/>
      <c r="X148" s="590"/>
      <c r="Y148" s="590"/>
      <c r="Z148" s="590"/>
      <c r="AA148" s="590"/>
      <c r="AB148" s="590"/>
      <c r="AC148" s="590"/>
      <c r="AD148" s="590"/>
      <c r="AE148" s="590"/>
      <c r="AF148" s="590"/>
      <c r="AG148" s="590"/>
      <c r="AH148" s="590"/>
      <c r="AI148" s="590"/>
      <c r="AJ148" s="590"/>
      <c r="AK148" s="590"/>
      <c r="AL148" s="590"/>
      <c r="AM148" s="590"/>
      <c r="AN148" s="590"/>
      <c r="AO148" s="590"/>
      <c r="AP148" s="590"/>
      <c r="AQ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1"/>
      <c r="BL148" s="591"/>
      <c r="BM148" s="591"/>
      <c r="BN148" s="591"/>
      <c r="BO148" s="591"/>
      <c r="BP148" s="591"/>
      <c r="BQ148" s="591"/>
      <c r="BR148" s="591"/>
      <c r="BS148" s="591"/>
      <c r="BT148" s="591"/>
      <c r="BU148" s="591"/>
      <c r="BV148" s="591"/>
      <c r="BW148" s="591"/>
      <c r="BX148" s="591"/>
      <c r="BY148" s="591"/>
      <c r="BZ148" s="591"/>
      <c r="CA148" s="591"/>
      <c r="CB148" s="591"/>
      <c r="CC148" s="591"/>
      <c r="CD148" s="591"/>
      <c r="CE148" s="591"/>
      <c r="CF148" s="591"/>
    </row>
    <row r="149" spans="1:84">
      <c r="A149" s="590"/>
      <c r="B149" s="590"/>
      <c r="C149" s="590"/>
      <c r="D149" s="590"/>
      <c r="E149" s="590"/>
      <c r="F149" s="590"/>
      <c r="G149" s="590"/>
      <c r="H149" s="590"/>
      <c r="I149" s="590"/>
      <c r="J149" s="590"/>
      <c r="K149" s="590"/>
      <c r="L149" s="590"/>
      <c r="M149" s="590"/>
      <c r="N149" s="590"/>
      <c r="O149" s="590"/>
      <c r="P149" s="590"/>
      <c r="Q149" s="590"/>
      <c r="R149" s="590"/>
      <c r="S149" s="590"/>
      <c r="T149" s="590"/>
      <c r="U149" s="590"/>
      <c r="V149" s="590"/>
      <c r="W149" s="590"/>
      <c r="X149" s="590"/>
      <c r="Y149" s="590"/>
      <c r="Z149" s="590"/>
      <c r="AA149" s="590"/>
      <c r="AB149" s="590"/>
      <c r="AC149" s="590"/>
      <c r="AD149" s="590"/>
      <c r="AE149" s="590"/>
      <c r="AF149" s="590"/>
      <c r="AG149" s="590"/>
      <c r="AH149" s="590"/>
      <c r="AI149" s="590"/>
      <c r="AJ149" s="590"/>
      <c r="AK149" s="590"/>
      <c r="AL149" s="590"/>
      <c r="AM149" s="590"/>
      <c r="AN149" s="590"/>
      <c r="AO149" s="590"/>
      <c r="AP149" s="590"/>
      <c r="AQ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1"/>
      <c r="BL149" s="591"/>
      <c r="BM149" s="591"/>
      <c r="BN149" s="591"/>
      <c r="BO149" s="591"/>
      <c r="BP149" s="591"/>
      <c r="BQ149" s="591"/>
      <c r="BR149" s="591"/>
      <c r="BS149" s="591"/>
      <c r="BT149" s="591"/>
      <c r="BU149" s="591"/>
      <c r="BV149" s="591"/>
      <c r="BW149" s="591"/>
      <c r="BX149" s="591"/>
      <c r="BY149" s="591"/>
      <c r="BZ149" s="591"/>
      <c r="CA149" s="591"/>
      <c r="CB149" s="591"/>
      <c r="CC149" s="591"/>
      <c r="CD149" s="591"/>
      <c r="CE149" s="591"/>
      <c r="CF149" s="591"/>
    </row>
    <row r="150" spans="1:84">
      <c r="A150" s="590"/>
      <c r="B150" s="590"/>
      <c r="C150" s="590"/>
      <c r="D150" s="590"/>
      <c r="E150" s="590"/>
      <c r="F150" s="590"/>
      <c r="G150" s="590"/>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1"/>
      <c r="BL150" s="591"/>
      <c r="BM150" s="591"/>
      <c r="BN150" s="591"/>
      <c r="BO150" s="591"/>
      <c r="BP150" s="591"/>
      <c r="BQ150" s="591"/>
      <c r="BR150" s="591"/>
      <c r="BS150" s="591"/>
      <c r="BT150" s="591"/>
      <c r="BU150" s="591"/>
      <c r="BV150" s="591"/>
      <c r="BW150" s="591"/>
      <c r="BX150" s="591"/>
      <c r="BY150" s="591"/>
      <c r="BZ150" s="591"/>
      <c r="CA150" s="591"/>
      <c r="CB150" s="591"/>
      <c r="CC150" s="591"/>
      <c r="CD150" s="591"/>
      <c r="CE150" s="591"/>
      <c r="CF150" s="591"/>
    </row>
    <row r="151" spans="1:84">
      <c r="A151" s="590"/>
      <c r="B151" s="590"/>
      <c r="C151" s="590"/>
      <c r="D151" s="590"/>
      <c r="E151" s="590"/>
      <c r="F151" s="590"/>
      <c r="G151" s="590"/>
      <c r="H151" s="590"/>
      <c r="I151" s="590"/>
      <c r="J151" s="590"/>
      <c r="K151" s="590"/>
      <c r="L151" s="590"/>
      <c r="M151" s="590"/>
      <c r="N151" s="590"/>
      <c r="O151" s="590"/>
      <c r="P151" s="590"/>
      <c r="Q151" s="590"/>
      <c r="R151" s="590"/>
      <c r="S151" s="590"/>
      <c r="T151" s="590"/>
      <c r="U151" s="590"/>
      <c r="V151" s="590"/>
      <c r="W151" s="590"/>
      <c r="X151" s="590"/>
      <c r="Y151" s="590"/>
      <c r="Z151" s="590"/>
      <c r="AA151" s="590"/>
      <c r="AB151" s="590"/>
      <c r="AC151" s="590"/>
      <c r="AD151" s="590"/>
      <c r="AE151" s="590"/>
      <c r="AF151" s="590"/>
      <c r="AG151" s="590"/>
      <c r="AH151" s="590"/>
      <c r="AI151" s="590"/>
      <c r="AJ151" s="590"/>
      <c r="AK151" s="590"/>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1"/>
      <c r="BL151" s="591"/>
      <c r="BM151" s="591"/>
      <c r="BN151" s="591"/>
      <c r="BO151" s="591"/>
      <c r="BP151" s="591"/>
      <c r="BQ151" s="591"/>
      <c r="BR151" s="591"/>
      <c r="BS151" s="591"/>
      <c r="BT151" s="591"/>
      <c r="BU151" s="591"/>
      <c r="BV151" s="591"/>
      <c r="BW151" s="591"/>
      <c r="BX151" s="591"/>
      <c r="BY151" s="591"/>
      <c r="BZ151" s="591"/>
      <c r="CA151" s="591"/>
      <c r="CB151" s="591"/>
      <c r="CC151" s="591"/>
      <c r="CD151" s="591"/>
      <c r="CE151" s="591"/>
      <c r="CF151" s="591"/>
    </row>
    <row r="152" spans="1:84">
      <c r="A152" s="590"/>
      <c r="B152" s="590"/>
      <c r="C152" s="590"/>
      <c r="D152" s="590"/>
      <c r="E152" s="590"/>
      <c r="F152" s="590"/>
      <c r="G152" s="590"/>
      <c r="H152" s="590"/>
      <c r="I152" s="590"/>
      <c r="J152" s="590"/>
      <c r="K152" s="590"/>
      <c r="L152" s="590"/>
      <c r="M152" s="590"/>
      <c r="N152" s="590"/>
      <c r="O152" s="590"/>
      <c r="P152" s="590"/>
      <c r="Q152" s="590"/>
      <c r="R152" s="590"/>
      <c r="S152" s="590"/>
      <c r="T152" s="590"/>
      <c r="U152" s="590"/>
      <c r="V152" s="590"/>
      <c r="W152" s="590"/>
      <c r="X152" s="590"/>
      <c r="Y152" s="590"/>
      <c r="Z152" s="590"/>
      <c r="AA152" s="590"/>
      <c r="AB152" s="590"/>
      <c r="AC152" s="590"/>
      <c r="AD152" s="590"/>
      <c r="AE152" s="590"/>
      <c r="AF152" s="590"/>
      <c r="AG152" s="590"/>
      <c r="AH152" s="590"/>
      <c r="AI152" s="590"/>
      <c r="AJ152" s="590"/>
      <c r="AK152" s="590"/>
      <c r="AL152" s="590"/>
      <c r="AM152" s="590"/>
      <c r="AN152" s="590"/>
      <c r="AO152" s="590"/>
      <c r="AP152" s="590"/>
      <c r="AQ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1"/>
      <c r="BL152" s="591"/>
      <c r="BM152" s="591"/>
      <c r="BN152" s="591"/>
      <c r="BO152" s="591"/>
      <c r="BP152" s="591"/>
      <c r="BQ152" s="591"/>
      <c r="BR152" s="591"/>
      <c r="BS152" s="591"/>
      <c r="BT152" s="591"/>
      <c r="BU152" s="591"/>
      <c r="BV152" s="591"/>
      <c r="BW152" s="591"/>
      <c r="BX152" s="591"/>
      <c r="BY152" s="591"/>
      <c r="BZ152" s="591"/>
      <c r="CA152" s="591"/>
      <c r="CB152" s="591"/>
      <c r="CC152" s="591"/>
      <c r="CD152" s="591"/>
      <c r="CE152" s="591"/>
      <c r="CF152" s="591"/>
    </row>
    <row r="153" spans="1:84">
      <c r="A153" s="590"/>
      <c r="B153" s="590"/>
      <c r="C153" s="590"/>
      <c r="D153" s="590"/>
      <c r="E153" s="590"/>
      <c r="F153" s="590"/>
      <c r="G153" s="590"/>
      <c r="H153" s="590"/>
      <c r="I153" s="590"/>
      <c r="J153" s="590"/>
      <c r="K153" s="590"/>
      <c r="L153" s="590"/>
      <c r="M153" s="590"/>
      <c r="N153" s="590"/>
      <c r="O153" s="590"/>
      <c r="P153" s="590"/>
      <c r="Q153" s="590"/>
      <c r="R153" s="590"/>
      <c r="S153" s="590"/>
      <c r="T153" s="590"/>
      <c r="U153" s="590"/>
      <c r="V153" s="590"/>
      <c r="W153" s="590"/>
      <c r="X153" s="590"/>
      <c r="Y153" s="590"/>
      <c r="Z153" s="590"/>
      <c r="AA153" s="590"/>
      <c r="AB153" s="590"/>
      <c r="AC153" s="590"/>
      <c r="AD153" s="590"/>
      <c r="AE153" s="590"/>
      <c r="AF153" s="590"/>
      <c r="AG153" s="590"/>
      <c r="AH153" s="590"/>
      <c r="AI153" s="590"/>
      <c r="AJ153" s="590"/>
      <c r="AK153" s="590"/>
      <c r="AL153" s="590"/>
      <c r="AM153" s="590"/>
      <c r="AN153" s="590"/>
      <c r="AO153" s="590"/>
      <c r="AP153" s="590"/>
      <c r="AQ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1"/>
      <c r="BL153" s="591"/>
      <c r="BM153" s="591"/>
      <c r="BN153" s="591"/>
      <c r="BO153" s="591"/>
      <c r="BP153" s="591"/>
      <c r="BQ153" s="591"/>
      <c r="BR153" s="591"/>
      <c r="BS153" s="591"/>
      <c r="BT153" s="591"/>
      <c r="BU153" s="591"/>
      <c r="BV153" s="591"/>
      <c r="BW153" s="591"/>
      <c r="BX153" s="591"/>
      <c r="BY153" s="591"/>
      <c r="BZ153" s="591"/>
      <c r="CA153" s="591"/>
      <c r="CB153" s="591"/>
      <c r="CC153" s="591"/>
      <c r="CD153" s="591"/>
      <c r="CE153" s="591"/>
      <c r="CF153" s="591"/>
    </row>
    <row r="154" spans="1:84">
      <c r="A154" s="590"/>
      <c r="B154" s="590"/>
      <c r="C154" s="590"/>
      <c r="D154" s="590"/>
      <c r="E154" s="590"/>
      <c r="F154" s="590"/>
      <c r="G154" s="590"/>
      <c r="H154" s="590"/>
      <c r="I154" s="590"/>
      <c r="J154" s="590"/>
      <c r="K154" s="590"/>
      <c r="L154" s="590"/>
      <c r="M154" s="590"/>
      <c r="N154" s="590"/>
      <c r="O154" s="590"/>
      <c r="P154" s="590"/>
      <c r="Q154" s="590"/>
      <c r="R154" s="590"/>
      <c r="S154" s="590"/>
      <c r="T154" s="590"/>
      <c r="U154" s="590"/>
      <c r="V154" s="590"/>
      <c r="W154" s="590"/>
      <c r="X154" s="590"/>
      <c r="Y154" s="590"/>
      <c r="Z154" s="590"/>
      <c r="AA154" s="590"/>
      <c r="AB154" s="590"/>
      <c r="AC154" s="590"/>
      <c r="AD154" s="590"/>
      <c r="AE154" s="590"/>
      <c r="AF154" s="590"/>
      <c r="AG154" s="590"/>
      <c r="AH154" s="590"/>
      <c r="AI154" s="590"/>
      <c r="AJ154" s="590"/>
      <c r="AK154" s="590"/>
      <c r="AL154" s="590"/>
      <c r="AM154" s="590"/>
      <c r="AN154" s="590"/>
      <c r="AO154" s="590"/>
      <c r="AP154" s="590"/>
      <c r="AQ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1"/>
      <c r="BL154" s="591"/>
      <c r="BM154" s="591"/>
      <c r="BN154" s="591"/>
      <c r="BO154" s="591"/>
      <c r="BP154" s="591"/>
      <c r="BQ154" s="591"/>
      <c r="BR154" s="591"/>
      <c r="BS154" s="591"/>
      <c r="BT154" s="591"/>
      <c r="BU154" s="591"/>
      <c r="BV154" s="591"/>
      <c r="BW154" s="591"/>
      <c r="BX154" s="591"/>
      <c r="BY154" s="591"/>
      <c r="BZ154" s="591"/>
      <c r="CA154" s="591"/>
      <c r="CB154" s="591"/>
      <c r="CC154" s="591"/>
      <c r="CD154" s="591"/>
      <c r="CE154" s="591"/>
      <c r="CF154" s="591"/>
    </row>
    <row r="155" spans="1:84">
      <c r="A155" s="590"/>
      <c r="B155" s="590"/>
      <c r="C155" s="590"/>
      <c r="D155" s="590"/>
      <c r="E155" s="590"/>
      <c r="F155" s="590"/>
      <c r="G155" s="590"/>
      <c r="H155" s="590"/>
      <c r="I155" s="590"/>
      <c r="J155" s="590"/>
      <c r="K155" s="590"/>
      <c r="L155" s="590"/>
      <c r="M155" s="590"/>
      <c r="N155" s="590"/>
      <c r="O155" s="590"/>
      <c r="P155" s="590"/>
      <c r="Q155" s="590"/>
      <c r="R155" s="590"/>
      <c r="S155" s="590"/>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1"/>
      <c r="BL155" s="591"/>
      <c r="BM155" s="591"/>
      <c r="BN155" s="591"/>
      <c r="BO155" s="591"/>
      <c r="BP155" s="591"/>
      <c r="BQ155" s="591"/>
      <c r="BR155" s="591"/>
      <c r="BS155" s="591"/>
      <c r="BT155" s="591"/>
      <c r="BU155" s="591"/>
      <c r="BV155" s="591"/>
      <c r="BW155" s="591"/>
      <c r="BX155" s="591"/>
      <c r="BY155" s="591"/>
      <c r="BZ155" s="591"/>
      <c r="CA155" s="591"/>
      <c r="CB155" s="591"/>
      <c r="CC155" s="591"/>
      <c r="CD155" s="591"/>
      <c r="CE155" s="591"/>
      <c r="CF155" s="591"/>
    </row>
    <row r="156" spans="1:84">
      <c r="A156" s="590"/>
      <c r="B156" s="590"/>
      <c r="C156" s="590"/>
      <c r="D156" s="590"/>
      <c r="E156" s="590"/>
      <c r="F156" s="590"/>
      <c r="G156" s="590"/>
      <c r="H156" s="590"/>
      <c r="I156" s="590"/>
      <c r="J156" s="590"/>
      <c r="K156" s="590"/>
      <c r="L156" s="590"/>
      <c r="M156" s="590"/>
      <c r="N156" s="590"/>
      <c r="O156" s="590"/>
      <c r="P156" s="590"/>
      <c r="Q156" s="590"/>
      <c r="R156" s="590"/>
      <c r="S156" s="590"/>
      <c r="T156" s="590"/>
      <c r="U156" s="590"/>
      <c r="V156" s="590"/>
      <c r="W156" s="590"/>
      <c r="X156" s="590"/>
      <c r="Y156" s="590"/>
      <c r="Z156" s="590"/>
      <c r="AA156" s="590"/>
      <c r="AB156" s="590"/>
      <c r="AC156" s="590"/>
      <c r="AD156" s="590"/>
      <c r="AE156" s="590"/>
      <c r="AF156" s="590"/>
      <c r="AG156" s="590"/>
      <c r="AH156" s="590"/>
      <c r="AI156" s="590"/>
      <c r="AJ156" s="590"/>
      <c r="AK156" s="590"/>
      <c r="AL156" s="590"/>
      <c r="AM156" s="590"/>
      <c r="AN156" s="590"/>
      <c r="AO156" s="590"/>
      <c r="AP156" s="590"/>
      <c r="AQ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1"/>
      <c r="BL156" s="591"/>
      <c r="BM156" s="591"/>
      <c r="BN156" s="591"/>
      <c r="BO156" s="591"/>
      <c r="BP156" s="591"/>
      <c r="BQ156" s="591"/>
      <c r="BR156" s="591"/>
      <c r="BS156" s="591"/>
      <c r="BT156" s="591"/>
      <c r="BU156" s="591"/>
      <c r="BV156" s="591"/>
      <c r="BW156" s="591"/>
      <c r="BX156" s="591"/>
      <c r="BY156" s="591"/>
      <c r="BZ156" s="591"/>
      <c r="CA156" s="591"/>
      <c r="CB156" s="591"/>
      <c r="CC156" s="591"/>
      <c r="CD156" s="591"/>
      <c r="CE156" s="591"/>
      <c r="CF156" s="591"/>
    </row>
    <row r="157" spans="1:84">
      <c r="A157" s="590"/>
      <c r="B157" s="590"/>
      <c r="C157" s="590"/>
      <c r="D157" s="590"/>
      <c r="E157" s="590"/>
      <c r="F157" s="590"/>
      <c r="G157" s="590"/>
      <c r="H157" s="590"/>
      <c r="I157" s="590"/>
      <c r="J157" s="590"/>
      <c r="K157" s="590"/>
      <c r="L157" s="590"/>
      <c r="M157" s="590"/>
      <c r="N157" s="590"/>
      <c r="O157" s="590"/>
      <c r="P157" s="590"/>
      <c r="Q157" s="590"/>
      <c r="R157" s="590"/>
      <c r="S157" s="590"/>
      <c r="T157" s="590"/>
      <c r="U157" s="590"/>
      <c r="V157" s="590"/>
      <c r="W157" s="590"/>
      <c r="X157" s="590"/>
      <c r="Y157" s="590"/>
      <c r="Z157" s="590"/>
      <c r="AA157" s="590"/>
      <c r="AB157" s="590"/>
      <c r="AC157" s="590"/>
      <c r="AD157" s="590"/>
      <c r="AE157" s="590"/>
      <c r="AF157" s="590"/>
      <c r="AG157" s="590"/>
      <c r="AH157" s="590"/>
      <c r="AI157" s="590"/>
      <c r="AJ157" s="590"/>
      <c r="AK157" s="590"/>
      <c r="AL157" s="590"/>
      <c r="AM157" s="590"/>
      <c r="AN157" s="590"/>
      <c r="AO157" s="590"/>
      <c r="AP157" s="590"/>
      <c r="AQ157" s="590"/>
      <c r="AR157" s="590"/>
      <c r="AS157" s="590"/>
      <c r="AT157" s="590"/>
      <c r="AU157" s="590"/>
      <c r="AV157" s="590"/>
      <c r="AW157" s="590"/>
      <c r="AX157" s="590"/>
      <c r="AY157" s="590"/>
      <c r="AZ157" s="590"/>
      <c r="BA157" s="590"/>
      <c r="BB157" s="590"/>
      <c r="BC157" s="590"/>
      <c r="BD157" s="590"/>
      <c r="BE157" s="590"/>
      <c r="BF157" s="590"/>
      <c r="BG157" s="590"/>
      <c r="BH157" s="590"/>
      <c r="BI157" s="590"/>
      <c r="BJ157" s="590"/>
      <c r="BK157" s="591"/>
      <c r="BL157" s="591"/>
      <c r="BM157" s="591"/>
      <c r="BN157" s="591"/>
      <c r="BO157" s="591"/>
      <c r="BP157" s="591"/>
      <c r="BQ157" s="591"/>
      <c r="BR157" s="591"/>
      <c r="BS157" s="591"/>
      <c r="BT157" s="591"/>
      <c r="BU157" s="591"/>
      <c r="BV157" s="591"/>
      <c r="BW157" s="591"/>
      <c r="BX157" s="591"/>
      <c r="BY157" s="591"/>
      <c r="BZ157" s="591"/>
      <c r="CA157" s="591"/>
      <c r="CB157" s="591"/>
      <c r="CC157" s="591"/>
      <c r="CD157" s="591"/>
      <c r="CE157" s="591"/>
      <c r="CF157" s="591"/>
    </row>
    <row r="158" spans="1:84">
      <c r="A158" s="590"/>
      <c r="B158" s="590"/>
      <c r="C158" s="590"/>
      <c r="D158" s="590"/>
      <c r="E158" s="590"/>
      <c r="F158" s="590"/>
      <c r="G158" s="590"/>
      <c r="H158" s="590"/>
      <c r="I158" s="590"/>
      <c r="J158" s="590"/>
      <c r="K158" s="590"/>
      <c r="L158" s="590"/>
      <c r="M158" s="590"/>
      <c r="N158" s="590"/>
      <c r="O158" s="590"/>
      <c r="P158" s="590"/>
      <c r="Q158" s="590"/>
      <c r="R158" s="590"/>
      <c r="S158" s="590"/>
      <c r="T158" s="590"/>
      <c r="U158" s="590"/>
      <c r="V158" s="590"/>
      <c r="W158" s="590"/>
      <c r="X158" s="590"/>
      <c r="Y158" s="590"/>
      <c r="Z158" s="590"/>
      <c r="AA158" s="590"/>
      <c r="AB158" s="590"/>
      <c r="AC158" s="590"/>
      <c r="AD158" s="590"/>
      <c r="AE158" s="590"/>
      <c r="AF158" s="590"/>
      <c r="AG158" s="590"/>
      <c r="AH158" s="590"/>
      <c r="AI158" s="590"/>
      <c r="AJ158" s="590"/>
      <c r="AK158" s="590"/>
      <c r="AL158" s="590"/>
      <c r="AM158" s="590"/>
      <c r="AN158" s="590"/>
      <c r="AO158" s="590"/>
      <c r="AP158" s="590"/>
      <c r="AQ158" s="590"/>
      <c r="AR158" s="590"/>
      <c r="AS158" s="590"/>
      <c r="AT158" s="590"/>
      <c r="AU158" s="590"/>
      <c r="AV158" s="590"/>
      <c r="AW158" s="590"/>
      <c r="AX158" s="590"/>
      <c r="AY158" s="590"/>
      <c r="AZ158" s="590"/>
      <c r="BA158" s="590"/>
      <c r="BB158" s="590"/>
      <c r="BC158" s="590"/>
      <c r="BD158" s="590"/>
      <c r="BE158" s="590"/>
      <c r="BF158" s="590"/>
      <c r="BG158" s="590"/>
      <c r="BH158" s="590"/>
      <c r="BI158" s="590"/>
      <c r="BJ158" s="590"/>
      <c r="BK158" s="591"/>
      <c r="BL158" s="591"/>
      <c r="BM158" s="591"/>
      <c r="BN158" s="591"/>
      <c r="BO158" s="591"/>
      <c r="BP158" s="591"/>
      <c r="BQ158" s="591"/>
      <c r="BR158" s="591"/>
      <c r="BS158" s="591"/>
      <c r="BT158" s="591"/>
      <c r="BU158" s="591"/>
      <c r="BV158" s="591"/>
      <c r="BW158" s="591"/>
      <c r="BX158" s="591"/>
      <c r="BY158" s="591"/>
      <c r="BZ158" s="591"/>
      <c r="CA158" s="591"/>
      <c r="CB158" s="591"/>
      <c r="CC158" s="591"/>
      <c r="CD158" s="591"/>
      <c r="CE158" s="591"/>
      <c r="CF158" s="591"/>
    </row>
    <row r="159" spans="1:84">
      <c r="A159" s="590"/>
      <c r="B159" s="590"/>
      <c r="C159" s="590"/>
      <c r="D159" s="590"/>
      <c r="E159" s="590"/>
      <c r="F159" s="590"/>
      <c r="G159" s="590"/>
      <c r="H159" s="590"/>
      <c r="I159" s="590"/>
      <c r="J159" s="590"/>
      <c r="K159" s="590"/>
      <c r="L159" s="590"/>
      <c r="M159" s="590"/>
      <c r="N159" s="590"/>
      <c r="O159" s="590"/>
      <c r="P159" s="590"/>
      <c r="Q159" s="590"/>
      <c r="R159" s="590"/>
      <c r="S159" s="590"/>
      <c r="T159" s="590"/>
      <c r="U159" s="590"/>
      <c r="V159" s="590"/>
      <c r="W159" s="590"/>
      <c r="X159" s="590"/>
      <c r="Y159" s="590"/>
      <c r="Z159" s="590"/>
      <c r="AA159" s="590"/>
      <c r="AB159" s="590"/>
      <c r="AC159" s="590"/>
      <c r="AD159" s="590"/>
      <c r="AE159" s="590"/>
      <c r="AF159" s="590"/>
      <c r="AG159" s="590"/>
      <c r="AH159" s="590"/>
      <c r="AI159" s="590"/>
      <c r="AJ159" s="590"/>
      <c r="AK159" s="590"/>
      <c r="AL159" s="590"/>
      <c r="AM159" s="590"/>
      <c r="AN159" s="590"/>
      <c r="AO159" s="590"/>
      <c r="AP159" s="590"/>
      <c r="AQ159" s="590"/>
      <c r="AR159" s="590"/>
      <c r="AS159" s="590"/>
      <c r="AT159" s="590"/>
      <c r="AU159" s="590"/>
      <c r="AV159" s="590"/>
      <c r="AW159" s="590"/>
      <c r="AX159" s="590"/>
      <c r="AY159" s="590"/>
      <c r="AZ159" s="590"/>
      <c r="BA159" s="590"/>
      <c r="BB159" s="590"/>
      <c r="BC159" s="590"/>
      <c r="BD159" s="590"/>
      <c r="BE159" s="590"/>
      <c r="BF159" s="590"/>
      <c r="BG159" s="590"/>
      <c r="BH159" s="590"/>
      <c r="BI159" s="590"/>
      <c r="BJ159" s="590"/>
      <c r="BK159" s="591"/>
      <c r="BL159" s="591"/>
      <c r="BM159" s="591"/>
      <c r="BN159" s="591"/>
      <c r="BO159" s="591"/>
      <c r="BP159" s="591"/>
      <c r="BQ159" s="591"/>
      <c r="BR159" s="591"/>
      <c r="BS159" s="591"/>
      <c r="BT159" s="591"/>
      <c r="BU159" s="591"/>
      <c r="BV159" s="591"/>
      <c r="BW159" s="591"/>
      <c r="BX159" s="591"/>
      <c r="BY159" s="591"/>
      <c r="BZ159" s="591"/>
      <c r="CA159" s="591"/>
      <c r="CB159" s="591"/>
      <c r="CC159" s="591"/>
      <c r="CD159" s="591"/>
      <c r="CE159" s="591"/>
      <c r="CF159" s="591"/>
    </row>
    <row r="160" spans="1:84">
      <c r="A160" s="590"/>
      <c r="B160" s="590"/>
      <c r="C160" s="590"/>
      <c r="D160" s="590"/>
      <c r="E160" s="590"/>
      <c r="F160" s="590"/>
      <c r="G160" s="590"/>
      <c r="H160" s="590"/>
      <c r="I160" s="590"/>
      <c r="J160" s="590"/>
      <c r="K160" s="590"/>
      <c r="L160" s="590"/>
      <c r="M160" s="590"/>
      <c r="N160" s="590"/>
      <c r="O160" s="590"/>
      <c r="P160" s="590"/>
      <c r="Q160" s="590"/>
      <c r="R160" s="590"/>
      <c r="S160" s="590"/>
      <c r="T160" s="590"/>
      <c r="U160" s="590"/>
      <c r="V160" s="590"/>
      <c r="W160" s="590"/>
      <c r="X160" s="590"/>
      <c r="Y160" s="590"/>
      <c r="Z160" s="590"/>
      <c r="AA160" s="590"/>
      <c r="AB160" s="590"/>
      <c r="AC160" s="590"/>
      <c r="AD160" s="590"/>
      <c r="AE160" s="590"/>
      <c r="AF160" s="590"/>
      <c r="AG160" s="590"/>
      <c r="AH160" s="590"/>
      <c r="AI160" s="590"/>
      <c r="AJ160" s="590"/>
      <c r="AK160" s="590"/>
      <c r="AL160" s="590"/>
      <c r="AM160" s="590"/>
      <c r="AN160" s="590"/>
      <c r="AO160" s="590"/>
      <c r="AP160" s="590"/>
      <c r="AQ160" s="590"/>
      <c r="AR160" s="590"/>
      <c r="AS160" s="590"/>
      <c r="AT160" s="590"/>
      <c r="AU160" s="590"/>
      <c r="AV160" s="590"/>
      <c r="AW160" s="590"/>
      <c r="AX160" s="590"/>
      <c r="AY160" s="590"/>
      <c r="AZ160" s="590"/>
      <c r="BA160" s="590"/>
      <c r="BB160" s="590"/>
      <c r="BC160" s="590"/>
      <c r="BD160" s="590"/>
      <c r="BE160" s="590"/>
      <c r="BF160" s="590"/>
      <c r="BG160" s="590"/>
      <c r="BH160" s="590"/>
      <c r="BI160" s="590"/>
      <c r="BJ160" s="590"/>
      <c r="BK160" s="591"/>
      <c r="BL160" s="591"/>
      <c r="BM160" s="591"/>
      <c r="BN160" s="591"/>
      <c r="BO160" s="591"/>
      <c r="BP160" s="591"/>
      <c r="BQ160" s="591"/>
      <c r="BR160" s="591"/>
      <c r="BS160" s="591"/>
      <c r="BT160" s="591"/>
      <c r="BU160" s="591"/>
      <c r="BV160" s="591"/>
      <c r="BW160" s="591"/>
      <c r="BX160" s="591"/>
      <c r="BY160" s="591"/>
      <c r="BZ160" s="591"/>
      <c r="CA160" s="591"/>
      <c r="CB160" s="591"/>
      <c r="CC160" s="591"/>
      <c r="CD160" s="591"/>
      <c r="CE160" s="591"/>
      <c r="CF160" s="591"/>
    </row>
    <row r="161" spans="1:84">
      <c r="A161" s="590"/>
      <c r="B161" s="590"/>
      <c r="C161" s="590"/>
      <c r="D161" s="590"/>
      <c r="E161" s="590"/>
      <c r="F161" s="590"/>
      <c r="G161" s="590"/>
      <c r="H161" s="590"/>
      <c r="I161" s="590"/>
      <c r="J161" s="590"/>
      <c r="K161" s="590"/>
      <c r="L161" s="590"/>
      <c r="M161" s="590"/>
      <c r="N161" s="590"/>
      <c r="O161" s="590"/>
      <c r="P161" s="590"/>
      <c r="Q161" s="590"/>
      <c r="R161" s="590"/>
      <c r="S161" s="590"/>
      <c r="T161" s="590"/>
      <c r="U161" s="590"/>
      <c r="V161" s="590"/>
      <c r="W161" s="590"/>
      <c r="X161" s="590"/>
      <c r="Y161" s="590"/>
      <c r="Z161" s="590"/>
      <c r="AA161" s="590"/>
      <c r="AB161" s="590"/>
      <c r="AC161" s="590"/>
      <c r="AD161" s="590"/>
      <c r="AE161" s="590"/>
      <c r="AF161" s="590"/>
      <c r="AG161" s="590"/>
      <c r="AH161" s="590"/>
      <c r="AI161" s="590"/>
      <c r="AJ161" s="590"/>
      <c r="AK161" s="590"/>
      <c r="AL161" s="590"/>
      <c r="AM161" s="590"/>
      <c r="AN161" s="590"/>
      <c r="AO161" s="590"/>
      <c r="AP161" s="590"/>
      <c r="AQ161" s="590"/>
      <c r="AR161" s="590"/>
      <c r="AS161" s="590"/>
      <c r="AT161" s="590"/>
      <c r="AU161" s="590"/>
      <c r="AV161" s="590"/>
      <c r="AW161" s="590"/>
      <c r="AX161" s="590"/>
      <c r="AY161" s="590"/>
      <c r="AZ161" s="590"/>
      <c r="BA161" s="590"/>
      <c r="BB161" s="590"/>
      <c r="BC161" s="590"/>
      <c r="BD161" s="590"/>
      <c r="BE161" s="590"/>
      <c r="BF161" s="590"/>
      <c r="BG161" s="590"/>
      <c r="BH161" s="590"/>
      <c r="BI161" s="590"/>
      <c r="BJ161" s="590"/>
      <c r="BK161" s="591"/>
      <c r="BL161" s="591"/>
      <c r="BM161" s="591"/>
      <c r="BN161" s="591"/>
      <c r="BO161" s="591"/>
      <c r="BP161" s="591"/>
      <c r="BQ161" s="591"/>
      <c r="BR161" s="591"/>
      <c r="BS161" s="591"/>
      <c r="BT161" s="591"/>
      <c r="BU161" s="591"/>
      <c r="BV161" s="591"/>
      <c r="BW161" s="591"/>
      <c r="BX161" s="591"/>
      <c r="BY161" s="591"/>
      <c r="BZ161" s="591"/>
      <c r="CA161" s="591"/>
      <c r="CB161" s="591"/>
      <c r="CC161" s="591"/>
      <c r="CD161" s="591"/>
      <c r="CE161" s="591"/>
      <c r="CF161" s="591"/>
    </row>
    <row r="162" spans="1:84">
      <c r="A162" s="590"/>
      <c r="B162" s="590"/>
      <c r="C162" s="590"/>
      <c r="D162" s="590"/>
      <c r="E162" s="590"/>
      <c r="F162" s="590"/>
      <c r="G162" s="590"/>
      <c r="H162" s="590"/>
      <c r="I162" s="590"/>
      <c r="J162" s="590"/>
      <c r="K162" s="590"/>
      <c r="L162" s="590"/>
      <c r="M162" s="590"/>
      <c r="N162" s="590"/>
      <c r="O162" s="590"/>
      <c r="P162" s="590"/>
      <c r="Q162" s="590"/>
      <c r="R162" s="590"/>
      <c r="S162" s="590"/>
      <c r="T162" s="590"/>
      <c r="U162" s="590"/>
      <c r="V162" s="590"/>
      <c r="W162" s="590"/>
      <c r="X162" s="590"/>
      <c r="Y162" s="590"/>
      <c r="Z162" s="590"/>
      <c r="AA162" s="590"/>
      <c r="AB162" s="590"/>
      <c r="AC162" s="590"/>
      <c r="AD162" s="590"/>
      <c r="AE162" s="590"/>
      <c r="AF162" s="590"/>
      <c r="AG162" s="590"/>
      <c r="AH162" s="590"/>
      <c r="AI162" s="590"/>
      <c r="AJ162" s="590"/>
      <c r="AK162" s="590"/>
      <c r="AL162" s="590"/>
      <c r="AM162" s="590"/>
      <c r="AN162" s="590"/>
      <c r="AO162" s="590"/>
      <c r="AP162" s="590"/>
      <c r="AQ162" s="590"/>
      <c r="AR162" s="590"/>
      <c r="AS162" s="590"/>
      <c r="AT162" s="590"/>
      <c r="AU162" s="590"/>
      <c r="AV162" s="590"/>
      <c r="AW162" s="590"/>
      <c r="AX162" s="590"/>
      <c r="AY162" s="590"/>
      <c r="AZ162" s="590"/>
      <c r="BA162" s="590"/>
      <c r="BB162" s="590"/>
      <c r="BC162" s="590"/>
      <c r="BD162" s="590"/>
      <c r="BE162" s="590"/>
      <c r="BF162" s="590"/>
      <c r="BG162" s="590"/>
      <c r="BH162" s="590"/>
      <c r="BI162" s="590"/>
      <c r="BJ162" s="590"/>
      <c r="BK162" s="591"/>
      <c r="BL162" s="591"/>
      <c r="BM162" s="591"/>
      <c r="BN162" s="591"/>
      <c r="BO162" s="591"/>
      <c r="BP162" s="591"/>
      <c r="BQ162" s="591"/>
      <c r="BR162" s="591"/>
      <c r="BS162" s="591"/>
      <c r="BT162" s="591"/>
      <c r="BU162" s="591"/>
      <c r="BV162" s="591"/>
      <c r="BW162" s="591"/>
      <c r="BX162" s="591"/>
      <c r="BY162" s="591"/>
      <c r="BZ162" s="591"/>
      <c r="CA162" s="591"/>
      <c r="CB162" s="591"/>
      <c r="CC162" s="591"/>
      <c r="CD162" s="591"/>
      <c r="CE162" s="591"/>
      <c r="CF162" s="591"/>
    </row>
    <row r="163" spans="1:84">
      <c r="A163" s="590"/>
      <c r="B163" s="590"/>
      <c r="C163" s="590"/>
      <c r="D163" s="590"/>
      <c r="E163" s="590"/>
      <c r="F163" s="590"/>
      <c r="G163" s="590"/>
      <c r="H163" s="590"/>
      <c r="I163" s="590"/>
      <c r="J163" s="590"/>
      <c r="K163" s="590"/>
      <c r="L163" s="590"/>
      <c r="M163" s="590"/>
      <c r="N163" s="590"/>
      <c r="O163" s="590"/>
      <c r="P163" s="590"/>
      <c r="Q163" s="590"/>
      <c r="R163" s="590"/>
      <c r="S163" s="590"/>
      <c r="T163" s="590"/>
      <c r="U163" s="590"/>
      <c r="V163" s="590"/>
      <c r="W163" s="590"/>
      <c r="X163" s="590"/>
      <c r="Y163" s="590"/>
      <c r="Z163" s="590"/>
      <c r="AA163" s="590"/>
      <c r="AB163" s="590"/>
      <c r="AC163" s="590"/>
      <c r="AD163" s="590"/>
      <c r="AE163" s="590"/>
      <c r="AF163" s="590"/>
      <c r="AG163" s="590"/>
      <c r="AH163" s="590"/>
      <c r="AI163" s="590"/>
      <c r="AJ163" s="590"/>
      <c r="AK163" s="590"/>
      <c r="AL163" s="590"/>
      <c r="AM163" s="590"/>
      <c r="AN163" s="590"/>
      <c r="AO163" s="590"/>
      <c r="AP163" s="590"/>
      <c r="AQ163" s="590"/>
      <c r="AR163" s="590"/>
      <c r="AS163" s="590"/>
      <c r="AT163" s="590"/>
      <c r="AU163" s="590"/>
      <c r="AV163" s="590"/>
      <c r="AW163" s="590"/>
      <c r="AX163" s="590"/>
      <c r="AY163" s="590"/>
      <c r="AZ163" s="590"/>
      <c r="BA163" s="590"/>
      <c r="BB163" s="590"/>
      <c r="BC163" s="590"/>
      <c r="BD163" s="590"/>
      <c r="BE163" s="590"/>
      <c r="BF163" s="590"/>
      <c r="BG163" s="590"/>
      <c r="BH163" s="590"/>
      <c r="BI163" s="590"/>
      <c r="BJ163" s="590"/>
      <c r="BK163" s="591"/>
      <c r="BL163" s="591"/>
      <c r="BM163" s="591"/>
      <c r="BN163" s="591"/>
      <c r="BO163" s="591"/>
      <c r="BP163" s="591"/>
      <c r="BQ163" s="591"/>
      <c r="BR163" s="591"/>
      <c r="BS163" s="591"/>
      <c r="BT163" s="591"/>
      <c r="BU163" s="591"/>
      <c r="BV163" s="591"/>
      <c r="BW163" s="591"/>
      <c r="BX163" s="591"/>
      <c r="BY163" s="591"/>
      <c r="BZ163" s="591"/>
      <c r="CA163" s="591"/>
      <c r="CB163" s="591"/>
      <c r="CC163" s="591"/>
      <c r="CD163" s="591"/>
      <c r="CE163" s="591"/>
      <c r="CF163" s="591"/>
    </row>
    <row r="164" spans="1:84">
      <c r="A164" s="590"/>
      <c r="B164" s="590"/>
      <c r="C164" s="590"/>
      <c r="D164" s="590"/>
      <c r="E164" s="590"/>
      <c r="F164" s="590"/>
      <c r="G164" s="590"/>
      <c r="H164" s="590"/>
      <c r="I164" s="590"/>
      <c r="J164" s="590"/>
      <c r="K164" s="590"/>
      <c r="L164" s="590"/>
      <c r="M164" s="590"/>
      <c r="N164" s="590"/>
      <c r="O164" s="590"/>
      <c r="P164" s="590"/>
      <c r="Q164" s="590"/>
      <c r="R164" s="590"/>
      <c r="S164" s="590"/>
      <c r="T164" s="590"/>
      <c r="U164" s="590"/>
      <c r="V164" s="590"/>
      <c r="W164" s="590"/>
      <c r="X164" s="590"/>
      <c r="Y164" s="590"/>
      <c r="Z164" s="590"/>
      <c r="AA164" s="590"/>
      <c r="AB164" s="590"/>
      <c r="AC164" s="590"/>
      <c r="AD164" s="590"/>
      <c r="AE164" s="590"/>
      <c r="AF164" s="590"/>
      <c r="AG164" s="590"/>
      <c r="AH164" s="590"/>
      <c r="AI164" s="590"/>
      <c r="AJ164" s="590"/>
      <c r="AK164" s="590"/>
      <c r="AL164" s="590"/>
      <c r="AM164" s="590"/>
      <c r="AN164" s="590"/>
      <c r="AO164" s="590"/>
      <c r="AP164" s="590"/>
      <c r="AQ164" s="590"/>
      <c r="AR164" s="590"/>
      <c r="AS164" s="590"/>
      <c r="AT164" s="590"/>
      <c r="AU164" s="590"/>
      <c r="AV164" s="590"/>
      <c r="AW164" s="590"/>
      <c r="AX164" s="590"/>
      <c r="AY164" s="590"/>
      <c r="AZ164" s="590"/>
      <c r="BA164" s="590"/>
      <c r="BB164" s="590"/>
      <c r="BC164" s="590"/>
      <c r="BD164" s="590"/>
      <c r="BE164" s="590"/>
      <c r="BF164" s="590"/>
      <c r="BG164" s="590"/>
      <c r="BH164" s="590"/>
      <c r="BI164" s="590"/>
      <c r="BJ164" s="590"/>
      <c r="BK164" s="591"/>
      <c r="BL164" s="591"/>
      <c r="BM164" s="591"/>
      <c r="BN164" s="591"/>
      <c r="BO164" s="591"/>
      <c r="BP164" s="591"/>
      <c r="BQ164" s="591"/>
      <c r="BR164" s="591"/>
      <c r="BS164" s="591"/>
      <c r="BT164" s="591"/>
      <c r="BU164" s="591"/>
      <c r="BV164" s="591"/>
      <c r="BW164" s="591"/>
      <c r="BX164" s="591"/>
      <c r="BY164" s="591"/>
      <c r="BZ164" s="591"/>
      <c r="CA164" s="591"/>
      <c r="CB164" s="591"/>
      <c r="CC164" s="591"/>
      <c r="CD164" s="591"/>
      <c r="CE164" s="591"/>
      <c r="CF164" s="591"/>
    </row>
    <row r="165" spans="1:84">
      <c r="A165" s="590"/>
      <c r="B165" s="590"/>
      <c r="C165" s="590"/>
      <c r="D165" s="590"/>
      <c r="E165" s="590"/>
      <c r="F165" s="590"/>
      <c r="G165" s="590"/>
      <c r="H165" s="590"/>
      <c r="I165" s="590"/>
      <c r="J165" s="590"/>
      <c r="K165" s="590"/>
      <c r="L165" s="590"/>
      <c r="M165" s="590"/>
      <c r="N165" s="590"/>
      <c r="O165" s="590"/>
      <c r="P165" s="590"/>
      <c r="Q165" s="590"/>
      <c r="R165" s="590"/>
      <c r="S165" s="590"/>
      <c r="T165" s="590"/>
      <c r="U165" s="590"/>
      <c r="V165" s="590"/>
      <c r="W165" s="590"/>
      <c r="X165" s="590"/>
      <c r="Y165" s="590"/>
      <c r="Z165" s="590"/>
      <c r="AA165" s="590"/>
      <c r="AB165" s="590"/>
      <c r="AC165" s="590"/>
      <c r="AD165" s="590"/>
      <c r="AE165" s="590"/>
      <c r="AF165" s="590"/>
      <c r="AG165" s="590"/>
      <c r="AH165" s="590"/>
      <c r="AI165" s="590"/>
      <c r="AJ165" s="590"/>
      <c r="AK165" s="590"/>
      <c r="AL165" s="590"/>
      <c r="AM165" s="590"/>
      <c r="AN165" s="590"/>
      <c r="AO165" s="590"/>
      <c r="AP165" s="590"/>
      <c r="AQ165" s="590"/>
      <c r="AR165" s="590"/>
      <c r="AS165" s="590"/>
      <c r="AT165" s="590"/>
      <c r="AU165" s="590"/>
      <c r="AV165" s="590"/>
      <c r="AW165" s="590"/>
      <c r="AX165" s="590"/>
      <c r="AY165" s="590"/>
      <c r="AZ165" s="590"/>
      <c r="BA165" s="590"/>
      <c r="BB165" s="590"/>
      <c r="BC165" s="590"/>
      <c r="BD165" s="590"/>
      <c r="BE165" s="590"/>
      <c r="BF165" s="590"/>
      <c r="BG165" s="590"/>
      <c r="BH165" s="590"/>
      <c r="BI165" s="590"/>
      <c r="BJ165" s="590"/>
      <c r="BK165" s="591"/>
      <c r="BL165" s="591"/>
      <c r="BM165" s="591"/>
      <c r="BN165" s="591"/>
      <c r="BO165" s="591"/>
      <c r="BP165" s="591"/>
      <c r="BQ165" s="591"/>
      <c r="BR165" s="591"/>
      <c r="BS165" s="591"/>
      <c r="BT165" s="591"/>
      <c r="BU165" s="591"/>
      <c r="BV165" s="591"/>
      <c r="BW165" s="591"/>
      <c r="BX165" s="591"/>
      <c r="BY165" s="591"/>
      <c r="BZ165" s="591"/>
      <c r="CA165" s="591"/>
      <c r="CB165" s="591"/>
      <c r="CC165" s="591"/>
      <c r="CD165" s="591"/>
      <c r="CE165" s="591"/>
      <c r="CF165" s="591"/>
    </row>
    <row r="166" spans="1:84">
      <c r="A166" s="590"/>
      <c r="B166" s="590"/>
      <c r="C166" s="590"/>
      <c r="D166" s="590"/>
      <c r="E166" s="590"/>
      <c r="F166" s="590"/>
      <c r="G166" s="590"/>
      <c r="H166" s="590"/>
      <c r="I166" s="590"/>
      <c r="J166" s="590"/>
      <c r="K166" s="590"/>
      <c r="L166" s="590"/>
      <c r="M166" s="590"/>
      <c r="N166" s="590"/>
      <c r="O166" s="590"/>
      <c r="P166" s="590"/>
      <c r="Q166" s="590"/>
      <c r="R166" s="590"/>
      <c r="S166" s="590"/>
      <c r="T166" s="590"/>
      <c r="U166" s="590"/>
      <c r="V166" s="590"/>
      <c r="W166" s="590"/>
      <c r="X166" s="590"/>
      <c r="Y166" s="590"/>
      <c r="Z166" s="590"/>
      <c r="AA166" s="590"/>
      <c r="AB166" s="590"/>
      <c r="AC166" s="590"/>
      <c r="AD166" s="590"/>
      <c r="AE166" s="590"/>
      <c r="AF166" s="590"/>
      <c r="AG166" s="590"/>
      <c r="AH166" s="590"/>
      <c r="AI166" s="590"/>
      <c r="AJ166" s="590"/>
      <c r="AK166" s="590"/>
      <c r="AL166" s="590"/>
      <c r="AM166" s="590"/>
      <c r="AN166" s="590"/>
      <c r="AO166" s="590"/>
      <c r="AP166" s="590"/>
      <c r="AQ166" s="590"/>
      <c r="AR166" s="590"/>
      <c r="AS166" s="590"/>
      <c r="AT166" s="590"/>
      <c r="AU166" s="590"/>
      <c r="AV166" s="590"/>
      <c r="AW166" s="590"/>
      <c r="AX166" s="590"/>
      <c r="AY166" s="590"/>
      <c r="AZ166" s="590"/>
      <c r="BA166" s="590"/>
      <c r="BB166" s="590"/>
      <c r="BC166" s="590"/>
      <c r="BD166" s="590"/>
      <c r="BE166" s="590"/>
      <c r="BF166" s="590"/>
      <c r="BG166" s="590"/>
      <c r="BH166" s="590"/>
      <c r="BI166" s="590"/>
      <c r="BJ166" s="590"/>
      <c r="BK166" s="591"/>
      <c r="BL166" s="591"/>
      <c r="BM166" s="591"/>
      <c r="BN166" s="591"/>
      <c r="BO166" s="591"/>
      <c r="BP166" s="591"/>
      <c r="BQ166" s="591"/>
      <c r="BR166" s="591"/>
      <c r="BS166" s="591"/>
      <c r="BT166" s="591"/>
      <c r="BU166" s="591"/>
      <c r="BV166" s="591"/>
      <c r="BW166" s="591"/>
      <c r="BX166" s="591"/>
      <c r="BY166" s="591"/>
      <c r="BZ166" s="591"/>
      <c r="CA166" s="591"/>
      <c r="CB166" s="591"/>
      <c r="CC166" s="591"/>
      <c r="CD166" s="591"/>
      <c r="CE166" s="591"/>
      <c r="CF166" s="591"/>
    </row>
    <row r="167" spans="1:84">
      <c r="A167" s="590"/>
      <c r="B167" s="590"/>
      <c r="C167" s="590"/>
      <c r="D167" s="590"/>
      <c r="E167" s="590"/>
      <c r="F167" s="590"/>
      <c r="G167" s="590"/>
      <c r="H167" s="590"/>
      <c r="I167" s="590"/>
      <c r="J167" s="590"/>
      <c r="K167" s="590"/>
      <c r="L167" s="590"/>
      <c r="M167" s="590"/>
      <c r="N167" s="590"/>
      <c r="O167" s="590"/>
      <c r="P167" s="590"/>
      <c r="Q167" s="590"/>
      <c r="R167" s="590"/>
      <c r="S167" s="590"/>
      <c r="T167" s="590"/>
      <c r="U167" s="590"/>
      <c r="V167" s="590"/>
      <c r="W167" s="590"/>
      <c r="X167" s="590"/>
      <c r="Y167" s="590"/>
      <c r="Z167" s="590"/>
      <c r="AA167" s="590"/>
      <c r="AB167" s="590"/>
      <c r="AC167" s="590"/>
      <c r="AD167" s="590"/>
      <c r="AE167" s="590"/>
      <c r="AF167" s="590"/>
      <c r="AG167" s="590"/>
      <c r="AH167" s="590"/>
      <c r="AI167" s="590"/>
      <c r="AJ167" s="590"/>
      <c r="AK167" s="590"/>
      <c r="AL167" s="590"/>
      <c r="AM167" s="590"/>
      <c r="AN167" s="590"/>
      <c r="AO167" s="590"/>
      <c r="AP167" s="590"/>
      <c r="AQ167" s="590"/>
      <c r="AR167" s="590"/>
      <c r="AS167" s="590"/>
      <c r="AT167" s="590"/>
      <c r="AU167" s="590"/>
      <c r="AV167" s="590"/>
      <c r="AW167" s="590"/>
      <c r="AX167" s="590"/>
      <c r="AY167" s="590"/>
      <c r="AZ167" s="590"/>
      <c r="BA167" s="590"/>
      <c r="BB167" s="590"/>
      <c r="BC167" s="590"/>
      <c r="BD167" s="590"/>
      <c r="BE167" s="590"/>
      <c r="BF167" s="590"/>
      <c r="BG167" s="590"/>
      <c r="BH167" s="590"/>
      <c r="BI167" s="590"/>
      <c r="BJ167" s="590"/>
      <c r="BK167" s="591"/>
      <c r="BL167" s="591"/>
      <c r="BM167" s="591"/>
      <c r="BN167" s="591"/>
      <c r="BO167" s="591"/>
      <c r="BP167" s="591"/>
      <c r="BQ167" s="591"/>
      <c r="BR167" s="591"/>
      <c r="BS167" s="591"/>
      <c r="BT167" s="591"/>
      <c r="BU167" s="591"/>
      <c r="BV167" s="591"/>
      <c r="BW167" s="591"/>
      <c r="BX167" s="591"/>
      <c r="BY167" s="591"/>
      <c r="BZ167" s="591"/>
      <c r="CA167" s="591"/>
      <c r="CB167" s="591"/>
      <c r="CC167" s="591"/>
      <c r="CD167" s="591"/>
      <c r="CE167" s="591"/>
      <c r="CF167" s="591"/>
    </row>
    <row r="168" spans="1:84">
      <c r="A168" s="590"/>
      <c r="B168" s="590"/>
      <c r="C168" s="590"/>
      <c r="D168" s="590"/>
      <c r="E168" s="590"/>
      <c r="F168" s="590"/>
      <c r="G168" s="590"/>
      <c r="H168" s="590"/>
      <c r="I168" s="590"/>
      <c r="J168" s="590"/>
      <c r="K168" s="590"/>
      <c r="L168" s="590"/>
      <c r="M168" s="590"/>
      <c r="N168" s="590"/>
      <c r="O168" s="590"/>
      <c r="P168" s="590"/>
      <c r="Q168" s="590"/>
      <c r="R168" s="590"/>
      <c r="S168" s="590"/>
      <c r="T168" s="590"/>
      <c r="U168" s="590"/>
      <c r="V168" s="590"/>
      <c r="W168" s="590"/>
      <c r="X168" s="590"/>
      <c r="Y168" s="590"/>
      <c r="Z168" s="590"/>
      <c r="AA168" s="590"/>
      <c r="AB168" s="590"/>
      <c r="AC168" s="590"/>
      <c r="AD168" s="590"/>
      <c r="AE168" s="590"/>
      <c r="AF168" s="590"/>
      <c r="AG168" s="590"/>
      <c r="AH168" s="590"/>
      <c r="AI168" s="590"/>
      <c r="AJ168" s="590"/>
      <c r="AK168" s="590"/>
      <c r="AL168" s="590"/>
      <c r="AM168" s="590"/>
      <c r="AN168" s="590"/>
      <c r="AO168" s="590"/>
      <c r="AP168" s="590"/>
      <c r="AQ168" s="590"/>
      <c r="AR168" s="590"/>
      <c r="AS168" s="590"/>
      <c r="AT168" s="590"/>
      <c r="AU168" s="590"/>
      <c r="AV168" s="590"/>
      <c r="AW168" s="590"/>
      <c r="AX168" s="590"/>
      <c r="AY168" s="590"/>
      <c r="AZ168" s="590"/>
      <c r="BA168" s="590"/>
      <c r="BB168" s="590"/>
      <c r="BC168" s="590"/>
      <c r="BD168" s="590"/>
      <c r="BE168" s="590"/>
      <c r="BF168" s="590"/>
      <c r="BG168" s="590"/>
      <c r="BH168" s="590"/>
      <c r="BI168" s="590"/>
      <c r="BJ168" s="590"/>
      <c r="BK168" s="591"/>
      <c r="BL168" s="591"/>
      <c r="BM168" s="591"/>
      <c r="BN168" s="591"/>
      <c r="BO168" s="591"/>
      <c r="BP168" s="591"/>
      <c r="BQ168" s="591"/>
      <c r="BR168" s="591"/>
      <c r="BS168" s="591"/>
      <c r="BT168" s="591"/>
      <c r="BU168" s="591"/>
      <c r="BV168" s="591"/>
      <c r="BW168" s="591"/>
      <c r="BX168" s="591"/>
      <c r="BY168" s="591"/>
      <c r="BZ168" s="591"/>
      <c r="CA168" s="591"/>
      <c r="CB168" s="591"/>
      <c r="CC168" s="591"/>
      <c r="CD168" s="591"/>
      <c r="CE168" s="591"/>
      <c r="CF168" s="591"/>
    </row>
    <row r="169" spans="1:84">
      <c r="A169" s="590"/>
      <c r="B169" s="590"/>
      <c r="C169" s="590"/>
      <c r="D169" s="590"/>
      <c r="E169" s="590"/>
      <c r="F169" s="590"/>
      <c r="G169" s="590"/>
      <c r="H169" s="590"/>
      <c r="I169" s="590"/>
      <c r="J169" s="590"/>
      <c r="K169" s="590"/>
      <c r="L169" s="590"/>
      <c r="M169" s="590"/>
      <c r="N169" s="590"/>
      <c r="O169" s="590"/>
      <c r="P169" s="590"/>
      <c r="Q169" s="590"/>
      <c r="R169" s="590"/>
      <c r="S169" s="590"/>
      <c r="T169" s="590"/>
      <c r="U169" s="590"/>
      <c r="V169" s="590"/>
      <c r="W169" s="590"/>
      <c r="X169" s="590"/>
      <c r="Y169" s="590"/>
      <c r="Z169" s="590"/>
      <c r="AA169" s="590"/>
      <c r="AB169" s="590"/>
      <c r="AC169" s="590"/>
      <c r="AD169" s="590"/>
      <c r="AE169" s="590"/>
      <c r="AF169" s="590"/>
      <c r="AG169" s="590"/>
      <c r="AH169" s="590"/>
      <c r="AI169" s="590"/>
      <c r="AJ169" s="590"/>
      <c r="AK169" s="590"/>
      <c r="AL169" s="590"/>
      <c r="AM169" s="590"/>
      <c r="AN169" s="590"/>
      <c r="AO169" s="590"/>
      <c r="AP169" s="590"/>
      <c r="AQ169" s="590"/>
      <c r="AR169" s="590"/>
      <c r="AS169" s="590"/>
      <c r="AT169" s="590"/>
      <c r="AU169" s="590"/>
      <c r="AV169" s="590"/>
      <c r="AW169" s="590"/>
      <c r="AX169" s="590"/>
      <c r="AY169" s="590"/>
      <c r="AZ169" s="590"/>
      <c r="BA169" s="590"/>
      <c r="BB169" s="590"/>
      <c r="BC169" s="590"/>
      <c r="BD169" s="590"/>
      <c r="BE169" s="590"/>
      <c r="BF169" s="590"/>
      <c r="BG169" s="590"/>
      <c r="BH169" s="590"/>
      <c r="BI169" s="590"/>
      <c r="BJ169" s="590"/>
      <c r="BK169" s="591"/>
      <c r="BL169" s="591"/>
      <c r="BM169" s="591"/>
      <c r="BN169" s="591"/>
      <c r="BO169" s="591"/>
      <c r="BP169" s="591"/>
      <c r="BQ169" s="591"/>
      <c r="BR169" s="591"/>
      <c r="BS169" s="591"/>
      <c r="BT169" s="591"/>
      <c r="BU169" s="591"/>
      <c r="BV169" s="591"/>
      <c r="BW169" s="591"/>
      <c r="BX169" s="591"/>
      <c r="BY169" s="591"/>
      <c r="BZ169" s="591"/>
      <c r="CA169" s="591"/>
      <c r="CB169" s="591"/>
      <c r="CC169" s="591"/>
      <c r="CD169" s="591"/>
      <c r="CE169" s="591"/>
      <c r="CF169" s="591"/>
    </row>
    <row r="170" spans="1:84">
      <c r="A170" s="590"/>
      <c r="B170" s="590"/>
      <c r="C170" s="590"/>
      <c r="D170" s="590"/>
      <c r="E170" s="590"/>
      <c r="F170" s="590"/>
      <c r="G170" s="590"/>
      <c r="H170" s="590"/>
      <c r="I170" s="590"/>
      <c r="J170" s="590"/>
      <c r="K170" s="590"/>
      <c r="L170" s="590"/>
      <c r="M170" s="590"/>
      <c r="N170" s="590"/>
      <c r="O170" s="590"/>
      <c r="P170" s="590"/>
      <c r="Q170" s="590"/>
      <c r="R170" s="590"/>
      <c r="S170" s="590"/>
      <c r="T170" s="590"/>
      <c r="U170" s="590"/>
      <c r="V170" s="590"/>
      <c r="W170" s="590"/>
      <c r="X170" s="590"/>
      <c r="Y170" s="590"/>
      <c r="Z170" s="590"/>
      <c r="AA170" s="590"/>
      <c r="AB170" s="590"/>
      <c r="AC170" s="590"/>
      <c r="AD170" s="590"/>
      <c r="AE170" s="590"/>
      <c r="AF170" s="590"/>
      <c r="AG170" s="590"/>
      <c r="AH170" s="590"/>
      <c r="AI170" s="590"/>
      <c r="AJ170" s="590"/>
      <c r="AK170" s="590"/>
      <c r="AL170" s="590"/>
      <c r="AM170" s="590"/>
      <c r="AN170" s="590"/>
      <c r="AO170" s="590"/>
      <c r="AP170" s="590"/>
      <c r="AQ170" s="590"/>
      <c r="AR170" s="590"/>
      <c r="AS170" s="590"/>
      <c r="AT170" s="590"/>
      <c r="AU170" s="590"/>
      <c r="AV170" s="590"/>
      <c r="AW170" s="590"/>
      <c r="AX170" s="590"/>
      <c r="AY170" s="590"/>
      <c r="AZ170" s="590"/>
      <c r="BA170" s="590"/>
      <c r="BB170" s="590"/>
      <c r="BC170" s="590"/>
      <c r="BD170" s="590"/>
      <c r="BE170" s="590"/>
      <c r="BF170" s="590"/>
      <c r="BG170" s="590"/>
      <c r="BH170" s="590"/>
      <c r="BI170" s="590"/>
      <c r="BJ170" s="590"/>
      <c r="BK170" s="591"/>
      <c r="BL170" s="591"/>
      <c r="BM170" s="591"/>
      <c r="BN170" s="591"/>
      <c r="BO170" s="591"/>
      <c r="BP170" s="591"/>
      <c r="BQ170" s="591"/>
      <c r="BR170" s="591"/>
      <c r="BS170" s="591"/>
      <c r="BT170" s="591"/>
      <c r="BU170" s="591"/>
      <c r="BV170" s="591"/>
      <c r="BW170" s="591"/>
      <c r="BX170" s="591"/>
      <c r="BY170" s="591"/>
      <c r="BZ170" s="591"/>
      <c r="CA170" s="591"/>
      <c r="CB170" s="591"/>
      <c r="CC170" s="591"/>
      <c r="CD170" s="591"/>
      <c r="CE170" s="591"/>
      <c r="CF170" s="591"/>
    </row>
    <row r="171" spans="1:84">
      <c r="A171" s="590"/>
      <c r="B171" s="590"/>
      <c r="C171" s="590"/>
      <c r="D171" s="590"/>
      <c r="E171" s="590"/>
      <c r="F171" s="590"/>
      <c r="G171" s="590"/>
      <c r="H171" s="590"/>
      <c r="I171" s="590"/>
      <c r="J171" s="590"/>
      <c r="K171" s="590"/>
      <c r="L171" s="590"/>
      <c r="M171" s="590"/>
      <c r="N171" s="590"/>
      <c r="O171" s="590"/>
      <c r="P171" s="590"/>
      <c r="Q171" s="590"/>
      <c r="R171" s="590"/>
      <c r="S171" s="590"/>
      <c r="T171" s="590"/>
      <c r="U171" s="590"/>
      <c r="V171" s="590"/>
      <c r="W171" s="590"/>
      <c r="X171" s="590"/>
      <c r="Y171" s="590"/>
      <c r="Z171" s="590"/>
      <c r="AA171" s="590"/>
      <c r="AB171" s="590"/>
      <c r="AC171" s="590"/>
      <c r="AD171" s="590"/>
      <c r="AE171" s="590"/>
      <c r="AF171" s="590"/>
      <c r="AG171" s="590"/>
      <c r="AH171" s="590"/>
      <c r="AI171" s="590"/>
      <c r="AJ171" s="590"/>
      <c r="AK171" s="590"/>
      <c r="AL171" s="590"/>
      <c r="AM171" s="590"/>
      <c r="AN171" s="590"/>
      <c r="AO171" s="590"/>
      <c r="AP171" s="590"/>
      <c r="AQ171" s="590"/>
      <c r="AR171" s="590"/>
      <c r="AS171" s="590"/>
      <c r="AT171" s="590"/>
      <c r="AU171" s="590"/>
      <c r="AV171" s="590"/>
      <c r="AW171" s="590"/>
      <c r="AX171" s="590"/>
      <c r="AY171" s="590"/>
      <c r="AZ171" s="590"/>
      <c r="BA171" s="590"/>
      <c r="BB171" s="590"/>
      <c r="BC171" s="590"/>
      <c r="BD171" s="590"/>
      <c r="BE171" s="590"/>
      <c r="BF171" s="590"/>
      <c r="BG171" s="590"/>
      <c r="BH171" s="590"/>
      <c r="BI171" s="590"/>
      <c r="BJ171" s="590"/>
      <c r="BK171" s="591"/>
      <c r="BL171" s="591"/>
      <c r="BM171" s="591"/>
      <c r="BN171" s="591"/>
      <c r="BO171" s="591"/>
      <c r="BP171" s="591"/>
      <c r="BQ171" s="591"/>
      <c r="BR171" s="591"/>
      <c r="BS171" s="591"/>
      <c r="BT171" s="591"/>
      <c r="BU171" s="591"/>
      <c r="BV171" s="591"/>
      <c r="BW171" s="591"/>
      <c r="BX171" s="591"/>
      <c r="BY171" s="591"/>
      <c r="BZ171" s="591"/>
      <c r="CA171" s="591"/>
      <c r="CB171" s="591"/>
      <c r="CC171" s="591"/>
      <c r="CD171" s="591"/>
      <c r="CE171" s="591"/>
      <c r="CF171" s="591"/>
    </row>
    <row r="172" spans="1:84">
      <c r="A172" s="590"/>
      <c r="B172" s="590"/>
      <c r="C172" s="590"/>
      <c r="D172" s="590"/>
      <c r="E172" s="590"/>
      <c r="F172" s="590"/>
      <c r="G172" s="590"/>
      <c r="H172" s="590"/>
      <c r="I172" s="590"/>
      <c r="J172" s="590"/>
      <c r="K172" s="590"/>
      <c r="L172" s="590"/>
      <c r="M172" s="590"/>
      <c r="N172" s="590"/>
      <c r="O172" s="590"/>
      <c r="P172" s="590"/>
      <c r="Q172" s="590"/>
      <c r="R172" s="590"/>
      <c r="S172" s="590"/>
      <c r="T172" s="590"/>
      <c r="U172" s="590"/>
      <c r="V172" s="590"/>
      <c r="W172" s="590"/>
      <c r="X172" s="590"/>
      <c r="Y172" s="590"/>
      <c r="Z172" s="590"/>
      <c r="AA172" s="590"/>
      <c r="AB172" s="590"/>
      <c r="AC172" s="590"/>
      <c r="AD172" s="590"/>
      <c r="AE172" s="590"/>
      <c r="AF172" s="590"/>
      <c r="AG172" s="590"/>
      <c r="AH172" s="590"/>
      <c r="AI172" s="590"/>
      <c r="AJ172" s="590"/>
      <c r="AK172" s="590"/>
      <c r="AL172" s="590"/>
      <c r="AM172" s="590"/>
      <c r="AN172" s="590"/>
      <c r="AO172" s="590"/>
      <c r="AP172" s="590"/>
      <c r="AQ172" s="590"/>
      <c r="AR172" s="590"/>
      <c r="AS172" s="590"/>
      <c r="AT172" s="590"/>
      <c r="AU172" s="590"/>
      <c r="AV172" s="590"/>
      <c r="AW172" s="590"/>
      <c r="AX172" s="590"/>
      <c r="AY172" s="590"/>
      <c r="AZ172" s="590"/>
      <c r="BA172" s="590"/>
      <c r="BB172" s="590"/>
      <c r="BC172" s="590"/>
      <c r="BD172" s="590"/>
      <c r="BE172" s="590"/>
      <c r="BF172" s="590"/>
      <c r="BG172" s="590"/>
      <c r="BH172" s="590"/>
      <c r="BI172" s="590"/>
      <c r="BJ172" s="590"/>
      <c r="BK172" s="591"/>
      <c r="BL172" s="591"/>
      <c r="BM172" s="591"/>
      <c r="BN172" s="591"/>
      <c r="BO172" s="591"/>
      <c r="BP172" s="591"/>
      <c r="BQ172" s="591"/>
      <c r="BR172" s="591"/>
      <c r="BS172" s="591"/>
      <c r="BT172" s="591"/>
      <c r="BU172" s="591"/>
      <c r="BV172" s="591"/>
      <c r="BW172" s="591"/>
      <c r="BX172" s="591"/>
      <c r="BY172" s="591"/>
      <c r="BZ172" s="591"/>
      <c r="CA172" s="591"/>
      <c r="CB172" s="591"/>
      <c r="CC172" s="591"/>
      <c r="CD172" s="591"/>
      <c r="CE172" s="591"/>
      <c r="CF172" s="591"/>
    </row>
    <row r="173" spans="1:84">
      <c r="A173" s="590"/>
      <c r="B173" s="590"/>
      <c r="C173" s="590"/>
      <c r="D173" s="590"/>
      <c r="E173" s="590"/>
      <c r="F173" s="590"/>
      <c r="G173" s="590"/>
      <c r="H173" s="590"/>
      <c r="I173" s="590"/>
      <c r="J173" s="590"/>
      <c r="K173" s="590"/>
      <c r="L173" s="590"/>
      <c r="M173" s="590"/>
      <c r="N173" s="590"/>
      <c r="O173" s="590"/>
      <c r="P173" s="590"/>
      <c r="Q173" s="590"/>
      <c r="R173" s="590"/>
      <c r="S173" s="590"/>
      <c r="T173" s="590"/>
      <c r="U173" s="590"/>
      <c r="V173" s="590"/>
      <c r="W173" s="590"/>
      <c r="X173" s="590"/>
      <c r="Y173" s="590"/>
      <c r="Z173" s="590"/>
      <c r="AA173" s="590"/>
      <c r="AB173" s="590"/>
      <c r="AC173" s="590"/>
      <c r="AD173" s="590"/>
      <c r="AE173" s="590"/>
      <c r="AF173" s="590"/>
      <c r="AG173" s="590"/>
      <c r="AH173" s="590"/>
      <c r="AI173" s="590"/>
      <c r="AJ173" s="590"/>
      <c r="AK173" s="590"/>
      <c r="AL173" s="590"/>
      <c r="AM173" s="590"/>
      <c r="AN173" s="590"/>
      <c r="AO173" s="590"/>
      <c r="AP173" s="590"/>
      <c r="AQ173" s="590"/>
      <c r="AR173" s="590"/>
      <c r="AS173" s="590"/>
      <c r="AT173" s="590"/>
      <c r="AU173" s="590"/>
      <c r="AV173" s="590"/>
      <c r="AW173" s="590"/>
      <c r="AX173" s="590"/>
      <c r="AY173" s="590"/>
      <c r="AZ173" s="590"/>
      <c r="BA173" s="590"/>
      <c r="BB173" s="590"/>
      <c r="BC173" s="590"/>
      <c r="BD173" s="590"/>
      <c r="BE173" s="590"/>
      <c r="BF173" s="590"/>
      <c r="BG173" s="590"/>
      <c r="BH173" s="590"/>
      <c r="BI173" s="590"/>
      <c r="BJ173" s="590"/>
      <c r="BK173" s="591"/>
      <c r="BL173" s="591"/>
      <c r="BM173" s="591"/>
      <c r="BN173" s="591"/>
      <c r="BO173" s="591"/>
      <c r="BP173" s="591"/>
      <c r="BQ173" s="591"/>
      <c r="BR173" s="591"/>
      <c r="BS173" s="591"/>
      <c r="BT173" s="591"/>
      <c r="BU173" s="591"/>
      <c r="BV173" s="591"/>
      <c r="BW173" s="591"/>
      <c r="BX173" s="591"/>
      <c r="BY173" s="591"/>
      <c r="BZ173" s="591"/>
      <c r="CA173" s="591"/>
      <c r="CB173" s="591"/>
      <c r="CC173" s="591"/>
      <c r="CD173" s="591"/>
      <c r="CE173" s="591"/>
      <c r="CF173" s="591"/>
    </row>
    <row r="174" spans="1:84">
      <c r="A174" s="590"/>
      <c r="B174" s="590"/>
      <c r="C174" s="590"/>
      <c r="D174" s="590"/>
      <c r="E174" s="590"/>
      <c r="F174" s="590"/>
      <c r="G174" s="590"/>
      <c r="H174" s="590"/>
      <c r="I174" s="590"/>
      <c r="J174" s="590"/>
      <c r="K174" s="590"/>
      <c r="L174" s="590"/>
      <c r="M174" s="590"/>
      <c r="N174" s="590"/>
      <c r="O174" s="590"/>
      <c r="P174" s="590"/>
      <c r="Q174" s="590"/>
      <c r="R174" s="590"/>
      <c r="S174" s="590"/>
      <c r="T174" s="590"/>
      <c r="U174" s="590"/>
      <c r="V174" s="590"/>
      <c r="W174" s="590"/>
      <c r="X174" s="590"/>
      <c r="Y174" s="590"/>
      <c r="Z174" s="590"/>
      <c r="AA174" s="590"/>
      <c r="AB174" s="590"/>
      <c r="AC174" s="590"/>
      <c r="AD174" s="590"/>
      <c r="AE174" s="590"/>
      <c r="AF174" s="590"/>
      <c r="AG174" s="590"/>
      <c r="AH174" s="590"/>
      <c r="AI174" s="590"/>
      <c r="AJ174" s="590"/>
      <c r="AK174" s="590"/>
      <c r="AL174" s="590"/>
      <c r="AM174" s="590"/>
      <c r="AN174" s="590"/>
      <c r="AO174" s="590"/>
      <c r="AP174" s="590"/>
      <c r="AQ174" s="590"/>
      <c r="AR174" s="590"/>
      <c r="AS174" s="590"/>
      <c r="AT174" s="590"/>
      <c r="AU174" s="590"/>
      <c r="AV174" s="590"/>
      <c r="AW174" s="590"/>
      <c r="AX174" s="590"/>
      <c r="AY174" s="590"/>
      <c r="AZ174" s="590"/>
      <c r="BA174" s="590"/>
      <c r="BB174" s="590"/>
      <c r="BC174" s="590"/>
      <c r="BD174" s="590"/>
      <c r="BE174" s="590"/>
      <c r="BF174" s="590"/>
      <c r="BG174" s="590"/>
      <c r="BH174" s="590"/>
      <c r="BI174" s="590"/>
      <c r="BJ174" s="590"/>
      <c r="BK174" s="591"/>
      <c r="BL174" s="591"/>
      <c r="BM174" s="591"/>
      <c r="BN174" s="591"/>
      <c r="BO174" s="591"/>
      <c r="BP174" s="591"/>
      <c r="BQ174" s="591"/>
      <c r="BR174" s="591"/>
      <c r="BS174" s="591"/>
      <c r="BT174" s="591"/>
      <c r="BU174" s="591"/>
      <c r="BV174" s="591"/>
      <c r="BW174" s="591"/>
      <c r="BX174" s="591"/>
      <c r="BY174" s="591"/>
      <c r="BZ174" s="591"/>
      <c r="CA174" s="591"/>
      <c r="CB174" s="591"/>
      <c r="CC174" s="591"/>
      <c r="CD174" s="591"/>
      <c r="CE174" s="591"/>
      <c r="CF174" s="591"/>
    </row>
    <row r="175" spans="1:84">
      <c r="A175" s="590"/>
      <c r="B175" s="590"/>
      <c r="C175" s="590"/>
      <c r="D175" s="590"/>
      <c r="E175" s="590"/>
      <c r="F175" s="590"/>
      <c r="G175" s="590"/>
      <c r="H175" s="590"/>
      <c r="I175" s="590"/>
      <c r="J175" s="590"/>
      <c r="K175" s="590"/>
      <c r="L175" s="590"/>
      <c r="M175" s="590"/>
      <c r="N175" s="590"/>
      <c r="O175" s="590"/>
      <c r="P175" s="590"/>
      <c r="Q175" s="590"/>
      <c r="R175" s="590"/>
      <c r="S175" s="590"/>
      <c r="T175" s="590"/>
      <c r="U175" s="590"/>
      <c r="V175" s="590"/>
      <c r="W175" s="590"/>
      <c r="X175" s="590"/>
      <c r="Y175" s="590"/>
      <c r="Z175" s="590"/>
      <c r="AA175" s="590"/>
      <c r="AB175" s="590"/>
      <c r="AC175" s="590"/>
      <c r="AD175" s="590"/>
      <c r="AE175" s="590"/>
      <c r="AF175" s="590"/>
      <c r="AG175" s="590"/>
      <c r="AH175" s="590"/>
      <c r="AI175" s="590"/>
      <c r="AJ175" s="590"/>
      <c r="AK175" s="590"/>
      <c r="AL175" s="590"/>
      <c r="AM175" s="590"/>
      <c r="AN175" s="590"/>
      <c r="AO175" s="590"/>
      <c r="AP175" s="590"/>
      <c r="AQ175" s="590"/>
      <c r="AR175" s="590"/>
      <c r="AS175" s="590"/>
      <c r="AT175" s="590"/>
      <c r="AU175" s="590"/>
      <c r="AV175" s="590"/>
      <c r="AW175" s="590"/>
      <c r="AX175" s="590"/>
      <c r="AY175" s="590"/>
      <c r="AZ175" s="590"/>
      <c r="BA175" s="590"/>
      <c r="BB175" s="590"/>
      <c r="BC175" s="590"/>
      <c r="BD175" s="590"/>
      <c r="BE175" s="590"/>
      <c r="BF175" s="590"/>
      <c r="BG175" s="590"/>
      <c r="BH175" s="590"/>
      <c r="BI175" s="590"/>
      <c r="BJ175" s="590"/>
      <c r="BK175" s="591"/>
      <c r="BL175" s="591"/>
      <c r="BM175" s="591"/>
      <c r="BN175" s="591"/>
      <c r="BO175" s="591"/>
      <c r="BP175" s="591"/>
      <c r="BQ175" s="591"/>
      <c r="BR175" s="591"/>
      <c r="BS175" s="591"/>
      <c r="BT175" s="591"/>
      <c r="BU175" s="591"/>
      <c r="BV175" s="591"/>
      <c r="BW175" s="591"/>
      <c r="BX175" s="591"/>
      <c r="BY175" s="591"/>
      <c r="BZ175" s="591"/>
      <c r="CA175" s="591"/>
      <c r="CB175" s="591"/>
      <c r="CC175" s="591"/>
      <c r="CD175" s="591"/>
      <c r="CE175" s="591"/>
      <c r="CF175" s="591"/>
    </row>
    <row r="176" spans="1:84">
      <c r="A176" s="590"/>
      <c r="B176" s="590"/>
      <c r="C176" s="590"/>
      <c r="D176" s="590"/>
      <c r="E176" s="590"/>
      <c r="F176" s="590"/>
      <c r="G176" s="590"/>
      <c r="H176" s="590"/>
      <c r="I176" s="590"/>
      <c r="J176" s="590"/>
      <c r="K176" s="590"/>
      <c r="L176" s="590"/>
      <c r="M176" s="590"/>
      <c r="N176" s="590"/>
      <c r="O176" s="590"/>
      <c r="P176" s="590"/>
      <c r="Q176" s="590"/>
      <c r="R176" s="590"/>
      <c r="S176" s="590"/>
      <c r="T176" s="590"/>
      <c r="U176" s="590"/>
      <c r="V176" s="590"/>
      <c r="W176" s="590"/>
      <c r="X176" s="590"/>
      <c r="Y176" s="590"/>
      <c r="Z176" s="590"/>
      <c r="AA176" s="590"/>
      <c r="AB176" s="590"/>
      <c r="AC176" s="590"/>
      <c r="AD176" s="590"/>
      <c r="AE176" s="590"/>
      <c r="AF176" s="590"/>
      <c r="AG176" s="590"/>
      <c r="AH176" s="590"/>
      <c r="AI176" s="590"/>
      <c r="AJ176" s="590"/>
      <c r="AK176" s="590"/>
      <c r="AL176" s="590"/>
      <c r="AM176" s="590"/>
      <c r="AN176" s="590"/>
      <c r="AO176" s="590"/>
      <c r="AP176" s="590"/>
      <c r="AQ176" s="590"/>
      <c r="AR176" s="590"/>
      <c r="AS176" s="590"/>
      <c r="AT176" s="590"/>
      <c r="AU176" s="590"/>
      <c r="AV176" s="590"/>
      <c r="AW176" s="590"/>
      <c r="AX176" s="590"/>
      <c r="AY176" s="590"/>
      <c r="AZ176" s="590"/>
      <c r="BA176" s="590"/>
      <c r="BB176" s="590"/>
      <c r="BC176" s="590"/>
      <c r="BD176" s="590"/>
      <c r="BE176" s="590"/>
      <c r="BF176" s="590"/>
      <c r="BG176" s="590"/>
      <c r="BH176" s="590"/>
      <c r="BI176" s="590"/>
      <c r="BJ176" s="590"/>
      <c r="BK176" s="591"/>
      <c r="BL176" s="591"/>
      <c r="BM176" s="591"/>
      <c r="BN176" s="591"/>
      <c r="BO176" s="591"/>
      <c r="BP176" s="591"/>
      <c r="BQ176" s="591"/>
      <c r="BR176" s="591"/>
      <c r="BS176" s="591"/>
      <c r="BT176" s="591"/>
      <c r="BU176" s="591"/>
      <c r="BV176" s="591"/>
      <c r="BW176" s="591"/>
      <c r="BX176" s="591"/>
      <c r="BY176" s="591"/>
      <c r="BZ176" s="591"/>
      <c r="CA176" s="591"/>
      <c r="CB176" s="591"/>
      <c r="CC176" s="591"/>
      <c r="CD176" s="591"/>
      <c r="CE176" s="591"/>
      <c r="CF176" s="591"/>
    </row>
    <row r="177" spans="1:84">
      <c r="A177" s="590"/>
      <c r="B177" s="590"/>
      <c r="C177" s="590"/>
      <c r="D177" s="590"/>
      <c r="E177" s="590"/>
      <c r="F177" s="590"/>
      <c r="G177" s="590"/>
      <c r="H177" s="590"/>
      <c r="I177" s="590"/>
      <c r="J177" s="590"/>
      <c r="K177" s="590"/>
      <c r="L177" s="590"/>
      <c r="M177" s="590"/>
      <c r="N177" s="590"/>
      <c r="O177" s="590"/>
      <c r="P177" s="590"/>
      <c r="Q177" s="590"/>
      <c r="R177" s="590"/>
      <c r="S177" s="590"/>
      <c r="T177" s="590"/>
      <c r="U177" s="590"/>
      <c r="V177" s="590"/>
      <c r="W177" s="590"/>
      <c r="X177" s="590"/>
      <c r="Y177" s="590"/>
      <c r="Z177" s="590"/>
      <c r="AA177" s="590"/>
      <c r="AB177" s="590"/>
      <c r="AC177" s="590"/>
      <c r="AD177" s="590"/>
      <c r="AE177" s="590"/>
      <c r="AF177" s="590"/>
      <c r="AG177" s="590"/>
      <c r="AH177" s="590"/>
      <c r="AI177" s="590"/>
      <c r="AJ177" s="590"/>
      <c r="AK177" s="590"/>
      <c r="AL177" s="590"/>
      <c r="AM177" s="590"/>
      <c r="AN177" s="590"/>
      <c r="AO177" s="590"/>
      <c r="AP177" s="590"/>
      <c r="AQ177" s="590"/>
      <c r="AR177" s="590"/>
      <c r="AS177" s="590"/>
      <c r="AT177" s="590"/>
      <c r="AU177" s="590"/>
      <c r="AV177" s="590"/>
      <c r="AW177" s="590"/>
      <c r="AX177" s="590"/>
      <c r="AY177" s="590"/>
      <c r="AZ177" s="590"/>
      <c r="BA177" s="590"/>
      <c r="BB177" s="590"/>
      <c r="BC177" s="590"/>
      <c r="BD177" s="590"/>
      <c r="BE177" s="590"/>
      <c r="BF177" s="590"/>
      <c r="BG177" s="590"/>
      <c r="BH177" s="590"/>
      <c r="BI177" s="590"/>
      <c r="BJ177" s="590"/>
      <c r="BK177" s="591"/>
      <c r="BL177" s="591"/>
      <c r="BM177" s="591"/>
      <c r="BN177" s="591"/>
      <c r="BO177" s="591"/>
      <c r="BP177" s="591"/>
      <c r="BQ177" s="591"/>
      <c r="BR177" s="591"/>
      <c r="BS177" s="591"/>
      <c r="BT177" s="591"/>
      <c r="BU177" s="591"/>
      <c r="BV177" s="591"/>
      <c r="BW177" s="591"/>
      <c r="BX177" s="591"/>
      <c r="BY177" s="591"/>
      <c r="BZ177" s="591"/>
      <c r="CA177" s="591"/>
      <c r="CB177" s="591"/>
      <c r="CC177" s="591"/>
      <c r="CD177" s="591"/>
      <c r="CE177" s="591"/>
      <c r="CF177" s="591"/>
    </row>
    <row r="178" spans="1:84">
      <c r="A178" s="590"/>
      <c r="B178" s="590"/>
      <c r="C178" s="590"/>
      <c r="D178" s="590"/>
      <c r="E178" s="590"/>
      <c r="F178" s="590"/>
      <c r="G178" s="590"/>
      <c r="H178" s="590"/>
      <c r="I178" s="590"/>
      <c r="J178" s="590"/>
      <c r="K178" s="590"/>
      <c r="L178" s="590"/>
      <c r="M178" s="590"/>
      <c r="N178" s="590"/>
      <c r="O178" s="590"/>
      <c r="P178" s="590"/>
      <c r="Q178" s="590"/>
      <c r="R178" s="590"/>
      <c r="S178" s="590"/>
      <c r="T178" s="590"/>
      <c r="U178" s="590"/>
      <c r="V178" s="590"/>
      <c r="W178" s="590"/>
      <c r="X178" s="590"/>
      <c r="Y178" s="590"/>
      <c r="Z178" s="590"/>
      <c r="AA178" s="590"/>
      <c r="AB178" s="590"/>
      <c r="AC178" s="590"/>
      <c r="AD178" s="590"/>
      <c r="AE178" s="590"/>
      <c r="AF178" s="590"/>
      <c r="AG178" s="590"/>
      <c r="AH178" s="590"/>
      <c r="AI178" s="590"/>
      <c r="AJ178" s="590"/>
      <c r="AK178" s="590"/>
      <c r="AL178" s="590"/>
      <c r="AM178" s="590"/>
      <c r="AN178" s="590"/>
      <c r="AO178" s="590"/>
      <c r="AP178" s="590"/>
      <c r="AQ178" s="590"/>
      <c r="AR178" s="590"/>
      <c r="AS178" s="590"/>
      <c r="AT178" s="590"/>
      <c r="AU178" s="590"/>
      <c r="AV178" s="590"/>
      <c r="AW178" s="590"/>
      <c r="AX178" s="590"/>
      <c r="AY178" s="590"/>
      <c r="AZ178" s="590"/>
      <c r="BA178" s="590"/>
      <c r="BB178" s="590"/>
      <c r="BC178" s="590"/>
      <c r="BD178" s="590"/>
      <c r="BE178" s="590"/>
      <c r="BF178" s="590"/>
      <c r="BG178" s="590"/>
      <c r="BH178" s="590"/>
      <c r="BI178" s="590"/>
      <c r="BJ178" s="590"/>
      <c r="BK178" s="591"/>
      <c r="BL178" s="591"/>
      <c r="BM178" s="591"/>
      <c r="BN178" s="591"/>
      <c r="BO178" s="591"/>
      <c r="BP178" s="591"/>
      <c r="BQ178" s="591"/>
      <c r="BR178" s="591"/>
      <c r="BS178" s="591"/>
      <c r="BT178" s="591"/>
      <c r="BU178" s="591"/>
      <c r="BV178" s="591"/>
      <c r="BW178" s="591"/>
      <c r="BX178" s="591"/>
      <c r="BY178" s="591"/>
      <c r="BZ178" s="591"/>
      <c r="CA178" s="591"/>
      <c r="CB178" s="591"/>
      <c r="CC178" s="591"/>
      <c r="CD178" s="591"/>
      <c r="CE178" s="591"/>
      <c r="CF178" s="591"/>
    </row>
    <row r="179" spans="1:84">
      <c r="A179" s="590"/>
      <c r="B179" s="590"/>
      <c r="C179" s="590"/>
      <c r="D179" s="590"/>
      <c r="E179" s="590"/>
      <c r="F179" s="590"/>
      <c r="G179" s="590"/>
      <c r="H179" s="590"/>
      <c r="I179" s="590"/>
      <c r="J179" s="590"/>
      <c r="K179" s="590"/>
      <c r="L179" s="590"/>
      <c r="M179" s="590"/>
      <c r="N179" s="590"/>
      <c r="O179" s="590"/>
      <c r="P179" s="590"/>
      <c r="Q179" s="590"/>
      <c r="R179" s="590"/>
      <c r="S179" s="590"/>
      <c r="T179" s="590"/>
      <c r="U179" s="590"/>
      <c r="V179" s="590"/>
      <c r="W179" s="590"/>
      <c r="X179" s="590"/>
      <c r="Y179" s="590"/>
      <c r="Z179" s="590"/>
      <c r="AA179" s="590"/>
      <c r="AB179" s="590"/>
      <c r="AC179" s="590"/>
      <c r="AD179" s="590"/>
      <c r="AE179" s="590"/>
      <c r="AF179" s="590"/>
      <c r="AG179" s="590"/>
      <c r="AH179" s="590"/>
      <c r="AI179" s="590"/>
      <c r="AJ179" s="590"/>
      <c r="AK179" s="590"/>
      <c r="AL179" s="590"/>
      <c r="AM179" s="590"/>
      <c r="AN179" s="590"/>
      <c r="AO179" s="590"/>
      <c r="AP179" s="590"/>
      <c r="AQ179" s="590"/>
      <c r="AR179" s="590"/>
      <c r="AS179" s="590"/>
      <c r="AT179" s="590"/>
      <c r="AU179" s="590"/>
      <c r="AV179" s="590"/>
      <c r="AW179" s="590"/>
      <c r="AX179" s="590"/>
      <c r="AY179" s="590"/>
      <c r="AZ179" s="590"/>
      <c r="BA179" s="590"/>
      <c r="BB179" s="590"/>
      <c r="BC179" s="590"/>
      <c r="BD179" s="590"/>
      <c r="BE179" s="590"/>
      <c r="BF179" s="590"/>
      <c r="BG179" s="590"/>
      <c r="BH179" s="590"/>
      <c r="BI179" s="590"/>
      <c r="BJ179" s="590"/>
      <c r="BK179" s="591"/>
      <c r="BL179" s="591"/>
      <c r="BM179" s="591"/>
      <c r="BN179" s="591"/>
      <c r="BO179" s="591"/>
      <c r="BP179" s="591"/>
      <c r="BQ179" s="591"/>
      <c r="BR179" s="591"/>
      <c r="BS179" s="591"/>
      <c r="BT179" s="591"/>
      <c r="BU179" s="591"/>
      <c r="BV179" s="591"/>
      <c r="BW179" s="591"/>
      <c r="BX179" s="591"/>
      <c r="BY179" s="591"/>
      <c r="BZ179" s="591"/>
      <c r="CA179" s="591"/>
      <c r="CB179" s="591"/>
      <c r="CC179" s="591"/>
      <c r="CD179" s="591"/>
      <c r="CE179" s="591"/>
      <c r="CF179" s="591"/>
    </row>
    <row r="180" spans="1:84">
      <c r="A180" s="590"/>
      <c r="B180" s="590"/>
      <c r="C180" s="590"/>
      <c r="D180" s="590"/>
      <c r="E180" s="590"/>
      <c r="F180" s="590"/>
      <c r="G180" s="590"/>
      <c r="H180" s="590"/>
      <c r="I180" s="590"/>
      <c r="J180" s="590"/>
      <c r="K180" s="590"/>
      <c r="L180" s="590"/>
      <c r="M180" s="590"/>
      <c r="N180" s="590"/>
      <c r="O180" s="590"/>
      <c r="P180" s="590"/>
      <c r="Q180" s="590"/>
      <c r="R180" s="590"/>
      <c r="S180" s="590"/>
      <c r="T180" s="590"/>
      <c r="U180" s="590"/>
      <c r="V180" s="590"/>
      <c r="W180" s="590"/>
      <c r="X180" s="590"/>
      <c r="Y180" s="590"/>
      <c r="Z180" s="590"/>
      <c r="AA180" s="590"/>
      <c r="AB180" s="590"/>
      <c r="AC180" s="590"/>
      <c r="AD180" s="590"/>
      <c r="AE180" s="590"/>
      <c r="AF180" s="590"/>
      <c r="AG180" s="590"/>
      <c r="AH180" s="590"/>
      <c r="AI180" s="590"/>
      <c r="AJ180" s="590"/>
      <c r="AK180" s="590"/>
      <c r="AL180" s="590"/>
      <c r="AM180" s="590"/>
      <c r="AN180" s="590"/>
      <c r="AO180" s="590"/>
      <c r="AP180" s="590"/>
      <c r="AQ180" s="590"/>
      <c r="AR180" s="590"/>
      <c r="AS180" s="590"/>
      <c r="AT180" s="590"/>
      <c r="AU180" s="590"/>
      <c r="AV180" s="590"/>
      <c r="AW180" s="590"/>
      <c r="AX180" s="590"/>
      <c r="AY180" s="590"/>
      <c r="AZ180" s="590"/>
      <c r="BA180" s="590"/>
      <c r="BB180" s="590"/>
      <c r="BC180" s="590"/>
      <c r="BD180" s="590"/>
      <c r="BE180" s="590"/>
      <c r="BF180" s="590"/>
      <c r="BG180" s="590"/>
      <c r="BH180" s="590"/>
      <c r="BI180" s="590"/>
      <c r="BJ180" s="590"/>
      <c r="BK180" s="591"/>
      <c r="BL180" s="591"/>
      <c r="BM180" s="591"/>
      <c r="BN180" s="591"/>
      <c r="BO180" s="591"/>
      <c r="BP180" s="591"/>
      <c r="BQ180" s="591"/>
      <c r="BR180" s="591"/>
      <c r="BS180" s="591"/>
      <c r="BT180" s="591"/>
      <c r="BU180" s="591"/>
      <c r="BV180" s="591"/>
      <c r="BW180" s="591"/>
      <c r="BX180" s="591"/>
      <c r="BY180" s="591"/>
      <c r="BZ180" s="591"/>
      <c r="CA180" s="591"/>
      <c r="CB180" s="591"/>
      <c r="CC180" s="591"/>
      <c r="CD180" s="591"/>
      <c r="CE180" s="591"/>
      <c r="CF180" s="591"/>
    </row>
    <row r="181" spans="1:84">
      <c r="A181" s="590"/>
      <c r="B181" s="590"/>
      <c r="C181" s="590"/>
      <c r="D181" s="590"/>
      <c r="E181" s="590"/>
      <c r="F181" s="590"/>
      <c r="G181" s="590"/>
      <c r="H181" s="590"/>
      <c r="I181" s="590"/>
      <c r="J181" s="590"/>
      <c r="K181" s="590"/>
      <c r="L181" s="590"/>
      <c r="M181" s="590"/>
      <c r="N181" s="590"/>
      <c r="O181" s="590"/>
      <c r="P181" s="590"/>
      <c r="Q181" s="590"/>
      <c r="R181" s="590"/>
      <c r="S181" s="590"/>
      <c r="T181" s="590"/>
      <c r="U181" s="590"/>
      <c r="V181" s="590"/>
      <c r="W181" s="590"/>
      <c r="X181" s="590"/>
      <c r="Y181" s="590"/>
      <c r="Z181" s="590"/>
      <c r="AA181" s="590"/>
      <c r="AB181" s="590"/>
      <c r="AC181" s="590"/>
      <c r="AD181" s="590"/>
      <c r="AE181" s="590"/>
      <c r="AF181" s="590"/>
      <c r="AG181" s="590"/>
      <c r="AH181" s="590"/>
      <c r="AI181" s="590"/>
      <c r="AJ181" s="590"/>
      <c r="AK181" s="590"/>
      <c r="AL181" s="590"/>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1"/>
      <c r="BL181" s="591"/>
      <c r="BM181" s="591"/>
      <c r="BN181" s="591"/>
      <c r="BO181" s="591"/>
      <c r="BP181" s="591"/>
      <c r="BQ181" s="591"/>
      <c r="BR181" s="591"/>
      <c r="BS181" s="591"/>
      <c r="BT181" s="591"/>
      <c r="BU181" s="591"/>
      <c r="BV181" s="591"/>
      <c r="BW181" s="591"/>
      <c r="BX181" s="591"/>
      <c r="BY181" s="591"/>
      <c r="BZ181" s="591"/>
      <c r="CA181" s="591"/>
      <c r="CB181" s="591"/>
      <c r="CC181" s="591"/>
      <c r="CD181" s="591"/>
      <c r="CE181" s="591"/>
      <c r="CF181" s="591"/>
    </row>
    <row r="182" spans="1:84">
      <c r="A182" s="590"/>
      <c r="B182" s="590"/>
      <c r="C182" s="590"/>
      <c r="D182" s="590"/>
      <c r="E182" s="590"/>
      <c r="F182" s="590"/>
      <c r="G182" s="590"/>
      <c r="H182" s="590"/>
      <c r="I182" s="590"/>
      <c r="J182" s="590"/>
      <c r="K182" s="590"/>
      <c r="L182" s="590"/>
      <c r="M182" s="590"/>
      <c r="N182" s="590"/>
      <c r="O182" s="590"/>
      <c r="P182" s="590"/>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0"/>
      <c r="AQ182" s="590"/>
      <c r="AR182" s="590"/>
      <c r="AS182" s="590"/>
      <c r="AT182" s="590"/>
      <c r="AU182" s="590"/>
      <c r="AV182" s="590"/>
      <c r="AW182" s="590"/>
      <c r="AX182" s="590"/>
      <c r="AY182" s="590"/>
      <c r="AZ182" s="590"/>
      <c r="BA182" s="590"/>
      <c r="BB182" s="590"/>
      <c r="BC182" s="590"/>
      <c r="BD182" s="590"/>
      <c r="BE182" s="590"/>
      <c r="BF182" s="590"/>
      <c r="BG182" s="590"/>
      <c r="BH182" s="590"/>
      <c r="BI182" s="590"/>
      <c r="BJ182" s="590"/>
      <c r="BK182" s="591"/>
      <c r="BL182" s="591"/>
      <c r="BM182" s="591"/>
      <c r="BN182" s="591"/>
      <c r="BO182" s="591"/>
      <c r="BP182" s="591"/>
      <c r="BQ182" s="591"/>
      <c r="BR182" s="591"/>
      <c r="BS182" s="591"/>
      <c r="BT182" s="591"/>
      <c r="BU182" s="591"/>
      <c r="BV182" s="591"/>
      <c r="BW182" s="591"/>
      <c r="BX182" s="591"/>
      <c r="BY182" s="591"/>
      <c r="BZ182" s="591"/>
      <c r="CA182" s="591"/>
      <c r="CB182" s="591"/>
      <c r="CC182" s="591"/>
      <c r="CD182" s="591"/>
      <c r="CE182" s="591"/>
      <c r="CF182" s="591"/>
    </row>
    <row r="183" spans="1:84">
      <c r="A183" s="590"/>
      <c r="B183" s="590"/>
      <c r="C183" s="590"/>
      <c r="D183" s="590"/>
      <c r="E183" s="590"/>
      <c r="F183" s="590"/>
      <c r="G183" s="590"/>
      <c r="H183" s="590"/>
      <c r="I183" s="590"/>
      <c r="J183" s="590"/>
      <c r="K183" s="590"/>
      <c r="L183" s="590"/>
      <c r="M183" s="590"/>
      <c r="N183" s="590"/>
      <c r="O183" s="590"/>
      <c r="P183" s="590"/>
      <c r="Q183" s="590"/>
      <c r="R183" s="590"/>
      <c r="S183" s="590"/>
      <c r="T183" s="590"/>
      <c r="U183" s="590"/>
      <c r="V183" s="590"/>
      <c r="W183" s="590"/>
      <c r="X183" s="590"/>
      <c r="Y183" s="590"/>
      <c r="Z183" s="590"/>
      <c r="AA183" s="590"/>
      <c r="AB183" s="590"/>
      <c r="AC183" s="590"/>
      <c r="AD183" s="590"/>
      <c r="AE183" s="590"/>
      <c r="AF183" s="590"/>
      <c r="AG183" s="590"/>
      <c r="AH183" s="590"/>
      <c r="AI183" s="590"/>
      <c r="AJ183" s="590"/>
      <c r="AK183" s="590"/>
      <c r="AL183" s="590"/>
      <c r="AM183" s="590"/>
      <c r="AN183" s="590"/>
      <c r="AO183" s="590"/>
      <c r="AP183" s="590"/>
      <c r="AQ183" s="590"/>
      <c r="AR183" s="590"/>
      <c r="AS183" s="590"/>
      <c r="AT183" s="590"/>
      <c r="AU183" s="590"/>
      <c r="AV183" s="590"/>
      <c r="AW183" s="590"/>
      <c r="AX183" s="590"/>
      <c r="AY183" s="590"/>
      <c r="AZ183" s="590"/>
      <c r="BA183" s="590"/>
      <c r="BB183" s="590"/>
      <c r="BC183" s="590"/>
      <c r="BD183" s="590"/>
      <c r="BE183" s="590"/>
      <c r="BF183" s="590"/>
      <c r="BG183" s="590"/>
      <c r="BH183" s="590"/>
      <c r="BI183" s="590"/>
      <c r="BJ183" s="590"/>
      <c r="BK183" s="591"/>
      <c r="BL183" s="591"/>
      <c r="BM183" s="591"/>
      <c r="BN183" s="591"/>
      <c r="BO183" s="591"/>
      <c r="BP183" s="591"/>
      <c r="BQ183" s="591"/>
      <c r="BR183" s="591"/>
      <c r="BS183" s="591"/>
      <c r="BT183" s="591"/>
      <c r="BU183" s="591"/>
      <c r="BV183" s="591"/>
      <c r="BW183" s="591"/>
      <c r="BX183" s="591"/>
      <c r="BY183" s="591"/>
      <c r="BZ183" s="591"/>
      <c r="CA183" s="591"/>
      <c r="CB183" s="591"/>
      <c r="CC183" s="591"/>
      <c r="CD183" s="591"/>
      <c r="CE183" s="591"/>
      <c r="CF183" s="591"/>
    </row>
    <row r="184" spans="1:84">
      <c r="A184" s="590"/>
      <c r="B184" s="590"/>
      <c r="C184" s="590"/>
      <c r="D184" s="590"/>
      <c r="E184" s="590"/>
      <c r="F184" s="590"/>
      <c r="G184" s="590"/>
      <c r="H184" s="590"/>
      <c r="I184" s="590"/>
      <c r="J184" s="590"/>
      <c r="K184" s="590"/>
      <c r="L184" s="590"/>
      <c r="M184" s="590"/>
      <c r="N184" s="590"/>
      <c r="O184" s="590"/>
      <c r="P184" s="590"/>
      <c r="Q184" s="590"/>
      <c r="R184" s="590"/>
      <c r="S184" s="590"/>
      <c r="T184" s="590"/>
      <c r="U184" s="590"/>
      <c r="V184" s="590"/>
      <c r="W184" s="590"/>
      <c r="X184" s="590"/>
      <c r="Y184" s="590"/>
      <c r="Z184" s="590"/>
      <c r="AA184" s="590"/>
      <c r="AB184" s="590"/>
      <c r="AC184" s="590"/>
      <c r="AD184" s="590"/>
      <c r="AE184" s="590"/>
      <c r="AF184" s="590"/>
      <c r="AG184" s="590"/>
      <c r="AH184" s="590"/>
      <c r="AI184" s="590"/>
      <c r="AJ184" s="590"/>
      <c r="AK184" s="590"/>
      <c r="AL184" s="590"/>
      <c r="AM184" s="590"/>
      <c r="AN184" s="590"/>
      <c r="AO184" s="590"/>
      <c r="AP184" s="590"/>
      <c r="AQ184" s="590"/>
      <c r="AR184" s="590"/>
      <c r="AS184" s="590"/>
      <c r="AT184" s="590"/>
      <c r="AU184" s="590"/>
      <c r="AV184" s="590"/>
      <c r="AW184" s="590"/>
      <c r="AX184" s="590"/>
      <c r="AY184" s="590"/>
      <c r="AZ184" s="590"/>
      <c r="BA184" s="590"/>
      <c r="BB184" s="590"/>
      <c r="BC184" s="590"/>
      <c r="BD184" s="590"/>
      <c r="BE184" s="590"/>
      <c r="BF184" s="590"/>
      <c r="BG184" s="590"/>
      <c r="BH184" s="590"/>
      <c r="BI184" s="590"/>
      <c r="BJ184" s="590"/>
      <c r="BK184" s="591"/>
      <c r="BL184" s="591"/>
      <c r="BM184" s="591"/>
      <c r="BN184" s="591"/>
      <c r="BO184" s="591"/>
      <c r="BP184" s="591"/>
      <c r="BQ184" s="591"/>
      <c r="BR184" s="591"/>
      <c r="BS184" s="591"/>
      <c r="BT184" s="591"/>
      <c r="BU184" s="591"/>
      <c r="BV184" s="591"/>
      <c r="BW184" s="591"/>
      <c r="BX184" s="591"/>
      <c r="BY184" s="591"/>
      <c r="BZ184" s="591"/>
      <c r="CA184" s="591"/>
      <c r="CB184" s="591"/>
      <c r="CC184" s="591"/>
      <c r="CD184" s="591"/>
      <c r="CE184" s="591"/>
      <c r="CF184" s="591"/>
    </row>
    <row r="185" spans="1:84">
      <c r="A185" s="590"/>
      <c r="B185" s="590"/>
      <c r="C185" s="590"/>
      <c r="D185" s="590"/>
      <c r="E185" s="590"/>
      <c r="F185" s="590"/>
      <c r="G185" s="590"/>
      <c r="H185" s="590"/>
      <c r="I185" s="590"/>
      <c r="J185" s="590"/>
      <c r="K185" s="590"/>
      <c r="L185" s="590"/>
      <c r="M185" s="590"/>
      <c r="N185" s="590"/>
      <c r="O185" s="590"/>
      <c r="P185" s="590"/>
      <c r="Q185" s="590"/>
      <c r="R185" s="590"/>
      <c r="S185" s="590"/>
      <c r="T185" s="590"/>
      <c r="U185" s="590"/>
      <c r="V185" s="590"/>
      <c r="W185" s="590"/>
      <c r="X185" s="590"/>
      <c r="Y185" s="590"/>
      <c r="Z185" s="590"/>
      <c r="AA185" s="590"/>
      <c r="AB185" s="590"/>
      <c r="AC185" s="590"/>
      <c r="AD185" s="590"/>
      <c r="AE185" s="590"/>
      <c r="AF185" s="590"/>
      <c r="AG185" s="590"/>
      <c r="AH185" s="590"/>
      <c r="AI185" s="590"/>
      <c r="AJ185" s="590"/>
      <c r="AK185" s="590"/>
      <c r="AL185" s="590"/>
      <c r="AM185" s="590"/>
      <c r="AN185" s="590"/>
      <c r="AO185" s="590"/>
      <c r="AP185" s="590"/>
      <c r="AQ185" s="590"/>
      <c r="AR185" s="590"/>
      <c r="AS185" s="590"/>
      <c r="AT185" s="590"/>
      <c r="AU185" s="590"/>
      <c r="AV185" s="590"/>
      <c r="AW185" s="590"/>
      <c r="AX185" s="590"/>
      <c r="AY185" s="590"/>
      <c r="AZ185" s="590"/>
      <c r="BA185" s="590"/>
      <c r="BB185" s="590"/>
      <c r="BC185" s="590"/>
      <c r="BD185" s="590"/>
      <c r="BE185" s="590"/>
      <c r="BF185" s="590"/>
      <c r="BG185" s="590"/>
      <c r="BH185" s="590"/>
      <c r="BI185" s="590"/>
      <c r="BJ185" s="590"/>
      <c r="BK185" s="591"/>
      <c r="BL185" s="591"/>
      <c r="BM185" s="591"/>
      <c r="BN185" s="591"/>
      <c r="BO185" s="591"/>
      <c r="BP185" s="591"/>
      <c r="BQ185" s="591"/>
      <c r="BR185" s="591"/>
      <c r="BS185" s="591"/>
      <c r="BT185" s="591"/>
      <c r="BU185" s="591"/>
      <c r="BV185" s="591"/>
      <c r="BW185" s="591"/>
      <c r="BX185" s="591"/>
      <c r="BY185" s="591"/>
      <c r="BZ185" s="591"/>
      <c r="CA185" s="591"/>
      <c r="CB185" s="591"/>
      <c r="CC185" s="591"/>
      <c r="CD185" s="591"/>
      <c r="CE185" s="591"/>
      <c r="CF185" s="591"/>
    </row>
    <row r="186" spans="1:84">
      <c r="A186" s="590"/>
      <c r="B186" s="590"/>
      <c r="C186" s="590"/>
      <c r="D186" s="590"/>
      <c r="E186" s="590"/>
      <c r="F186" s="590"/>
      <c r="G186" s="590"/>
      <c r="H186" s="590"/>
      <c r="I186" s="590"/>
      <c r="J186" s="590"/>
      <c r="K186" s="590"/>
      <c r="L186" s="590"/>
      <c r="M186" s="590"/>
      <c r="N186" s="590"/>
      <c r="O186" s="590"/>
      <c r="P186" s="590"/>
      <c r="Q186" s="590"/>
      <c r="R186" s="590"/>
      <c r="S186" s="590"/>
      <c r="T186" s="590"/>
      <c r="U186" s="590"/>
      <c r="V186" s="590"/>
      <c r="W186" s="590"/>
      <c r="X186" s="590"/>
      <c r="Y186" s="590"/>
      <c r="Z186" s="590"/>
      <c r="AA186" s="590"/>
      <c r="AB186" s="590"/>
      <c r="AC186" s="590"/>
      <c r="AD186" s="590"/>
      <c r="AE186" s="590"/>
      <c r="AF186" s="590"/>
      <c r="AG186" s="590"/>
      <c r="AH186" s="590"/>
      <c r="AI186" s="590"/>
      <c r="AJ186" s="590"/>
      <c r="AK186" s="590"/>
      <c r="AL186" s="590"/>
      <c r="AM186" s="590"/>
      <c r="AN186" s="590"/>
      <c r="AO186" s="590"/>
      <c r="AP186" s="590"/>
      <c r="AQ186" s="590"/>
      <c r="AR186" s="590"/>
      <c r="AS186" s="590"/>
      <c r="AT186" s="590"/>
      <c r="AU186" s="590"/>
      <c r="AV186" s="590"/>
      <c r="AW186" s="590"/>
      <c r="AX186" s="590"/>
      <c r="AY186" s="590"/>
      <c r="AZ186" s="590"/>
      <c r="BA186" s="590"/>
      <c r="BB186" s="590"/>
      <c r="BC186" s="590"/>
      <c r="BD186" s="590"/>
      <c r="BE186" s="590"/>
      <c r="BF186" s="590"/>
      <c r="BG186" s="590"/>
      <c r="BH186" s="590"/>
      <c r="BI186" s="590"/>
      <c r="BJ186" s="590"/>
      <c r="BK186" s="591"/>
      <c r="BL186" s="591"/>
      <c r="BM186" s="591"/>
      <c r="BN186" s="591"/>
      <c r="BO186" s="591"/>
      <c r="BP186" s="591"/>
      <c r="BQ186" s="591"/>
      <c r="BR186" s="591"/>
      <c r="BS186" s="591"/>
      <c r="BT186" s="591"/>
      <c r="BU186" s="591"/>
      <c r="BV186" s="591"/>
      <c r="BW186" s="591"/>
      <c r="BX186" s="591"/>
      <c r="BY186" s="591"/>
      <c r="BZ186" s="591"/>
      <c r="CA186" s="591"/>
      <c r="CB186" s="591"/>
      <c r="CC186" s="591"/>
      <c r="CD186" s="591"/>
      <c r="CE186" s="591"/>
      <c r="CF186" s="591"/>
    </row>
    <row r="187" spans="1:84">
      <c r="A187" s="590"/>
      <c r="B187" s="590"/>
      <c r="C187" s="590"/>
      <c r="D187" s="590"/>
      <c r="E187" s="590"/>
      <c r="F187" s="590"/>
      <c r="G187" s="590"/>
      <c r="H187" s="590"/>
      <c r="I187" s="590"/>
      <c r="J187" s="590"/>
      <c r="K187" s="590"/>
      <c r="L187" s="590"/>
      <c r="M187" s="590"/>
      <c r="N187" s="590"/>
      <c r="O187" s="590"/>
      <c r="P187" s="590"/>
      <c r="Q187" s="590"/>
      <c r="R187" s="590"/>
      <c r="S187" s="590"/>
      <c r="T187" s="590"/>
      <c r="U187" s="590"/>
      <c r="V187" s="590"/>
      <c r="W187" s="590"/>
      <c r="X187" s="590"/>
      <c r="Y187" s="590"/>
      <c r="Z187" s="590"/>
      <c r="AA187" s="590"/>
      <c r="AB187" s="590"/>
      <c r="AC187" s="590"/>
      <c r="AD187" s="590"/>
      <c r="AE187" s="590"/>
      <c r="AF187" s="590"/>
      <c r="AG187" s="590"/>
      <c r="AH187" s="590"/>
      <c r="AI187" s="590"/>
      <c r="AJ187" s="590"/>
      <c r="AK187" s="590"/>
      <c r="AL187" s="590"/>
      <c r="AM187" s="590"/>
      <c r="AN187" s="590"/>
      <c r="AO187" s="590"/>
      <c r="AP187" s="590"/>
      <c r="AQ187" s="590"/>
      <c r="AR187" s="590"/>
      <c r="AS187" s="590"/>
      <c r="AT187" s="590"/>
      <c r="AU187" s="590"/>
      <c r="AV187" s="590"/>
      <c r="AW187" s="590"/>
      <c r="AX187" s="590"/>
      <c r="AY187" s="590"/>
      <c r="AZ187" s="590"/>
      <c r="BA187" s="590"/>
      <c r="BB187" s="590"/>
      <c r="BC187" s="590"/>
      <c r="BD187" s="590"/>
      <c r="BE187" s="590"/>
      <c r="BF187" s="590"/>
      <c r="BG187" s="590"/>
      <c r="BH187" s="590"/>
      <c r="BI187" s="590"/>
      <c r="BJ187" s="590"/>
      <c r="BK187" s="591"/>
      <c r="BL187" s="591"/>
      <c r="BM187" s="591"/>
      <c r="BN187" s="591"/>
      <c r="BO187" s="591"/>
      <c r="BP187" s="591"/>
      <c r="BQ187" s="591"/>
      <c r="BR187" s="591"/>
      <c r="BS187" s="591"/>
      <c r="BT187" s="591"/>
      <c r="BU187" s="591"/>
      <c r="BV187" s="591"/>
      <c r="BW187" s="591"/>
      <c r="BX187" s="591"/>
      <c r="BY187" s="591"/>
      <c r="BZ187" s="591"/>
      <c r="CA187" s="591"/>
      <c r="CB187" s="591"/>
      <c r="CC187" s="591"/>
      <c r="CD187" s="591"/>
      <c r="CE187" s="591"/>
      <c r="CF187" s="591"/>
    </row>
    <row r="188" spans="1:84">
      <c r="A188" s="590"/>
      <c r="B188" s="590"/>
      <c r="C188" s="590"/>
      <c r="D188" s="590"/>
      <c r="E188" s="590"/>
      <c r="F188" s="590"/>
      <c r="G188" s="590"/>
      <c r="H188" s="590"/>
      <c r="I188" s="590"/>
      <c r="J188" s="590"/>
      <c r="K188" s="590"/>
      <c r="L188" s="590"/>
      <c r="M188" s="590"/>
      <c r="N188" s="590"/>
      <c r="O188" s="590"/>
      <c r="P188" s="590"/>
      <c r="Q188" s="590"/>
      <c r="R188" s="590"/>
      <c r="S188" s="590"/>
      <c r="T188" s="590"/>
      <c r="U188" s="590"/>
      <c r="V188" s="590"/>
      <c r="W188" s="590"/>
      <c r="X188" s="590"/>
      <c r="Y188" s="590"/>
      <c r="Z188" s="590"/>
      <c r="AA188" s="590"/>
      <c r="AB188" s="590"/>
      <c r="AC188" s="590"/>
      <c r="AD188" s="590"/>
      <c r="AE188" s="590"/>
      <c r="AF188" s="590"/>
      <c r="AG188" s="590"/>
      <c r="AH188" s="590"/>
      <c r="AI188" s="590"/>
      <c r="AJ188" s="590"/>
      <c r="AK188" s="590"/>
      <c r="AL188" s="590"/>
      <c r="AM188" s="590"/>
      <c r="AN188" s="590"/>
      <c r="AO188" s="590"/>
      <c r="AP188" s="590"/>
      <c r="AQ188" s="590"/>
      <c r="AR188" s="590"/>
      <c r="AS188" s="590"/>
      <c r="AT188" s="590"/>
      <c r="AU188" s="590"/>
      <c r="AV188" s="590"/>
      <c r="AW188" s="590"/>
      <c r="AX188" s="590"/>
      <c r="AY188" s="590"/>
      <c r="AZ188" s="590"/>
      <c r="BA188" s="590"/>
      <c r="BB188" s="590"/>
      <c r="BC188" s="590"/>
      <c r="BD188" s="590"/>
      <c r="BE188" s="590"/>
      <c r="BF188" s="590"/>
      <c r="BG188" s="590"/>
      <c r="BH188" s="590"/>
      <c r="BI188" s="590"/>
      <c r="BJ188" s="590"/>
      <c r="BK188" s="591"/>
      <c r="BL188" s="591"/>
      <c r="BM188" s="591"/>
      <c r="BN188" s="591"/>
      <c r="BO188" s="591"/>
      <c r="BP188" s="591"/>
      <c r="BQ188" s="591"/>
      <c r="BR188" s="591"/>
      <c r="BS188" s="591"/>
      <c r="BT188" s="591"/>
      <c r="BU188" s="591"/>
      <c r="BV188" s="591"/>
      <c r="BW188" s="591"/>
      <c r="BX188" s="591"/>
      <c r="BY188" s="591"/>
      <c r="BZ188" s="591"/>
      <c r="CA188" s="591"/>
      <c r="CB188" s="591"/>
      <c r="CC188" s="591"/>
      <c r="CD188" s="591"/>
      <c r="CE188" s="591"/>
      <c r="CF188" s="591"/>
    </row>
    <row r="189" spans="1:84">
      <c r="A189" s="590"/>
      <c r="B189" s="590"/>
      <c r="C189" s="590"/>
      <c r="D189" s="590"/>
      <c r="E189" s="590"/>
      <c r="F189" s="590"/>
      <c r="G189" s="590"/>
      <c r="H189" s="590"/>
      <c r="I189" s="590"/>
      <c r="J189" s="590"/>
      <c r="K189" s="590"/>
      <c r="L189" s="590"/>
      <c r="M189" s="590"/>
      <c r="N189" s="590"/>
      <c r="O189" s="590"/>
      <c r="P189" s="590"/>
      <c r="Q189" s="590"/>
      <c r="R189" s="590"/>
      <c r="S189" s="590"/>
      <c r="T189" s="590"/>
      <c r="U189" s="590"/>
      <c r="V189" s="590"/>
      <c r="W189" s="590"/>
      <c r="X189" s="590"/>
      <c r="Y189" s="590"/>
      <c r="Z189" s="590"/>
      <c r="AA189" s="590"/>
      <c r="AB189" s="590"/>
      <c r="AC189" s="590"/>
      <c r="AD189" s="590"/>
      <c r="AE189" s="590"/>
      <c r="AF189" s="590"/>
      <c r="AG189" s="590"/>
      <c r="AH189" s="590"/>
      <c r="AI189" s="590"/>
      <c r="AJ189" s="590"/>
      <c r="AK189" s="590"/>
      <c r="AL189" s="590"/>
      <c r="AM189" s="590"/>
      <c r="AN189" s="590"/>
      <c r="AO189" s="590"/>
      <c r="AP189" s="590"/>
      <c r="AQ189" s="590"/>
      <c r="AR189" s="590"/>
      <c r="AS189" s="590"/>
      <c r="AT189" s="590"/>
      <c r="AU189" s="590"/>
      <c r="AV189" s="590"/>
      <c r="AW189" s="590"/>
      <c r="AX189" s="590"/>
      <c r="AY189" s="590"/>
      <c r="AZ189" s="590"/>
      <c r="BA189" s="590"/>
      <c r="BB189" s="590"/>
      <c r="BC189" s="590"/>
      <c r="BD189" s="590"/>
      <c r="BE189" s="590"/>
      <c r="BF189" s="590"/>
      <c r="BG189" s="590"/>
      <c r="BH189" s="590"/>
      <c r="BI189" s="590"/>
      <c r="BJ189" s="590"/>
      <c r="BK189" s="591"/>
      <c r="BL189" s="591"/>
      <c r="BM189" s="591"/>
      <c r="BN189" s="591"/>
      <c r="BO189" s="591"/>
      <c r="BP189" s="591"/>
      <c r="BQ189" s="591"/>
      <c r="BR189" s="591"/>
      <c r="BS189" s="591"/>
      <c r="BT189" s="591"/>
      <c r="BU189" s="591"/>
      <c r="BV189" s="591"/>
      <c r="BW189" s="591"/>
      <c r="BX189" s="591"/>
      <c r="BY189" s="591"/>
      <c r="BZ189" s="591"/>
      <c r="CA189" s="591"/>
      <c r="CB189" s="591"/>
      <c r="CC189" s="591"/>
      <c r="CD189" s="591"/>
      <c r="CE189" s="591"/>
      <c r="CF189" s="591"/>
    </row>
    <row r="190" spans="1:84">
      <c r="A190" s="590"/>
      <c r="B190" s="590"/>
      <c r="C190" s="590"/>
      <c r="D190" s="590"/>
      <c r="E190" s="590"/>
      <c r="F190" s="590"/>
      <c r="G190" s="590"/>
      <c r="H190" s="590"/>
      <c r="I190" s="590"/>
      <c r="J190" s="590"/>
      <c r="K190" s="590"/>
      <c r="L190" s="590"/>
      <c r="M190" s="590"/>
      <c r="N190" s="590"/>
      <c r="O190" s="590"/>
      <c r="P190" s="590"/>
      <c r="Q190" s="590"/>
      <c r="R190" s="590"/>
      <c r="S190" s="590"/>
      <c r="T190" s="590"/>
      <c r="U190" s="590"/>
      <c r="V190" s="590"/>
      <c r="W190" s="590"/>
      <c r="X190" s="590"/>
      <c r="Y190" s="590"/>
      <c r="Z190" s="590"/>
      <c r="AA190" s="590"/>
      <c r="AB190" s="590"/>
      <c r="AC190" s="590"/>
      <c r="AD190" s="590"/>
      <c r="AE190" s="590"/>
      <c r="AF190" s="590"/>
      <c r="AG190" s="590"/>
      <c r="AH190" s="590"/>
      <c r="AI190" s="590"/>
      <c r="AJ190" s="590"/>
      <c r="AK190" s="590"/>
      <c r="AL190" s="590"/>
      <c r="AM190" s="590"/>
      <c r="AN190" s="590"/>
      <c r="AO190" s="590"/>
      <c r="AP190" s="590"/>
      <c r="AQ190" s="590"/>
      <c r="AR190" s="590"/>
      <c r="AS190" s="590"/>
      <c r="AT190" s="590"/>
      <c r="AU190" s="590"/>
      <c r="AV190" s="590"/>
      <c r="AW190" s="590"/>
      <c r="AX190" s="590"/>
      <c r="AY190" s="590"/>
      <c r="AZ190" s="590"/>
      <c r="BA190" s="590"/>
      <c r="BB190" s="590"/>
      <c r="BC190" s="590"/>
      <c r="BD190" s="590"/>
      <c r="BE190" s="590"/>
      <c r="BF190" s="590"/>
      <c r="BG190" s="590"/>
      <c r="BH190" s="590"/>
      <c r="BI190" s="590"/>
      <c r="BJ190" s="590"/>
      <c r="BK190" s="591"/>
      <c r="BL190" s="591"/>
      <c r="BM190" s="591"/>
      <c r="BN190" s="591"/>
      <c r="BO190" s="591"/>
      <c r="BP190" s="591"/>
      <c r="BQ190" s="591"/>
      <c r="BR190" s="591"/>
      <c r="BS190" s="591"/>
      <c r="BT190" s="591"/>
      <c r="BU190" s="591"/>
      <c r="BV190" s="591"/>
      <c r="BW190" s="591"/>
      <c r="BX190" s="591"/>
      <c r="BY190" s="591"/>
      <c r="BZ190" s="591"/>
      <c r="CA190" s="591"/>
      <c r="CB190" s="591"/>
      <c r="CC190" s="591"/>
      <c r="CD190" s="591"/>
      <c r="CE190" s="591"/>
      <c r="CF190" s="591"/>
    </row>
    <row r="191" spans="1:84">
      <c r="A191" s="590"/>
      <c r="B191" s="590"/>
      <c r="C191" s="590"/>
      <c r="D191" s="590"/>
      <c r="E191" s="590"/>
      <c r="F191" s="590"/>
      <c r="G191" s="590"/>
      <c r="H191" s="590"/>
      <c r="I191" s="590"/>
      <c r="J191" s="590"/>
      <c r="K191" s="590"/>
      <c r="L191" s="590"/>
      <c r="M191" s="590"/>
      <c r="N191" s="590"/>
      <c r="O191" s="590"/>
      <c r="P191" s="590"/>
      <c r="Q191" s="590"/>
      <c r="R191" s="590"/>
      <c r="S191" s="590"/>
      <c r="T191" s="590"/>
      <c r="U191" s="590"/>
      <c r="V191" s="590"/>
      <c r="W191" s="590"/>
      <c r="X191" s="590"/>
      <c r="Y191" s="590"/>
      <c r="Z191" s="590"/>
      <c r="AA191" s="590"/>
      <c r="AB191" s="590"/>
      <c r="AC191" s="590"/>
      <c r="AD191" s="590"/>
      <c r="AE191" s="590"/>
      <c r="AF191" s="590"/>
      <c r="AG191" s="590"/>
      <c r="AH191" s="590"/>
      <c r="AI191" s="590"/>
      <c r="AJ191" s="590"/>
      <c r="AK191" s="590"/>
      <c r="AL191" s="590"/>
      <c r="AM191" s="590"/>
      <c r="AN191" s="590"/>
      <c r="AO191" s="590"/>
      <c r="AP191" s="590"/>
      <c r="AQ191" s="590"/>
      <c r="AR191" s="590"/>
      <c r="AS191" s="590"/>
      <c r="AT191" s="590"/>
      <c r="AU191" s="590"/>
      <c r="AV191" s="590"/>
      <c r="AW191" s="590"/>
      <c r="AX191" s="590"/>
      <c r="AY191" s="590"/>
      <c r="AZ191" s="590"/>
      <c r="BA191" s="590"/>
      <c r="BB191" s="590"/>
      <c r="BC191" s="590"/>
      <c r="BD191" s="590"/>
      <c r="BE191" s="590"/>
      <c r="BF191" s="590"/>
      <c r="BG191" s="590"/>
      <c r="BH191" s="590"/>
      <c r="BI191" s="590"/>
      <c r="BJ191" s="590"/>
      <c r="BK191" s="591"/>
      <c r="BL191" s="591"/>
      <c r="BM191" s="591"/>
      <c r="BN191" s="591"/>
      <c r="BO191" s="591"/>
      <c r="BP191" s="591"/>
      <c r="BQ191" s="591"/>
      <c r="BR191" s="591"/>
      <c r="BS191" s="591"/>
      <c r="BT191" s="591"/>
      <c r="BU191" s="591"/>
      <c r="BV191" s="591"/>
      <c r="BW191" s="591"/>
      <c r="BX191" s="591"/>
      <c r="BY191" s="591"/>
      <c r="BZ191" s="591"/>
      <c r="CA191" s="591"/>
      <c r="CB191" s="591"/>
      <c r="CC191" s="591"/>
      <c r="CD191" s="591"/>
      <c r="CE191" s="591"/>
      <c r="CF191" s="591"/>
    </row>
    <row r="192" spans="1:84">
      <c r="A192" s="590"/>
      <c r="B192" s="590"/>
      <c r="C192" s="590"/>
      <c r="D192" s="590"/>
      <c r="E192" s="590"/>
      <c r="F192" s="590"/>
      <c r="G192" s="590"/>
      <c r="H192" s="590"/>
      <c r="I192" s="590"/>
      <c r="J192" s="590"/>
      <c r="K192" s="590"/>
      <c r="L192" s="590"/>
      <c r="M192" s="590"/>
      <c r="N192" s="590"/>
      <c r="O192" s="590"/>
      <c r="P192" s="590"/>
      <c r="Q192" s="590"/>
      <c r="R192" s="590"/>
      <c r="S192" s="590"/>
      <c r="T192" s="590"/>
      <c r="U192" s="590"/>
      <c r="V192" s="590"/>
      <c r="W192" s="590"/>
      <c r="X192" s="590"/>
      <c r="Y192" s="590"/>
      <c r="Z192" s="590"/>
      <c r="AA192" s="590"/>
      <c r="AB192" s="590"/>
      <c r="AC192" s="590"/>
      <c r="AD192" s="590"/>
      <c r="AE192" s="590"/>
      <c r="AF192" s="590"/>
      <c r="AG192" s="590"/>
      <c r="AH192" s="590"/>
      <c r="AI192" s="590"/>
      <c r="AJ192" s="590"/>
      <c r="AK192" s="590"/>
      <c r="AL192" s="590"/>
      <c r="AM192" s="590"/>
      <c r="AN192" s="590"/>
      <c r="AO192" s="590"/>
      <c r="AP192" s="590"/>
      <c r="AQ192" s="590"/>
      <c r="AR192" s="590"/>
      <c r="AS192" s="590"/>
      <c r="AT192" s="590"/>
      <c r="AU192" s="590"/>
      <c r="AV192" s="590"/>
      <c r="AW192" s="590"/>
      <c r="AX192" s="590"/>
      <c r="AY192" s="590"/>
      <c r="AZ192" s="590"/>
      <c r="BA192" s="590"/>
      <c r="BB192" s="590"/>
      <c r="BC192" s="590"/>
      <c r="BD192" s="590"/>
      <c r="BE192" s="590"/>
      <c r="BF192" s="590"/>
      <c r="BG192" s="590"/>
      <c r="BH192" s="590"/>
      <c r="BI192" s="590"/>
      <c r="BJ192" s="590"/>
      <c r="BK192" s="591"/>
      <c r="BL192" s="591"/>
      <c r="BM192" s="591"/>
      <c r="BN192" s="591"/>
      <c r="BO192" s="591"/>
      <c r="BP192" s="591"/>
      <c r="BQ192" s="591"/>
      <c r="BR192" s="591"/>
      <c r="BS192" s="591"/>
      <c r="BT192" s="591"/>
      <c r="BU192" s="591"/>
      <c r="BV192" s="591"/>
      <c r="BW192" s="591"/>
      <c r="BX192" s="591"/>
      <c r="BY192" s="591"/>
      <c r="BZ192" s="591"/>
      <c r="CA192" s="591"/>
      <c r="CB192" s="591"/>
      <c r="CC192" s="591"/>
      <c r="CD192" s="591"/>
      <c r="CE192" s="591"/>
      <c r="CF192" s="591"/>
    </row>
    <row r="193" spans="1:84">
      <c r="A193" s="590"/>
      <c r="B193" s="590"/>
      <c r="C193" s="590"/>
      <c r="D193" s="590"/>
      <c r="E193" s="590"/>
      <c r="F193" s="590"/>
      <c r="G193" s="590"/>
      <c r="H193" s="590"/>
      <c r="I193" s="590"/>
      <c r="J193" s="590"/>
      <c r="K193" s="590"/>
      <c r="L193" s="590"/>
      <c r="M193" s="590"/>
      <c r="N193" s="590"/>
      <c r="O193" s="590"/>
      <c r="P193" s="590"/>
      <c r="Q193" s="590"/>
      <c r="R193" s="590"/>
      <c r="S193" s="590"/>
      <c r="T193" s="590"/>
      <c r="U193" s="590"/>
      <c r="V193" s="590"/>
      <c r="W193" s="590"/>
      <c r="X193" s="590"/>
      <c r="Y193" s="590"/>
      <c r="Z193" s="590"/>
      <c r="AA193" s="590"/>
      <c r="AB193" s="590"/>
      <c r="AC193" s="590"/>
      <c r="AD193" s="590"/>
      <c r="AE193" s="590"/>
      <c r="AF193" s="590"/>
      <c r="AG193" s="590"/>
      <c r="AH193" s="590"/>
      <c r="AI193" s="590"/>
      <c r="AJ193" s="590"/>
      <c r="AK193" s="590"/>
      <c r="AL193" s="590"/>
      <c r="AM193" s="590"/>
      <c r="AN193" s="590"/>
      <c r="AO193" s="590"/>
      <c r="AP193" s="590"/>
      <c r="AQ193" s="590"/>
      <c r="AR193" s="590"/>
      <c r="AS193" s="590"/>
      <c r="AT193" s="590"/>
      <c r="AU193" s="590"/>
      <c r="AV193" s="590"/>
      <c r="AW193" s="590"/>
      <c r="AX193" s="590"/>
      <c r="AY193" s="590"/>
      <c r="AZ193" s="590"/>
      <c r="BA193" s="590"/>
      <c r="BB193" s="590"/>
      <c r="BC193" s="590"/>
      <c r="BD193" s="590"/>
      <c r="BE193" s="590"/>
      <c r="BF193" s="590"/>
      <c r="BG193" s="590"/>
      <c r="BH193" s="590"/>
      <c r="BI193" s="590"/>
      <c r="BJ193" s="590"/>
      <c r="BK193" s="591"/>
      <c r="BL193" s="591"/>
      <c r="BM193" s="591"/>
      <c r="BN193" s="591"/>
      <c r="BO193" s="591"/>
      <c r="BP193" s="591"/>
      <c r="BQ193" s="591"/>
      <c r="BR193" s="591"/>
      <c r="BS193" s="591"/>
      <c r="BT193" s="591"/>
      <c r="BU193" s="591"/>
      <c r="BV193" s="591"/>
      <c r="BW193" s="591"/>
      <c r="BX193" s="591"/>
      <c r="BY193" s="591"/>
      <c r="BZ193" s="591"/>
      <c r="CA193" s="591"/>
      <c r="CB193" s="591"/>
      <c r="CC193" s="591"/>
      <c r="CD193" s="591"/>
      <c r="CE193" s="591"/>
      <c r="CF193" s="591"/>
    </row>
    <row r="194" spans="1:84">
      <c r="A194" s="590"/>
      <c r="B194" s="590"/>
      <c r="C194" s="590"/>
      <c r="D194" s="590"/>
      <c r="E194" s="590"/>
      <c r="F194" s="590"/>
      <c r="G194" s="590"/>
      <c r="H194" s="590"/>
      <c r="I194" s="590"/>
      <c r="J194" s="590"/>
      <c r="K194" s="590"/>
      <c r="L194" s="590"/>
      <c r="M194" s="590"/>
      <c r="N194" s="590"/>
      <c r="O194" s="590"/>
      <c r="P194" s="590"/>
      <c r="Q194" s="590"/>
      <c r="R194" s="590"/>
      <c r="S194" s="590"/>
      <c r="T194" s="590"/>
      <c r="U194" s="590"/>
      <c r="V194" s="590"/>
      <c r="W194" s="590"/>
      <c r="X194" s="590"/>
      <c r="Y194" s="590"/>
      <c r="Z194" s="590"/>
      <c r="AA194" s="590"/>
      <c r="AB194" s="590"/>
      <c r="AC194" s="590"/>
      <c r="AD194" s="590"/>
      <c r="AE194" s="590"/>
      <c r="AF194" s="590"/>
      <c r="AG194" s="590"/>
      <c r="AH194" s="590"/>
      <c r="AI194" s="590"/>
      <c r="AJ194" s="590"/>
      <c r="AK194" s="590"/>
      <c r="AL194" s="590"/>
      <c r="AM194" s="590"/>
      <c r="AN194" s="590"/>
      <c r="AO194" s="590"/>
      <c r="AP194" s="590"/>
      <c r="AQ194" s="590"/>
      <c r="AR194" s="590"/>
      <c r="AS194" s="590"/>
      <c r="AT194" s="590"/>
      <c r="AU194" s="590"/>
      <c r="AV194" s="590"/>
      <c r="AW194" s="590"/>
      <c r="AX194" s="590"/>
      <c r="AY194" s="590"/>
      <c r="AZ194" s="590"/>
      <c r="BA194" s="590"/>
      <c r="BB194" s="590"/>
      <c r="BC194" s="590"/>
      <c r="BD194" s="590"/>
      <c r="BE194" s="590"/>
      <c r="BF194" s="590"/>
      <c r="BG194" s="590"/>
      <c r="BH194" s="590"/>
      <c r="BI194" s="590"/>
      <c r="BJ194" s="590"/>
      <c r="BK194" s="591"/>
      <c r="BL194" s="591"/>
      <c r="BM194" s="591"/>
      <c r="BN194" s="591"/>
      <c r="BO194" s="591"/>
      <c r="BP194" s="591"/>
      <c r="BQ194" s="591"/>
      <c r="BR194" s="591"/>
      <c r="BS194" s="591"/>
      <c r="BT194" s="591"/>
      <c r="BU194" s="591"/>
      <c r="BV194" s="591"/>
      <c r="BW194" s="591"/>
      <c r="BX194" s="591"/>
      <c r="BY194" s="591"/>
      <c r="BZ194" s="591"/>
      <c r="CA194" s="591"/>
      <c r="CB194" s="591"/>
      <c r="CC194" s="591"/>
      <c r="CD194" s="591"/>
      <c r="CE194" s="591"/>
      <c r="CF194" s="591"/>
    </row>
    <row r="195" spans="1:84">
      <c r="A195" s="590"/>
      <c r="B195" s="590"/>
      <c r="C195" s="590"/>
      <c r="D195" s="590"/>
      <c r="E195" s="590"/>
      <c r="F195" s="590"/>
      <c r="G195" s="590"/>
      <c r="H195" s="590"/>
      <c r="I195" s="590"/>
      <c r="J195" s="590"/>
      <c r="K195" s="590"/>
      <c r="L195" s="590"/>
      <c r="M195" s="590"/>
      <c r="N195" s="590"/>
      <c r="O195" s="590"/>
      <c r="P195" s="590"/>
      <c r="Q195" s="590"/>
      <c r="R195" s="590"/>
      <c r="S195" s="590"/>
      <c r="T195" s="590"/>
      <c r="U195" s="590"/>
      <c r="V195" s="590"/>
      <c r="W195" s="590"/>
      <c r="X195" s="590"/>
      <c r="Y195" s="590"/>
      <c r="Z195" s="590"/>
      <c r="AA195" s="590"/>
      <c r="AB195" s="590"/>
      <c r="AC195" s="590"/>
      <c r="AD195" s="590"/>
      <c r="AE195" s="590"/>
      <c r="AF195" s="590"/>
      <c r="AG195" s="590"/>
      <c r="AH195" s="590"/>
      <c r="AI195" s="590"/>
      <c r="AJ195" s="590"/>
      <c r="AK195" s="590"/>
      <c r="AL195" s="590"/>
      <c r="AM195" s="590"/>
      <c r="AN195" s="590"/>
      <c r="AO195" s="590"/>
      <c r="AP195" s="590"/>
      <c r="AQ195" s="590"/>
      <c r="AR195" s="590"/>
      <c r="AS195" s="590"/>
      <c r="AT195" s="590"/>
      <c r="AU195" s="590"/>
      <c r="AV195" s="590"/>
      <c r="AW195" s="590"/>
      <c r="AX195" s="590"/>
      <c r="AY195" s="590"/>
      <c r="AZ195" s="590"/>
      <c r="BA195" s="590"/>
      <c r="BB195" s="590"/>
      <c r="BC195" s="590"/>
      <c r="BD195" s="590"/>
      <c r="BE195" s="590"/>
      <c r="BF195" s="590"/>
      <c r="BG195" s="590"/>
      <c r="BH195" s="590"/>
      <c r="BI195" s="590"/>
      <c r="BJ195" s="590"/>
      <c r="BK195" s="591"/>
      <c r="BL195" s="591"/>
      <c r="BM195" s="591"/>
      <c r="BN195" s="591"/>
      <c r="BO195" s="591"/>
      <c r="BP195" s="591"/>
      <c r="BQ195" s="591"/>
      <c r="BR195" s="591"/>
      <c r="BS195" s="591"/>
      <c r="BT195" s="591"/>
      <c r="BU195" s="591"/>
      <c r="BV195" s="591"/>
      <c r="BW195" s="591"/>
      <c r="BX195" s="591"/>
      <c r="BY195" s="591"/>
      <c r="BZ195" s="591"/>
      <c r="CA195" s="591"/>
      <c r="CB195" s="591"/>
      <c r="CC195" s="591"/>
      <c r="CD195" s="591"/>
      <c r="CE195" s="591"/>
      <c r="CF195" s="591"/>
    </row>
    <row r="196" spans="1:84">
      <c r="A196" s="590"/>
      <c r="B196" s="590"/>
      <c r="C196" s="590"/>
      <c r="D196" s="590"/>
      <c r="E196" s="590"/>
      <c r="F196" s="590"/>
      <c r="G196" s="590"/>
      <c r="H196" s="590"/>
      <c r="I196" s="590"/>
      <c r="J196" s="590"/>
      <c r="K196" s="590"/>
      <c r="L196" s="590"/>
      <c r="M196" s="590"/>
      <c r="N196" s="590"/>
      <c r="O196" s="590"/>
      <c r="P196" s="590"/>
      <c r="Q196" s="590"/>
      <c r="R196" s="590"/>
      <c r="S196" s="590"/>
      <c r="T196" s="590"/>
      <c r="U196" s="590"/>
      <c r="V196" s="590"/>
      <c r="W196" s="590"/>
      <c r="X196" s="590"/>
      <c r="Y196" s="590"/>
      <c r="Z196" s="590"/>
      <c r="AA196" s="590"/>
      <c r="AB196" s="590"/>
      <c r="AC196" s="590"/>
      <c r="AD196" s="590"/>
      <c r="AE196" s="590"/>
      <c r="AF196" s="590"/>
      <c r="AG196" s="590"/>
      <c r="AH196" s="590"/>
      <c r="AI196" s="590"/>
      <c r="AJ196" s="590"/>
      <c r="AK196" s="590"/>
      <c r="AL196" s="590"/>
      <c r="AM196" s="590"/>
      <c r="AN196" s="590"/>
      <c r="AO196" s="590"/>
      <c r="AP196" s="590"/>
      <c r="AQ196" s="590"/>
      <c r="AR196" s="590"/>
      <c r="AS196" s="590"/>
      <c r="AT196" s="590"/>
      <c r="AU196" s="590"/>
      <c r="AV196" s="590"/>
      <c r="AW196" s="590"/>
      <c r="AX196" s="590"/>
      <c r="AY196" s="590"/>
      <c r="AZ196" s="590"/>
      <c r="BA196" s="590"/>
      <c r="BB196" s="590"/>
      <c r="BC196" s="590"/>
      <c r="BD196" s="590"/>
      <c r="BE196" s="590"/>
      <c r="BF196" s="590"/>
      <c r="BG196" s="590"/>
      <c r="BH196" s="590"/>
      <c r="BI196" s="590"/>
      <c r="BJ196" s="590"/>
      <c r="BK196" s="591"/>
      <c r="BL196" s="591"/>
      <c r="BM196" s="591"/>
      <c r="BN196" s="591"/>
      <c r="BO196" s="591"/>
      <c r="BP196" s="591"/>
      <c r="BQ196" s="591"/>
      <c r="BR196" s="591"/>
      <c r="BS196" s="591"/>
      <c r="BT196" s="591"/>
      <c r="BU196" s="591"/>
      <c r="BV196" s="591"/>
      <c r="BW196" s="591"/>
      <c r="BX196" s="591"/>
      <c r="BY196" s="591"/>
      <c r="BZ196" s="591"/>
      <c r="CA196" s="591"/>
      <c r="CB196" s="591"/>
      <c r="CC196" s="591"/>
      <c r="CD196" s="591"/>
      <c r="CE196" s="591"/>
      <c r="CF196" s="591"/>
    </row>
    <row r="197" spans="1:84">
      <c r="A197" s="590"/>
      <c r="B197" s="590"/>
      <c r="C197" s="590"/>
      <c r="D197" s="590"/>
      <c r="E197" s="590"/>
      <c r="F197" s="590"/>
      <c r="G197" s="590"/>
      <c r="H197" s="590"/>
      <c r="I197" s="590"/>
      <c r="J197" s="590"/>
      <c r="K197" s="590"/>
      <c r="L197" s="590"/>
      <c r="M197" s="590"/>
      <c r="N197" s="590"/>
      <c r="O197" s="590"/>
      <c r="P197" s="590"/>
      <c r="Q197" s="590"/>
      <c r="R197" s="590"/>
      <c r="S197" s="590"/>
      <c r="T197" s="590"/>
      <c r="U197" s="590"/>
      <c r="V197" s="590"/>
      <c r="W197" s="590"/>
      <c r="X197" s="590"/>
      <c r="Y197" s="590"/>
      <c r="Z197" s="590"/>
      <c r="AA197" s="590"/>
      <c r="AB197" s="590"/>
      <c r="AC197" s="590"/>
      <c r="AD197" s="590"/>
      <c r="AE197" s="590"/>
      <c r="AF197" s="590"/>
      <c r="AG197" s="590"/>
      <c r="AH197" s="590"/>
      <c r="AI197" s="590"/>
      <c r="AJ197" s="590"/>
      <c r="AK197" s="590"/>
      <c r="AL197" s="590"/>
      <c r="AM197" s="590"/>
      <c r="AN197" s="590"/>
      <c r="AO197" s="590"/>
      <c r="AP197" s="590"/>
      <c r="AQ197" s="590"/>
      <c r="AR197" s="590"/>
      <c r="AS197" s="590"/>
      <c r="AT197" s="590"/>
      <c r="AU197" s="590"/>
      <c r="AV197" s="590"/>
      <c r="AW197" s="590"/>
      <c r="AX197" s="590"/>
      <c r="AY197" s="590"/>
      <c r="AZ197" s="590"/>
      <c r="BA197" s="590"/>
      <c r="BB197" s="590"/>
      <c r="BC197" s="590"/>
      <c r="BD197" s="590"/>
      <c r="BE197" s="590"/>
      <c r="BF197" s="590"/>
      <c r="BG197" s="590"/>
      <c r="BH197" s="590"/>
      <c r="BI197" s="590"/>
      <c r="BJ197" s="590"/>
      <c r="BK197" s="591"/>
      <c r="BL197" s="591"/>
      <c r="BM197" s="591"/>
      <c r="BN197" s="591"/>
      <c r="BO197" s="591"/>
      <c r="BP197" s="591"/>
      <c r="BQ197" s="591"/>
      <c r="BR197" s="591"/>
      <c r="BS197" s="591"/>
      <c r="BT197" s="591"/>
      <c r="BU197" s="591"/>
      <c r="BV197" s="591"/>
      <c r="BW197" s="591"/>
      <c r="BX197" s="591"/>
      <c r="BY197" s="591"/>
      <c r="BZ197" s="591"/>
      <c r="CA197" s="591"/>
      <c r="CB197" s="591"/>
      <c r="CC197" s="591"/>
      <c r="CD197" s="591"/>
      <c r="CE197" s="591"/>
      <c r="CF197" s="591"/>
    </row>
    <row r="198" spans="1:84">
      <c r="A198" s="590"/>
      <c r="B198" s="590"/>
      <c r="C198" s="590"/>
      <c r="D198" s="590"/>
      <c r="E198" s="590"/>
      <c r="F198" s="590"/>
      <c r="G198" s="590"/>
      <c r="H198" s="590"/>
      <c r="I198" s="590"/>
      <c r="J198" s="590"/>
      <c r="K198" s="590"/>
      <c r="L198" s="590"/>
      <c r="M198" s="590"/>
      <c r="N198" s="590"/>
      <c r="O198" s="590"/>
      <c r="P198" s="590"/>
      <c r="Q198" s="590"/>
      <c r="R198" s="590"/>
      <c r="S198" s="590"/>
      <c r="T198" s="590"/>
      <c r="U198" s="590"/>
      <c r="V198" s="590"/>
      <c r="W198" s="590"/>
      <c r="X198" s="590"/>
      <c r="Y198" s="590"/>
      <c r="Z198" s="590"/>
      <c r="AA198" s="590"/>
      <c r="AB198" s="590"/>
      <c r="AC198" s="590"/>
      <c r="AD198" s="590"/>
      <c r="AE198" s="590"/>
      <c r="AF198" s="590"/>
      <c r="AG198" s="590"/>
      <c r="AH198" s="590"/>
      <c r="AI198" s="590"/>
      <c r="AJ198" s="590"/>
      <c r="AK198" s="590"/>
      <c r="AL198" s="590"/>
      <c r="AM198" s="590"/>
      <c r="AN198" s="590"/>
      <c r="AO198" s="590"/>
      <c r="AP198" s="590"/>
      <c r="AQ198" s="590"/>
      <c r="AR198" s="590"/>
      <c r="AS198" s="590"/>
      <c r="AT198" s="590"/>
      <c r="AU198" s="590"/>
      <c r="AV198" s="590"/>
      <c r="AW198" s="590"/>
      <c r="AX198" s="590"/>
      <c r="AY198" s="590"/>
      <c r="AZ198" s="590"/>
      <c r="BA198" s="590"/>
      <c r="BB198" s="590"/>
      <c r="BC198" s="590"/>
      <c r="BD198" s="590"/>
      <c r="BE198" s="590"/>
      <c r="BF198" s="590"/>
      <c r="BG198" s="590"/>
      <c r="BH198" s="590"/>
      <c r="BI198" s="590"/>
      <c r="BJ198" s="590"/>
      <c r="BK198" s="591"/>
      <c r="BL198" s="591"/>
      <c r="BM198" s="591"/>
      <c r="BN198" s="591"/>
      <c r="BO198" s="591"/>
      <c r="BP198" s="591"/>
      <c r="BQ198" s="591"/>
      <c r="BR198" s="591"/>
      <c r="BS198" s="591"/>
      <c r="BT198" s="591"/>
      <c r="BU198" s="591"/>
      <c r="BV198" s="591"/>
      <c r="BW198" s="591"/>
      <c r="BX198" s="591"/>
      <c r="BY198" s="591"/>
      <c r="BZ198" s="591"/>
      <c r="CA198" s="591"/>
      <c r="CB198" s="591"/>
      <c r="CC198" s="591"/>
      <c r="CD198" s="591"/>
      <c r="CE198" s="591"/>
      <c r="CF198" s="591"/>
    </row>
    <row r="199" spans="1:84">
      <c r="A199" s="590"/>
      <c r="B199" s="590"/>
      <c r="C199" s="590"/>
      <c r="D199" s="590"/>
      <c r="E199" s="590"/>
      <c r="F199" s="590"/>
      <c r="G199" s="590"/>
      <c r="H199" s="590"/>
      <c r="I199" s="590"/>
      <c r="J199" s="590"/>
      <c r="K199" s="590"/>
      <c r="L199" s="590"/>
      <c r="M199" s="590"/>
      <c r="N199" s="590"/>
      <c r="O199" s="590"/>
      <c r="P199" s="590"/>
      <c r="Q199" s="590"/>
      <c r="R199" s="590"/>
      <c r="S199" s="590"/>
      <c r="T199" s="590"/>
      <c r="U199" s="590"/>
      <c r="V199" s="590"/>
      <c r="W199" s="590"/>
      <c r="X199" s="590"/>
      <c r="Y199" s="590"/>
      <c r="Z199" s="590"/>
      <c r="AA199" s="590"/>
      <c r="AB199" s="590"/>
      <c r="AC199" s="590"/>
      <c r="AD199" s="590"/>
      <c r="AE199" s="590"/>
      <c r="AF199" s="590"/>
      <c r="AG199" s="590"/>
      <c r="AH199" s="590"/>
      <c r="AI199" s="590"/>
      <c r="AJ199" s="590"/>
      <c r="AK199" s="590"/>
      <c r="AL199" s="590"/>
      <c r="AM199" s="590"/>
      <c r="AN199" s="590"/>
      <c r="AO199" s="590"/>
      <c r="AP199" s="590"/>
      <c r="AQ199" s="590"/>
      <c r="AR199" s="590"/>
      <c r="AS199" s="590"/>
      <c r="AT199" s="590"/>
      <c r="AU199" s="590"/>
      <c r="AV199" s="590"/>
      <c r="AW199" s="590"/>
      <c r="AX199" s="590"/>
      <c r="AY199" s="590"/>
      <c r="AZ199" s="590"/>
      <c r="BA199" s="590"/>
      <c r="BB199" s="590"/>
      <c r="BC199" s="590"/>
      <c r="BD199" s="590"/>
      <c r="BE199" s="590"/>
      <c r="BF199" s="590"/>
      <c r="BG199" s="590"/>
      <c r="BH199" s="590"/>
      <c r="BI199" s="590"/>
      <c r="BJ199" s="590"/>
      <c r="BK199" s="591"/>
      <c r="BL199" s="591"/>
      <c r="BM199" s="591"/>
      <c r="BN199" s="591"/>
      <c r="BO199" s="591"/>
      <c r="BP199" s="591"/>
      <c r="BQ199" s="591"/>
      <c r="BR199" s="591"/>
      <c r="BS199" s="591"/>
      <c r="BT199" s="591"/>
      <c r="BU199" s="591"/>
      <c r="BV199" s="591"/>
      <c r="BW199" s="591"/>
      <c r="BX199" s="591"/>
      <c r="BY199" s="591"/>
      <c r="BZ199" s="591"/>
      <c r="CA199" s="591"/>
      <c r="CB199" s="591"/>
      <c r="CC199" s="591"/>
      <c r="CD199" s="591"/>
      <c r="CE199" s="591"/>
      <c r="CF199" s="591"/>
    </row>
    <row r="200" spans="1:84">
      <c r="A200" s="590"/>
      <c r="B200" s="590"/>
      <c r="C200" s="590"/>
      <c r="D200" s="590"/>
      <c r="E200" s="590"/>
      <c r="F200" s="590"/>
      <c r="G200" s="590"/>
      <c r="H200" s="590"/>
      <c r="I200" s="590"/>
      <c r="J200" s="590"/>
      <c r="K200" s="590"/>
      <c r="L200" s="590"/>
      <c r="M200" s="590"/>
      <c r="N200" s="590"/>
      <c r="O200" s="590"/>
      <c r="P200" s="590"/>
      <c r="Q200" s="590"/>
      <c r="R200" s="590"/>
      <c r="S200" s="590"/>
      <c r="T200" s="590"/>
      <c r="U200" s="590"/>
      <c r="V200" s="590"/>
      <c r="W200" s="590"/>
      <c r="X200" s="590"/>
      <c r="Y200" s="590"/>
      <c r="Z200" s="590"/>
      <c r="AA200" s="590"/>
      <c r="AB200" s="590"/>
      <c r="AC200" s="590"/>
      <c r="AD200" s="590"/>
      <c r="AE200" s="590"/>
      <c r="AF200" s="590"/>
      <c r="AG200" s="590"/>
      <c r="AH200" s="590"/>
      <c r="AI200" s="590"/>
      <c r="AJ200" s="590"/>
      <c r="AK200" s="590"/>
      <c r="AL200" s="590"/>
      <c r="AM200" s="590"/>
      <c r="AN200" s="590"/>
      <c r="AO200" s="590"/>
      <c r="AP200" s="590"/>
      <c r="AQ200" s="590"/>
      <c r="AR200" s="590"/>
      <c r="AS200" s="590"/>
      <c r="AT200" s="590"/>
      <c r="AU200" s="590"/>
      <c r="AV200" s="590"/>
      <c r="AW200" s="590"/>
      <c r="AX200" s="590"/>
      <c r="AY200" s="590"/>
      <c r="AZ200" s="590"/>
      <c r="BA200" s="590"/>
      <c r="BB200" s="590"/>
      <c r="BC200" s="590"/>
      <c r="BD200" s="590"/>
      <c r="BE200" s="590"/>
      <c r="BF200" s="590"/>
      <c r="BG200" s="590"/>
      <c r="BH200" s="590"/>
      <c r="BI200" s="590"/>
      <c r="BJ200" s="590"/>
      <c r="BK200" s="591"/>
      <c r="BL200" s="591"/>
      <c r="BM200" s="591"/>
      <c r="BN200" s="591"/>
      <c r="BO200" s="591"/>
      <c r="BP200" s="591"/>
      <c r="BQ200" s="591"/>
      <c r="BR200" s="591"/>
      <c r="BS200" s="591"/>
      <c r="BT200" s="591"/>
      <c r="BU200" s="591"/>
      <c r="BV200" s="591"/>
      <c r="BW200" s="591"/>
      <c r="BX200" s="591"/>
      <c r="BY200" s="591"/>
      <c r="BZ200" s="591"/>
      <c r="CA200" s="591"/>
      <c r="CB200" s="591"/>
      <c r="CC200" s="591"/>
      <c r="CD200" s="591"/>
      <c r="CE200" s="591"/>
      <c r="CF200" s="591"/>
    </row>
    <row r="201" spans="1:84">
      <c r="A201" s="590"/>
      <c r="B201" s="590"/>
      <c r="C201" s="590"/>
      <c r="D201" s="590"/>
      <c r="E201" s="590"/>
      <c r="F201" s="590"/>
      <c r="G201" s="590"/>
      <c r="H201" s="590"/>
      <c r="I201" s="590"/>
      <c r="J201" s="590"/>
      <c r="K201" s="590"/>
      <c r="L201" s="590"/>
      <c r="M201" s="590"/>
      <c r="N201" s="590"/>
      <c r="O201" s="590"/>
      <c r="P201" s="590"/>
      <c r="Q201" s="590"/>
      <c r="R201" s="590"/>
      <c r="S201" s="590"/>
      <c r="T201" s="590"/>
      <c r="U201" s="590"/>
      <c r="V201" s="590"/>
      <c r="W201" s="590"/>
      <c r="X201" s="590"/>
      <c r="Y201" s="590"/>
      <c r="Z201" s="590"/>
      <c r="AA201" s="590"/>
      <c r="AB201" s="590"/>
      <c r="AC201" s="590"/>
      <c r="AD201" s="590"/>
      <c r="AE201" s="590"/>
      <c r="AF201" s="590"/>
      <c r="AG201" s="590"/>
      <c r="AH201" s="590"/>
      <c r="AI201" s="590"/>
      <c r="AJ201" s="590"/>
      <c r="AK201" s="590"/>
      <c r="AL201" s="590"/>
      <c r="AM201" s="590"/>
      <c r="AN201" s="590"/>
      <c r="AO201" s="590"/>
      <c r="AP201" s="590"/>
      <c r="AQ201" s="590"/>
      <c r="AR201" s="590"/>
      <c r="AS201" s="590"/>
      <c r="AT201" s="590"/>
      <c r="AU201" s="590"/>
      <c r="AV201" s="590"/>
      <c r="AW201" s="590"/>
      <c r="AX201" s="590"/>
      <c r="AY201" s="590"/>
      <c r="AZ201" s="590"/>
      <c r="BA201" s="590"/>
      <c r="BB201" s="590"/>
      <c r="BC201" s="590"/>
      <c r="BD201" s="590"/>
      <c r="BE201" s="590"/>
      <c r="BF201" s="590"/>
      <c r="BG201" s="590"/>
      <c r="BH201" s="590"/>
      <c r="BI201" s="590"/>
      <c r="BJ201" s="590"/>
      <c r="BK201" s="591"/>
      <c r="BL201" s="591"/>
      <c r="BM201" s="591"/>
      <c r="BN201" s="591"/>
      <c r="BO201" s="591"/>
      <c r="BP201" s="591"/>
      <c r="BQ201" s="591"/>
      <c r="BR201" s="591"/>
      <c r="BS201" s="591"/>
      <c r="BT201" s="591"/>
      <c r="BU201" s="591"/>
      <c r="BV201" s="591"/>
      <c r="BW201" s="591"/>
      <c r="BX201" s="591"/>
      <c r="BY201" s="591"/>
      <c r="BZ201" s="591"/>
      <c r="CA201" s="591"/>
      <c r="CB201" s="591"/>
      <c r="CC201" s="591"/>
      <c r="CD201" s="591"/>
      <c r="CE201" s="591"/>
      <c r="CF201" s="591"/>
    </row>
    <row r="202" spans="1:84">
      <c r="A202" s="590"/>
      <c r="B202" s="590"/>
      <c r="C202" s="590"/>
      <c r="D202" s="590"/>
      <c r="E202" s="590"/>
      <c r="F202" s="590"/>
      <c r="G202" s="590"/>
      <c r="H202" s="590"/>
      <c r="I202" s="590"/>
      <c r="J202" s="590"/>
      <c r="K202" s="590"/>
      <c r="L202" s="590"/>
      <c r="M202" s="590"/>
      <c r="N202" s="590"/>
      <c r="O202" s="590"/>
      <c r="P202" s="590"/>
      <c r="Q202" s="590"/>
      <c r="R202" s="590"/>
      <c r="S202" s="590"/>
      <c r="T202" s="590"/>
      <c r="U202" s="590"/>
      <c r="V202" s="590"/>
      <c r="W202" s="590"/>
      <c r="X202" s="590"/>
      <c r="Y202" s="590"/>
      <c r="Z202" s="590"/>
      <c r="AA202" s="590"/>
      <c r="AB202" s="590"/>
      <c r="AC202" s="590"/>
      <c r="AD202" s="590"/>
      <c r="AE202" s="590"/>
      <c r="AF202" s="590"/>
      <c r="AG202" s="590"/>
      <c r="AH202" s="590"/>
      <c r="AI202" s="590"/>
      <c r="AJ202" s="590"/>
      <c r="AK202" s="590"/>
      <c r="AL202" s="590"/>
      <c r="AM202" s="590"/>
      <c r="AN202" s="590"/>
      <c r="AO202" s="590"/>
      <c r="AP202" s="590"/>
      <c r="AQ202" s="590"/>
      <c r="AR202" s="590"/>
      <c r="AS202" s="590"/>
      <c r="AT202" s="590"/>
      <c r="AU202" s="590"/>
      <c r="AV202" s="590"/>
      <c r="AW202" s="590"/>
      <c r="AX202" s="590"/>
      <c r="AY202" s="590"/>
      <c r="AZ202" s="590"/>
      <c r="BA202" s="590"/>
      <c r="BB202" s="590"/>
      <c r="BC202" s="590"/>
      <c r="BD202" s="590"/>
      <c r="BE202" s="590"/>
      <c r="BF202" s="590"/>
      <c r="BG202" s="590"/>
      <c r="BH202" s="590"/>
      <c r="BI202" s="590"/>
      <c r="BJ202" s="590"/>
      <c r="BK202" s="591"/>
      <c r="BL202" s="591"/>
      <c r="BM202" s="591"/>
      <c r="BN202" s="591"/>
      <c r="BO202" s="591"/>
      <c r="BP202" s="591"/>
      <c r="BQ202" s="591"/>
      <c r="BR202" s="591"/>
      <c r="BS202" s="591"/>
      <c r="BT202" s="591"/>
      <c r="BU202" s="591"/>
      <c r="BV202" s="591"/>
      <c r="BW202" s="591"/>
      <c r="BX202" s="591"/>
      <c r="BY202" s="591"/>
      <c r="BZ202" s="591"/>
      <c r="CA202" s="591"/>
      <c r="CB202" s="591"/>
      <c r="CC202" s="591"/>
      <c r="CD202" s="591"/>
      <c r="CE202" s="591"/>
      <c r="CF202" s="591"/>
    </row>
    <row r="203" spans="1:84">
      <c r="A203" s="590"/>
      <c r="B203" s="590"/>
      <c r="C203" s="590"/>
      <c r="D203" s="590"/>
      <c r="E203" s="590"/>
      <c r="F203" s="590"/>
      <c r="G203" s="590"/>
      <c r="H203" s="590"/>
      <c r="I203" s="590"/>
      <c r="J203" s="590"/>
      <c r="K203" s="590"/>
      <c r="L203" s="590"/>
      <c r="M203" s="590"/>
      <c r="N203" s="590"/>
      <c r="O203" s="590"/>
      <c r="P203" s="590"/>
      <c r="Q203" s="590"/>
      <c r="R203" s="590"/>
      <c r="S203" s="590"/>
      <c r="T203" s="590"/>
      <c r="U203" s="590"/>
      <c r="V203" s="590"/>
      <c r="W203" s="590"/>
      <c r="X203" s="590"/>
      <c r="Y203" s="590"/>
      <c r="Z203" s="590"/>
      <c r="AA203" s="590"/>
      <c r="AB203" s="590"/>
      <c r="AC203" s="590"/>
      <c r="AD203" s="590"/>
      <c r="AE203" s="590"/>
      <c r="AF203" s="590"/>
      <c r="AG203" s="590"/>
      <c r="AH203" s="590"/>
      <c r="AI203" s="590"/>
      <c r="AJ203" s="590"/>
      <c r="AK203" s="590"/>
      <c r="AL203" s="590"/>
      <c r="AM203" s="590"/>
      <c r="AN203" s="590"/>
      <c r="AO203" s="590"/>
      <c r="AP203" s="590"/>
      <c r="AQ203" s="590"/>
      <c r="AR203" s="590"/>
      <c r="AS203" s="590"/>
      <c r="AT203" s="590"/>
      <c r="AU203" s="590"/>
      <c r="AV203" s="590"/>
      <c r="AW203" s="590"/>
      <c r="AX203" s="590"/>
      <c r="AY203" s="590"/>
      <c r="AZ203" s="590"/>
      <c r="BA203" s="590"/>
      <c r="BB203" s="590"/>
      <c r="BC203" s="590"/>
      <c r="BD203" s="590"/>
      <c r="BE203" s="590"/>
      <c r="BF203" s="590"/>
      <c r="BG203" s="590"/>
      <c r="BH203" s="590"/>
      <c r="BI203" s="590"/>
      <c r="BJ203" s="590"/>
      <c r="BK203" s="591"/>
      <c r="BL203" s="591"/>
      <c r="BM203" s="591"/>
      <c r="BN203" s="591"/>
      <c r="BO203" s="591"/>
      <c r="BP203" s="591"/>
      <c r="BQ203" s="591"/>
      <c r="BR203" s="591"/>
      <c r="BS203" s="591"/>
      <c r="BT203" s="591"/>
      <c r="BU203" s="591"/>
      <c r="BV203" s="591"/>
      <c r="BW203" s="591"/>
      <c r="BX203" s="591"/>
      <c r="BY203" s="591"/>
      <c r="BZ203" s="591"/>
      <c r="CA203" s="591"/>
      <c r="CB203" s="591"/>
      <c r="CC203" s="591"/>
      <c r="CD203" s="591"/>
      <c r="CE203" s="591"/>
      <c r="CF203" s="591"/>
    </row>
    <row r="204" spans="1:84">
      <c r="A204" s="590"/>
      <c r="B204" s="590"/>
      <c r="C204" s="590"/>
      <c r="D204" s="590"/>
      <c r="E204" s="590"/>
      <c r="F204" s="590"/>
      <c r="G204" s="590"/>
      <c r="H204" s="590"/>
      <c r="I204" s="590"/>
      <c r="J204" s="590"/>
      <c r="K204" s="590"/>
      <c r="L204" s="590"/>
      <c r="M204" s="590"/>
      <c r="N204" s="590"/>
      <c r="O204" s="590"/>
      <c r="P204" s="590"/>
      <c r="Q204" s="590"/>
      <c r="R204" s="590"/>
      <c r="S204" s="590"/>
      <c r="T204" s="590"/>
      <c r="U204" s="590"/>
      <c r="V204" s="590"/>
      <c r="W204" s="590"/>
      <c r="X204" s="590"/>
      <c r="Y204" s="590"/>
      <c r="Z204" s="590"/>
      <c r="AA204" s="590"/>
      <c r="AB204" s="590"/>
      <c r="AC204" s="590"/>
      <c r="AD204" s="590"/>
      <c r="AE204" s="590"/>
      <c r="AF204" s="590"/>
      <c r="AG204" s="590"/>
      <c r="AH204" s="590"/>
      <c r="AI204" s="590"/>
      <c r="AJ204" s="590"/>
      <c r="AK204" s="590"/>
      <c r="AL204" s="590"/>
      <c r="AM204" s="590"/>
      <c r="AN204" s="590"/>
      <c r="AO204" s="590"/>
      <c r="AP204" s="590"/>
      <c r="AQ204" s="590"/>
      <c r="AR204" s="590"/>
      <c r="AS204" s="590"/>
      <c r="AT204" s="590"/>
      <c r="AU204" s="590"/>
      <c r="AV204" s="590"/>
      <c r="AW204" s="590"/>
      <c r="AX204" s="590"/>
      <c r="AY204" s="590"/>
      <c r="AZ204" s="590"/>
      <c r="BA204" s="590"/>
      <c r="BB204" s="590"/>
      <c r="BC204" s="590"/>
      <c r="BD204" s="590"/>
      <c r="BE204" s="590"/>
      <c r="BF204" s="590"/>
      <c r="BG204" s="590"/>
      <c r="BH204" s="590"/>
      <c r="BI204" s="590"/>
      <c r="BJ204" s="590"/>
      <c r="BK204" s="591"/>
      <c r="BL204" s="591"/>
      <c r="BM204" s="591"/>
      <c r="BN204" s="591"/>
      <c r="BO204" s="591"/>
      <c r="BP204" s="591"/>
      <c r="BQ204" s="591"/>
      <c r="BR204" s="591"/>
      <c r="BS204" s="591"/>
      <c r="BT204" s="591"/>
      <c r="BU204" s="591"/>
      <c r="BV204" s="591"/>
      <c r="BW204" s="591"/>
      <c r="BX204" s="591"/>
      <c r="BY204" s="591"/>
      <c r="BZ204" s="591"/>
      <c r="CA204" s="591"/>
      <c r="CB204" s="591"/>
      <c r="CC204" s="591"/>
      <c r="CD204" s="591"/>
      <c r="CE204" s="591"/>
      <c r="CF204" s="591"/>
    </row>
    <row r="205" spans="1:84">
      <c r="A205" s="590"/>
      <c r="B205" s="590"/>
      <c r="C205" s="590"/>
      <c r="D205" s="590"/>
      <c r="E205" s="590"/>
      <c r="F205" s="590"/>
      <c r="G205" s="590"/>
      <c r="H205" s="590"/>
      <c r="I205" s="590"/>
      <c r="J205" s="590"/>
      <c r="K205" s="590"/>
      <c r="L205" s="590"/>
      <c r="M205" s="590"/>
      <c r="N205" s="590"/>
      <c r="O205" s="590"/>
      <c r="P205" s="590"/>
      <c r="Q205" s="590"/>
      <c r="R205" s="590"/>
      <c r="S205" s="590"/>
      <c r="T205" s="590"/>
      <c r="U205" s="590"/>
      <c r="V205" s="590"/>
      <c r="W205" s="590"/>
      <c r="X205" s="590"/>
      <c r="Y205" s="590"/>
      <c r="Z205" s="590"/>
      <c r="AA205" s="590"/>
      <c r="AB205" s="590"/>
      <c r="AC205" s="590"/>
      <c r="AD205" s="590"/>
      <c r="AE205" s="590"/>
      <c r="AF205" s="590"/>
      <c r="AG205" s="590"/>
      <c r="AH205" s="590"/>
      <c r="AI205" s="590"/>
      <c r="AJ205" s="590"/>
      <c r="AK205" s="590"/>
      <c r="AL205" s="590"/>
      <c r="AM205" s="590"/>
      <c r="AN205" s="590"/>
      <c r="AO205" s="590"/>
      <c r="AP205" s="590"/>
      <c r="AQ205" s="590"/>
      <c r="AR205" s="590"/>
      <c r="AS205" s="590"/>
      <c r="AT205" s="590"/>
      <c r="AU205" s="590"/>
      <c r="AV205" s="590"/>
      <c r="AW205" s="590"/>
      <c r="AX205" s="590"/>
      <c r="AY205" s="590"/>
      <c r="AZ205" s="590"/>
      <c r="BA205" s="590"/>
      <c r="BB205" s="590"/>
      <c r="BC205" s="590"/>
      <c r="BD205" s="590"/>
      <c r="BE205" s="590"/>
      <c r="BF205" s="590"/>
      <c r="BG205" s="590"/>
      <c r="BH205" s="590"/>
      <c r="BI205" s="590"/>
      <c r="BJ205" s="590"/>
      <c r="BK205" s="591"/>
      <c r="BL205" s="591"/>
      <c r="BM205" s="591"/>
      <c r="BN205" s="591"/>
      <c r="BO205" s="591"/>
      <c r="BP205" s="591"/>
      <c r="BQ205" s="591"/>
      <c r="BR205" s="591"/>
      <c r="BS205" s="591"/>
      <c r="BT205" s="591"/>
      <c r="BU205" s="591"/>
      <c r="BV205" s="591"/>
      <c r="BW205" s="591"/>
      <c r="BX205" s="591"/>
      <c r="BY205" s="591"/>
      <c r="BZ205" s="591"/>
      <c r="CA205" s="591"/>
      <c r="CB205" s="591"/>
      <c r="CC205" s="591"/>
      <c r="CD205" s="591"/>
      <c r="CE205" s="591"/>
      <c r="CF205" s="591"/>
    </row>
    <row r="206" spans="1:84">
      <c r="A206" s="590"/>
      <c r="B206" s="590"/>
      <c r="C206" s="590"/>
      <c r="D206" s="590"/>
      <c r="E206" s="590"/>
      <c r="F206" s="590"/>
      <c r="G206" s="590"/>
      <c r="H206" s="590"/>
      <c r="I206" s="590"/>
      <c r="J206" s="590"/>
      <c r="K206" s="590"/>
      <c r="L206" s="590"/>
      <c r="M206" s="590"/>
      <c r="N206" s="590"/>
      <c r="O206" s="590"/>
      <c r="P206" s="590"/>
      <c r="Q206" s="590"/>
      <c r="R206" s="590"/>
      <c r="S206" s="590"/>
      <c r="T206" s="590"/>
      <c r="U206" s="590"/>
      <c r="V206" s="590"/>
      <c r="W206" s="590"/>
      <c r="X206" s="590"/>
      <c r="Y206" s="590"/>
      <c r="Z206" s="590"/>
      <c r="AA206" s="590"/>
      <c r="AB206" s="590"/>
      <c r="AC206" s="590"/>
      <c r="AD206" s="590"/>
      <c r="AE206" s="590"/>
      <c r="AF206" s="590"/>
      <c r="AG206" s="590"/>
      <c r="AH206" s="590"/>
      <c r="AI206" s="590"/>
      <c r="AJ206" s="590"/>
      <c r="AK206" s="590"/>
      <c r="AL206" s="590"/>
      <c r="AM206" s="590"/>
      <c r="AN206" s="590"/>
      <c r="AO206" s="590"/>
      <c r="AP206" s="590"/>
      <c r="AQ206" s="590"/>
      <c r="AR206" s="590"/>
      <c r="AS206" s="590"/>
      <c r="AT206" s="590"/>
      <c r="AU206" s="590"/>
      <c r="AV206" s="590"/>
      <c r="AW206" s="590"/>
      <c r="AX206" s="590"/>
      <c r="AY206" s="590"/>
      <c r="AZ206" s="590"/>
      <c r="BA206" s="590"/>
      <c r="BB206" s="590"/>
      <c r="BC206" s="590"/>
      <c r="BD206" s="590"/>
      <c r="BE206" s="590"/>
      <c r="BF206" s="590"/>
      <c r="BG206" s="590"/>
      <c r="BH206" s="590"/>
      <c r="BI206" s="590"/>
      <c r="BJ206" s="590"/>
      <c r="BK206" s="591"/>
      <c r="BL206" s="591"/>
      <c r="BM206" s="591"/>
      <c r="BN206" s="591"/>
      <c r="BO206" s="591"/>
      <c r="BP206" s="591"/>
      <c r="BQ206" s="591"/>
      <c r="BR206" s="591"/>
      <c r="BS206" s="591"/>
      <c r="BT206" s="591"/>
      <c r="BU206" s="591"/>
      <c r="BV206" s="591"/>
      <c r="BW206" s="591"/>
      <c r="BX206" s="591"/>
      <c r="BY206" s="591"/>
      <c r="BZ206" s="591"/>
      <c r="CA206" s="591"/>
      <c r="CB206" s="591"/>
      <c r="CC206" s="591"/>
      <c r="CD206" s="591"/>
      <c r="CE206" s="591"/>
      <c r="CF206" s="591"/>
    </row>
    <row r="207" spans="1:84">
      <c r="A207" s="590"/>
      <c r="B207" s="590"/>
      <c r="C207" s="590"/>
      <c r="D207" s="590"/>
      <c r="E207" s="590"/>
      <c r="F207" s="590"/>
      <c r="G207" s="590"/>
      <c r="H207" s="590"/>
      <c r="I207" s="590"/>
      <c r="J207" s="590"/>
      <c r="K207" s="590"/>
      <c r="L207" s="590"/>
      <c r="M207" s="590"/>
      <c r="N207" s="590"/>
      <c r="O207" s="590"/>
      <c r="P207" s="590"/>
      <c r="Q207" s="590"/>
      <c r="R207" s="590"/>
      <c r="S207" s="590"/>
      <c r="T207" s="590"/>
      <c r="U207" s="590"/>
      <c r="V207" s="590"/>
      <c r="W207" s="590"/>
      <c r="X207" s="590"/>
      <c r="Y207" s="590"/>
      <c r="Z207" s="590"/>
      <c r="AA207" s="590"/>
      <c r="AB207" s="590"/>
      <c r="AC207" s="590"/>
      <c r="AD207" s="590"/>
      <c r="AE207" s="590"/>
      <c r="AF207" s="590"/>
      <c r="AG207" s="590"/>
      <c r="AH207" s="590"/>
      <c r="AI207" s="590"/>
      <c r="AJ207" s="590"/>
      <c r="AK207" s="590"/>
      <c r="AL207" s="590"/>
      <c r="AM207" s="590"/>
      <c r="AN207" s="590"/>
      <c r="AO207" s="590"/>
      <c r="AP207" s="590"/>
      <c r="AQ207" s="590"/>
      <c r="AR207" s="590"/>
      <c r="AS207" s="590"/>
      <c r="AT207" s="590"/>
      <c r="AU207" s="590"/>
      <c r="AV207" s="590"/>
      <c r="AW207" s="590"/>
      <c r="AX207" s="590"/>
      <c r="AY207" s="590"/>
      <c r="AZ207" s="590"/>
      <c r="BA207" s="590"/>
      <c r="BB207" s="590"/>
      <c r="BC207" s="590"/>
      <c r="BD207" s="590"/>
      <c r="BE207" s="590"/>
      <c r="BF207" s="590"/>
      <c r="BG207" s="590"/>
      <c r="BH207" s="590"/>
      <c r="BI207" s="590"/>
      <c r="BJ207" s="590"/>
      <c r="BK207" s="591"/>
      <c r="BL207" s="591"/>
      <c r="BM207" s="591"/>
      <c r="BN207" s="591"/>
      <c r="BO207" s="591"/>
      <c r="BP207" s="591"/>
      <c r="BQ207" s="591"/>
      <c r="BR207" s="591"/>
      <c r="BS207" s="591"/>
      <c r="BT207" s="591"/>
      <c r="BU207" s="591"/>
      <c r="BV207" s="591"/>
      <c r="BW207" s="591"/>
      <c r="BX207" s="591"/>
      <c r="BY207" s="591"/>
      <c r="BZ207" s="591"/>
      <c r="CA207" s="591"/>
      <c r="CB207" s="591"/>
      <c r="CC207" s="591"/>
      <c r="CD207" s="591"/>
      <c r="CE207" s="591"/>
      <c r="CF207" s="591"/>
    </row>
    <row r="208" spans="1:84">
      <c r="A208" s="590"/>
      <c r="B208" s="590"/>
      <c r="C208" s="590"/>
      <c r="D208" s="590"/>
      <c r="E208" s="590"/>
      <c r="F208" s="590"/>
      <c r="G208" s="590"/>
      <c r="H208" s="590"/>
      <c r="I208" s="590"/>
      <c r="J208" s="590"/>
      <c r="K208" s="590"/>
      <c r="L208" s="590"/>
      <c r="M208" s="590"/>
      <c r="N208" s="590"/>
      <c r="O208" s="590"/>
      <c r="P208" s="590"/>
      <c r="Q208" s="590"/>
      <c r="R208" s="590"/>
      <c r="S208" s="590"/>
      <c r="T208" s="590"/>
      <c r="U208" s="590"/>
      <c r="V208" s="590"/>
      <c r="W208" s="590"/>
      <c r="X208" s="590"/>
      <c r="Y208" s="590"/>
      <c r="Z208" s="590"/>
      <c r="AA208" s="590"/>
      <c r="AB208" s="590"/>
      <c r="AC208" s="590"/>
      <c r="AD208" s="590"/>
      <c r="AE208" s="590"/>
      <c r="AF208" s="590"/>
      <c r="AG208" s="590"/>
      <c r="AH208" s="590"/>
      <c r="AI208" s="590"/>
      <c r="AJ208" s="590"/>
      <c r="AK208" s="590"/>
      <c r="AL208" s="590"/>
      <c r="AM208" s="590"/>
      <c r="AN208" s="590"/>
      <c r="AO208" s="590"/>
      <c r="AP208" s="590"/>
      <c r="AQ208" s="590"/>
      <c r="AR208" s="590"/>
      <c r="AS208" s="590"/>
      <c r="AT208" s="590"/>
      <c r="AU208" s="590"/>
      <c r="AV208" s="590"/>
      <c r="AW208" s="590"/>
      <c r="AX208" s="590"/>
      <c r="AY208" s="590"/>
      <c r="AZ208" s="590"/>
      <c r="BA208" s="590"/>
      <c r="BB208" s="590"/>
      <c r="BC208" s="590"/>
      <c r="BD208" s="590"/>
      <c r="BE208" s="590"/>
      <c r="BF208" s="590"/>
      <c r="BG208" s="590"/>
      <c r="BH208" s="590"/>
      <c r="BI208" s="590"/>
      <c r="BJ208" s="590"/>
      <c r="BK208" s="591"/>
      <c r="BL208" s="591"/>
      <c r="BM208" s="591"/>
      <c r="BN208" s="591"/>
      <c r="BO208" s="591"/>
      <c r="BP208" s="591"/>
      <c r="BQ208" s="591"/>
      <c r="BR208" s="591"/>
      <c r="BS208" s="591"/>
      <c r="BT208" s="591"/>
      <c r="BU208" s="591"/>
      <c r="BV208" s="591"/>
      <c r="BW208" s="591"/>
      <c r="BX208" s="591"/>
      <c r="BY208" s="591"/>
      <c r="BZ208" s="591"/>
      <c r="CA208" s="591"/>
      <c r="CB208" s="591"/>
      <c r="CC208" s="591"/>
      <c r="CD208" s="591"/>
      <c r="CE208" s="591"/>
      <c r="CF208" s="591"/>
    </row>
    <row r="209" spans="1:84">
      <c r="A209" s="590"/>
      <c r="B209" s="590"/>
      <c r="C209" s="590"/>
      <c r="D209" s="590"/>
      <c r="E209" s="590"/>
      <c r="F209" s="590"/>
      <c r="G209" s="590"/>
      <c r="H209" s="590"/>
      <c r="I209" s="590"/>
      <c r="J209" s="590"/>
      <c r="K209" s="590"/>
      <c r="L209" s="590"/>
      <c r="M209" s="590"/>
      <c r="N209" s="590"/>
      <c r="O209" s="590"/>
      <c r="P209" s="590"/>
      <c r="Q209" s="590"/>
      <c r="R209" s="590"/>
      <c r="S209" s="590"/>
      <c r="T209" s="590"/>
      <c r="U209" s="590"/>
      <c r="V209" s="590"/>
      <c r="W209" s="590"/>
      <c r="X209" s="590"/>
      <c r="Y209" s="590"/>
      <c r="Z209" s="590"/>
      <c r="AA209" s="590"/>
      <c r="AB209" s="590"/>
      <c r="AC209" s="590"/>
      <c r="AD209" s="590"/>
      <c r="AE209" s="590"/>
      <c r="AF209" s="590"/>
      <c r="AG209" s="590"/>
      <c r="AH209" s="590"/>
      <c r="AI209" s="590"/>
      <c r="AJ209" s="590"/>
      <c r="AK209" s="590"/>
      <c r="AL209" s="590"/>
      <c r="AM209" s="590"/>
      <c r="AN209" s="590"/>
      <c r="AO209" s="590"/>
      <c r="AP209" s="590"/>
      <c r="AQ209" s="590"/>
      <c r="AR209" s="590"/>
      <c r="AS209" s="590"/>
      <c r="AT209" s="590"/>
      <c r="AU209" s="590"/>
      <c r="AV209" s="590"/>
      <c r="AW209" s="590"/>
      <c r="AX209" s="590"/>
      <c r="AY209" s="590"/>
      <c r="AZ209" s="590"/>
      <c r="BA209" s="590"/>
      <c r="BB209" s="590"/>
      <c r="BC209" s="590"/>
      <c r="BD209" s="590"/>
      <c r="BE209" s="590"/>
      <c r="BF209" s="590"/>
      <c r="BG209" s="590"/>
      <c r="BH209" s="590"/>
      <c r="BI209" s="590"/>
      <c r="BJ209" s="590"/>
      <c r="BK209" s="591"/>
      <c r="BL209" s="591"/>
      <c r="BM209" s="591"/>
      <c r="BN209" s="591"/>
      <c r="BO209" s="591"/>
      <c r="BP209" s="591"/>
      <c r="BQ209" s="591"/>
      <c r="BR209" s="591"/>
      <c r="BS209" s="591"/>
      <c r="BT209" s="591"/>
      <c r="BU209" s="591"/>
      <c r="BV209" s="591"/>
      <c r="BW209" s="591"/>
      <c r="BX209" s="591"/>
      <c r="BY209" s="591"/>
      <c r="BZ209" s="591"/>
      <c r="CA209" s="591"/>
      <c r="CB209" s="591"/>
      <c r="CC209" s="591"/>
      <c r="CD209" s="591"/>
      <c r="CE209" s="591"/>
      <c r="CF209" s="591"/>
    </row>
    <row r="210" spans="1:84">
      <c r="A210" s="590"/>
      <c r="B210" s="590"/>
      <c r="C210" s="590"/>
      <c r="D210" s="590"/>
      <c r="E210" s="590"/>
      <c r="F210" s="590"/>
      <c r="G210" s="590"/>
      <c r="H210" s="590"/>
      <c r="I210" s="590"/>
      <c r="J210" s="590"/>
      <c r="K210" s="590"/>
      <c r="L210" s="590"/>
      <c r="M210" s="590"/>
      <c r="N210" s="590"/>
      <c r="O210" s="590"/>
      <c r="P210" s="590"/>
      <c r="Q210" s="590"/>
      <c r="R210" s="590"/>
      <c r="S210" s="590"/>
      <c r="T210" s="590"/>
      <c r="U210" s="590"/>
      <c r="V210" s="590"/>
      <c r="W210" s="590"/>
      <c r="X210" s="590"/>
      <c r="Y210" s="590"/>
      <c r="Z210" s="590"/>
      <c r="AA210" s="590"/>
      <c r="AB210" s="590"/>
      <c r="AC210" s="590"/>
      <c r="AD210" s="590"/>
      <c r="AE210" s="590"/>
      <c r="AF210" s="590"/>
      <c r="AG210" s="590"/>
      <c r="AH210" s="590"/>
      <c r="AI210" s="590"/>
      <c r="AJ210" s="590"/>
      <c r="AK210" s="590"/>
      <c r="AL210" s="590"/>
      <c r="AM210" s="590"/>
      <c r="AN210" s="590"/>
      <c r="AO210" s="590"/>
      <c r="AP210" s="590"/>
      <c r="AQ210" s="590"/>
      <c r="AR210" s="590"/>
      <c r="AS210" s="590"/>
      <c r="AT210" s="590"/>
      <c r="AU210" s="590"/>
      <c r="AV210" s="590"/>
      <c r="AW210" s="590"/>
      <c r="AX210" s="590"/>
      <c r="AY210" s="590"/>
      <c r="AZ210" s="590"/>
      <c r="BA210" s="590"/>
      <c r="BB210" s="590"/>
      <c r="BC210" s="590"/>
      <c r="BD210" s="590"/>
      <c r="BE210" s="590"/>
      <c r="BF210" s="590"/>
      <c r="BG210" s="590"/>
      <c r="BH210" s="590"/>
      <c r="BI210" s="590"/>
      <c r="BJ210" s="590"/>
      <c r="BK210" s="591"/>
      <c r="BL210" s="591"/>
      <c r="BM210" s="591"/>
      <c r="BN210" s="591"/>
      <c r="BO210" s="591"/>
      <c r="BP210" s="591"/>
      <c r="BQ210" s="591"/>
      <c r="BR210" s="591"/>
      <c r="BS210" s="591"/>
      <c r="BT210" s="591"/>
      <c r="BU210" s="591"/>
      <c r="BV210" s="591"/>
      <c r="BW210" s="591"/>
      <c r="BX210" s="591"/>
      <c r="BY210" s="591"/>
      <c r="BZ210" s="591"/>
      <c r="CA210" s="591"/>
      <c r="CB210" s="591"/>
      <c r="CC210" s="591"/>
      <c r="CD210" s="591"/>
      <c r="CE210" s="591"/>
      <c r="CF210" s="591"/>
    </row>
    <row r="211" spans="1:84">
      <c r="A211" s="590"/>
      <c r="B211" s="590"/>
      <c r="C211" s="590"/>
      <c r="D211" s="590"/>
      <c r="E211" s="590"/>
      <c r="F211" s="590"/>
      <c r="G211" s="590"/>
      <c r="H211" s="590"/>
      <c r="I211" s="590"/>
      <c r="J211" s="590"/>
      <c r="K211" s="590"/>
      <c r="L211" s="590"/>
      <c r="M211" s="590"/>
      <c r="N211" s="590"/>
      <c r="O211" s="590"/>
      <c r="P211" s="590"/>
      <c r="Q211" s="590"/>
      <c r="R211" s="590"/>
      <c r="S211" s="590"/>
      <c r="T211" s="590"/>
      <c r="U211" s="590"/>
      <c r="V211" s="590"/>
      <c r="W211" s="590"/>
      <c r="X211" s="590"/>
      <c r="Y211" s="590"/>
      <c r="Z211" s="590"/>
      <c r="AA211" s="590"/>
      <c r="AB211" s="590"/>
      <c r="AC211" s="590"/>
      <c r="AD211" s="590"/>
      <c r="AE211" s="590"/>
      <c r="AF211" s="590"/>
      <c r="AG211" s="590"/>
      <c r="AH211" s="590"/>
      <c r="AI211" s="590"/>
      <c r="AJ211" s="590"/>
      <c r="AK211" s="590"/>
      <c r="AL211" s="590"/>
      <c r="AM211" s="590"/>
      <c r="AN211" s="590"/>
      <c r="AO211" s="590"/>
      <c r="AP211" s="590"/>
      <c r="AQ211" s="590"/>
      <c r="AR211" s="590"/>
      <c r="AS211" s="590"/>
      <c r="AT211" s="590"/>
      <c r="AU211" s="590"/>
      <c r="AV211" s="590"/>
      <c r="AW211" s="590"/>
      <c r="AX211" s="590"/>
      <c r="AY211" s="590"/>
      <c r="AZ211" s="590"/>
      <c r="BA211" s="590"/>
      <c r="BB211" s="590"/>
      <c r="BC211" s="590"/>
      <c r="BD211" s="590"/>
      <c r="BE211" s="590"/>
      <c r="BF211" s="590"/>
      <c r="BG211" s="590"/>
      <c r="BH211" s="590"/>
      <c r="BI211" s="590"/>
      <c r="BJ211" s="590"/>
      <c r="BK211" s="591"/>
      <c r="BL211" s="591"/>
      <c r="BM211" s="591"/>
      <c r="BN211" s="591"/>
      <c r="BO211" s="591"/>
      <c r="BP211" s="591"/>
      <c r="BQ211" s="591"/>
      <c r="BR211" s="591"/>
      <c r="BS211" s="591"/>
      <c r="BT211" s="591"/>
      <c r="BU211" s="591"/>
      <c r="BV211" s="591"/>
      <c r="BW211" s="591"/>
      <c r="BX211" s="591"/>
      <c r="BY211" s="591"/>
      <c r="BZ211" s="591"/>
      <c r="CA211" s="591"/>
      <c r="CB211" s="591"/>
      <c r="CC211" s="591"/>
      <c r="CD211" s="591"/>
      <c r="CE211" s="591"/>
      <c r="CF211" s="591"/>
    </row>
    <row r="212" spans="1:84">
      <c r="A212" s="590"/>
      <c r="B212" s="590"/>
      <c r="C212" s="590"/>
      <c r="D212" s="590"/>
      <c r="E212" s="590"/>
      <c r="F212" s="590"/>
      <c r="G212" s="590"/>
      <c r="H212" s="590"/>
      <c r="I212" s="590"/>
      <c r="J212" s="590"/>
      <c r="K212" s="590"/>
      <c r="L212" s="590"/>
      <c r="M212" s="590"/>
      <c r="N212" s="590"/>
      <c r="O212" s="590"/>
      <c r="P212" s="590"/>
      <c r="Q212" s="590"/>
      <c r="R212" s="590"/>
      <c r="S212" s="590"/>
      <c r="T212" s="590"/>
      <c r="U212" s="590"/>
      <c r="V212" s="590"/>
      <c r="W212" s="590"/>
      <c r="X212" s="590"/>
      <c r="Y212" s="590"/>
      <c r="Z212" s="590"/>
      <c r="AA212" s="590"/>
      <c r="AB212" s="590"/>
      <c r="AC212" s="590"/>
      <c r="AD212" s="590"/>
      <c r="AE212" s="590"/>
      <c r="AF212" s="590"/>
      <c r="AG212" s="590"/>
      <c r="AH212" s="590"/>
      <c r="AI212" s="590"/>
      <c r="AJ212" s="590"/>
      <c r="AK212" s="590"/>
      <c r="AL212" s="590"/>
      <c r="AM212" s="590"/>
      <c r="AN212" s="590"/>
      <c r="AO212" s="590"/>
      <c r="AP212" s="590"/>
      <c r="AQ212" s="590"/>
      <c r="AR212" s="590"/>
      <c r="AS212" s="590"/>
      <c r="AT212" s="590"/>
      <c r="AU212" s="590"/>
      <c r="AV212" s="590"/>
      <c r="AW212" s="590"/>
      <c r="AX212" s="590"/>
      <c r="AY212" s="590"/>
      <c r="AZ212" s="590"/>
      <c r="BA212" s="590"/>
      <c r="BB212" s="590"/>
      <c r="BC212" s="590"/>
      <c r="BD212" s="590"/>
      <c r="BE212" s="590"/>
      <c r="BF212" s="590"/>
      <c r="BG212" s="590"/>
      <c r="BH212" s="590"/>
      <c r="BI212" s="590"/>
      <c r="BJ212" s="590"/>
      <c r="BK212" s="591"/>
      <c r="BL212" s="591"/>
      <c r="BM212" s="591"/>
      <c r="BN212" s="591"/>
      <c r="BO212" s="591"/>
      <c r="BP212" s="591"/>
      <c r="BQ212" s="591"/>
      <c r="BR212" s="591"/>
      <c r="BS212" s="591"/>
      <c r="BT212" s="591"/>
      <c r="BU212" s="591"/>
      <c r="BV212" s="591"/>
      <c r="BW212" s="591"/>
      <c r="BX212" s="591"/>
      <c r="BY212" s="591"/>
      <c r="BZ212" s="591"/>
      <c r="CA212" s="591"/>
      <c r="CB212" s="591"/>
      <c r="CC212" s="591"/>
      <c r="CD212" s="591"/>
      <c r="CE212" s="591"/>
      <c r="CF212" s="591"/>
    </row>
    <row r="213" spans="1:84">
      <c r="A213" s="590"/>
      <c r="B213" s="590"/>
      <c r="C213" s="590"/>
      <c r="D213" s="590"/>
      <c r="E213" s="590"/>
      <c r="F213" s="590"/>
      <c r="G213" s="590"/>
      <c r="H213" s="590"/>
      <c r="I213" s="590"/>
      <c r="J213" s="590"/>
      <c r="K213" s="590"/>
      <c r="L213" s="590"/>
      <c r="M213" s="590"/>
      <c r="N213" s="590"/>
      <c r="O213" s="590"/>
      <c r="P213" s="590"/>
      <c r="Q213" s="590"/>
      <c r="R213" s="590"/>
      <c r="S213" s="590"/>
      <c r="T213" s="590"/>
      <c r="U213" s="590"/>
      <c r="V213" s="590"/>
      <c r="W213" s="590"/>
      <c r="X213" s="590"/>
      <c r="Y213" s="590"/>
      <c r="Z213" s="590"/>
      <c r="AA213" s="590"/>
      <c r="AB213" s="590"/>
      <c r="AC213" s="590"/>
      <c r="AD213" s="590"/>
      <c r="AE213" s="590"/>
      <c r="AF213" s="590"/>
      <c r="AG213" s="590"/>
      <c r="AH213" s="590"/>
      <c r="AI213" s="590"/>
      <c r="AJ213" s="590"/>
      <c r="AK213" s="590"/>
      <c r="AL213" s="590"/>
      <c r="AM213" s="590"/>
      <c r="AN213" s="590"/>
      <c r="AO213" s="590"/>
      <c r="AP213" s="590"/>
      <c r="AQ213" s="590"/>
      <c r="AR213" s="590"/>
      <c r="AS213" s="590"/>
      <c r="AT213" s="590"/>
      <c r="AU213" s="590"/>
      <c r="AV213" s="590"/>
      <c r="AW213" s="590"/>
      <c r="AX213" s="590"/>
      <c r="AY213" s="590"/>
      <c r="AZ213" s="590"/>
      <c r="BA213" s="590"/>
      <c r="BB213" s="590"/>
      <c r="BC213" s="590"/>
      <c r="BD213" s="590"/>
      <c r="BE213" s="590"/>
      <c r="BF213" s="590"/>
      <c r="BG213" s="590"/>
      <c r="BH213" s="590"/>
      <c r="BI213" s="590"/>
      <c r="BJ213" s="590"/>
      <c r="BK213" s="591"/>
      <c r="BL213" s="591"/>
      <c r="BM213" s="591"/>
      <c r="BN213" s="591"/>
      <c r="BO213" s="591"/>
      <c r="BP213" s="591"/>
      <c r="BQ213" s="591"/>
      <c r="BR213" s="591"/>
      <c r="BS213" s="591"/>
      <c r="BT213" s="591"/>
      <c r="BU213" s="591"/>
      <c r="BV213" s="591"/>
      <c r="BW213" s="591"/>
      <c r="BX213" s="591"/>
      <c r="BY213" s="591"/>
      <c r="BZ213" s="591"/>
      <c r="CA213" s="591"/>
      <c r="CB213" s="591"/>
      <c r="CC213" s="591"/>
      <c r="CD213" s="591"/>
      <c r="CE213" s="591"/>
      <c r="CF213" s="591"/>
    </row>
    <row r="214" spans="1:84">
      <c r="A214" s="590"/>
      <c r="B214" s="590"/>
      <c r="C214" s="590"/>
      <c r="D214" s="590"/>
      <c r="E214" s="590"/>
      <c r="F214" s="590"/>
      <c r="G214" s="590"/>
      <c r="H214" s="590"/>
      <c r="I214" s="590"/>
      <c r="J214" s="590"/>
      <c r="K214" s="590"/>
      <c r="L214" s="590"/>
      <c r="M214" s="590"/>
      <c r="N214" s="590"/>
      <c r="O214" s="590"/>
      <c r="P214" s="590"/>
      <c r="Q214" s="590"/>
      <c r="R214" s="590"/>
      <c r="S214" s="590"/>
      <c r="T214" s="590"/>
      <c r="U214" s="590"/>
      <c r="V214" s="590"/>
      <c r="W214" s="590"/>
      <c r="X214" s="590"/>
      <c r="Y214" s="590"/>
      <c r="Z214" s="590"/>
      <c r="AA214" s="590"/>
      <c r="AB214" s="590"/>
      <c r="AC214" s="590"/>
      <c r="AD214" s="590"/>
      <c r="AE214" s="590"/>
      <c r="AF214" s="590"/>
      <c r="AG214" s="590"/>
      <c r="AH214" s="590"/>
      <c r="AI214" s="590"/>
      <c r="AJ214" s="590"/>
      <c r="AK214" s="590"/>
      <c r="AL214" s="590"/>
      <c r="AM214" s="590"/>
      <c r="AN214" s="590"/>
      <c r="AO214" s="590"/>
      <c r="AP214" s="590"/>
      <c r="AQ214" s="590"/>
      <c r="AR214" s="590"/>
      <c r="AS214" s="590"/>
      <c r="AT214" s="590"/>
      <c r="AU214" s="590"/>
      <c r="AV214" s="590"/>
      <c r="AW214" s="590"/>
      <c r="AX214" s="590"/>
      <c r="AY214" s="590"/>
      <c r="AZ214" s="590"/>
      <c r="BA214" s="590"/>
      <c r="BB214" s="590"/>
      <c r="BC214" s="590"/>
      <c r="BD214" s="590"/>
      <c r="BE214" s="590"/>
      <c r="BF214" s="590"/>
      <c r="BG214" s="590"/>
      <c r="BH214" s="590"/>
      <c r="BI214" s="590"/>
      <c r="BJ214" s="590"/>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row>
    <row r="215" spans="1:84">
      <c r="A215" s="590"/>
      <c r="B215" s="590"/>
      <c r="C215" s="590"/>
      <c r="D215" s="590"/>
      <c r="E215" s="590"/>
      <c r="F215" s="590"/>
      <c r="G215" s="590"/>
      <c r="H215" s="590"/>
      <c r="I215" s="590"/>
      <c r="J215" s="590"/>
      <c r="K215" s="590"/>
      <c r="L215" s="590"/>
      <c r="M215" s="590"/>
      <c r="N215" s="590"/>
      <c r="O215" s="590"/>
      <c r="P215" s="590"/>
      <c r="Q215" s="590"/>
      <c r="R215" s="590"/>
      <c r="S215" s="590"/>
      <c r="T215" s="590"/>
      <c r="U215" s="590"/>
      <c r="V215" s="590"/>
      <c r="W215" s="590"/>
      <c r="X215" s="590"/>
      <c r="Y215" s="590"/>
      <c r="Z215" s="590"/>
      <c r="AA215" s="590"/>
      <c r="AB215" s="590"/>
      <c r="AC215" s="590"/>
      <c r="AD215" s="590"/>
      <c r="AE215" s="590"/>
      <c r="AF215" s="590"/>
      <c r="AG215" s="590"/>
      <c r="AH215" s="590"/>
      <c r="AI215" s="590"/>
      <c r="AJ215" s="590"/>
      <c r="AK215" s="590"/>
      <c r="AL215" s="590"/>
      <c r="AM215" s="590"/>
      <c r="AN215" s="590"/>
      <c r="AO215" s="590"/>
      <c r="AP215" s="590"/>
      <c r="AQ215" s="590"/>
      <c r="AR215" s="590"/>
      <c r="AS215" s="590"/>
      <c r="AT215" s="590"/>
      <c r="AU215" s="590"/>
      <c r="AV215" s="590"/>
      <c r="AW215" s="590"/>
      <c r="AX215" s="590"/>
      <c r="AY215" s="590"/>
      <c r="AZ215" s="590"/>
      <c r="BA215" s="590"/>
      <c r="BB215" s="590"/>
      <c r="BC215" s="590"/>
      <c r="BD215" s="590"/>
      <c r="BE215" s="590"/>
      <c r="BF215" s="590"/>
      <c r="BG215" s="590"/>
      <c r="BH215" s="590"/>
      <c r="BI215" s="590"/>
      <c r="BJ215" s="590"/>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row>
    <row r="216" spans="1:84">
      <c r="A216" s="590"/>
      <c r="B216" s="590"/>
      <c r="C216" s="590"/>
      <c r="D216" s="590"/>
      <c r="E216" s="590"/>
      <c r="F216" s="590"/>
      <c r="G216" s="590"/>
      <c r="H216" s="590"/>
      <c r="I216" s="590"/>
      <c r="J216" s="590"/>
      <c r="K216" s="590"/>
      <c r="L216" s="590"/>
      <c r="M216" s="590"/>
      <c r="N216" s="590"/>
      <c r="O216" s="590"/>
      <c r="P216" s="590"/>
      <c r="Q216" s="590"/>
      <c r="R216" s="590"/>
      <c r="S216" s="590"/>
      <c r="T216" s="590"/>
      <c r="U216" s="590"/>
      <c r="V216" s="590"/>
      <c r="W216" s="590"/>
      <c r="X216" s="590"/>
      <c r="Y216" s="590"/>
      <c r="Z216" s="590"/>
      <c r="AA216" s="590"/>
      <c r="AB216" s="590"/>
      <c r="AC216" s="590"/>
      <c r="AD216" s="590"/>
      <c r="AE216" s="590"/>
      <c r="AF216" s="590"/>
      <c r="AG216" s="590"/>
      <c r="AH216" s="590"/>
      <c r="AI216" s="590"/>
      <c r="AJ216" s="590"/>
      <c r="AK216" s="590"/>
      <c r="AL216" s="590"/>
      <c r="AM216" s="590"/>
      <c r="AN216" s="590"/>
      <c r="AO216" s="590"/>
      <c r="AP216" s="590"/>
      <c r="AQ216" s="590"/>
      <c r="AR216" s="590"/>
      <c r="AS216" s="590"/>
      <c r="AT216" s="590"/>
      <c r="AU216" s="590"/>
      <c r="AV216" s="590"/>
      <c r="AW216" s="590"/>
      <c r="AX216" s="590"/>
      <c r="AY216" s="590"/>
      <c r="AZ216" s="590"/>
      <c r="BA216" s="590"/>
      <c r="BB216" s="590"/>
      <c r="BC216" s="590"/>
      <c r="BD216" s="590"/>
      <c r="BE216" s="590"/>
      <c r="BF216" s="590"/>
      <c r="BG216" s="590"/>
      <c r="BH216" s="590"/>
      <c r="BI216" s="590"/>
      <c r="BJ216" s="590"/>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row>
    <row r="217" spans="1:84">
      <c r="A217" s="590"/>
      <c r="B217" s="590"/>
      <c r="C217" s="590"/>
      <c r="D217" s="590"/>
      <c r="E217" s="590"/>
      <c r="F217" s="590"/>
      <c r="G217" s="590"/>
      <c r="H217" s="590"/>
      <c r="I217" s="590"/>
      <c r="J217" s="590"/>
      <c r="K217" s="590"/>
      <c r="L217" s="590"/>
      <c r="M217" s="590"/>
      <c r="N217" s="590"/>
      <c r="O217" s="590"/>
      <c r="P217" s="590"/>
      <c r="Q217" s="590"/>
      <c r="R217" s="590"/>
      <c r="S217" s="590"/>
      <c r="T217" s="590"/>
      <c r="U217" s="590"/>
      <c r="V217" s="590"/>
      <c r="W217" s="590"/>
      <c r="X217" s="590"/>
      <c r="Y217" s="590"/>
      <c r="Z217" s="590"/>
      <c r="AA217" s="590"/>
      <c r="AB217" s="590"/>
      <c r="AC217" s="590"/>
      <c r="AD217" s="590"/>
      <c r="AE217" s="590"/>
      <c r="AF217" s="590"/>
      <c r="AG217" s="590"/>
      <c r="AH217" s="590"/>
      <c r="AI217" s="590"/>
      <c r="AJ217" s="590"/>
      <c r="AK217" s="590"/>
      <c r="AL217" s="590"/>
      <c r="AM217" s="590"/>
      <c r="AN217" s="590"/>
      <c r="AO217" s="590"/>
      <c r="AP217" s="590"/>
      <c r="AQ217" s="590"/>
      <c r="AR217" s="590"/>
      <c r="AS217" s="590"/>
      <c r="AT217" s="590"/>
      <c r="AU217" s="590"/>
      <c r="AV217" s="590"/>
      <c r="AW217" s="590"/>
      <c r="AX217" s="590"/>
      <c r="AY217" s="590"/>
      <c r="AZ217" s="590"/>
      <c r="BA217" s="590"/>
      <c r="BB217" s="590"/>
      <c r="BC217" s="590"/>
      <c r="BD217" s="590"/>
      <c r="BE217" s="590"/>
      <c r="BF217" s="590"/>
      <c r="BG217" s="590"/>
      <c r="BH217" s="590"/>
      <c r="BI217" s="590"/>
      <c r="BJ217" s="590"/>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row>
    <row r="218" spans="1:84">
      <c r="A218" s="590"/>
      <c r="B218" s="590"/>
      <c r="C218" s="590"/>
      <c r="D218" s="590"/>
      <c r="E218" s="590"/>
      <c r="F218" s="590"/>
      <c r="G218" s="590"/>
      <c r="H218" s="590"/>
      <c r="I218" s="590"/>
      <c r="J218" s="590"/>
      <c r="K218" s="590"/>
      <c r="L218" s="590"/>
      <c r="M218" s="590"/>
      <c r="N218" s="590"/>
      <c r="O218" s="590"/>
      <c r="P218" s="590"/>
      <c r="Q218" s="590"/>
      <c r="R218" s="590"/>
      <c r="S218" s="590"/>
      <c r="T218" s="590"/>
      <c r="U218" s="590"/>
      <c r="V218" s="590"/>
      <c r="W218" s="590"/>
      <c r="X218" s="590"/>
      <c r="Y218" s="590"/>
      <c r="Z218" s="590"/>
      <c r="AA218" s="590"/>
      <c r="AB218" s="590"/>
      <c r="AC218" s="590"/>
      <c r="AD218" s="590"/>
      <c r="AE218" s="590"/>
      <c r="AF218" s="590"/>
      <c r="AG218" s="590"/>
      <c r="AH218" s="590"/>
      <c r="AI218" s="590"/>
      <c r="AJ218" s="590"/>
      <c r="AK218" s="590"/>
      <c r="AL218" s="590"/>
      <c r="AM218" s="590"/>
      <c r="AN218" s="590"/>
      <c r="AO218" s="590"/>
      <c r="AP218" s="590"/>
      <c r="AQ218" s="590"/>
      <c r="AR218" s="590"/>
      <c r="AS218" s="590"/>
      <c r="AT218" s="590"/>
      <c r="AU218" s="590"/>
      <c r="AV218" s="590"/>
      <c r="AW218" s="590"/>
      <c r="AX218" s="590"/>
      <c r="AY218" s="590"/>
      <c r="AZ218" s="590"/>
      <c r="BA218" s="590"/>
      <c r="BB218" s="590"/>
      <c r="BC218" s="590"/>
      <c r="BD218" s="590"/>
      <c r="BE218" s="590"/>
      <c r="BF218" s="590"/>
      <c r="BG218" s="590"/>
      <c r="BH218" s="590"/>
      <c r="BI218" s="590"/>
      <c r="BJ218" s="590"/>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row>
    <row r="219" spans="1:84">
      <c r="A219" s="590"/>
      <c r="B219" s="590"/>
      <c r="C219" s="590"/>
      <c r="D219" s="590"/>
      <c r="E219" s="590"/>
      <c r="F219" s="590"/>
      <c r="G219" s="590"/>
      <c r="H219" s="590"/>
      <c r="I219" s="590"/>
      <c r="J219" s="590"/>
      <c r="K219" s="590"/>
      <c r="L219" s="590"/>
      <c r="M219" s="590"/>
      <c r="N219" s="590"/>
      <c r="O219" s="590"/>
      <c r="P219" s="590"/>
      <c r="Q219" s="590"/>
      <c r="R219" s="590"/>
      <c r="S219" s="590"/>
      <c r="T219" s="590"/>
      <c r="U219" s="590"/>
      <c r="V219" s="590"/>
      <c r="W219" s="590"/>
      <c r="X219" s="590"/>
      <c r="Y219" s="590"/>
      <c r="Z219" s="590"/>
      <c r="AA219" s="590"/>
      <c r="AB219" s="590"/>
      <c r="AC219" s="590"/>
      <c r="AD219" s="590"/>
      <c r="AE219" s="590"/>
      <c r="AF219" s="590"/>
      <c r="AG219" s="590"/>
      <c r="AH219" s="590"/>
      <c r="AI219" s="590"/>
      <c r="AJ219" s="590"/>
      <c r="AK219" s="590"/>
      <c r="AL219" s="590"/>
      <c r="AM219" s="590"/>
      <c r="AN219" s="590"/>
      <c r="AO219" s="590"/>
      <c r="AP219" s="590"/>
      <c r="AQ219" s="590"/>
      <c r="AR219" s="590"/>
      <c r="AS219" s="590"/>
      <c r="AT219" s="590"/>
      <c r="AU219" s="590"/>
      <c r="AV219" s="590"/>
      <c r="AW219" s="590"/>
      <c r="AX219" s="590"/>
      <c r="AY219" s="590"/>
      <c r="AZ219" s="590"/>
      <c r="BA219" s="590"/>
      <c r="BB219" s="590"/>
      <c r="BC219" s="590"/>
      <c r="BD219" s="590"/>
      <c r="BE219" s="590"/>
      <c r="BF219" s="590"/>
      <c r="BG219" s="590"/>
      <c r="BH219" s="590"/>
      <c r="BI219" s="590"/>
      <c r="BJ219" s="590"/>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row>
    <row r="220" spans="1:84">
      <c r="A220" s="590"/>
      <c r="B220" s="590"/>
      <c r="C220" s="590"/>
      <c r="D220" s="590"/>
      <c r="E220" s="590"/>
      <c r="F220" s="590"/>
      <c r="G220" s="590"/>
      <c r="H220" s="590"/>
      <c r="I220" s="590"/>
      <c r="J220" s="590"/>
      <c r="K220" s="590"/>
      <c r="L220" s="590"/>
      <c r="M220" s="590"/>
      <c r="N220" s="590"/>
      <c r="O220" s="590"/>
      <c r="P220" s="590"/>
      <c r="Q220" s="590"/>
      <c r="R220" s="590"/>
      <c r="S220" s="590"/>
      <c r="T220" s="590"/>
      <c r="U220" s="590"/>
      <c r="V220" s="590"/>
      <c r="W220" s="590"/>
      <c r="X220" s="590"/>
      <c r="Y220" s="590"/>
      <c r="Z220" s="590"/>
      <c r="AA220" s="590"/>
      <c r="AB220" s="590"/>
      <c r="AC220" s="590"/>
      <c r="AD220" s="590"/>
      <c r="AE220" s="590"/>
      <c r="AF220" s="590"/>
      <c r="AG220" s="590"/>
      <c r="AH220" s="590"/>
      <c r="AI220" s="590"/>
      <c r="AJ220" s="590"/>
      <c r="AK220" s="590"/>
      <c r="AL220" s="590"/>
      <c r="AM220" s="590"/>
      <c r="AN220" s="590"/>
      <c r="AO220" s="590"/>
      <c r="AP220" s="590"/>
      <c r="AQ220" s="590"/>
      <c r="AR220" s="590"/>
      <c r="AS220" s="590"/>
      <c r="AT220" s="590"/>
      <c r="AU220" s="590"/>
      <c r="AV220" s="590"/>
      <c r="AW220" s="590"/>
      <c r="AX220" s="590"/>
      <c r="AY220" s="590"/>
      <c r="AZ220" s="590"/>
      <c r="BA220" s="590"/>
      <c r="BB220" s="590"/>
      <c r="BC220" s="590"/>
      <c r="BD220" s="590"/>
      <c r="BE220" s="590"/>
      <c r="BF220" s="590"/>
      <c r="BG220" s="590"/>
      <c r="BH220" s="590"/>
      <c r="BI220" s="590"/>
      <c r="BJ220" s="590"/>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row>
    <row r="221" spans="1:84">
      <c r="A221" s="590"/>
      <c r="B221" s="590"/>
      <c r="C221" s="590"/>
      <c r="D221" s="590"/>
      <c r="E221" s="590"/>
      <c r="F221" s="590"/>
      <c r="G221" s="590"/>
      <c r="H221" s="590"/>
      <c r="I221" s="590"/>
      <c r="J221" s="590"/>
      <c r="K221" s="590"/>
      <c r="L221" s="590"/>
      <c r="M221" s="590"/>
      <c r="N221" s="590"/>
      <c r="O221" s="590"/>
      <c r="P221" s="590"/>
      <c r="Q221" s="590"/>
      <c r="R221" s="590"/>
      <c r="S221" s="590"/>
      <c r="T221" s="590"/>
      <c r="U221" s="590"/>
      <c r="V221" s="590"/>
      <c r="W221" s="590"/>
      <c r="X221" s="590"/>
      <c r="Y221" s="590"/>
      <c r="Z221" s="590"/>
      <c r="AA221" s="590"/>
      <c r="AB221" s="590"/>
      <c r="AC221" s="590"/>
      <c r="AD221" s="590"/>
      <c r="AE221" s="590"/>
      <c r="AF221" s="590"/>
      <c r="AG221" s="590"/>
      <c r="AH221" s="590"/>
      <c r="AI221" s="590"/>
      <c r="AJ221" s="590"/>
      <c r="AK221" s="590"/>
      <c r="AL221" s="590"/>
      <c r="AM221" s="590"/>
      <c r="AN221" s="590"/>
      <c r="AO221" s="590"/>
      <c r="AP221" s="590"/>
      <c r="AQ221" s="590"/>
      <c r="AR221" s="590"/>
      <c r="AS221" s="590"/>
      <c r="AT221" s="590"/>
      <c r="AU221" s="590"/>
      <c r="AV221" s="590"/>
      <c r="AW221" s="590"/>
      <c r="AX221" s="590"/>
      <c r="AY221" s="590"/>
      <c r="AZ221" s="590"/>
      <c r="BA221" s="590"/>
      <c r="BB221" s="590"/>
      <c r="BC221" s="590"/>
      <c r="BD221" s="590"/>
      <c r="BE221" s="590"/>
      <c r="BF221" s="590"/>
      <c r="BG221" s="590"/>
      <c r="BH221" s="590"/>
      <c r="BI221" s="590"/>
      <c r="BJ221" s="590"/>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row>
    <row r="222" spans="1:84">
      <c r="A222" s="590"/>
      <c r="B222" s="590"/>
      <c r="C222" s="590"/>
      <c r="D222" s="590"/>
      <c r="E222" s="590"/>
      <c r="F222" s="590"/>
      <c r="G222" s="590"/>
      <c r="H222" s="590"/>
      <c r="I222" s="590"/>
      <c r="J222" s="590"/>
      <c r="K222" s="590"/>
      <c r="L222" s="590"/>
      <c r="M222" s="590"/>
      <c r="N222" s="590"/>
      <c r="O222" s="590"/>
      <c r="P222" s="590"/>
      <c r="Q222" s="590"/>
      <c r="R222" s="590"/>
      <c r="S222" s="590"/>
      <c r="T222" s="590"/>
      <c r="U222" s="590"/>
      <c r="V222" s="590"/>
      <c r="W222" s="590"/>
      <c r="X222" s="590"/>
      <c r="Y222" s="590"/>
      <c r="Z222" s="590"/>
      <c r="AA222" s="590"/>
      <c r="AB222" s="590"/>
      <c r="AC222" s="590"/>
      <c r="AD222" s="590"/>
      <c r="AE222" s="590"/>
      <c r="AF222" s="590"/>
      <c r="AG222" s="590"/>
      <c r="AH222" s="590"/>
      <c r="AI222" s="590"/>
      <c r="AJ222" s="590"/>
      <c r="AK222" s="590"/>
      <c r="AL222" s="590"/>
      <c r="AM222" s="590"/>
      <c r="AN222" s="590"/>
      <c r="AO222" s="590"/>
      <c r="AP222" s="590"/>
      <c r="AQ222" s="590"/>
      <c r="AR222" s="590"/>
      <c r="AS222" s="590"/>
      <c r="AT222" s="590"/>
      <c r="AU222" s="590"/>
      <c r="AV222" s="590"/>
      <c r="AW222" s="590"/>
      <c r="AX222" s="590"/>
      <c r="AY222" s="590"/>
      <c r="AZ222" s="590"/>
      <c r="BA222" s="590"/>
      <c r="BB222" s="590"/>
      <c r="BC222" s="590"/>
      <c r="BD222" s="590"/>
      <c r="BE222" s="590"/>
      <c r="BF222" s="590"/>
      <c r="BG222" s="590"/>
      <c r="BH222" s="590"/>
      <c r="BI222" s="590"/>
      <c r="BJ222" s="590"/>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row>
    <row r="223" spans="1:84">
      <c r="A223" s="590"/>
      <c r="B223" s="590"/>
      <c r="C223" s="590"/>
      <c r="D223" s="590"/>
      <c r="E223" s="590"/>
      <c r="F223" s="590"/>
      <c r="G223" s="590"/>
      <c r="H223" s="590"/>
      <c r="I223" s="590"/>
      <c r="J223" s="590"/>
      <c r="K223" s="590"/>
      <c r="L223" s="590"/>
      <c r="M223" s="590"/>
      <c r="N223" s="590"/>
      <c r="O223" s="590"/>
      <c r="P223" s="590"/>
      <c r="Q223" s="590"/>
      <c r="R223" s="590"/>
      <c r="S223" s="590"/>
      <c r="T223" s="590"/>
      <c r="U223" s="590"/>
      <c r="V223" s="590"/>
      <c r="W223" s="590"/>
      <c r="X223" s="590"/>
      <c r="Y223" s="590"/>
      <c r="Z223" s="590"/>
      <c r="AA223" s="590"/>
      <c r="AB223" s="590"/>
      <c r="AC223" s="590"/>
      <c r="AD223" s="590"/>
      <c r="AE223" s="590"/>
      <c r="AF223" s="590"/>
      <c r="AG223" s="590"/>
      <c r="AH223" s="590"/>
      <c r="AI223" s="590"/>
      <c r="AJ223" s="590"/>
      <c r="AK223" s="590"/>
      <c r="AL223" s="590"/>
      <c r="AM223" s="590"/>
      <c r="AN223" s="590"/>
      <c r="AO223" s="590"/>
      <c r="AP223" s="590"/>
      <c r="AQ223" s="590"/>
      <c r="AR223" s="590"/>
      <c r="AS223" s="590"/>
      <c r="AT223" s="590"/>
      <c r="AU223" s="590"/>
      <c r="AV223" s="590"/>
      <c r="AW223" s="590"/>
      <c r="AX223" s="590"/>
      <c r="AY223" s="590"/>
      <c r="AZ223" s="590"/>
      <c r="BA223" s="590"/>
      <c r="BB223" s="590"/>
      <c r="BC223" s="590"/>
      <c r="BD223" s="590"/>
      <c r="BE223" s="590"/>
      <c r="BF223" s="590"/>
      <c r="BG223" s="590"/>
      <c r="BH223" s="590"/>
      <c r="BI223" s="590"/>
      <c r="BJ223" s="590"/>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row>
    <row r="224" spans="1:84">
      <c r="A224" s="590"/>
      <c r="B224" s="590"/>
      <c r="C224" s="590"/>
      <c r="D224" s="590"/>
      <c r="E224" s="590"/>
      <c r="F224" s="590"/>
      <c r="G224" s="590"/>
      <c r="H224" s="590"/>
      <c r="I224" s="590"/>
      <c r="J224" s="590"/>
      <c r="K224" s="590"/>
      <c r="L224" s="590"/>
      <c r="M224" s="590"/>
      <c r="N224" s="590"/>
      <c r="O224" s="590"/>
      <c r="P224" s="590"/>
      <c r="Q224" s="590"/>
      <c r="R224" s="590"/>
      <c r="S224" s="590"/>
      <c r="T224" s="590"/>
      <c r="U224" s="590"/>
      <c r="V224" s="590"/>
      <c r="W224" s="590"/>
      <c r="X224" s="590"/>
      <c r="Y224" s="590"/>
      <c r="Z224" s="590"/>
      <c r="AA224" s="590"/>
      <c r="AB224" s="590"/>
      <c r="AC224" s="590"/>
      <c r="AD224" s="590"/>
      <c r="AE224" s="590"/>
      <c r="AF224" s="590"/>
      <c r="AG224" s="590"/>
      <c r="AH224" s="590"/>
      <c r="AI224" s="590"/>
      <c r="AJ224" s="590"/>
      <c r="AK224" s="590"/>
      <c r="AL224" s="590"/>
      <c r="AM224" s="590"/>
      <c r="AN224" s="590"/>
      <c r="AO224" s="590"/>
      <c r="AP224" s="590"/>
      <c r="AQ224" s="590"/>
      <c r="AR224" s="590"/>
      <c r="AS224" s="590"/>
      <c r="AT224" s="590"/>
      <c r="AU224" s="590"/>
      <c r="AV224" s="590"/>
      <c r="AW224" s="590"/>
      <c r="AX224" s="590"/>
      <c r="AY224" s="590"/>
      <c r="AZ224" s="590"/>
      <c r="BA224" s="590"/>
      <c r="BB224" s="590"/>
      <c r="BC224" s="590"/>
      <c r="BD224" s="590"/>
      <c r="BE224" s="590"/>
      <c r="BF224" s="590"/>
      <c r="BG224" s="590"/>
      <c r="BH224" s="590"/>
      <c r="BI224" s="590"/>
      <c r="BJ224" s="590"/>
      <c r="BK224" s="591"/>
      <c r="BL224" s="591"/>
      <c r="BM224" s="591"/>
      <c r="BN224" s="591"/>
      <c r="BO224" s="591"/>
      <c r="BP224" s="591"/>
      <c r="BQ224" s="591"/>
      <c r="BR224" s="591"/>
      <c r="BS224" s="591"/>
      <c r="BT224" s="591"/>
      <c r="BU224" s="591"/>
      <c r="BV224" s="591"/>
      <c r="BW224" s="591"/>
      <c r="BX224" s="591"/>
      <c r="BY224" s="591"/>
      <c r="BZ224" s="591"/>
      <c r="CA224" s="591"/>
      <c r="CB224" s="591"/>
      <c r="CC224" s="591"/>
      <c r="CD224" s="591"/>
      <c r="CE224" s="591"/>
      <c r="CF224" s="591"/>
    </row>
    <row r="225" spans="1:84">
      <c r="A225" s="590"/>
      <c r="B225" s="590"/>
      <c r="C225" s="590"/>
      <c r="D225" s="590"/>
      <c r="E225" s="590"/>
      <c r="F225" s="590"/>
      <c r="G225" s="590"/>
      <c r="H225" s="590"/>
      <c r="I225" s="590"/>
      <c r="J225" s="590"/>
      <c r="K225" s="590"/>
      <c r="L225" s="590"/>
      <c r="M225" s="590"/>
      <c r="N225" s="590"/>
      <c r="O225" s="590"/>
      <c r="P225" s="590"/>
      <c r="Q225" s="590"/>
      <c r="R225" s="590"/>
      <c r="S225" s="590"/>
      <c r="T225" s="590"/>
      <c r="U225" s="590"/>
      <c r="V225" s="590"/>
      <c r="W225" s="590"/>
      <c r="X225" s="590"/>
      <c r="Y225" s="590"/>
      <c r="Z225" s="590"/>
      <c r="AA225" s="590"/>
      <c r="AB225" s="590"/>
      <c r="AC225" s="590"/>
      <c r="AD225" s="590"/>
      <c r="AE225" s="590"/>
      <c r="AF225" s="590"/>
      <c r="AG225" s="590"/>
      <c r="AH225" s="590"/>
      <c r="AI225" s="590"/>
      <c r="AJ225" s="590"/>
      <c r="AK225" s="590"/>
      <c r="AL225" s="590"/>
      <c r="AM225" s="590"/>
      <c r="AN225" s="590"/>
      <c r="AO225" s="590"/>
      <c r="AP225" s="590"/>
      <c r="AQ225" s="590"/>
      <c r="AR225" s="590"/>
      <c r="AS225" s="590"/>
      <c r="AT225" s="590"/>
      <c r="AU225" s="590"/>
      <c r="AV225" s="590"/>
      <c r="AW225" s="590"/>
      <c r="AX225" s="590"/>
      <c r="AY225" s="590"/>
      <c r="AZ225" s="590"/>
      <c r="BA225" s="590"/>
      <c r="BB225" s="590"/>
      <c r="BC225" s="590"/>
      <c r="BD225" s="590"/>
      <c r="BE225" s="590"/>
      <c r="BF225" s="590"/>
      <c r="BG225" s="590"/>
      <c r="BH225" s="590"/>
      <c r="BI225" s="590"/>
      <c r="BJ225" s="590"/>
      <c r="BK225" s="591"/>
      <c r="BL225" s="591"/>
      <c r="BM225" s="591"/>
      <c r="BN225" s="591"/>
      <c r="BO225" s="591"/>
      <c r="BP225" s="591"/>
      <c r="BQ225" s="591"/>
      <c r="BR225" s="591"/>
      <c r="BS225" s="591"/>
      <c r="BT225" s="591"/>
      <c r="BU225" s="591"/>
      <c r="BV225" s="591"/>
      <c r="BW225" s="591"/>
      <c r="BX225" s="591"/>
      <c r="BY225" s="591"/>
      <c r="BZ225" s="591"/>
      <c r="CA225" s="591"/>
      <c r="CB225" s="591"/>
      <c r="CC225" s="591"/>
      <c r="CD225" s="591"/>
      <c r="CE225" s="591"/>
      <c r="CF225" s="591"/>
    </row>
    <row r="226" spans="1:84">
      <c r="A226" s="590"/>
      <c r="B226" s="590"/>
      <c r="C226" s="590"/>
      <c r="D226" s="590"/>
      <c r="E226" s="590"/>
      <c r="F226" s="590"/>
      <c r="G226" s="590"/>
      <c r="H226" s="590"/>
      <c r="I226" s="590"/>
      <c r="J226" s="590"/>
      <c r="K226" s="590"/>
      <c r="L226" s="590"/>
      <c r="M226" s="590"/>
      <c r="N226" s="590"/>
      <c r="O226" s="590"/>
      <c r="P226" s="590"/>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0"/>
      <c r="AQ226" s="590"/>
      <c r="AR226" s="590"/>
      <c r="AS226" s="590"/>
      <c r="AT226" s="590"/>
      <c r="AU226" s="590"/>
      <c r="AV226" s="590"/>
      <c r="AW226" s="590"/>
      <c r="AX226" s="590"/>
      <c r="AY226" s="590"/>
      <c r="AZ226" s="590"/>
      <c r="BA226" s="590"/>
      <c r="BB226" s="590"/>
      <c r="BC226" s="590"/>
      <c r="BD226" s="590"/>
      <c r="BE226" s="590"/>
      <c r="BF226" s="590"/>
      <c r="BG226" s="590"/>
      <c r="BH226" s="590"/>
      <c r="BI226" s="590"/>
      <c r="BJ226" s="590"/>
      <c r="BK226" s="591"/>
      <c r="BL226" s="591"/>
      <c r="BM226" s="591"/>
      <c r="BN226" s="591"/>
      <c r="BO226" s="591"/>
      <c r="BP226" s="591"/>
      <c r="BQ226" s="591"/>
      <c r="BR226" s="591"/>
      <c r="BS226" s="591"/>
      <c r="BT226" s="591"/>
      <c r="BU226" s="591"/>
      <c r="BV226" s="591"/>
      <c r="BW226" s="591"/>
      <c r="BX226" s="591"/>
      <c r="BY226" s="591"/>
      <c r="BZ226" s="591"/>
      <c r="CA226" s="591"/>
      <c r="CB226" s="591"/>
      <c r="CC226" s="591"/>
      <c r="CD226" s="591"/>
      <c r="CE226" s="591"/>
      <c r="CF226" s="591"/>
    </row>
    <row r="227" spans="1:84">
      <c r="A227" s="590"/>
      <c r="B227" s="590"/>
      <c r="C227" s="590"/>
      <c r="D227" s="590"/>
      <c r="E227" s="590"/>
      <c r="F227" s="590"/>
      <c r="G227" s="590"/>
      <c r="H227" s="590"/>
      <c r="I227" s="590"/>
      <c r="J227" s="590"/>
      <c r="K227" s="590"/>
      <c r="L227" s="590"/>
      <c r="M227" s="590"/>
      <c r="N227" s="590"/>
      <c r="O227" s="590"/>
      <c r="P227" s="590"/>
      <c r="Q227" s="590"/>
      <c r="R227" s="590"/>
      <c r="S227" s="590"/>
      <c r="T227" s="590"/>
      <c r="U227" s="590"/>
      <c r="V227" s="590"/>
      <c r="W227" s="590"/>
      <c r="X227" s="590"/>
      <c r="Y227" s="590"/>
      <c r="Z227" s="590"/>
      <c r="AA227" s="590"/>
      <c r="AB227" s="590"/>
      <c r="AC227" s="590"/>
      <c r="AD227" s="590"/>
      <c r="AE227" s="590"/>
      <c r="AF227" s="590"/>
      <c r="AG227" s="590"/>
      <c r="AH227" s="590"/>
      <c r="AI227" s="590"/>
      <c r="AJ227" s="590"/>
      <c r="AK227" s="590"/>
      <c r="AL227" s="590"/>
      <c r="AM227" s="590"/>
      <c r="AN227" s="590"/>
      <c r="AO227" s="590"/>
      <c r="AP227" s="590"/>
      <c r="AQ227" s="590"/>
      <c r="AR227" s="590"/>
      <c r="AS227" s="590"/>
      <c r="AT227" s="590"/>
      <c r="AU227" s="590"/>
      <c r="AV227" s="590"/>
      <c r="AW227" s="590"/>
      <c r="AX227" s="590"/>
      <c r="AY227" s="590"/>
      <c r="AZ227" s="590"/>
      <c r="BA227" s="590"/>
      <c r="BB227" s="590"/>
      <c r="BC227" s="590"/>
      <c r="BD227" s="590"/>
      <c r="BE227" s="590"/>
      <c r="BF227" s="590"/>
      <c r="BG227" s="590"/>
      <c r="BH227" s="590"/>
      <c r="BI227" s="590"/>
      <c r="BJ227" s="590"/>
      <c r="BK227" s="591"/>
      <c r="BL227" s="591"/>
      <c r="BM227" s="591"/>
      <c r="BN227" s="591"/>
      <c r="BO227" s="591"/>
      <c r="BP227" s="591"/>
      <c r="BQ227" s="591"/>
      <c r="BR227" s="591"/>
      <c r="BS227" s="591"/>
      <c r="BT227" s="591"/>
      <c r="BU227" s="591"/>
      <c r="BV227" s="591"/>
      <c r="BW227" s="591"/>
      <c r="BX227" s="591"/>
      <c r="BY227" s="591"/>
      <c r="BZ227" s="591"/>
      <c r="CA227" s="591"/>
      <c r="CB227" s="591"/>
      <c r="CC227" s="591"/>
      <c r="CD227" s="591"/>
      <c r="CE227" s="591"/>
      <c r="CF227" s="591"/>
    </row>
    <row r="228" spans="1:84">
      <c r="A228" s="590"/>
      <c r="B228" s="590"/>
      <c r="C228" s="590"/>
      <c r="D228" s="590"/>
      <c r="E228" s="590"/>
      <c r="F228" s="590"/>
      <c r="G228" s="590"/>
      <c r="H228" s="590"/>
      <c r="I228" s="590"/>
      <c r="J228" s="590"/>
      <c r="K228" s="590"/>
      <c r="L228" s="590"/>
      <c r="M228" s="590"/>
      <c r="N228" s="590"/>
      <c r="O228" s="590"/>
      <c r="P228" s="590"/>
      <c r="Q228" s="590"/>
      <c r="R228" s="590"/>
      <c r="S228" s="590"/>
      <c r="T228" s="590"/>
      <c r="U228" s="590"/>
      <c r="V228" s="590"/>
      <c r="W228" s="590"/>
      <c r="X228" s="590"/>
      <c r="Y228" s="590"/>
      <c r="Z228" s="590"/>
      <c r="AA228" s="590"/>
      <c r="AB228" s="590"/>
      <c r="AC228" s="590"/>
      <c r="AD228" s="590"/>
      <c r="AE228" s="590"/>
      <c r="AF228" s="590"/>
      <c r="AG228" s="590"/>
      <c r="AH228" s="590"/>
      <c r="AI228" s="590"/>
      <c r="AJ228" s="590"/>
      <c r="AK228" s="590"/>
      <c r="AL228" s="590"/>
      <c r="AM228" s="590"/>
      <c r="AN228" s="590"/>
      <c r="AO228" s="590"/>
      <c r="AP228" s="590"/>
      <c r="AQ228" s="590"/>
      <c r="AR228" s="590"/>
      <c r="AS228" s="590"/>
      <c r="AT228" s="590"/>
      <c r="AU228" s="590"/>
      <c r="AV228" s="590"/>
      <c r="AW228" s="590"/>
      <c r="AX228" s="590"/>
      <c r="AY228" s="590"/>
      <c r="AZ228" s="590"/>
      <c r="BA228" s="590"/>
      <c r="BB228" s="590"/>
      <c r="BC228" s="590"/>
      <c r="BD228" s="590"/>
      <c r="BE228" s="590"/>
      <c r="BF228" s="590"/>
      <c r="BG228" s="590"/>
      <c r="BH228" s="590"/>
      <c r="BI228" s="590"/>
      <c r="BJ228" s="590"/>
      <c r="BK228" s="591"/>
      <c r="BL228" s="591"/>
      <c r="BM228" s="591"/>
      <c r="BN228" s="591"/>
      <c r="BO228" s="591"/>
      <c r="BP228" s="591"/>
      <c r="BQ228" s="591"/>
      <c r="BR228" s="591"/>
      <c r="BS228" s="591"/>
      <c r="BT228" s="591"/>
      <c r="BU228" s="591"/>
      <c r="BV228" s="591"/>
      <c r="BW228" s="591"/>
      <c r="BX228" s="591"/>
      <c r="BY228" s="591"/>
      <c r="BZ228" s="591"/>
      <c r="CA228" s="591"/>
      <c r="CB228" s="591"/>
      <c r="CC228" s="591"/>
      <c r="CD228" s="591"/>
      <c r="CE228" s="591"/>
      <c r="CF228" s="591"/>
    </row>
    <row r="229" spans="1:84">
      <c r="A229" s="590"/>
      <c r="B229" s="590"/>
      <c r="C229" s="590"/>
      <c r="D229" s="590"/>
      <c r="E229" s="590"/>
      <c r="F229" s="590"/>
      <c r="G229" s="590"/>
      <c r="H229" s="590"/>
      <c r="I229" s="590"/>
      <c r="J229" s="590"/>
      <c r="K229" s="590"/>
      <c r="L229" s="590"/>
      <c r="M229" s="590"/>
      <c r="N229" s="590"/>
      <c r="O229" s="590"/>
      <c r="P229" s="590"/>
      <c r="Q229" s="590"/>
      <c r="R229" s="590"/>
      <c r="S229" s="590"/>
      <c r="T229" s="590"/>
      <c r="U229" s="590"/>
      <c r="V229" s="590"/>
      <c r="W229" s="590"/>
      <c r="X229" s="590"/>
      <c r="Y229" s="590"/>
      <c r="Z229" s="590"/>
      <c r="AA229" s="590"/>
      <c r="AB229" s="590"/>
      <c r="AC229" s="590"/>
      <c r="AD229" s="590"/>
      <c r="AE229" s="590"/>
      <c r="AF229" s="590"/>
      <c r="AG229" s="590"/>
      <c r="AH229" s="590"/>
      <c r="AI229" s="590"/>
      <c r="AJ229" s="590"/>
      <c r="AK229" s="590"/>
      <c r="AL229" s="590"/>
      <c r="AM229" s="590"/>
      <c r="AN229" s="590"/>
      <c r="AO229" s="590"/>
      <c r="AP229" s="590"/>
      <c r="AQ229" s="590"/>
      <c r="AR229" s="590"/>
      <c r="AS229" s="590"/>
      <c r="AT229" s="590"/>
      <c r="AU229" s="590"/>
      <c r="AV229" s="590"/>
      <c r="AW229" s="590"/>
      <c r="AX229" s="590"/>
      <c r="AY229" s="590"/>
      <c r="AZ229" s="590"/>
      <c r="BA229" s="590"/>
      <c r="BB229" s="590"/>
      <c r="BC229" s="590"/>
      <c r="BD229" s="590"/>
      <c r="BE229" s="590"/>
      <c r="BF229" s="590"/>
      <c r="BG229" s="590"/>
      <c r="BH229" s="590"/>
      <c r="BI229" s="590"/>
      <c r="BJ229" s="590"/>
      <c r="BK229" s="591"/>
      <c r="BL229" s="591"/>
      <c r="BM229" s="591"/>
      <c r="BN229" s="591"/>
      <c r="BO229" s="591"/>
      <c r="BP229" s="591"/>
      <c r="BQ229" s="591"/>
      <c r="BR229" s="591"/>
      <c r="BS229" s="591"/>
      <c r="BT229" s="591"/>
      <c r="BU229" s="591"/>
      <c r="BV229" s="591"/>
      <c r="BW229" s="591"/>
      <c r="BX229" s="591"/>
      <c r="BY229" s="591"/>
      <c r="BZ229" s="591"/>
      <c r="CA229" s="591"/>
      <c r="CB229" s="591"/>
      <c r="CC229" s="591"/>
      <c r="CD229" s="591"/>
      <c r="CE229" s="591"/>
      <c r="CF229" s="591"/>
    </row>
    <row r="230" spans="1:84">
      <c r="A230" s="590"/>
      <c r="B230" s="590"/>
      <c r="C230" s="590"/>
      <c r="D230" s="590"/>
      <c r="E230" s="590"/>
      <c r="F230" s="590"/>
      <c r="G230" s="590"/>
      <c r="H230" s="590"/>
      <c r="I230" s="590"/>
      <c r="J230" s="590"/>
      <c r="K230" s="590"/>
      <c r="L230" s="590"/>
      <c r="M230" s="590"/>
      <c r="N230" s="590"/>
      <c r="O230" s="590"/>
      <c r="P230" s="590"/>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0"/>
      <c r="AQ230" s="590"/>
      <c r="AR230" s="590"/>
      <c r="AS230" s="590"/>
      <c r="AT230" s="590"/>
      <c r="AU230" s="590"/>
      <c r="AV230" s="590"/>
      <c r="AW230" s="590"/>
      <c r="AX230" s="590"/>
      <c r="AY230" s="590"/>
      <c r="AZ230" s="590"/>
      <c r="BA230" s="590"/>
      <c r="BB230" s="590"/>
      <c r="BC230" s="590"/>
      <c r="BD230" s="590"/>
      <c r="BE230" s="590"/>
      <c r="BF230" s="590"/>
      <c r="BG230" s="590"/>
      <c r="BH230" s="590"/>
      <c r="BI230" s="590"/>
      <c r="BJ230" s="590"/>
      <c r="BK230" s="591"/>
      <c r="BL230" s="591"/>
      <c r="BM230" s="591"/>
      <c r="BN230" s="591"/>
      <c r="BO230" s="591"/>
      <c r="BP230" s="591"/>
      <c r="BQ230" s="591"/>
      <c r="BR230" s="591"/>
      <c r="BS230" s="591"/>
      <c r="BT230" s="591"/>
      <c r="BU230" s="591"/>
      <c r="BV230" s="591"/>
      <c r="BW230" s="591"/>
      <c r="BX230" s="591"/>
      <c r="BY230" s="591"/>
      <c r="BZ230" s="591"/>
      <c r="CA230" s="591"/>
      <c r="CB230" s="591"/>
      <c r="CC230" s="591"/>
      <c r="CD230" s="591"/>
      <c r="CE230" s="591"/>
      <c r="CF230" s="591"/>
    </row>
    <row r="231" spans="1:84">
      <c r="A231" s="590"/>
      <c r="B231" s="590"/>
      <c r="C231" s="590"/>
      <c r="D231" s="590"/>
      <c r="E231" s="590"/>
      <c r="F231" s="590"/>
      <c r="G231" s="590"/>
      <c r="H231" s="590"/>
      <c r="I231" s="590"/>
      <c r="J231" s="590"/>
      <c r="K231" s="590"/>
      <c r="L231" s="590"/>
      <c r="M231" s="590"/>
      <c r="N231" s="590"/>
      <c r="O231" s="590"/>
      <c r="P231" s="590"/>
      <c r="Q231" s="590"/>
      <c r="R231" s="590"/>
      <c r="S231" s="590"/>
      <c r="T231" s="590"/>
      <c r="U231" s="590"/>
      <c r="V231" s="590"/>
      <c r="W231" s="590"/>
      <c r="X231" s="590"/>
      <c r="Y231" s="590"/>
      <c r="Z231" s="590"/>
      <c r="AA231" s="590"/>
      <c r="AB231" s="590"/>
      <c r="AC231" s="590"/>
      <c r="AD231" s="590"/>
      <c r="AE231" s="590"/>
      <c r="AF231" s="590"/>
      <c r="AG231" s="590"/>
      <c r="AH231" s="590"/>
      <c r="AI231" s="590"/>
      <c r="AJ231" s="590"/>
      <c r="AK231" s="590"/>
      <c r="AL231" s="590"/>
      <c r="AM231" s="590"/>
      <c r="AN231" s="590"/>
      <c r="AO231" s="590"/>
      <c r="AP231" s="590"/>
      <c r="AQ231" s="590"/>
      <c r="AR231" s="590"/>
      <c r="AS231" s="590"/>
      <c r="AT231" s="590"/>
      <c r="AU231" s="590"/>
      <c r="AV231" s="590"/>
      <c r="AW231" s="590"/>
      <c r="AX231" s="590"/>
      <c r="AY231" s="590"/>
      <c r="AZ231" s="590"/>
      <c r="BA231" s="590"/>
      <c r="BB231" s="590"/>
      <c r="BC231" s="590"/>
      <c r="BD231" s="590"/>
      <c r="BE231" s="590"/>
      <c r="BF231" s="590"/>
      <c r="BG231" s="590"/>
      <c r="BH231" s="590"/>
      <c r="BI231" s="590"/>
      <c r="BJ231" s="590"/>
      <c r="BK231" s="591"/>
      <c r="BL231" s="591"/>
      <c r="BM231" s="591"/>
      <c r="BN231" s="591"/>
      <c r="BO231" s="591"/>
      <c r="BP231" s="591"/>
      <c r="BQ231" s="591"/>
      <c r="BR231" s="591"/>
      <c r="BS231" s="591"/>
      <c r="BT231" s="591"/>
      <c r="BU231" s="591"/>
      <c r="BV231" s="591"/>
      <c r="BW231" s="591"/>
      <c r="BX231" s="591"/>
      <c r="BY231" s="591"/>
      <c r="BZ231" s="591"/>
      <c r="CA231" s="591"/>
      <c r="CB231" s="591"/>
      <c r="CC231" s="591"/>
      <c r="CD231" s="591"/>
      <c r="CE231" s="591"/>
      <c r="CF231" s="591"/>
    </row>
    <row r="232" spans="1:84">
      <c r="A232" s="590"/>
      <c r="B232" s="590"/>
      <c r="C232" s="590"/>
      <c r="D232" s="590"/>
      <c r="E232" s="590"/>
      <c r="F232" s="590"/>
      <c r="G232" s="590"/>
      <c r="H232" s="590"/>
      <c r="I232" s="590"/>
      <c r="J232" s="590"/>
      <c r="K232" s="590"/>
      <c r="L232" s="590"/>
      <c r="M232" s="590"/>
      <c r="N232" s="590"/>
      <c r="O232" s="590"/>
      <c r="P232" s="590"/>
      <c r="Q232" s="590"/>
      <c r="R232" s="590"/>
      <c r="S232" s="590"/>
      <c r="T232" s="590"/>
      <c r="U232" s="590"/>
      <c r="V232" s="590"/>
      <c r="W232" s="590"/>
      <c r="X232" s="590"/>
      <c r="Y232" s="590"/>
      <c r="Z232" s="590"/>
      <c r="AA232" s="590"/>
      <c r="AB232" s="590"/>
      <c r="AC232" s="590"/>
      <c r="AD232" s="590"/>
      <c r="AE232" s="590"/>
      <c r="AF232" s="590"/>
      <c r="AG232" s="590"/>
      <c r="AH232" s="590"/>
      <c r="AI232" s="590"/>
      <c r="AJ232" s="590"/>
      <c r="AK232" s="590"/>
      <c r="AL232" s="590"/>
      <c r="AM232" s="590"/>
      <c r="AN232" s="590"/>
      <c r="AO232" s="590"/>
      <c r="AP232" s="590"/>
      <c r="AQ232" s="590"/>
      <c r="AR232" s="590"/>
      <c r="AS232" s="590"/>
      <c r="AT232" s="590"/>
      <c r="AU232" s="590"/>
      <c r="AV232" s="590"/>
      <c r="AW232" s="590"/>
      <c r="AX232" s="590"/>
      <c r="AY232" s="590"/>
      <c r="AZ232" s="590"/>
      <c r="BA232" s="590"/>
      <c r="BB232" s="590"/>
      <c r="BC232" s="590"/>
      <c r="BD232" s="590"/>
      <c r="BE232" s="590"/>
      <c r="BF232" s="590"/>
      <c r="BG232" s="590"/>
      <c r="BH232" s="590"/>
      <c r="BI232" s="590"/>
      <c r="BJ232" s="590"/>
      <c r="BK232" s="591"/>
      <c r="BL232" s="591"/>
      <c r="BM232" s="591"/>
      <c r="BN232" s="591"/>
      <c r="BO232" s="591"/>
      <c r="BP232" s="591"/>
      <c r="BQ232" s="591"/>
      <c r="BR232" s="591"/>
      <c r="BS232" s="591"/>
      <c r="BT232" s="591"/>
      <c r="BU232" s="591"/>
      <c r="BV232" s="591"/>
      <c r="BW232" s="591"/>
      <c r="BX232" s="591"/>
      <c r="BY232" s="591"/>
      <c r="BZ232" s="591"/>
      <c r="CA232" s="591"/>
      <c r="CB232" s="591"/>
      <c r="CC232" s="591"/>
      <c r="CD232" s="591"/>
      <c r="CE232" s="591"/>
      <c r="CF232" s="591"/>
    </row>
    <row r="233" spans="1:84">
      <c r="A233" s="590"/>
      <c r="B233" s="590"/>
      <c r="C233" s="590"/>
      <c r="D233" s="590"/>
      <c r="E233" s="590"/>
      <c r="F233" s="590"/>
      <c r="G233" s="590"/>
      <c r="H233" s="590"/>
      <c r="I233" s="590"/>
      <c r="J233" s="590"/>
      <c r="K233" s="590"/>
      <c r="L233" s="590"/>
      <c r="M233" s="590"/>
      <c r="N233" s="590"/>
      <c r="O233" s="590"/>
      <c r="P233" s="590"/>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0"/>
      <c r="AQ233" s="590"/>
      <c r="AR233" s="590"/>
      <c r="AS233" s="590"/>
      <c r="AT233" s="590"/>
      <c r="AU233" s="590"/>
      <c r="AV233" s="590"/>
      <c r="AW233" s="590"/>
      <c r="AX233" s="590"/>
      <c r="AY233" s="590"/>
      <c r="AZ233" s="590"/>
      <c r="BA233" s="590"/>
      <c r="BB233" s="590"/>
      <c r="BC233" s="590"/>
      <c r="BD233" s="590"/>
      <c r="BE233" s="590"/>
      <c r="BF233" s="590"/>
      <c r="BG233" s="590"/>
      <c r="BH233" s="590"/>
      <c r="BI233" s="590"/>
      <c r="BJ233" s="590"/>
      <c r="BK233" s="591"/>
      <c r="BL233" s="591"/>
      <c r="BM233" s="591"/>
      <c r="BN233" s="591"/>
      <c r="BO233" s="591"/>
      <c r="BP233" s="591"/>
      <c r="BQ233" s="591"/>
      <c r="BR233" s="591"/>
      <c r="BS233" s="591"/>
      <c r="BT233" s="591"/>
      <c r="BU233" s="591"/>
      <c r="BV233" s="591"/>
      <c r="BW233" s="591"/>
      <c r="BX233" s="591"/>
      <c r="BY233" s="591"/>
      <c r="BZ233" s="591"/>
      <c r="CA233" s="591"/>
      <c r="CB233" s="591"/>
      <c r="CC233" s="591"/>
      <c r="CD233" s="591"/>
      <c r="CE233" s="591"/>
      <c r="CF233" s="591"/>
    </row>
    <row r="234" spans="1:84">
      <c r="A234" s="590"/>
      <c r="B234" s="590"/>
      <c r="C234" s="590"/>
      <c r="D234" s="590"/>
      <c r="E234" s="590"/>
      <c r="F234" s="590"/>
      <c r="G234" s="590"/>
      <c r="H234" s="590"/>
      <c r="I234" s="590"/>
      <c r="J234" s="590"/>
      <c r="K234" s="590"/>
      <c r="L234" s="590"/>
      <c r="M234" s="590"/>
      <c r="N234" s="590"/>
      <c r="O234" s="590"/>
      <c r="P234" s="590"/>
      <c r="Q234" s="590"/>
      <c r="R234" s="590"/>
      <c r="S234" s="590"/>
      <c r="T234" s="590"/>
      <c r="U234" s="590"/>
      <c r="V234" s="590"/>
      <c r="W234" s="590"/>
      <c r="X234" s="590"/>
      <c r="Y234" s="590"/>
      <c r="Z234" s="590"/>
      <c r="AA234" s="590"/>
      <c r="AB234" s="590"/>
      <c r="AC234" s="590"/>
      <c r="AD234" s="590"/>
      <c r="AE234" s="590"/>
      <c r="AF234" s="590"/>
      <c r="AG234" s="590"/>
      <c r="AH234" s="590"/>
      <c r="AI234" s="590"/>
      <c r="AJ234" s="590"/>
      <c r="AK234" s="590"/>
      <c r="AL234" s="590"/>
      <c r="AM234" s="590"/>
      <c r="AN234" s="590"/>
      <c r="AO234" s="590"/>
      <c r="AP234" s="590"/>
      <c r="AQ234" s="590"/>
      <c r="AR234" s="590"/>
      <c r="AS234" s="590"/>
      <c r="AT234" s="590"/>
      <c r="AU234" s="590"/>
      <c r="AV234" s="590"/>
      <c r="AW234" s="590"/>
      <c r="AX234" s="590"/>
      <c r="AY234" s="590"/>
      <c r="AZ234" s="590"/>
      <c r="BA234" s="590"/>
      <c r="BB234" s="590"/>
      <c r="BC234" s="590"/>
      <c r="BD234" s="590"/>
      <c r="BE234" s="590"/>
      <c r="BF234" s="590"/>
      <c r="BG234" s="590"/>
      <c r="BH234" s="590"/>
      <c r="BI234" s="590"/>
      <c r="BJ234" s="590"/>
      <c r="BK234" s="591"/>
      <c r="BL234" s="591"/>
      <c r="BM234" s="591"/>
      <c r="BN234" s="591"/>
      <c r="BO234" s="591"/>
      <c r="BP234" s="591"/>
      <c r="BQ234" s="591"/>
      <c r="BR234" s="591"/>
      <c r="BS234" s="591"/>
      <c r="BT234" s="591"/>
      <c r="BU234" s="591"/>
      <c r="BV234" s="591"/>
      <c r="BW234" s="591"/>
      <c r="BX234" s="591"/>
      <c r="BY234" s="591"/>
      <c r="BZ234" s="591"/>
      <c r="CA234" s="591"/>
      <c r="CB234" s="591"/>
      <c r="CC234" s="591"/>
      <c r="CD234" s="591"/>
      <c r="CE234" s="591"/>
      <c r="CF234" s="591"/>
    </row>
    <row r="235" spans="1:84">
      <c r="A235" s="590"/>
      <c r="B235" s="590"/>
      <c r="C235" s="590"/>
      <c r="D235" s="590"/>
      <c r="E235" s="590"/>
      <c r="F235" s="590"/>
      <c r="G235" s="590"/>
      <c r="H235" s="590"/>
      <c r="I235" s="590"/>
      <c r="J235" s="590"/>
      <c r="K235" s="590"/>
      <c r="L235" s="590"/>
      <c r="M235" s="590"/>
      <c r="N235" s="590"/>
      <c r="O235" s="590"/>
      <c r="P235" s="590"/>
      <c r="Q235" s="590"/>
      <c r="R235" s="590"/>
      <c r="S235" s="590"/>
      <c r="T235" s="590"/>
      <c r="U235" s="590"/>
      <c r="V235" s="590"/>
      <c r="W235" s="590"/>
      <c r="X235" s="590"/>
      <c r="Y235" s="590"/>
      <c r="Z235" s="590"/>
      <c r="AA235" s="590"/>
      <c r="AB235" s="590"/>
      <c r="AC235" s="590"/>
      <c r="AD235" s="590"/>
      <c r="AE235" s="590"/>
      <c r="AF235" s="590"/>
      <c r="AG235" s="590"/>
      <c r="AH235" s="590"/>
      <c r="AI235" s="590"/>
      <c r="AJ235" s="590"/>
      <c r="AK235" s="590"/>
      <c r="AL235" s="590"/>
      <c r="AM235" s="590"/>
      <c r="AN235" s="590"/>
      <c r="AO235" s="590"/>
      <c r="AP235" s="590"/>
      <c r="AQ235" s="590"/>
      <c r="AR235" s="590"/>
      <c r="AS235" s="590"/>
      <c r="AT235" s="590"/>
      <c r="AU235" s="590"/>
      <c r="AV235" s="590"/>
      <c r="AW235" s="590"/>
      <c r="AX235" s="590"/>
      <c r="AY235" s="590"/>
      <c r="AZ235" s="590"/>
      <c r="BA235" s="590"/>
      <c r="BB235" s="590"/>
      <c r="BC235" s="590"/>
      <c r="BD235" s="590"/>
      <c r="BE235" s="590"/>
      <c r="BF235" s="590"/>
      <c r="BG235" s="590"/>
      <c r="BH235" s="590"/>
      <c r="BI235" s="590"/>
      <c r="BJ235" s="590"/>
      <c r="BK235" s="591"/>
      <c r="BL235" s="591"/>
      <c r="BM235" s="591"/>
      <c r="BN235" s="591"/>
      <c r="BO235" s="591"/>
      <c r="BP235" s="591"/>
      <c r="BQ235" s="591"/>
      <c r="BR235" s="591"/>
      <c r="BS235" s="591"/>
      <c r="BT235" s="591"/>
      <c r="BU235" s="591"/>
      <c r="BV235" s="591"/>
      <c r="BW235" s="591"/>
      <c r="BX235" s="591"/>
      <c r="BY235" s="591"/>
      <c r="BZ235" s="591"/>
      <c r="CA235" s="591"/>
      <c r="CB235" s="591"/>
      <c r="CC235" s="591"/>
      <c r="CD235" s="591"/>
      <c r="CE235" s="591"/>
      <c r="CF235" s="591"/>
    </row>
    <row r="236" spans="1:84">
      <c r="A236" s="590"/>
      <c r="B236" s="590"/>
      <c r="C236" s="590"/>
      <c r="D236" s="590"/>
      <c r="E236" s="590"/>
      <c r="F236" s="590"/>
      <c r="G236" s="590"/>
      <c r="H236" s="590"/>
      <c r="I236" s="590"/>
      <c r="J236" s="590"/>
      <c r="K236" s="590"/>
      <c r="L236" s="590"/>
      <c r="M236" s="590"/>
      <c r="N236" s="590"/>
      <c r="O236" s="590"/>
      <c r="P236" s="590"/>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0"/>
      <c r="AQ236" s="590"/>
      <c r="AR236" s="590"/>
      <c r="AS236" s="590"/>
      <c r="AT236" s="590"/>
      <c r="AU236" s="590"/>
      <c r="AV236" s="590"/>
      <c r="AW236" s="590"/>
      <c r="AX236" s="590"/>
      <c r="AY236" s="590"/>
      <c r="AZ236" s="590"/>
      <c r="BA236" s="590"/>
      <c r="BB236" s="590"/>
      <c r="BC236" s="590"/>
      <c r="BD236" s="590"/>
      <c r="BE236" s="590"/>
      <c r="BF236" s="590"/>
      <c r="BG236" s="590"/>
      <c r="BH236" s="590"/>
      <c r="BI236" s="590"/>
      <c r="BJ236" s="590"/>
      <c r="BK236" s="591"/>
      <c r="BL236" s="591"/>
      <c r="BM236" s="591"/>
      <c r="BN236" s="591"/>
      <c r="BO236" s="591"/>
      <c r="BP236" s="591"/>
      <c r="BQ236" s="591"/>
      <c r="BR236" s="591"/>
      <c r="BS236" s="591"/>
      <c r="BT236" s="591"/>
      <c r="BU236" s="591"/>
      <c r="BV236" s="591"/>
      <c r="BW236" s="591"/>
      <c r="BX236" s="591"/>
      <c r="BY236" s="591"/>
      <c r="BZ236" s="591"/>
      <c r="CA236" s="591"/>
      <c r="CB236" s="591"/>
      <c r="CC236" s="591"/>
      <c r="CD236" s="591"/>
      <c r="CE236" s="591"/>
      <c r="CF236" s="591"/>
    </row>
    <row r="237" spans="1:84">
      <c r="A237" s="590"/>
      <c r="B237" s="590"/>
      <c r="C237" s="590"/>
      <c r="D237" s="590"/>
      <c r="E237" s="590"/>
      <c r="F237" s="590"/>
      <c r="G237" s="590"/>
      <c r="H237" s="590"/>
      <c r="I237" s="590"/>
      <c r="J237" s="590"/>
      <c r="K237" s="590"/>
      <c r="L237" s="590"/>
      <c r="M237" s="590"/>
      <c r="N237" s="590"/>
      <c r="O237" s="590"/>
      <c r="P237" s="590"/>
      <c r="Q237" s="590"/>
      <c r="R237" s="590"/>
      <c r="S237" s="590"/>
      <c r="T237" s="590"/>
      <c r="U237" s="590"/>
      <c r="V237" s="590"/>
      <c r="W237" s="590"/>
      <c r="X237" s="590"/>
      <c r="Y237" s="590"/>
      <c r="Z237" s="590"/>
      <c r="AA237" s="590"/>
      <c r="AB237" s="590"/>
      <c r="AC237" s="590"/>
      <c r="AD237" s="590"/>
      <c r="AE237" s="590"/>
      <c r="AF237" s="590"/>
      <c r="AG237" s="590"/>
      <c r="AH237" s="590"/>
      <c r="AI237" s="590"/>
      <c r="AJ237" s="590"/>
      <c r="AK237" s="590"/>
      <c r="AL237" s="590"/>
      <c r="AM237" s="590"/>
      <c r="AN237" s="590"/>
      <c r="AO237" s="590"/>
      <c r="AP237" s="590"/>
      <c r="AQ237" s="590"/>
      <c r="AR237" s="590"/>
      <c r="AS237" s="590"/>
      <c r="AT237" s="590"/>
      <c r="AU237" s="590"/>
      <c r="AV237" s="590"/>
      <c r="AW237" s="590"/>
      <c r="AX237" s="590"/>
      <c r="AY237" s="590"/>
      <c r="AZ237" s="590"/>
      <c r="BA237" s="590"/>
      <c r="BB237" s="590"/>
      <c r="BC237" s="590"/>
      <c r="BD237" s="590"/>
      <c r="BE237" s="590"/>
      <c r="BF237" s="590"/>
      <c r="BG237" s="590"/>
      <c r="BH237" s="590"/>
      <c r="BI237" s="590"/>
      <c r="BJ237" s="590"/>
      <c r="BK237" s="591"/>
      <c r="BL237" s="591"/>
      <c r="BM237" s="591"/>
      <c r="BN237" s="591"/>
      <c r="BO237" s="591"/>
      <c r="BP237" s="591"/>
      <c r="BQ237" s="591"/>
      <c r="BR237" s="591"/>
      <c r="BS237" s="591"/>
      <c r="BT237" s="591"/>
      <c r="BU237" s="591"/>
      <c r="BV237" s="591"/>
      <c r="BW237" s="591"/>
      <c r="BX237" s="591"/>
      <c r="BY237" s="591"/>
      <c r="BZ237" s="591"/>
      <c r="CA237" s="591"/>
      <c r="CB237" s="591"/>
      <c r="CC237" s="591"/>
      <c r="CD237" s="591"/>
      <c r="CE237" s="591"/>
      <c r="CF237" s="591"/>
    </row>
    <row r="238" spans="1:84">
      <c r="A238" s="590"/>
      <c r="B238" s="590"/>
      <c r="C238" s="590"/>
      <c r="D238" s="590"/>
      <c r="E238" s="590"/>
      <c r="F238" s="590"/>
      <c r="G238" s="590"/>
      <c r="H238" s="590"/>
      <c r="I238" s="590"/>
      <c r="J238" s="590"/>
      <c r="K238" s="590"/>
      <c r="L238" s="590"/>
      <c r="M238" s="590"/>
      <c r="N238" s="590"/>
      <c r="O238" s="590"/>
      <c r="P238" s="590"/>
      <c r="Q238" s="590"/>
      <c r="R238" s="590"/>
      <c r="S238" s="590"/>
      <c r="T238" s="590"/>
      <c r="U238" s="590"/>
      <c r="V238" s="590"/>
      <c r="W238" s="590"/>
      <c r="X238" s="590"/>
      <c r="Y238" s="590"/>
      <c r="Z238" s="590"/>
      <c r="AA238" s="590"/>
      <c r="AB238" s="590"/>
      <c r="AC238" s="590"/>
      <c r="AD238" s="590"/>
      <c r="AE238" s="590"/>
      <c r="AF238" s="590"/>
      <c r="AG238" s="590"/>
      <c r="AH238" s="590"/>
      <c r="AI238" s="590"/>
      <c r="AJ238" s="590"/>
      <c r="AK238" s="590"/>
      <c r="AL238" s="590"/>
      <c r="AM238" s="590"/>
      <c r="AN238" s="590"/>
      <c r="AO238" s="590"/>
      <c r="AP238" s="590"/>
      <c r="AQ238" s="590"/>
      <c r="AR238" s="590"/>
      <c r="AS238" s="590"/>
      <c r="AT238" s="590"/>
      <c r="AU238" s="590"/>
      <c r="AV238" s="590"/>
      <c r="AW238" s="590"/>
      <c r="AX238" s="590"/>
      <c r="AY238" s="590"/>
      <c r="AZ238" s="590"/>
      <c r="BA238" s="590"/>
      <c r="BB238" s="590"/>
      <c r="BC238" s="590"/>
      <c r="BD238" s="590"/>
      <c r="BE238" s="590"/>
      <c r="BF238" s="590"/>
      <c r="BG238" s="590"/>
      <c r="BH238" s="590"/>
      <c r="BI238" s="590"/>
      <c r="BJ238" s="590"/>
      <c r="BK238" s="591"/>
      <c r="BL238" s="591"/>
      <c r="BM238" s="591"/>
      <c r="BN238" s="591"/>
      <c r="BO238" s="591"/>
      <c r="BP238" s="591"/>
      <c r="BQ238" s="591"/>
      <c r="BR238" s="591"/>
      <c r="BS238" s="591"/>
      <c r="BT238" s="591"/>
      <c r="BU238" s="591"/>
      <c r="BV238" s="591"/>
      <c r="BW238" s="591"/>
      <c r="BX238" s="591"/>
      <c r="BY238" s="591"/>
      <c r="BZ238" s="591"/>
      <c r="CA238" s="591"/>
      <c r="CB238" s="591"/>
      <c r="CC238" s="591"/>
      <c r="CD238" s="591"/>
      <c r="CE238" s="591"/>
      <c r="CF238" s="591"/>
    </row>
    <row r="239" spans="1:84">
      <c r="A239" s="590"/>
      <c r="B239" s="590"/>
      <c r="C239" s="590"/>
      <c r="D239" s="590"/>
      <c r="E239" s="590"/>
      <c r="F239" s="590"/>
      <c r="G239" s="590"/>
      <c r="H239" s="590"/>
      <c r="I239" s="590"/>
      <c r="J239" s="590"/>
      <c r="K239" s="590"/>
      <c r="L239" s="590"/>
      <c r="M239" s="590"/>
      <c r="N239" s="590"/>
      <c r="O239" s="590"/>
      <c r="P239" s="590"/>
      <c r="Q239" s="590"/>
      <c r="R239" s="590"/>
      <c r="S239" s="590"/>
      <c r="T239" s="590"/>
      <c r="U239" s="590"/>
      <c r="V239" s="590"/>
      <c r="W239" s="590"/>
      <c r="X239" s="590"/>
      <c r="Y239" s="590"/>
      <c r="Z239" s="590"/>
      <c r="AA239" s="590"/>
      <c r="AB239" s="590"/>
      <c r="AC239" s="590"/>
      <c r="AD239" s="590"/>
      <c r="AE239" s="590"/>
      <c r="AF239" s="590"/>
      <c r="AG239" s="590"/>
      <c r="AH239" s="590"/>
      <c r="AI239" s="590"/>
      <c r="AJ239" s="590"/>
      <c r="AK239" s="590"/>
      <c r="AL239" s="590"/>
      <c r="AM239" s="590"/>
      <c r="AN239" s="590"/>
      <c r="AO239" s="590"/>
      <c r="AP239" s="590"/>
      <c r="AQ239" s="590"/>
      <c r="AR239" s="590"/>
      <c r="AS239" s="590"/>
      <c r="AT239" s="590"/>
      <c r="AU239" s="590"/>
      <c r="AV239" s="590"/>
      <c r="AW239" s="590"/>
      <c r="AX239" s="590"/>
      <c r="AY239" s="590"/>
      <c r="AZ239" s="590"/>
      <c r="BA239" s="590"/>
      <c r="BB239" s="590"/>
      <c r="BC239" s="590"/>
      <c r="BD239" s="590"/>
      <c r="BE239" s="590"/>
      <c r="BF239" s="590"/>
      <c r="BG239" s="590"/>
      <c r="BH239" s="590"/>
      <c r="BI239" s="590"/>
      <c r="BJ239" s="590"/>
      <c r="BK239" s="591"/>
      <c r="BL239" s="591"/>
      <c r="BM239" s="591"/>
      <c r="BN239" s="591"/>
      <c r="BO239" s="591"/>
      <c r="BP239" s="591"/>
      <c r="BQ239" s="591"/>
      <c r="BR239" s="591"/>
      <c r="BS239" s="591"/>
      <c r="BT239" s="591"/>
      <c r="BU239" s="591"/>
      <c r="BV239" s="591"/>
      <c r="BW239" s="591"/>
      <c r="BX239" s="591"/>
      <c r="BY239" s="591"/>
      <c r="BZ239" s="591"/>
      <c r="CA239" s="591"/>
      <c r="CB239" s="591"/>
      <c r="CC239" s="591"/>
      <c r="CD239" s="591"/>
      <c r="CE239" s="591"/>
      <c r="CF239" s="591"/>
    </row>
    <row r="240" spans="1:84">
      <c r="A240" s="590"/>
      <c r="B240" s="590"/>
      <c r="C240" s="590"/>
      <c r="D240" s="590"/>
      <c r="E240" s="590"/>
      <c r="F240" s="590"/>
      <c r="G240" s="590"/>
      <c r="H240" s="590"/>
      <c r="I240" s="590"/>
      <c r="J240" s="590"/>
      <c r="K240" s="590"/>
      <c r="L240" s="590"/>
      <c r="M240" s="590"/>
      <c r="N240" s="590"/>
      <c r="O240" s="590"/>
      <c r="P240" s="590"/>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0"/>
      <c r="AQ240" s="590"/>
      <c r="AR240" s="590"/>
      <c r="AS240" s="590"/>
      <c r="AT240" s="590"/>
      <c r="AU240" s="590"/>
      <c r="AV240" s="590"/>
      <c r="AW240" s="590"/>
      <c r="AX240" s="590"/>
      <c r="AY240" s="590"/>
      <c r="AZ240" s="590"/>
      <c r="BA240" s="590"/>
      <c r="BB240" s="590"/>
      <c r="BC240" s="590"/>
      <c r="BD240" s="590"/>
      <c r="BE240" s="590"/>
      <c r="BF240" s="590"/>
      <c r="BG240" s="590"/>
      <c r="BH240" s="590"/>
      <c r="BI240" s="590"/>
      <c r="BJ240" s="590"/>
      <c r="BK240" s="591"/>
      <c r="BL240" s="591"/>
      <c r="BM240" s="591"/>
      <c r="BN240" s="591"/>
      <c r="BO240" s="591"/>
      <c r="BP240" s="591"/>
      <c r="BQ240" s="591"/>
      <c r="BR240" s="591"/>
      <c r="BS240" s="591"/>
      <c r="BT240" s="591"/>
      <c r="BU240" s="591"/>
      <c r="BV240" s="591"/>
      <c r="BW240" s="591"/>
      <c r="BX240" s="591"/>
      <c r="BY240" s="591"/>
      <c r="BZ240" s="591"/>
      <c r="CA240" s="591"/>
      <c r="CB240" s="591"/>
      <c r="CC240" s="591"/>
      <c r="CD240" s="591"/>
      <c r="CE240" s="591"/>
      <c r="CF240" s="591"/>
    </row>
    <row r="241" spans="1:84">
      <c r="A241" s="590"/>
      <c r="B241" s="590"/>
      <c r="C241" s="590"/>
      <c r="D241" s="590"/>
      <c r="E241" s="590"/>
      <c r="F241" s="590"/>
      <c r="G241" s="590"/>
      <c r="H241" s="590"/>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590"/>
      <c r="AY241" s="590"/>
      <c r="AZ241" s="590"/>
      <c r="BA241" s="590"/>
      <c r="BB241" s="590"/>
      <c r="BC241" s="590"/>
      <c r="BD241" s="590"/>
      <c r="BE241" s="590"/>
      <c r="BF241" s="590"/>
      <c r="BG241" s="590"/>
      <c r="BH241" s="590"/>
      <c r="BI241" s="590"/>
      <c r="BJ241" s="590"/>
      <c r="BK241" s="591"/>
      <c r="BL241" s="591"/>
      <c r="BM241" s="591"/>
      <c r="BN241" s="591"/>
      <c r="BO241" s="591"/>
      <c r="BP241" s="591"/>
      <c r="BQ241" s="591"/>
      <c r="BR241" s="591"/>
      <c r="BS241" s="591"/>
      <c r="BT241" s="591"/>
      <c r="BU241" s="591"/>
      <c r="BV241" s="591"/>
      <c r="BW241" s="591"/>
      <c r="BX241" s="591"/>
      <c r="BY241" s="591"/>
      <c r="BZ241" s="591"/>
      <c r="CA241" s="591"/>
      <c r="CB241" s="591"/>
      <c r="CC241" s="591"/>
      <c r="CD241" s="591"/>
      <c r="CE241" s="591"/>
      <c r="CF241" s="591"/>
    </row>
    <row r="242" spans="1:84">
      <c r="A242" s="590"/>
      <c r="B242" s="590"/>
      <c r="C242" s="590"/>
      <c r="D242" s="590"/>
      <c r="E242" s="590"/>
      <c r="F242" s="590"/>
      <c r="G242" s="590"/>
      <c r="H242" s="590"/>
      <c r="I242" s="590"/>
      <c r="J242" s="590"/>
      <c r="K242" s="590"/>
      <c r="L242" s="590"/>
      <c r="M242" s="590"/>
      <c r="N242" s="590"/>
      <c r="O242" s="590"/>
      <c r="P242" s="590"/>
      <c r="Q242" s="590"/>
      <c r="R242" s="590"/>
      <c r="S242" s="590"/>
      <c r="T242" s="590"/>
      <c r="U242" s="590"/>
      <c r="V242" s="590"/>
      <c r="W242" s="590"/>
      <c r="X242" s="590"/>
      <c r="Y242" s="590"/>
      <c r="Z242" s="590"/>
      <c r="AA242" s="590"/>
      <c r="AB242" s="590"/>
      <c r="AC242" s="590"/>
      <c r="AD242" s="590"/>
      <c r="AE242" s="590"/>
      <c r="AF242" s="590"/>
      <c r="AG242" s="590"/>
      <c r="AH242" s="590"/>
      <c r="AI242" s="590"/>
      <c r="AJ242" s="590"/>
      <c r="AK242" s="590"/>
      <c r="AL242" s="590"/>
      <c r="AM242" s="590"/>
      <c r="AN242" s="590"/>
      <c r="AO242" s="590"/>
      <c r="AP242" s="590"/>
      <c r="AQ242" s="590"/>
      <c r="AR242" s="590"/>
      <c r="AS242" s="590"/>
      <c r="AT242" s="590"/>
      <c r="AU242" s="590"/>
      <c r="AV242" s="590"/>
      <c r="AW242" s="590"/>
      <c r="AX242" s="590"/>
      <c r="AY242" s="590"/>
      <c r="AZ242" s="590"/>
      <c r="BA242" s="590"/>
      <c r="BB242" s="590"/>
      <c r="BC242" s="590"/>
      <c r="BD242" s="590"/>
      <c r="BE242" s="590"/>
      <c r="BF242" s="590"/>
      <c r="BG242" s="590"/>
      <c r="BH242" s="590"/>
      <c r="BI242" s="590"/>
      <c r="BJ242" s="590"/>
      <c r="BK242" s="591"/>
      <c r="BL242" s="591"/>
      <c r="BM242" s="591"/>
      <c r="BN242" s="591"/>
      <c r="BO242" s="591"/>
      <c r="BP242" s="591"/>
      <c r="BQ242" s="591"/>
      <c r="BR242" s="591"/>
      <c r="BS242" s="591"/>
      <c r="BT242" s="591"/>
      <c r="BU242" s="591"/>
      <c r="BV242" s="591"/>
      <c r="BW242" s="591"/>
      <c r="BX242" s="591"/>
      <c r="BY242" s="591"/>
      <c r="BZ242" s="591"/>
      <c r="CA242" s="591"/>
      <c r="CB242" s="591"/>
      <c r="CC242" s="591"/>
      <c r="CD242" s="591"/>
      <c r="CE242" s="591"/>
      <c r="CF242" s="591"/>
    </row>
    <row r="243" spans="1:84">
      <c r="A243" s="590"/>
      <c r="B243" s="590"/>
      <c r="C243" s="590"/>
      <c r="D243" s="590"/>
      <c r="E243" s="590"/>
      <c r="F243" s="590"/>
      <c r="G243" s="590"/>
      <c r="H243" s="590"/>
      <c r="I243" s="590"/>
      <c r="J243" s="590"/>
      <c r="K243" s="590"/>
      <c r="L243" s="590"/>
      <c r="M243" s="590"/>
      <c r="N243" s="590"/>
      <c r="O243" s="590"/>
      <c r="P243" s="590"/>
      <c r="Q243" s="590"/>
      <c r="R243" s="590"/>
      <c r="S243" s="590"/>
      <c r="T243" s="590"/>
      <c r="U243" s="590"/>
      <c r="V243" s="590"/>
      <c r="W243" s="590"/>
      <c r="X243" s="590"/>
      <c r="Y243" s="590"/>
      <c r="Z243" s="590"/>
      <c r="AA243" s="590"/>
      <c r="AB243" s="590"/>
      <c r="AC243" s="590"/>
      <c r="AD243" s="590"/>
      <c r="AE243" s="590"/>
      <c r="AF243" s="590"/>
      <c r="AG243" s="590"/>
      <c r="AH243" s="590"/>
      <c r="AI243" s="590"/>
      <c r="AJ243" s="590"/>
      <c r="AK243" s="590"/>
      <c r="AL243" s="590"/>
      <c r="AM243" s="590"/>
      <c r="AN243" s="590"/>
      <c r="AO243" s="590"/>
      <c r="AP243" s="590"/>
      <c r="AQ243" s="590"/>
      <c r="AR243" s="590"/>
      <c r="AS243" s="590"/>
      <c r="AT243" s="590"/>
      <c r="AU243" s="590"/>
      <c r="AV243" s="590"/>
      <c r="AW243" s="590"/>
      <c r="AX243" s="590"/>
      <c r="AY243" s="590"/>
      <c r="AZ243" s="590"/>
      <c r="BA243" s="590"/>
      <c r="BB243" s="590"/>
      <c r="BC243" s="590"/>
      <c r="BD243" s="590"/>
      <c r="BE243" s="590"/>
      <c r="BF243" s="590"/>
      <c r="BG243" s="590"/>
      <c r="BH243" s="590"/>
      <c r="BI243" s="590"/>
      <c r="BJ243" s="590"/>
      <c r="BK243" s="591"/>
      <c r="BL243" s="591"/>
      <c r="BM243" s="591"/>
      <c r="BN243" s="591"/>
      <c r="BO243" s="591"/>
      <c r="BP243" s="591"/>
      <c r="BQ243" s="591"/>
      <c r="BR243" s="591"/>
      <c r="BS243" s="591"/>
      <c r="BT243" s="591"/>
      <c r="BU243" s="591"/>
      <c r="BV243" s="591"/>
      <c r="BW243" s="591"/>
      <c r="BX243" s="591"/>
      <c r="BY243" s="591"/>
      <c r="BZ243" s="591"/>
      <c r="CA243" s="591"/>
      <c r="CB243" s="591"/>
      <c r="CC243" s="591"/>
      <c r="CD243" s="591"/>
      <c r="CE243" s="591"/>
      <c r="CF243" s="591"/>
    </row>
    <row r="244" spans="1:84">
      <c r="A244" s="590"/>
      <c r="B244" s="590"/>
      <c r="C244" s="590"/>
      <c r="D244" s="590"/>
      <c r="E244" s="590"/>
      <c r="F244" s="590"/>
      <c r="G244" s="590"/>
      <c r="H244" s="590"/>
      <c r="I244" s="590"/>
      <c r="J244" s="590"/>
      <c r="K244" s="590"/>
      <c r="L244" s="590"/>
      <c r="M244" s="590"/>
      <c r="N244" s="590"/>
      <c r="O244" s="590"/>
      <c r="P244" s="590"/>
      <c r="Q244" s="590"/>
      <c r="R244" s="590"/>
      <c r="S244" s="590"/>
      <c r="T244" s="590"/>
      <c r="U244" s="590"/>
      <c r="V244" s="590"/>
      <c r="W244" s="590"/>
      <c r="X244" s="590"/>
      <c r="Y244" s="590"/>
      <c r="Z244" s="590"/>
      <c r="AA244" s="590"/>
      <c r="AB244" s="590"/>
      <c r="AC244" s="590"/>
      <c r="AD244" s="590"/>
      <c r="AE244" s="590"/>
      <c r="AF244" s="590"/>
      <c r="AG244" s="590"/>
      <c r="AH244" s="590"/>
      <c r="AI244" s="590"/>
      <c r="AJ244" s="590"/>
      <c r="AK244" s="590"/>
      <c r="AL244" s="590"/>
      <c r="AM244" s="590"/>
      <c r="AN244" s="590"/>
      <c r="AO244" s="590"/>
      <c r="AP244" s="590"/>
      <c r="AQ244" s="590"/>
      <c r="AR244" s="590"/>
      <c r="AS244" s="590"/>
      <c r="AT244" s="590"/>
      <c r="AU244" s="590"/>
      <c r="AV244" s="590"/>
      <c r="AW244" s="590"/>
      <c r="AX244" s="590"/>
      <c r="AY244" s="590"/>
      <c r="AZ244" s="590"/>
      <c r="BA244" s="590"/>
      <c r="BB244" s="590"/>
      <c r="BC244" s="590"/>
      <c r="BD244" s="590"/>
      <c r="BE244" s="590"/>
      <c r="BF244" s="590"/>
      <c r="BG244" s="590"/>
      <c r="BH244" s="590"/>
      <c r="BI244" s="590"/>
      <c r="BJ244" s="590"/>
      <c r="BK244" s="591"/>
      <c r="BL244" s="591"/>
      <c r="BM244" s="591"/>
      <c r="BN244" s="591"/>
      <c r="BO244" s="591"/>
      <c r="BP244" s="591"/>
      <c r="BQ244" s="591"/>
      <c r="BR244" s="591"/>
      <c r="BS244" s="591"/>
      <c r="BT244" s="591"/>
      <c r="BU244" s="591"/>
      <c r="BV244" s="591"/>
      <c r="BW244" s="591"/>
      <c r="BX244" s="591"/>
      <c r="BY244" s="591"/>
      <c r="BZ244" s="591"/>
      <c r="CA244" s="591"/>
      <c r="CB244" s="591"/>
      <c r="CC244" s="591"/>
      <c r="CD244" s="591"/>
      <c r="CE244" s="591"/>
      <c r="CF244" s="591"/>
    </row>
    <row r="245" spans="1:84">
      <c r="A245" s="590"/>
      <c r="B245" s="590"/>
      <c r="C245" s="590"/>
      <c r="D245" s="590"/>
      <c r="E245" s="590"/>
      <c r="F245" s="590"/>
      <c r="G245" s="590"/>
      <c r="H245" s="590"/>
      <c r="I245" s="590"/>
      <c r="J245" s="590"/>
      <c r="K245" s="590"/>
      <c r="L245" s="590"/>
      <c r="M245" s="590"/>
      <c r="N245" s="590"/>
      <c r="O245" s="590"/>
      <c r="P245" s="590"/>
      <c r="Q245" s="590"/>
      <c r="R245" s="590"/>
      <c r="S245" s="590"/>
      <c r="T245" s="590"/>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0"/>
      <c r="AQ245" s="590"/>
      <c r="AR245" s="590"/>
      <c r="AS245" s="590"/>
      <c r="AT245" s="590"/>
      <c r="AU245" s="590"/>
      <c r="AV245" s="590"/>
      <c r="AW245" s="590"/>
      <c r="AX245" s="590"/>
      <c r="AY245" s="590"/>
      <c r="AZ245" s="590"/>
      <c r="BA245" s="590"/>
      <c r="BB245" s="590"/>
      <c r="BC245" s="590"/>
      <c r="BD245" s="590"/>
      <c r="BE245" s="590"/>
      <c r="BF245" s="590"/>
      <c r="BG245" s="590"/>
      <c r="BH245" s="590"/>
      <c r="BI245" s="590"/>
      <c r="BJ245" s="590"/>
      <c r="BK245" s="591"/>
      <c r="BL245" s="591"/>
      <c r="BM245" s="591"/>
      <c r="BN245" s="591"/>
      <c r="BO245" s="591"/>
      <c r="BP245" s="591"/>
      <c r="BQ245" s="591"/>
      <c r="BR245" s="591"/>
      <c r="BS245" s="591"/>
      <c r="BT245" s="591"/>
      <c r="BU245" s="591"/>
      <c r="BV245" s="591"/>
      <c r="BW245" s="591"/>
      <c r="BX245" s="591"/>
      <c r="BY245" s="591"/>
      <c r="BZ245" s="591"/>
      <c r="CA245" s="591"/>
      <c r="CB245" s="591"/>
      <c r="CC245" s="591"/>
      <c r="CD245" s="591"/>
      <c r="CE245" s="591"/>
      <c r="CF245" s="591"/>
    </row>
    <row r="246" spans="1:84">
      <c r="A246" s="590"/>
      <c r="B246" s="590"/>
      <c r="C246" s="590"/>
      <c r="D246" s="590"/>
      <c r="E246" s="590"/>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c r="AE246" s="590"/>
      <c r="AF246" s="590"/>
      <c r="AG246" s="590"/>
      <c r="AH246" s="590"/>
      <c r="AI246" s="590"/>
      <c r="AJ246" s="590"/>
      <c r="AK246" s="590"/>
      <c r="AL246" s="590"/>
      <c r="AM246" s="590"/>
      <c r="AN246" s="590"/>
      <c r="AO246" s="590"/>
      <c r="AP246" s="590"/>
      <c r="AQ246" s="590"/>
      <c r="AR246" s="590"/>
      <c r="AS246" s="590"/>
      <c r="AT246" s="590"/>
      <c r="AU246" s="590"/>
      <c r="AV246" s="590"/>
      <c r="AW246" s="590"/>
      <c r="AX246" s="590"/>
      <c r="AY246" s="590"/>
      <c r="AZ246" s="590"/>
      <c r="BA246" s="590"/>
      <c r="BB246" s="590"/>
      <c r="BC246" s="590"/>
      <c r="BD246" s="590"/>
      <c r="BE246" s="590"/>
      <c r="BF246" s="590"/>
      <c r="BG246" s="590"/>
      <c r="BH246" s="590"/>
      <c r="BI246" s="590"/>
      <c r="BJ246" s="590"/>
      <c r="BK246" s="591"/>
      <c r="BL246" s="591"/>
      <c r="BM246" s="591"/>
      <c r="BN246" s="591"/>
      <c r="BO246" s="591"/>
      <c r="BP246" s="591"/>
      <c r="BQ246" s="591"/>
      <c r="BR246" s="591"/>
      <c r="BS246" s="591"/>
      <c r="BT246" s="591"/>
      <c r="BU246" s="591"/>
      <c r="BV246" s="591"/>
      <c r="BW246" s="591"/>
      <c r="BX246" s="591"/>
      <c r="BY246" s="591"/>
      <c r="BZ246" s="591"/>
      <c r="CA246" s="591"/>
      <c r="CB246" s="591"/>
      <c r="CC246" s="591"/>
      <c r="CD246" s="591"/>
      <c r="CE246" s="591"/>
      <c r="CF246" s="591"/>
    </row>
    <row r="247" spans="1:84">
      <c r="A247" s="590"/>
      <c r="B247" s="590"/>
      <c r="C247" s="590"/>
      <c r="D247" s="590"/>
      <c r="E247" s="590"/>
      <c r="F247" s="590"/>
      <c r="G247" s="590"/>
      <c r="H247" s="590"/>
      <c r="I247" s="590"/>
      <c r="J247" s="590"/>
      <c r="K247" s="590"/>
      <c r="L247" s="590"/>
      <c r="M247" s="590"/>
      <c r="N247" s="590"/>
      <c r="O247" s="590"/>
      <c r="P247" s="590"/>
      <c r="Q247" s="590"/>
      <c r="R247" s="590"/>
      <c r="S247" s="590"/>
      <c r="T247" s="590"/>
      <c r="U247" s="590"/>
      <c r="V247" s="590"/>
      <c r="W247" s="590"/>
      <c r="X247" s="590"/>
      <c r="Y247" s="590"/>
      <c r="Z247" s="590"/>
      <c r="AA247" s="590"/>
      <c r="AB247" s="590"/>
      <c r="AC247" s="590"/>
      <c r="AD247" s="590"/>
      <c r="AE247" s="590"/>
      <c r="AF247" s="590"/>
      <c r="AG247" s="590"/>
      <c r="AH247" s="590"/>
      <c r="AI247" s="590"/>
      <c r="AJ247" s="590"/>
      <c r="AK247" s="590"/>
      <c r="AL247" s="590"/>
      <c r="AM247" s="590"/>
      <c r="AN247" s="590"/>
      <c r="AO247" s="590"/>
      <c r="AP247" s="590"/>
      <c r="AQ247" s="590"/>
      <c r="AR247" s="590"/>
      <c r="AS247" s="590"/>
      <c r="AT247" s="590"/>
      <c r="AU247" s="590"/>
      <c r="AV247" s="590"/>
      <c r="AW247" s="590"/>
      <c r="AX247" s="590"/>
      <c r="AY247" s="590"/>
      <c r="AZ247" s="590"/>
      <c r="BA247" s="590"/>
      <c r="BB247" s="590"/>
      <c r="BC247" s="590"/>
      <c r="BD247" s="590"/>
      <c r="BE247" s="590"/>
      <c r="BF247" s="590"/>
      <c r="BG247" s="590"/>
      <c r="BH247" s="590"/>
      <c r="BI247" s="590"/>
      <c r="BJ247" s="590"/>
      <c r="BK247" s="591"/>
      <c r="BL247" s="591"/>
      <c r="BM247" s="591"/>
      <c r="BN247" s="591"/>
      <c r="BO247" s="591"/>
      <c r="BP247" s="591"/>
      <c r="BQ247" s="591"/>
      <c r="BR247" s="591"/>
      <c r="BS247" s="591"/>
      <c r="BT247" s="591"/>
      <c r="BU247" s="591"/>
      <c r="BV247" s="591"/>
      <c r="BW247" s="591"/>
      <c r="BX247" s="591"/>
      <c r="BY247" s="591"/>
      <c r="BZ247" s="591"/>
      <c r="CA247" s="591"/>
      <c r="CB247" s="591"/>
      <c r="CC247" s="591"/>
      <c r="CD247" s="591"/>
      <c r="CE247" s="591"/>
      <c r="CF247" s="591"/>
    </row>
    <row r="248" spans="1:84">
      <c r="A248" s="590"/>
      <c r="B248" s="590"/>
      <c r="C248" s="590"/>
      <c r="D248" s="590"/>
      <c r="E248" s="590"/>
      <c r="F248" s="590"/>
      <c r="G248" s="590"/>
      <c r="H248" s="590"/>
      <c r="I248" s="590"/>
      <c r="J248" s="590"/>
      <c r="K248" s="590"/>
      <c r="L248" s="590"/>
      <c r="M248" s="590"/>
      <c r="N248" s="590"/>
      <c r="O248" s="590"/>
      <c r="P248" s="590"/>
      <c r="Q248" s="590"/>
      <c r="R248" s="590"/>
      <c r="S248" s="590"/>
      <c r="T248" s="590"/>
      <c r="U248" s="590"/>
      <c r="V248" s="590"/>
      <c r="W248" s="590"/>
      <c r="X248" s="590"/>
      <c r="Y248" s="590"/>
      <c r="Z248" s="590"/>
      <c r="AA248" s="590"/>
      <c r="AB248" s="590"/>
      <c r="AC248" s="590"/>
      <c r="AD248" s="590"/>
      <c r="AE248" s="590"/>
      <c r="AF248" s="590"/>
      <c r="AG248" s="590"/>
      <c r="AH248" s="590"/>
      <c r="AI248" s="590"/>
      <c r="AJ248" s="590"/>
      <c r="AK248" s="590"/>
      <c r="AL248" s="590"/>
      <c r="AM248" s="590"/>
      <c r="AN248" s="590"/>
      <c r="AO248" s="590"/>
      <c r="AP248" s="590"/>
      <c r="AQ248" s="590"/>
      <c r="AR248" s="590"/>
      <c r="AS248" s="590"/>
      <c r="AT248" s="590"/>
      <c r="AU248" s="590"/>
      <c r="AV248" s="590"/>
      <c r="AW248" s="590"/>
      <c r="AX248" s="590"/>
      <c r="AY248" s="590"/>
      <c r="AZ248" s="590"/>
      <c r="BA248" s="590"/>
      <c r="BB248" s="590"/>
      <c r="BC248" s="590"/>
      <c r="BD248" s="590"/>
      <c r="BE248" s="590"/>
      <c r="BF248" s="590"/>
      <c r="BG248" s="590"/>
      <c r="BH248" s="590"/>
      <c r="BI248" s="590"/>
      <c r="BJ248" s="590"/>
      <c r="BK248" s="591"/>
      <c r="BL248" s="591"/>
      <c r="BM248" s="591"/>
      <c r="BN248" s="591"/>
      <c r="BO248" s="591"/>
      <c r="BP248" s="591"/>
      <c r="BQ248" s="591"/>
      <c r="BR248" s="591"/>
      <c r="BS248" s="591"/>
      <c r="BT248" s="591"/>
      <c r="BU248" s="591"/>
      <c r="BV248" s="591"/>
      <c r="BW248" s="591"/>
      <c r="BX248" s="591"/>
      <c r="BY248" s="591"/>
      <c r="BZ248" s="591"/>
      <c r="CA248" s="591"/>
      <c r="CB248" s="591"/>
      <c r="CC248" s="591"/>
      <c r="CD248" s="591"/>
      <c r="CE248" s="591"/>
      <c r="CF248" s="591"/>
    </row>
    <row r="249" spans="1:84">
      <c r="A249" s="590"/>
      <c r="B249" s="590"/>
      <c r="C249" s="590"/>
      <c r="D249" s="590"/>
      <c r="E249" s="590"/>
      <c r="F249" s="590"/>
      <c r="G249" s="590"/>
      <c r="H249" s="590"/>
      <c r="I249" s="590"/>
      <c r="J249" s="590"/>
      <c r="K249" s="590"/>
      <c r="L249" s="590"/>
      <c r="M249" s="590"/>
      <c r="N249" s="590"/>
      <c r="O249" s="590"/>
      <c r="P249" s="590"/>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0"/>
      <c r="AQ249" s="590"/>
      <c r="AR249" s="590"/>
      <c r="AS249" s="590"/>
      <c r="AT249" s="590"/>
      <c r="AU249" s="590"/>
      <c r="AV249" s="590"/>
      <c r="AW249" s="590"/>
      <c r="AX249" s="590"/>
      <c r="AY249" s="590"/>
      <c r="AZ249" s="590"/>
      <c r="BA249" s="590"/>
      <c r="BB249" s="590"/>
      <c r="BC249" s="590"/>
      <c r="BD249" s="590"/>
      <c r="BE249" s="590"/>
      <c r="BF249" s="590"/>
      <c r="BG249" s="590"/>
      <c r="BH249" s="590"/>
      <c r="BI249" s="590"/>
      <c r="BJ249" s="590"/>
      <c r="BK249" s="591"/>
      <c r="BL249" s="591"/>
      <c r="BM249" s="591"/>
      <c r="BN249" s="591"/>
      <c r="BO249" s="591"/>
      <c r="BP249" s="591"/>
      <c r="BQ249" s="591"/>
      <c r="BR249" s="591"/>
      <c r="BS249" s="591"/>
      <c r="BT249" s="591"/>
      <c r="BU249" s="591"/>
      <c r="BV249" s="591"/>
      <c r="BW249" s="591"/>
      <c r="BX249" s="591"/>
      <c r="BY249" s="591"/>
      <c r="BZ249" s="591"/>
      <c r="CA249" s="591"/>
      <c r="CB249" s="591"/>
      <c r="CC249" s="591"/>
      <c r="CD249" s="591"/>
      <c r="CE249" s="591"/>
      <c r="CF249" s="591"/>
    </row>
    <row r="250" spans="1:84">
      <c r="A250" s="590"/>
      <c r="B250" s="590"/>
      <c r="C250" s="590"/>
      <c r="D250" s="590"/>
      <c r="E250" s="590"/>
      <c r="F250" s="590"/>
      <c r="G250" s="590"/>
      <c r="H250" s="590"/>
      <c r="I250" s="590"/>
      <c r="J250" s="590"/>
      <c r="K250" s="590"/>
      <c r="L250" s="590"/>
      <c r="M250" s="590"/>
      <c r="N250" s="590"/>
      <c r="O250" s="590"/>
      <c r="P250" s="590"/>
      <c r="Q250" s="590"/>
      <c r="R250" s="590"/>
      <c r="S250" s="590"/>
      <c r="T250" s="590"/>
      <c r="U250" s="590"/>
      <c r="V250" s="590"/>
      <c r="W250" s="590"/>
      <c r="X250" s="590"/>
      <c r="Y250" s="590"/>
      <c r="Z250" s="590"/>
      <c r="AA250" s="590"/>
      <c r="AB250" s="590"/>
      <c r="AC250" s="590"/>
      <c r="AD250" s="590"/>
      <c r="AE250" s="590"/>
      <c r="AF250" s="590"/>
      <c r="AG250" s="590"/>
      <c r="AH250" s="590"/>
      <c r="AI250" s="590"/>
      <c r="AJ250" s="590"/>
      <c r="AK250" s="590"/>
      <c r="AL250" s="590"/>
      <c r="AM250" s="590"/>
      <c r="AN250" s="590"/>
      <c r="AO250" s="590"/>
      <c r="AP250" s="590"/>
      <c r="AQ250" s="590"/>
      <c r="AR250" s="590"/>
      <c r="AS250" s="590"/>
      <c r="AT250" s="590"/>
      <c r="AU250" s="590"/>
      <c r="AV250" s="590"/>
      <c r="AW250" s="590"/>
      <c r="AX250" s="590"/>
      <c r="AY250" s="590"/>
      <c r="AZ250" s="590"/>
      <c r="BA250" s="590"/>
      <c r="BB250" s="590"/>
      <c r="BC250" s="590"/>
      <c r="BD250" s="590"/>
      <c r="BE250" s="590"/>
      <c r="BF250" s="590"/>
      <c r="BG250" s="590"/>
      <c r="BH250" s="590"/>
      <c r="BI250" s="590"/>
      <c r="BJ250" s="590"/>
      <c r="BK250" s="591"/>
      <c r="BL250" s="591"/>
      <c r="BM250" s="591"/>
      <c r="BN250" s="591"/>
      <c r="BO250" s="591"/>
      <c r="BP250" s="591"/>
      <c r="BQ250" s="591"/>
      <c r="BR250" s="591"/>
      <c r="BS250" s="591"/>
      <c r="BT250" s="591"/>
      <c r="BU250" s="591"/>
      <c r="BV250" s="591"/>
      <c r="BW250" s="591"/>
      <c r="BX250" s="591"/>
      <c r="BY250" s="591"/>
      <c r="BZ250" s="591"/>
      <c r="CA250" s="591"/>
      <c r="CB250" s="591"/>
      <c r="CC250" s="591"/>
      <c r="CD250" s="591"/>
      <c r="CE250" s="591"/>
      <c r="CF250" s="591"/>
    </row>
    <row r="251" spans="1:84">
      <c r="A251" s="590"/>
      <c r="B251" s="590"/>
      <c r="C251" s="590"/>
      <c r="D251" s="590"/>
      <c r="E251" s="590"/>
      <c r="F251" s="590"/>
      <c r="G251" s="590"/>
      <c r="H251" s="590"/>
      <c r="I251" s="590"/>
      <c r="J251" s="590"/>
      <c r="K251" s="590"/>
      <c r="L251" s="590"/>
      <c r="M251" s="590"/>
      <c r="N251" s="590"/>
      <c r="O251" s="590"/>
      <c r="P251" s="590"/>
      <c r="Q251" s="590"/>
      <c r="R251" s="590"/>
      <c r="S251" s="590"/>
      <c r="T251" s="590"/>
      <c r="U251" s="590"/>
      <c r="V251" s="590"/>
      <c r="W251" s="590"/>
      <c r="X251" s="590"/>
      <c r="Y251" s="590"/>
      <c r="Z251" s="590"/>
      <c r="AA251" s="590"/>
      <c r="AB251" s="590"/>
      <c r="AC251" s="590"/>
      <c r="AD251" s="590"/>
      <c r="AE251" s="590"/>
      <c r="AF251" s="590"/>
      <c r="AG251" s="590"/>
      <c r="AH251" s="590"/>
      <c r="AI251" s="590"/>
      <c r="AJ251" s="590"/>
      <c r="AK251" s="590"/>
      <c r="AL251" s="590"/>
      <c r="AM251" s="590"/>
      <c r="AN251" s="590"/>
      <c r="AO251" s="590"/>
      <c r="AP251" s="590"/>
      <c r="AQ251" s="590"/>
      <c r="AR251" s="590"/>
      <c r="AS251" s="590"/>
      <c r="AT251" s="590"/>
      <c r="AU251" s="590"/>
      <c r="AV251" s="590"/>
      <c r="AW251" s="590"/>
      <c r="AX251" s="590"/>
      <c r="AY251" s="590"/>
      <c r="AZ251" s="590"/>
      <c r="BA251" s="590"/>
      <c r="BB251" s="590"/>
      <c r="BC251" s="590"/>
      <c r="BD251" s="590"/>
      <c r="BE251" s="590"/>
      <c r="BF251" s="590"/>
      <c r="BG251" s="590"/>
      <c r="BH251" s="590"/>
      <c r="BI251" s="590"/>
      <c r="BJ251" s="590"/>
      <c r="BK251" s="591"/>
      <c r="BL251" s="591"/>
      <c r="BM251" s="591"/>
      <c r="BN251" s="591"/>
      <c r="BO251" s="591"/>
      <c r="BP251" s="591"/>
      <c r="BQ251" s="591"/>
      <c r="BR251" s="591"/>
      <c r="BS251" s="591"/>
      <c r="BT251" s="591"/>
      <c r="BU251" s="591"/>
      <c r="BV251" s="591"/>
      <c r="BW251" s="591"/>
      <c r="BX251" s="591"/>
      <c r="BY251" s="591"/>
      <c r="BZ251" s="591"/>
      <c r="CA251" s="591"/>
      <c r="CB251" s="591"/>
      <c r="CC251" s="591"/>
      <c r="CD251" s="591"/>
      <c r="CE251" s="591"/>
      <c r="CF251" s="591"/>
    </row>
    <row r="252" spans="1:84">
      <c r="A252" s="590"/>
      <c r="B252" s="590"/>
      <c r="C252" s="590"/>
      <c r="D252" s="590"/>
      <c r="E252" s="590"/>
      <c r="F252" s="590"/>
      <c r="G252" s="590"/>
      <c r="H252" s="590"/>
      <c r="I252" s="590"/>
      <c r="J252" s="590"/>
      <c r="K252" s="590"/>
      <c r="L252" s="590"/>
      <c r="M252" s="590"/>
      <c r="N252" s="590"/>
      <c r="O252" s="590"/>
      <c r="P252" s="590"/>
      <c r="Q252" s="590"/>
      <c r="R252" s="590"/>
      <c r="S252" s="590"/>
      <c r="T252" s="590"/>
      <c r="U252" s="590"/>
      <c r="V252" s="590"/>
      <c r="W252" s="590"/>
      <c r="X252" s="590"/>
      <c r="Y252" s="590"/>
      <c r="Z252" s="590"/>
      <c r="AA252" s="590"/>
      <c r="AB252" s="590"/>
      <c r="AC252" s="590"/>
      <c r="AD252" s="590"/>
      <c r="AE252" s="590"/>
      <c r="AF252" s="590"/>
      <c r="AG252" s="590"/>
      <c r="AH252" s="590"/>
      <c r="AI252" s="590"/>
      <c r="AJ252" s="590"/>
      <c r="AK252" s="590"/>
      <c r="AL252" s="590"/>
      <c r="AM252" s="590"/>
      <c r="AN252" s="590"/>
      <c r="AO252" s="590"/>
      <c r="AP252" s="590"/>
      <c r="AQ252" s="590"/>
      <c r="AR252" s="590"/>
      <c r="AS252" s="590"/>
      <c r="AT252" s="590"/>
      <c r="AU252" s="590"/>
      <c r="AV252" s="590"/>
      <c r="AW252" s="590"/>
      <c r="AX252" s="590"/>
      <c r="AY252" s="590"/>
      <c r="AZ252" s="590"/>
      <c r="BA252" s="590"/>
      <c r="BB252" s="590"/>
      <c r="BC252" s="590"/>
      <c r="BD252" s="590"/>
      <c r="BE252" s="590"/>
      <c r="BF252" s="590"/>
      <c r="BG252" s="590"/>
      <c r="BH252" s="590"/>
      <c r="BI252" s="590"/>
      <c r="BJ252" s="590"/>
      <c r="BK252" s="591"/>
      <c r="BL252" s="591"/>
      <c r="BM252" s="591"/>
      <c r="BN252" s="591"/>
      <c r="BO252" s="591"/>
      <c r="BP252" s="591"/>
      <c r="BQ252" s="591"/>
      <c r="BR252" s="591"/>
      <c r="BS252" s="591"/>
      <c r="BT252" s="591"/>
      <c r="BU252" s="591"/>
      <c r="BV252" s="591"/>
      <c r="BW252" s="591"/>
      <c r="BX252" s="591"/>
      <c r="BY252" s="591"/>
      <c r="BZ252" s="591"/>
      <c r="CA252" s="591"/>
      <c r="CB252" s="591"/>
      <c r="CC252" s="591"/>
      <c r="CD252" s="591"/>
      <c r="CE252" s="591"/>
      <c r="CF252" s="591"/>
    </row>
    <row r="253" spans="1:84">
      <c r="A253" s="590"/>
      <c r="B253" s="590"/>
      <c r="C253" s="590"/>
      <c r="D253" s="590"/>
      <c r="E253" s="590"/>
      <c r="F253" s="590"/>
      <c r="G253" s="590"/>
      <c r="H253" s="590"/>
      <c r="I253" s="590"/>
      <c r="J253" s="590"/>
      <c r="K253" s="590"/>
      <c r="L253" s="590"/>
      <c r="M253" s="590"/>
      <c r="N253" s="590"/>
      <c r="O253" s="590"/>
      <c r="P253" s="590"/>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0"/>
      <c r="AQ253" s="590"/>
      <c r="AR253" s="590"/>
      <c r="AS253" s="590"/>
      <c r="AT253" s="590"/>
      <c r="AU253" s="590"/>
      <c r="AV253" s="590"/>
      <c r="AW253" s="590"/>
      <c r="AX253" s="590"/>
      <c r="AY253" s="590"/>
      <c r="AZ253" s="590"/>
      <c r="BA253" s="590"/>
      <c r="BB253" s="590"/>
      <c r="BC253" s="590"/>
      <c r="BD253" s="590"/>
      <c r="BE253" s="590"/>
      <c r="BF253" s="590"/>
      <c r="BG253" s="590"/>
      <c r="BH253" s="590"/>
      <c r="BI253" s="590"/>
      <c r="BJ253" s="590"/>
      <c r="BK253" s="591"/>
      <c r="BL253" s="591"/>
      <c r="BM253" s="591"/>
      <c r="BN253" s="591"/>
      <c r="BO253" s="591"/>
      <c r="BP253" s="591"/>
      <c r="BQ253" s="591"/>
      <c r="BR253" s="591"/>
      <c r="BS253" s="591"/>
      <c r="BT253" s="591"/>
      <c r="BU253" s="591"/>
      <c r="BV253" s="591"/>
      <c r="BW253" s="591"/>
      <c r="BX253" s="591"/>
      <c r="BY253" s="591"/>
      <c r="BZ253" s="591"/>
      <c r="CA253" s="591"/>
      <c r="CB253" s="591"/>
      <c r="CC253" s="591"/>
      <c r="CD253" s="591"/>
      <c r="CE253" s="591"/>
      <c r="CF253" s="591"/>
    </row>
    <row r="254" spans="1:84">
      <c r="A254" s="590"/>
      <c r="B254" s="590"/>
      <c r="C254" s="590"/>
      <c r="D254" s="590"/>
      <c r="E254" s="590"/>
      <c r="F254" s="590"/>
      <c r="G254" s="590"/>
      <c r="H254" s="590"/>
      <c r="I254" s="590"/>
      <c r="J254" s="590"/>
      <c r="K254" s="590"/>
      <c r="L254" s="590"/>
      <c r="M254" s="590"/>
      <c r="N254" s="590"/>
      <c r="O254" s="590"/>
      <c r="P254" s="590"/>
      <c r="Q254" s="590"/>
      <c r="R254" s="590"/>
      <c r="S254" s="590"/>
      <c r="T254" s="590"/>
      <c r="U254" s="590"/>
      <c r="V254" s="590"/>
      <c r="W254" s="590"/>
      <c r="X254" s="590"/>
      <c r="Y254" s="590"/>
      <c r="Z254" s="590"/>
      <c r="AA254" s="590"/>
      <c r="AB254" s="590"/>
      <c r="AC254" s="590"/>
      <c r="AD254" s="590"/>
      <c r="AE254" s="590"/>
      <c r="AF254" s="590"/>
      <c r="AG254" s="590"/>
      <c r="AH254" s="590"/>
      <c r="AI254" s="590"/>
      <c r="AJ254" s="590"/>
      <c r="AK254" s="590"/>
      <c r="AL254" s="590"/>
      <c r="AM254" s="590"/>
      <c r="AN254" s="590"/>
      <c r="AO254" s="590"/>
      <c r="AP254" s="590"/>
      <c r="AQ254" s="590"/>
      <c r="AR254" s="590"/>
      <c r="AS254" s="590"/>
      <c r="AT254" s="590"/>
      <c r="AU254" s="590"/>
      <c r="AV254" s="590"/>
      <c r="AW254" s="590"/>
      <c r="AX254" s="590"/>
      <c r="AY254" s="590"/>
      <c r="AZ254" s="590"/>
      <c r="BA254" s="590"/>
      <c r="BB254" s="590"/>
      <c r="BC254" s="590"/>
      <c r="BD254" s="590"/>
      <c r="BE254" s="590"/>
      <c r="BF254" s="590"/>
      <c r="BG254" s="590"/>
      <c r="BH254" s="590"/>
      <c r="BI254" s="590"/>
      <c r="BJ254" s="590"/>
      <c r="BK254" s="591"/>
      <c r="BL254" s="591"/>
      <c r="BM254" s="591"/>
      <c r="BN254" s="591"/>
      <c r="BO254" s="591"/>
      <c r="BP254" s="591"/>
      <c r="BQ254" s="591"/>
      <c r="BR254" s="591"/>
      <c r="BS254" s="591"/>
      <c r="BT254" s="591"/>
      <c r="BU254" s="591"/>
      <c r="BV254" s="591"/>
      <c r="BW254" s="591"/>
      <c r="BX254" s="591"/>
      <c r="BY254" s="591"/>
      <c r="BZ254" s="591"/>
      <c r="CA254" s="591"/>
      <c r="CB254" s="591"/>
      <c r="CC254" s="591"/>
      <c r="CD254" s="591"/>
      <c r="CE254" s="591"/>
      <c r="CF254" s="591"/>
    </row>
    <row r="255" spans="1:84">
      <c r="A255" s="590"/>
      <c r="B255" s="590"/>
      <c r="C255" s="590"/>
      <c r="D255" s="590"/>
      <c r="E255" s="590"/>
      <c r="F255" s="590"/>
      <c r="G255" s="590"/>
      <c r="H255" s="590"/>
      <c r="I255" s="590"/>
      <c r="J255" s="590"/>
      <c r="K255" s="590"/>
      <c r="L255" s="590"/>
      <c r="M255" s="590"/>
      <c r="N255" s="590"/>
      <c r="O255" s="590"/>
      <c r="P255" s="590"/>
      <c r="Q255" s="590"/>
      <c r="R255" s="590"/>
      <c r="S255" s="590"/>
      <c r="T255" s="590"/>
      <c r="U255" s="590"/>
      <c r="V255" s="590"/>
      <c r="W255" s="590"/>
      <c r="X255" s="590"/>
      <c r="Y255" s="590"/>
      <c r="Z255" s="590"/>
      <c r="AA255" s="590"/>
      <c r="AB255" s="590"/>
      <c r="AC255" s="590"/>
      <c r="AD255" s="590"/>
      <c r="AE255" s="590"/>
      <c r="AF255" s="590"/>
      <c r="AG255" s="590"/>
      <c r="AH255" s="590"/>
      <c r="AI255" s="590"/>
      <c r="AJ255" s="590"/>
      <c r="AK255" s="590"/>
      <c r="AL255" s="590"/>
      <c r="AM255" s="590"/>
      <c r="AN255" s="590"/>
      <c r="AO255" s="590"/>
      <c r="AP255" s="590"/>
      <c r="AQ255" s="590"/>
      <c r="AR255" s="590"/>
      <c r="AS255" s="590"/>
      <c r="AT255" s="590"/>
      <c r="AU255" s="590"/>
      <c r="AV255" s="590"/>
      <c r="AW255" s="590"/>
      <c r="AX255" s="590"/>
      <c r="AY255" s="590"/>
      <c r="AZ255" s="590"/>
      <c r="BA255" s="590"/>
      <c r="BB255" s="590"/>
      <c r="BC255" s="590"/>
      <c r="BD255" s="590"/>
      <c r="BE255" s="590"/>
      <c r="BF255" s="590"/>
      <c r="BG255" s="590"/>
      <c r="BH255" s="590"/>
      <c r="BI255" s="590"/>
      <c r="BJ255" s="590"/>
      <c r="BK255" s="591"/>
      <c r="BL255" s="591"/>
      <c r="BM255" s="591"/>
      <c r="BN255" s="591"/>
      <c r="BO255" s="591"/>
      <c r="BP255" s="591"/>
      <c r="BQ255" s="591"/>
      <c r="BR255" s="591"/>
      <c r="BS255" s="591"/>
      <c r="BT255" s="591"/>
      <c r="BU255" s="591"/>
      <c r="BV255" s="591"/>
      <c r="BW255" s="591"/>
      <c r="BX255" s="591"/>
      <c r="BY255" s="591"/>
      <c r="BZ255" s="591"/>
      <c r="CA255" s="591"/>
      <c r="CB255" s="591"/>
      <c r="CC255" s="591"/>
      <c r="CD255" s="591"/>
      <c r="CE255" s="591"/>
      <c r="CF255" s="591"/>
    </row>
    <row r="256" spans="1:84">
      <c r="A256" s="590"/>
      <c r="B256" s="590"/>
      <c r="C256" s="590"/>
      <c r="D256" s="590"/>
      <c r="E256" s="590"/>
      <c r="F256" s="590"/>
      <c r="G256" s="590"/>
      <c r="H256" s="590"/>
      <c r="I256" s="590"/>
      <c r="J256" s="590"/>
      <c r="K256" s="590"/>
      <c r="L256" s="590"/>
      <c r="M256" s="590"/>
      <c r="N256" s="590"/>
      <c r="O256" s="590"/>
      <c r="P256" s="590"/>
      <c r="Q256" s="590"/>
      <c r="R256" s="590"/>
      <c r="S256" s="590"/>
      <c r="T256" s="590"/>
      <c r="U256" s="590"/>
      <c r="V256" s="590"/>
      <c r="W256" s="590"/>
      <c r="X256" s="590"/>
      <c r="Y256" s="590"/>
      <c r="Z256" s="590"/>
      <c r="AA256" s="590"/>
      <c r="AB256" s="590"/>
      <c r="AC256" s="590"/>
      <c r="AD256" s="590"/>
      <c r="AE256" s="590"/>
      <c r="AF256" s="590"/>
      <c r="AG256" s="590"/>
      <c r="AH256" s="590"/>
      <c r="AI256" s="590"/>
      <c r="AJ256" s="590"/>
      <c r="AK256" s="590"/>
      <c r="AL256" s="590"/>
      <c r="AM256" s="590"/>
      <c r="AN256" s="590"/>
      <c r="AO256" s="590"/>
      <c r="AP256" s="590"/>
      <c r="AQ256" s="590"/>
      <c r="AR256" s="590"/>
      <c r="AS256" s="590"/>
      <c r="AT256" s="590"/>
      <c r="AU256" s="590"/>
      <c r="AV256" s="590"/>
      <c r="AW256" s="590"/>
      <c r="AX256" s="590"/>
      <c r="AY256" s="590"/>
      <c r="AZ256" s="590"/>
      <c r="BA256" s="590"/>
      <c r="BB256" s="590"/>
      <c r="BC256" s="590"/>
      <c r="BD256" s="590"/>
      <c r="BE256" s="590"/>
      <c r="BF256" s="590"/>
      <c r="BG256" s="590"/>
      <c r="BH256" s="590"/>
      <c r="BI256" s="590"/>
      <c r="BJ256" s="590"/>
      <c r="BK256" s="591"/>
      <c r="BL256" s="591"/>
      <c r="BM256" s="591"/>
      <c r="BN256" s="591"/>
      <c r="BO256" s="591"/>
      <c r="BP256" s="591"/>
      <c r="BQ256" s="591"/>
      <c r="BR256" s="591"/>
      <c r="BS256" s="591"/>
      <c r="BT256" s="591"/>
      <c r="BU256" s="591"/>
      <c r="BV256" s="591"/>
      <c r="BW256" s="591"/>
      <c r="BX256" s="591"/>
      <c r="BY256" s="591"/>
      <c r="BZ256" s="591"/>
      <c r="CA256" s="591"/>
      <c r="CB256" s="591"/>
      <c r="CC256" s="591"/>
      <c r="CD256" s="591"/>
      <c r="CE256" s="591"/>
      <c r="CF256" s="591"/>
    </row>
    <row r="257" spans="1:84">
      <c r="A257" s="590"/>
      <c r="B257" s="590"/>
      <c r="C257" s="590"/>
      <c r="D257" s="590"/>
      <c r="E257" s="590"/>
      <c r="F257" s="590"/>
      <c r="G257" s="590"/>
      <c r="H257" s="590"/>
      <c r="I257" s="590"/>
      <c r="J257" s="590"/>
      <c r="K257" s="590"/>
      <c r="L257" s="590"/>
      <c r="M257" s="590"/>
      <c r="N257" s="590"/>
      <c r="O257" s="590"/>
      <c r="P257" s="590"/>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0"/>
      <c r="AQ257" s="590"/>
      <c r="AR257" s="590"/>
      <c r="AS257" s="590"/>
      <c r="AT257" s="590"/>
      <c r="AU257" s="590"/>
      <c r="AV257" s="590"/>
      <c r="AW257" s="590"/>
      <c r="AX257" s="590"/>
      <c r="AY257" s="590"/>
      <c r="AZ257" s="590"/>
      <c r="BA257" s="590"/>
      <c r="BB257" s="590"/>
      <c r="BC257" s="590"/>
      <c r="BD257" s="590"/>
      <c r="BE257" s="590"/>
      <c r="BF257" s="590"/>
      <c r="BG257" s="590"/>
      <c r="BH257" s="590"/>
      <c r="BI257" s="590"/>
      <c r="BJ257" s="590"/>
      <c r="BK257" s="591"/>
      <c r="BL257" s="591"/>
      <c r="BM257" s="591"/>
      <c r="BN257" s="591"/>
      <c r="BO257" s="591"/>
      <c r="BP257" s="591"/>
      <c r="BQ257" s="591"/>
      <c r="BR257" s="591"/>
      <c r="BS257" s="591"/>
      <c r="BT257" s="591"/>
      <c r="BU257" s="591"/>
      <c r="BV257" s="591"/>
      <c r="BW257" s="591"/>
      <c r="BX257" s="591"/>
      <c r="BY257" s="591"/>
      <c r="BZ257" s="591"/>
      <c r="CA257" s="591"/>
      <c r="CB257" s="591"/>
      <c r="CC257" s="591"/>
      <c r="CD257" s="591"/>
      <c r="CE257" s="591"/>
      <c r="CF257" s="591"/>
    </row>
    <row r="258" spans="1:84">
      <c r="A258" s="590"/>
      <c r="B258" s="590"/>
      <c r="C258" s="590"/>
      <c r="D258" s="590"/>
      <c r="E258" s="590"/>
      <c r="F258" s="590"/>
      <c r="G258" s="590"/>
      <c r="H258" s="590"/>
      <c r="I258" s="590"/>
      <c r="J258" s="590"/>
      <c r="K258" s="590"/>
      <c r="L258" s="590"/>
      <c r="M258" s="590"/>
      <c r="N258" s="590"/>
      <c r="O258" s="590"/>
      <c r="P258" s="590"/>
      <c r="Q258" s="590"/>
      <c r="R258" s="590"/>
      <c r="S258" s="590"/>
      <c r="T258" s="590"/>
      <c r="U258" s="590"/>
      <c r="V258" s="590"/>
      <c r="W258" s="590"/>
      <c r="X258" s="590"/>
      <c r="Y258" s="590"/>
      <c r="Z258" s="590"/>
      <c r="AA258" s="590"/>
      <c r="AB258" s="590"/>
      <c r="AC258" s="590"/>
      <c r="AD258" s="590"/>
      <c r="AE258" s="590"/>
      <c r="AF258" s="590"/>
      <c r="AG258" s="590"/>
      <c r="AH258" s="590"/>
      <c r="AI258" s="590"/>
      <c r="AJ258" s="590"/>
      <c r="AK258" s="590"/>
      <c r="AL258" s="590"/>
      <c r="AM258" s="590"/>
      <c r="AN258" s="590"/>
      <c r="AO258" s="590"/>
      <c r="AP258" s="590"/>
      <c r="AQ258" s="590"/>
      <c r="AR258" s="590"/>
      <c r="AS258" s="590"/>
      <c r="AT258" s="590"/>
      <c r="AU258" s="590"/>
      <c r="AV258" s="590"/>
      <c r="AW258" s="590"/>
      <c r="AX258" s="590"/>
      <c r="AY258" s="590"/>
      <c r="AZ258" s="590"/>
      <c r="BA258" s="590"/>
      <c r="BB258" s="590"/>
      <c r="BC258" s="590"/>
      <c r="BD258" s="590"/>
      <c r="BE258" s="590"/>
      <c r="BF258" s="590"/>
      <c r="BG258" s="590"/>
      <c r="BH258" s="590"/>
      <c r="BI258" s="590"/>
      <c r="BJ258" s="590"/>
      <c r="BK258" s="591"/>
      <c r="BL258" s="591"/>
      <c r="BM258" s="591"/>
      <c r="BN258" s="591"/>
      <c r="BO258" s="591"/>
      <c r="BP258" s="591"/>
      <c r="BQ258" s="591"/>
      <c r="BR258" s="591"/>
      <c r="BS258" s="591"/>
      <c r="BT258" s="591"/>
      <c r="BU258" s="591"/>
      <c r="BV258" s="591"/>
      <c r="BW258" s="591"/>
      <c r="BX258" s="591"/>
      <c r="BY258" s="591"/>
      <c r="BZ258" s="591"/>
      <c r="CA258" s="591"/>
      <c r="CB258" s="591"/>
      <c r="CC258" s="591"/>
      <c r="CD258" s="591"/>
      <c r="CE258" s="591"/>
      <c r="CF258" s="591"/>
    </row>
    <row r="259" spans="1:84">
      <c r="A259" s="590"/>
      <c r="B259" s="590"/>
      <c r="C259" s="590"/>
      <c r="D259" s="590"/>
      <c r="E259" s="590"/>
      <c r="F259" s="590"/>
      <c r="G259" s="590"/>
      <c r="H259" s="590"/>
      <c r="I259" s="590"/>
      <c r="J259" s="590"/>
      <c r="K259" s="590"/>
      <c r="L259" s="590"/>
      <c r="M259" s="590"/>
      <c r="N259" s="590"/>
      <c r="O259" s="590"/>
      <c r="P259" s="590"/>
      <c r="Q259" s="590"/>
      <c r="R259" s="590"/>
      <c r="S259" s="590"/>
      <c r="T259" s="590"/>
      <c r="U259" s="590"/>
      <c r="V259" s="590"/>
      <c r="W259" s="590"/>
      <c r="X259" s="590"/>
      <c r="Y259" s="590"/>
      <c r="Z259" s="590"/>
      <c r="AA259" s="590"/>
      <c r="AB259" s="590"/>
      <c r="AC259" s="590"/>
      <c r="AD259" s="590"/>
      <c r="AE259" s="590"/>
      <c r="AF259" s="590"/>
      <c r="AG259" s="590"/>
      <c r="AH259" s="590"/>
      <c r="AI259" s="590"/>
      <c r="AJ259" s="590"/>
      <c r="AK259" s="590"/>
      <c r="AL259" s="590"/>
      <c r="AM259" s="590"/>
      <c r="AN259" s="590"/>
      <c r="AO259" s="590"/>
      <c r="AP259" s="590"/>
      <c r="AQ259" s="590"/>
      <c r="AR259" s="590"/>
      <c r="AS259" s="590"/>
      <c r="AT259" s="590"/>
      <c r="AU259" s="590"/>
      <c r="AV259" s="590"/>
      <c r="AW259" s="590"/>
      <c r="AX259" s="590"/>
      <c r="AY259" s="590"/>
      <c r="AZ259" s="590"/>
      <c r="BA259" s="590"/>
      <c r="BB259" s="590"/>
      <c r="BC259" s="590"/>
      <c r="BD259" s="590"/>
      <c r="BE259" s="590"/>
      <c r="BF259" s="590"/>
      <c r="BG259" s="590"/>
      <c r="BH259" s="590"/>
      <c r="BI259" s="590"/>
      <c r="BJ259" s="590"/>
      <c r="BK259" s="591"/>
      <c r="BL259" s="591"/>
      <c r="BM259" s="591"/>
      <c r="BN259" s="591"/>
      <c r="BO259" s="591"/>
      <c r="BP259" s="591"/>
      <c r="BQ259" s="591"/>
      <c r="BR259" s="591"/>
      <c r="BS259" s="591"/>
      <c r="BT259" s="591"/>
      <c r="BU259" s="591"/>
      <c r="BV259" s="591"/>
      <c r="BW259" s="591"/>
      <c r="BX259" s="591"/>
      <c r="BY259" s="591"/>
      <c r="BZ259" s="591"/>
      <c r="CA259" s="591"/>
      <c r="CB259" s="591"/>
      <c r="CC259" s="591"/>
      <c r="CD259" s="591"/>
      <c r="CE259" s="591"/>
      <c r="CF259" s="591"/>
    </row>
    <row r="260" spans="1:84">
      <c r="A260" s="591"/>
      <c r="B260" s="591"/>
      <c r="C260" s="591"/>
      <c r="D260" s="591"/>
      <c r="E260" s="591"/>
      <c r="F260" s="591"/>
      <c r="G260" s="591"/>
      <c r="H260" s="591"/>
      <c r="I260" s="591"/>
      <c r="J260" s="591"/>
      <c r="K260" s="591"/>
      <c r="L260" s="591"/>
      <c r="M260" s="591"/>
      <c r="N260" s="591"/>
      <c r="O260" s="591"/>
      <c r="P260" s="591"/>
      <c r="Q260" s="591"/>
      <c r="R260" s="591"/>
      <c r="S260" s="591"/>
      <c r="T260" s="591"/>
      <c r="U260" s="591"/>
      <c r="V260" s="591"/>
      <c r="W260" s="591"/>
      <c r="X260" s="591"/>
      <c r="Y260" s="591"/>
      <c r="Z260" s="591"/>
      <c r="AA260" s="591"/>
      <c r="AB260" s="591"/>
      <c r="AC260" s="591"/>
      <c r="AD260" s="591"/>
      <c r="AE260" s="591"/>
      <c r="AF260" s="591"/>
      <c r="AG260" s="591"/>
      <c r="AH260" s="591"/>
      <c r="AI260" s="591"/>
      <c r="AJ260" s="591"/>
      <c r="AK260" s="591"/>
      <c r="AL260" s="591"/>
      <c r="AM260" s="591"/>
      <c r="AN260" s="591"/>
      <c r="AO260" s="591"/>
      <c r="AP260" s="591"/>
      <c r="AQ260" s="591"/>
      <c r="AR260" s="591"/>
      <c r="AS260" s="591"/>
      <c r="AT260" s="591"/>
      <c r="AU260" s="591"/>
      <c r="AV260" s="591"/>
      <c r="AW260" s="591"/>
      <c r="AX260" s="591"/>
      <c r="AY260" s="591"/>
      <c r="AZ260" s="591"/>
      <c r="BA260" s="591"/>
      <c r="BB260" s="591"/>
      <c r="BC260" s="591"/>
      <c r="BD260" s="591"/>
      <c r="BE260" s="591"/>
      <c r="BF260" s="591"/>
      <c r="BG260" s="591"/>
      <c r="BH260" s="591"/>
      <c r="BI260" s="591"/>
      <c r="BJ260" s="591"/>
      <c r="BK260" s="591"/>
      <c r="BL260" s="591"/>
      <c r="BM260" s="591"/>
      <c r="BN260" s="591"/>
      <c r="BO260" s="591"/>
      <c r="BP260" s="591"/>
      <c r="BQ260" s="591"/>
      <c r="BR260" s="591"/>
      <c r="BS260" s="591"/>
      <c r="BT260" s="591"/>
      <c r="BU260" s="591"/>
      <c r="BV260" s="591"/>
      <c r="BW260" s="591"/>
      <c r="BX260" s="591"/>
      <c r="BY260" s="591"/>
      <c r="BZ260" s="591"/>
      <c r="CA260" s="591"/>
      <c r="CB260" s="591"/>
      <c r="CC260" s="591"/>
      <c r="CD260" s="591"/>
      <c r="CE260" s="591"/>
      <c r="CF260" s="591"/>
    </row>
    <row r="261" spans="1:84">
      <c r="A261" s="591"/>
      <c r="B261" s="591"/>
      <c r="C261" s="591"/>
      <c r="D261" s="591"/>
      <c r="E261" s="591"/>
      <c r="F261" s="591"/>
      <c r="G261" s="591"/>
      <c r="H261" s="591"/>
      <c r="I261" s="591"/>
      <c r="J261" s="591"/>
      <c r="K261" s="591"/>
      <c r="L261" s="591"/>
      <c r="M261" s="591"/>
      <c r="N261" s="591"/>
      <c r="O261" s="591"/>
      <c r="P261" s="591"/>
      <c r="Q261" s="591"/>
      <c r="R261" s="591"/>
      <c r="S261" s="591"/>
      <c r="T261" s="591"/>
      <c r="U261" s="591"/>
      <c r="V261" s="591"/>
      <c r="W261" s="591"/>
      <c r="X261" s="591"/>
      <c r="Y261" s="591"/>
      <c r="Z261" s="591"/>
      <c r="AA261" s="591"/>
      <c r="AB261" s="591"/>
      <c r="AC261" s="591"/>
      <c r="AD261" s="591"/>
      <c r="AE261" s="591"/>
      <c r="AF261" s="591"/>
      <c r="AG261" s="591"/>
      <c r="AH261" s="591"/>
      <c r="AI261" s="591"/>
      <c r="AJ261" s="591"/>
      <c r="AK261" s="591"/>
      <c r="AL261" s="591"/>
      <c r="AM261" s="591"/>
      <c r="AN261" s="591"/>
      <c r="AO261" s="591"/>
      <c r="AP261" s="591"/>
      <c r="AQ261" s="591"/>
      <c r="AR261" s="591"/>
      <c r="AS261" s="591"/>
      <c r="AT261" s="591"/>
      <c r="AU261" s="591"/>
      <c r="AV261" s="591"/>
      <c r="AW261" s="591"/>
      <c r="AX261" s="591"/>
      <c r="AY261" s="591"/>
      <c r="AZ261" s="591"/>
      <c r="BA261" s="591"/>
      <c r="BB261" s="591"/>
      <c r="BC261" s="591"/>
      <c r="BD261" s="591"/>
      <c r="BE261" s="591"/>
      <c r="BF261" s="591"/>
      <c r="BG261" s="591"/>
      <c r="BH261" s="591"/>
      <c r="BI261" s="591"/>
      <c r="BJ261" s="591"/>
      <c r="BK261" s="591"/>
      <c r="BL261" s="591"/>
      <c r="BM261" s="591"/>
      <c r="BN261" s="591"/>
      <c r="BO261" s="591"/>
      <c r="BP261" s="591"/>
      <c r="BQ261" s="591"/>
      <c r="BR261" s="591"/>
      <c r="BS261" s="591"/>
      <c r="BT261" s="591"/>
      <c r="BU261" s="591"/>
      <c r="BV261" s="591"/>
      <c r="BW261" s="591"/>
      <c r="BX261" s="591"/>
      <c r="BY261" s="591"/>
      <c r="BZ261" s="591"/>
      <c r="CA261" s="591"/>
      <c r="CB261" s="591"/>
      <c r="CC261" s="591"/>
      <c r="CD261" s="591"/>
      <c r="CE261" s="591"/>
      <c r="CF261" s="591"/>
    </row>
    <row r="262" spans="1:84">
      <c r="A262" s="591"/>
      <c r="B262" s="591"/>
      <c r="C262" s="591"/>
      <c r="D262" s="591"/>
      <c r="E262" s="591"/>
      <c r="F262" s="591"/>
      <c r="G262" s="591"/>
      <c r="H262" s="591"/>
      <c r="I262" s="591"/>
      <c r="J262" s="591"/>
      <c r="K262" s="591"/>
      <c r="L262" s="591"/>
      <c r="M262" s="591"/>
      <c r="N262" s="591"/>
      <c r="O262" s="591"/>
      <c r="P262" s="591"/>
      <c r="Q262" s="591"/>
      <c r="R262" s="591"/>
      <c r="S262" s="591"/>
      <c r="T262" s="591"/>
      <c r="U262" s="591"/>
      <c r="V262" s="591"/>
      <c r="W262" s="591"/>
      <c r="X262" s="591"/>
      <c r="Y262" s="591"/>
      <c r="Z262" s="591"/>
      <c r="AA262" s="591"/>
      <c r="AB262" s="591"/>
      <c r="AC262" s="591"/>
      <c r="AD262" s="591"/>
      <c r="AE262" s="591"/>
      <c r="AF262" s="591"/>
      <c r="AG262" s="591"/>
      <c r="AH262" s="591"/>
      <c r="AI262" s="591"/>
      <c r="AJ262" s="591"/>
      <c r="AK262" s="591"/>
      <c r="AL262" s="591"/>
      <c r="AM262" s="591"/>
      <c r="AN262" s="591"/>
      <c r="AO262" s="591"/>
      <c r="AP262" s="591"/>
      <c r="AQ262" s="591"/>
      <c r="AR262" s="591"/>
      <c r="AS262" s="591"/>
      <c r="AT262" s="591"/>
      <c r="AU262" s="591"/>
      <c r="AV262" s="591"/>
      <c r="AW262" s="591"/>
      <c r="AX262" s="591"/>
      <c r="AY262" s="591"/>
      <c r="AZ262" s="591"/>
      <c r="BA262" s="591"/>
      <c r="BB262" s="591"/>
      <c r="BC262" s="591"/>
      <c r="BD262" s="591"/>
      <c r="BE262" s="591"/>
      <c r="BF262" s="591"/>
      <c r="BG262" s="591"/>
      <c r="BH262" s="591"/>
      <c r="BI262" s="591"/>
      <c r="BJ262" s="591"/>
      <c r="BK262" s="591"/>
      <c r="BL262" s="591"/>
      <c r="BM262" s="591"/>
      <c r="BN262" s="591"/>
      <c r="BO262" s="591"/>
      <c r="BP262" s="591"/>
      <c r="BQ262" s="591"/>
      <c r="BR262" s="591"/>
      <c r="BS262" s="591"/>
      <c r="BT262" s="591"/>
      <c r="BU262" s="591"/>
      <c r="BV262" s="591"/>
      <c r="BW262" s="591"/>
      <c r="BX262" s="591"/>
      <c r="BY262" s="591"/>
      <c r="BZ262" s="591"/>
      <c r="CA262" s="591"/>
      <c r="CB262" s="591"/>
      <c r="CC262" s="591"/>
      <c r="CD262" s="591"/>
      <c r="CE262" s="591"/>
      <c r="CF262" s="591"/>
    </row>
    <row r="263" spans="1:84">
      <c r="A263" s="591"/>
      <c r="B263" s="591"/>
      <c r="C263" s="591"/>
      <c r="D263" s="591"/>
      <c r="E263" s="591"/>
      <c r="F263" s="591"/>
      <c r="G263" s="591"/>
      <c r="H263" s="591"/>
      <c r="I263" s="591"/>
      <c r="J263" s="591"/>
      <c r="K263" s="591"/>
      <c r="L263" s="591"/>
      <c r="M263" s="591"/>
      <c r="N263" s="591"/>
      <c r="O263" s="591"/>
      <c r="P263" s="591"/>
      <c r="Q263" s="591"/>
      <c r="R263" s="591"/>
      <c r="S263" s="591"/>
      <c r="T263" s="591"/>
      <c r="U263" s="591"/>
      <c r="V263" s="591"/>
      <c r="W263" s="591"/>
      <c r="X263" s="591"/>
      <c r="Y263" s="591"/>
      <c r="Z263" s="591"/>
      <c r="AA263" s="591"/>
      <c r="AB263" s="591"/>
      <c r="AC263" s="591"/>
      <c r="AD263" s="591"/>
      <c r="AE263" s="591"/>
      <c r="AF263" s="591"/>
      <c r="AG263" s="591"/>
      <c r="AH263" s="591"/>
      <c r="AI263" s="591"/>
      <c r="AJ263" s="591"/>
      <c r="AK263" s="591"/>
      <c r="AL263" s="591"/>
      <c r="AM263" s="591"/>
      <c r="AN263" s="591"/>
      <c r="AO263" s="591"/>
      <c r="AP263" s="591"/>
      <c r="AQ263" s="591"/>
      <c r="AR263" s="591"/>
      <c r="AS263" s="591"/>
      <c r="AT263" s="591"/>
      <c r="AU263" s="591"/>
      <c r="AV263" s="591"/>
      <c r="AW263" s="591"/>
      <c r="AX263" s="591"/>
      <c r="AY263" s="591"/>
      <c r="AZ263" s="591"/>
      <c r="BA263" s="591"/>
      <c r="BB263" s="591"/>
      <c r="BC263" s="591"/>
      <c r="BD263" s="591"/>
      <c r="BE263" s="591"/>
      <c r="BF263" s="591"/>
      <c r="BG263" s="591"/>
      <c r="BH263" s="591"/>
      <c r="BI263" s="591"/>
      <c r="BJ263" s="591"/>
      <c r="BK263" s="591"/>
      <c r="BL263" s="591"/>
      <c r="BM263" s="591"/>
      <c r="BN263" s="591"/>
      <c r="BO263" s="591"/>
      <c r="BP263" s="591"/>
      <c r="BQ263" s="591"/>
      <c r="BR263" s="591"/>
      <c r="BS263" s="591"/>
      <c r="BT263" s="591"/>
      <c r="BU263" s="591"/>
      <c r="BV263" s="591"/>
      <c r="BW263" s="591"/>
      <c r="BX263" s="591"/>
      <c r="BY263" s="591"/>
      <c r="BZ263" s="591"/>
      <c r="CA263" s="591"/>
      <c r="CB263" s="591"/>
      <c r="CC263" s="591"/>
      <c r="CD263" s="591"/>
      <c r="CE263" s="591"/>
      <c r="CF263" s="591"/>
    </row>
    <row r="264" spans="1:84">
      <c r="A264" s="591"/>
      <c r="B264" s="591"/>
      <c r="C264" s="591"/>
      <c r="D264" s="591"/>
      <c r="E264" s="591"/>
      <c r="F264" s="591"/>
      <c r="G264" s="591"/>
      <c r="H264" s="591"/>
      <c r="I264" s="591"/>
      <c r="J264" s="591"/>
      <c r="K264" s="591"/>
      <c r="L264" s="591"/>
      <c r="M264" s="591"/>
      <c r="N264" s="591"/>
      <c r="O264" s="591"/>
      <c r="P264" s="591"/>
      <c r="Q264" s="591"/>
      <c r="R264" s="591"/>
      <c r="S264" s="591"/>
      <c r="T264" s="591"/>
      <c r="U264" s="591"/>
      <c r="V264" s="591"/>
      <c r="W264" s="591"/>
      <c r="X264" s="591"/>
      <c r="Y264" s="591"/>
      <c r="Z264" s="591"/>
      <c r="AA264" s="591"/>
      <c r="AB264" s="591"/>
      <c r="AC264" s="591"/>
      <c r="AD264" s="591"/>
      <c r="AE264" s="591"/>
      <c r="AF264" s="591"/>
      <c r="AG264" s="591"/>
      <c r="AH264" s="591"/>
      <c r="AI264" s="591"/>
      <c r="AJ264" s="591"/>
      <c r="AK264" s="591"/>
      <c r="AL264" s="591"/>
      <c r="AM264" s="591"/>
      <c r="AN264" s="591"/>
      <c r="AO264" s="591"/>
      <c r="AP264" s="591"/>
      <c r="AQ264" s="591"/>
      <c r="AR264" s="591"/>
      <c r="AS264" s="591"/>
      <c r="AT264" s="591"/>
      <c r="AU264" s="591"/>
      <c r="AV264" s="591"/>
      <c r="AW264" s="591"/>
      <c r="AX264" s="591"/>
      <c r="AY264" s="591"/>
      <c r="AZ264" s="591"/>
      <c r="BA264" s="591"/>
      <c r="BB264" s="591"/>
      <c r="BC264" s="591"/>
      <c r="BD264" s="591"/>
      <c r="BE264" s="591"/>
      <c r="BF264" s="591"/>
      <c r="BG264" s="591"/>
      <c r="BH264" s="591"/>
      <c r="BI264" s="591"/>
      <c r="BJ264" s="591"/>
      <c r="BK264" s="591"/>
      <c r="BL264" s="591"/>
      <c r="BM264" s="591"/>
      <c r="BN264" s="591"/>
      <c r="BO264" s="591"/>
      <c r="BP264" s="591"/>
      <c r="BQ264" s="591"/>
      <c r="BR264" s="591"/>
      <c r="BS264" s="591"/>
      <c r="BT264" s="591"/>
      <c r="BU264" s="591"/>
      <c r="BV264" s="591"/>
      <c r="BW264" s="591"/>
      <c r="BX264" s="591"/>
      <c r="BY264" s="591"/>
      <c r="BZ264" s="591"/>
      <c r="CA264" s="591"/>
      <c r="CB264" s="591"/>
      <c r="CC264" s="591"/>
      <c r="CD264" s="591"/>
      <c r="CE264" s="591"/>
      <c r="CF264" s="591"/>
    </row>
    <row r="265" spans="1:84">
      <c r="A265" s="591"/>
      <c r="B265" s="591"/>
      <c r="C265" s="591"/>
      <c r="D265" s="591"/>
      <c r="E265" s="591"/>
      <c r="F265" s="591"/>
      <c r="G265" s="591"/>
      <c r="H265" s="591"/>
      <c r="I265" s="591"/>
      <c r="J265" s="591"/>
      <c r="K265" s="591"/>
      <c r="L265" s="591"/>
      <c r="M265" s="591"/>
      <c r="N265" s="591"/>
      <c r="O265" s="591"/>
      <c r="P265" s="591"/>
      <c r="Q265" s="591"/>
      <c r="R265" s="591"/>
      <c r="S265" s="591"/>
      <c r="T265" s="591"/>
      <c r="U265" s="591"/>
      <c r="V265" s="591"/>
      <c r="W265" s="591"/>
      <c r="X265" s="591"/>
      <c r="Y265" s="591"/>
      <c r="Z265" s="591"/>
      <c r="AA265" s="591"/>
      <c r="AB265" s="591"/>
      <c r="AC265" s="591"/>
      <c r="AD265" s="591"/>
      <c r="AE265" s="591"/>
      <c r="AF265" s="591"/>
      <c r="AG265" s="591"/>
      <c r="AH265" s="591"/>
      <c r="AI265" s="591"/>
      <c r="AJ265" s="591"/>
      <c r="AK265" s="591"/>
      <c r="AL265" s="591"/>
      <c r="AM265" s="591"/>
      <c r="AN265" s="591"/>
      <c r="AO265" s="591"/>
      <c r="AP265" s="591"/>
      <c r="AQ265" s="591"/>
      <c r="AR265" s="591"/>
      <c r="AS265" s="591"/>
      <c r="AT265" s="591"/>
      <c r="AU265" s="591"/>
      <c r="AV265" s="591"/>
      <c r="AW265" s="591"/>
      <c r="AX265" s="591"/>
      <c r="AY265" s="591"/>
      <c r="AZ265" s="591"/>
      <c r="BA265" s="591"/>
      <c r="BB265" s="591"/>
      <c r="BC265" s="591"/>
      <c r="BD265" s="591"/>
      <c r="BE265" s="591"/>
      <c r="BF265" s="591"/>
      <c r="BG265" s="591"/>
      <c r="BH265" s="591"/>
      <c r="BI265" s="591"/>
      <c r="BJ265" s="591"/>
      <c r="BK265" s="591"/>
      <c r="BL265" s="591"/>
      <c r="BM265" s="591"/>
      <c r="BN265" s="591"/>
      <c r="BO265" s="591"/>
      <c r="BP265" s="591"/>
      <c r="BQ265" s="591"/>
      <c r="BR265" s="591"/>
      <c r="BS265" s="591"/>
      <c r="BT265" s="591"/>
      <c r="BU265" s="591"/>
      <c r="BV265" s="591"/>
      <c r="BW265" s="591"/>
      <c r="BX265" s="591"/>
      <c r="BY265" s="591"/>
      <c r="BZ265" s="591"/>
      <c r="CA265" s="591"/>
      <c r="CB265" s="591"/>
      <c r="CC265" s="591"/>
      <c r="CD265" s="591"/>
      <c r="CE265" s="591"/>
      <c r="CF265" s="591"/>
    </row>
    <row r="266" spans="1:84">
      <c r="A266" s="591"/>
      <c r="B266" s="591"/>
      <c r="C266" s="591"/>
      <c r="D266" s="591"/>
      <c r="E266" s="591"/>
      <c r="F266" s="591"/>
      <c r="G266" s="591"/>
      <c r="H266" s="591"/>
      <c r="I266" s="591"/>
      <c r="J266" s="591"/>
      <c r="K266" s="591"/>
      <c r="L266" s="591"/>
      <c r="M266" s="591"/>
      <c r="N266" s="591"/>
      <c r="O266" s="591"/>
      <c r="P266" s="591"/>
      <c r="Q266" s="591"/>
      <c r="R266" s="591"/>
      <c r="S266" s="591"/>
      <c r="T266" s="591"/>
      <c r="U266" s="591"/>
      <c r="V266" s="591"/>
      <c r="W266" s="591"/>
      <c r="X266" s="591"/>
      <c r="Y266" s="591"/>
      <c r="Z266" s="591"/>
      <c r="AA266" s="591"/>
      <c r="AB266" s="591"/>
      <c r="AC266" s="591"/>
      <c r="AD266" s="591"/>
      <c r="AE266" s="591"/>
      <c r="AF266" s="591"/>
      <c r="AG266" s="591"/>
      <c r="AH266" s="591"/>
      <c r="AI266" s="591"/>
      <c r="AJ266" s="591"/>
      <c r="AK266" s="591"/>
      <c r="AL266" s="591"/>
      <c r="AM266" s="591"/>
      <c r="AN266" s="591"/>
      <c r="AO266" s="591"/>
      <c r="AP266" s="591"/>
      <c r="AQ266" s="591"/>
      <c r="AR266" s="591"/>
      <c r="AS266" s="591"/>
      <c r="AT266" s="591"/>
      <c r="AU266" s="591"/>
      <c r="AV266" s="591"/>
      <c r="AW266" s="591"/>
      <c r="AX266" s="591"/>
      <c r="AY266" s="591"/>
      <c r="AZ266" s="591"/>
      <c r="BA266" s="591"/>
      <c r="BB266" s="591"/>
      <c r="BC266" s="591"/>
      <c r="BD266" s="591"/>
      <c r="BE266" s="591"/>
      <c r="BF266" s="591"/>
      <c r="BG266" s="591"/>
      <c r="BH266" s="591"/>
      <c r="BI266" s="591"/>
      <c r="BJ266" s="591"/>
      <c r="BK266" s="591"/>
      <c r="BL266" s="591"/>
      <c r="BM266" s="591"/>
      <c r="BN266" s="591"/>
      <c r="BO266" s="591"/>
      <c r="BP266" s="591"/>
      <c r="BQ266" s="591"/>
      <c r="BR266" s="591"/>
      <c r="BS266" s="591"/>
      <c r="BT266" s="591"/>
      <c r="BU266" s="591"/>
      <c r="BV266" s="591"/>
      <c r="BW266" s="591"/>
      <c r="BX266" s="591"/>
      <c r="BY266" s="591"/>
      <c r="BZ266" s="591"/>
      <c r="CA266" s="591"/>
      <c r="CB266" s="591"/>
      <c r="CC266" s="591"/>
      <c r="CD266" s="591"/>
      <c r="CE266" s="591"/>
      <c r="CF266" s="591"/>
    </row>
    <row r="267" spans="1:84">
      <c r="A267" s="591"/>
      <c r="B267" s="591"/>
      <c r="C267" s="591"/>
      <c r="D267" s="591"/>
      <c r="E267" s="591"/>
      <c r="F267" s="591"/>
      <c r="G267" s="591"/>
      <c r="H267" s="591"/>
      <c r="I267" s="591"/>
      <c r="J267" s="591"/>
      <c r="K267" s="591"/>
      <c r="L267" s="591"/>
      <c r="M267" s="591"/>
      <c r="N267" s="591"/>
      <c r="O267" s="591"/>
      <c r="P267" s="591"/>
      <c r="Q267" s="591"/>
      <c r="R267" s="591"/>
      <c r="S267" s="591"/>
      <c r="T267" s="591"/>
      <c r="U267" s="591"/>
      <c r="V267" s="591"/>
      <c r="W267" s="591"/>
      <c r="X267" s="591"/>
      <c r="Y267" s="591"/>
      <c r="Z267" s="591"/>
      <c r="AA267" s="591"/>
      <c r="AB267" s="591"/>
      <c r="AC267" s="591"/>
      <c r="AD267" s="591"/>
      <c r="AE267" s="591"/>
      <c r="AF267" s="591"/>
      <c r="AG267" s="591"/>
      <c r="AH267" s="591"/>
      <c r="AI267" s="591"/>
      <c r="AJ267" s="591"/>
      <c r="AK267" s="591"/>
      <c r="AL267" s="591"/>
      <c r="AM267" s="591"/>
      <c r="AN267" s="591"/>
      <c r="AO267" s="591"/>
      <c r="AP267" s="591"/>
      <c r="AQ267" s="591"/>
      <c r="AR267" s="591"/>
      <c r="AS267" s="591"/>
      <c r="AT267" s="591"/>
      <c r="AU267" s="591"/>
      <c r="AV267" s="591"/>
      <c r="AW267" s="591"/>
      <c r="AX267" s="591"/>
      <c r="AY267" s="591"/>
      <c r="AZ267" s="591"/>
      <c r="BA267" s="591"/>
      <c r="BB267" s="591"/>
      <c r="BC267" s="591"/>
      <c r="BD267" s="591"/>
      <c r="BE267" s="591"/>
      <c r="BF267" s="591"/>
      <c r="BG267" s="591"/>
      <c r="BH267" s="591"/>
      <c r="BI267" s="591"/>
      <c r="BJ267" s="591"/>
      <c r="BK267" s="591"/>
      <c r="BL267" s="591"/>
      <c r="BM267" s="591"/>
      <c r="BN267" s="591"/>
      <c r="BO267" s="591"/>
      <c r="BP267" s="591"/>
      <c r="BQ267" s="591"/>
      <c r="BR267" s="591"/>
      <c r="BS267" s="591"/>
      <c r="BT267" s="591"/>
      <c r="BU267" s="591"/>
      <c r="BV267" s="591"/>
      <c r="BW267" s="591"/>
      <c r="BX267" s="591"/>
      <c r="BY267" s="591"/>
      <c r="BZ267" s="591"/>
      <c r="CA267" s="591"/>
      <c r="CB267" s="591"/>
      <c r="CC267" s="591"/>
      <c r="CD267" s="591"/>
      <c r="CE267" s="591"/>
      <c r="CF267" s="591"/>
    </row>
    <row r="268" spans="1:84">
      <c r="A268" s="591"/>
      <c r="B268" s="591"/>
      <c r="C268" s="591"/>
      <c r="D268" s="591"/>
      <c r="E268" s="591"/>
      <c r="F268" s="591"/>
      <c r="G268" s="591"/>
      <c r="H268" s="591"/>
      <c r="I268" s="591"/>
      <c r="J268" s="591"/>
      <c r="K268" s="591"/>
      <c r="L268" s="591"/>
      <c r="M268" s="591"/>
      <c r="N268" s="591"/>
      <c r="O268" s="591"/>
      <c r="P268" s="591"/>
      <c r="Q268" s="591"/>
      <c r="R268" s="591"/>
      <c r="S268" s="591"/>
      <c r="T268" s="591"/>
      <c r="U268" s="591"/>
      <c r="V268" s="591"/>
      <c r="W268" s="591"/>
      <c r="X268" s="591"/>
      <c r="Y268" s="591"/>
      <c r="Z268" s="591"/>
      <c r="AA268" s="591"/>
      <c r="AB268" s="591"/>
      <c r="AC268" s="591"/>
      <c r="AD268" s="591"/>
      <c r="AE268" s="591"/>
      <c r="AF268" s="591"/>
      <c r="AG268" s="591"/>
      <c r="AH268" s="591"/>
      <c r="AI268" s="591"/>
      <c r="AJ268" s="591"/>
      <c r="AK268" s="591"/>
      <c r="AL268" s="591"/>
      <c r="AM268" s="591"/>
      <c r="AN268" s="591"/>
      <c r="AO268" s="591"/>
      <c r="AP268" s="591"/>
      <c r="AQ268" s="591"/>
      <c r="AR268" s="591"/>
      <c r="AS268" s="591"/>
      <c r="AT268" s="591"/>
      <c r="AU268" s="591"/>
      <c r="AV268" s="591"/>
      <c r="AW268" s="591"/>
      <c r="AX268" s="591"/>
      <c r="AY268" s="591"/>
      <c r="AZ268" s="591"/>
      <c r="BA268" s="591"/>
      <c r="BB268" s="591"/>
      <c r="BC268" s="591"/>
      <c r="BD268" s="591"/>
      <c r="BE268" s="591"/>
      <c r="BF268" s="591"/>
      <c r="BG268" s="591"/>
      <c r="BH268" s="591"/>
      <c r="BI268" s="591"/>
      <c r="BJ268" s="591"/>
      <c r="BK268" s="591"/>
      <c r="BL268" s="591"/>
      <c r="BM268" s="591"/>
      <c r="BN268" s="591"/>
      <c r="BO268" s="591"/>
      <c r="BP268" s="591"/>
      <c r="BQ268" s="591"/>
      <c r="BR268" s="591"/>
      <c r="BS268" s="591"/>
      <c r="BT268" s="591"/>
      <c r="BU268" s="591"/>
      <c r="BV268" s="591"/>
      <c r="BW268" s="591"/>
      <c r="BX268" s="591"/>
      <c r="BY268" s="591"/>
      <c r="BZ268" s="591"/>
      <c r="CA268" s="591"/>
      <c r="CB268" s="591"/>
      <c r="CC268" s="591"/>
      <c r="CD268" s="591"/>
      <c r="CE268" s="591"/>
      <c r="CF268" s="591"/>
    </row>
    <row r="269" spans="1:84">
      <c r="A269" s="591"/>
      <c r="B269" s="591"/>
      <c r="C269" s="591"/>
      <c r="D269" s="591"/>
      <c r="E269" s="591"/>
      <c r="F269" s="591"/>
      <c r="G269" s="591"/>
      <c r="H269" s="591"/>
      <c r="I269" s="591"/>
      <c r="J269" s="591"/>
      <c r="K269" s="591"/>
      <c r="L269" s="591"/>
      <c r="M269" s="591"/>
      <c r="N269" s="591"/>
      <c r="O269" s="591"/>
      <c r="P269" s="591"/>
      <c r="Q269" s="591"/>
      <c r="R269" s="591"/>
      <c r="S269" s="591"/>
      <c r="T269" s="591"/>
      <c r="U269" s="591"/>
      <c r="V269" s="591"/>
      <c r="W269" s="591"/>
      <c r="X269" s="591"/>
      <c r="Y269" s="591"/>
      <c r="Z269" s="591"/>
      <c r="AA269" s="591"/>
      <c r="AB269" s="591"/>
      <c r="AC269" s="591"/>
      <c r="AD269" s="591"/>
      <c r="AE269" s="591"/>
      <c r="AF269" s="591"/>
      <c r="AG269" s="591"/>
      <c r="AH269" s="591"/>
      <c r="AI269" s="591"/>
      <c r="AJ269" s="591"/>
      <c r="AK269" s="591"/>
      <c r="AL269" s="591"/>
      <c r="AM269" s="591"/>
      <c r="AN269" s="591"/>
      <c r="AO269" s="591"/>
      <c r="AP269" s="591"/>
      <c r="AQ269" s="591"/>
      <c r="AR269" s="591"/>
      <c r="AS269" s="591"/>
      <c r="AT269" s="591"/>
      <c r="AU269" s="591"/>
      <c r="AV269" s="591"/>
      <c r="AW269" s="591"/>
      <c r="AX269" s="591"/>
      <c r="AY269" s="591"/>
      <c r="AZ269" s="591"/>
      <c r="BA269" s="591"/>
      <c r="BB269" s="591"/>
      <c r="BC269" s="591"/>
      <c r="BD269" s="591"/>
      <c r="BE269" s="591"/>
      <c r="BF269" s="591"/>
      <c r="BG269" s="591"/>
      <c r="BH269" s="591"/>
      <c r="BI269" s="591"/>
      <c r="BJ269" s="591"/>
      <c r="BK269" s="591"/>
      <c r="BL269" s="591"/>
      <c r="BM269" s="591"/>
      <c r="BN269" s="591"/>
      <c r="BO269" s="591"/>
      <c r="BP269" s="591"/>
      <c r="BQ269" s="591"/>
      <c r="BR269" s="591"/>
      <c r="BS269" s="591"/>
      <c r="BT269" s="591"/>
      <c r="BU269" s="591"/>
      <c r="BV269" s="591"/>
      <c r="BW269" s="591"/>
      <c r="BX269" s="591"/>
      <c r="BY269" s="591"/>
      <c r="BZ269" s="591"/>
      <c r="CA269" s="591"/>
      <c r="CB269" s="591"/>
      <c r="CC269" s="591"/>
      <c r="CD269" s="591"/>
      <c r="CE269" s="591"/>
      <c r="CF269" s="591"/>
    </row>
    <row r="270" spans="1:84">
      <c r="A270" s="591"/>
      <c r="B270" s="591"/>
      <c r="C270" s="591"/>
      <c r="D270" s="591"/>
      <c r="E270" s="591"/>
      <c r="F270" s="591"/>
      <c r="G270" s="591"/>
      <c r="H270" s="591"/>
      <c r="I270" s="591"/>
      <c r="J270" s="591"/>
      <c r="K270" s="591"/>
      <c r="L270" s="591"/>
      <c r="M270" s="591"/>
      <c r="N270" s="591"/>
      <c r="O270" s="591"/>
      <c r="P270" s="591"/>
      <c r="Q270" s="591"/>
      <c r="R270" s="591"/>
      <c r="S270" s="591"/>
      <c r="T270" s="591"/>
      <c r="U270" s="591"/>
      <c r="V270" s="591"/>
      <c r="W270" s="591"/>
      <c r="X270" s="591"/>
      <c r="Y270" s="591"/>
      <c r="Z270" s="591"/>
      <c r="AA270" s="591"/>
      <c r="AB270" s="591"/>
      <c r="AC270" s="591"/>
      <c r="AD270" s="591"/>
      <c r="AE270" s="591"/>
      <c r="AF270" s="591"/>
      <c r="AG270" s="591"/>
      <c r="AH270" s="591"/>
      <c r="AI270" s="591"/>
      <c r="AJ270" s="591"/>
      <c r="AK270" s="591"/>
      <c r="AL270" s="591"/>
      <c r="AM270" s="591"/>
      <c r="AN270" s="591"/>
      <c r="AO270" s="591"/>
      <c r="AP270" s="591"/>
      <c r="AQ270" s="591"/>
      <c r="AR270" s="591"/>
      <c r="AS270" s="591"/>
      <c r="AT270" s="591"/>
      <c r="AU270" s="591"/>
      <c r="AV270" s="591"/>
      <c r="AW270" s="591"/>
      <c r="AX270" s="591"/>
      <c r="AY270" s="591"/>
      <c r="AZ270" s="591"/>
      <c r="BA270" s="591"/>
      <c r="BB270" s="591"/>
      <c r="BC270" s="591"/>
      <c r="BD270" s="591"/>
      <c r="BE270" s="591"/>
      <c r="BF270" s="591"/>
      <c r="BG270" s="591"/>
      <c r="BH270" s="591"/>
      <c r="BI270" s="591"/>
      <c r="BJ270" s="591"/>
      <c r="BK270" s="591"/>
      <c r="BL270" s="591"/>
      <c r="BM270" s="591"/>
      <c r="BN270" s="591"/>
      <c r="BO270" s="591"/>
      <c r="BP270" s="591"/>
      <c r="BQ270" s="591"/>
      <c r="BR270" s="591"/>
      <c r="BS270" s="591"/>
      <c r="BT270" s="591"/>
      <c r="BU270" s="591"/>
      <c r="BV270" s="591"/>
      <c r="BW270" s="591"/>
      <c r="BX270" s="591"/>
      <c r="BY270" s="591"/>
      <c r="BZ270" s="591"/>
      <c r="CA270" s="591"/>
      <c r="CB270" s="591"/>
      <c r="CC270" s="591"/>
      <c r="CD270" s="591"/>
      <c r="CE270" s="591"/>
      <c r="CF270" s="591"/>
    </row>
    <row r="271" spans="1:84">
      <c r="A271" s="591"/>
      <c r="B271" s="591"/>
      <c r="C271" s="591"/>
      <c r="D271" s="591"/>
      <c r="E271" s="591"/>
      <c r="F271" s="591"/>
      <c r="G271" s="591"/>
      <c r="H271" s="591"/>
      <c r="I271" s="591"/>
      <c r="J271" s="591"/>
      <c r="K271" s="591"/>
      <c r="L271" s="591"/>
      <c r="M271" s="591"/>
      <c r="N271" s="591"/>
      <c r="O271" s="591"/>
      <c r="P271" s="591"/>
      <c r="Q271" s="591"/>
      <c r="R271" s="591"/>
      <c r="S271" s="591"/>
      <c r="T271" s="591"/>
      <c r="U271" s="591"/>
      <c r="V271" s="591"/>
      <c r="W271" s="591"/>
      <c r="X271" s="591"/>
      <c r="Y271" s="591"/>
      <c r="Z271" s="591"/>
      <c r="AA271" s="591"/>
      <c r="AB271" s="591"/>
      <c r="AC271" s="591"/>
      <c r="AD271" s="591"/>
      <c r="AE271" s="591"/>
      <c r="AF271" s="591"/>
      <c r="AG271" s="591"/>
      <c r="AH271" s="591"/>
      <c r="AI271" s="591"/>
      <c r="AJ271" s="591"/>
      <c r="AK271" s="591"/>
      <c r="AL271" s="591"/>
      <c r="AM271" s="591"/>
      <c r="AN271" s="591"/>
      <c r="AO271" s="591"/>
      <c r="AP271" s="591"/>
      <c r="AQ271" s="591"/>
      <c r="AR271" s="591"/>
      <c r="AS271" s="591"/>
      <c r="AT271" s="591"/>
      <c r="AU271" s="591"/>
      <c r="AV271" s="591"/>
      <c r="AW271" s="591"/>
      <c r="AX271" s="591"/>
      <c r="AY271" s="591"/>
      <c r="AZ271" s="591"/>
      <c r="BA271" s="591"/>
      <c r="BB271" s="591"/>
      <c r="BC271" s="591"/>
      <c r="BD271" s="591"/>
      <c r="BE271" s="591"/>
      <c r="BF271" s="591"/>
      <c r="BG271" s="591"/>
      <c r="BH271" s="591"/>
      <c r="BI271" s="591"/>
      <c r="BJ271" s="591"/>
      <c r="BK271" s="591"/>
      <c r="BL271" s="591"/>
      <c r="BM271" s="591"/>
      <c r="BN271" s="591"/>
      <c r="BO271" s="591"/>
      <c r="BP271" s="591"/>
      <c r="BQ271" s="591"/>
      <c r="BR271" s="591"/>
      <c r="BS271" s="591"/>
      <c r="BT271" s="591"/>
      <c r="BU271" s="591"/>
      <c r="BV271" s="591"/>
      <c r="BW271" s="591"/>
      <c r="BX271" s="591"/>
      <c r="BY271" s="591"/>
      <c r="BZ271" s="591"/>
      <c r="CA271" s="591"/>
      <c r="CB271" s="591"/>
      <c r="CC271" s="591"/>
      <c r="CD271" s="591"/>
      <c r="CE271" s="591"/>
      <c r="CF271" s="591"/>
    </row>
    <row r="272" spans="1:84">
      <c r="A272" s="591"/>
      <c r="B272" s="591"/>
      <c r="C272" s="591"/>
      <c r="D272" s="591"/>
      <c r="E272" s="591"/>
      <c r="F272" s="591"/>
      <c r="G272" s="591"/>
      <c r="H272" s="591"/>
      <c r="I272" s="591"/>
      <c r="J272" s="591"/>
      <c r="K272" s="591"/>
      <c r="L272" s="591"/>
      <c r="M272" s="591"/>
      <c r="N272" s="591"/>
      <c r="O272" s="591"/>
      <c r="P272" s="591"/>
      <c r="Q272" s="591"/>
      <c r="R272" s="591"/>
      <c r="S272" s="591"/>
      <c r="T272" s="591"/>
      <c r="U272" s="591"/>
      <c r="V272" s="591"/>
      <c r="W272" s="591"/>
      <c r="X272" s="591"/>
      <c r="Y272" s="591"/>
      <c r="Z272" s="591"/>
      <c r="AA272" s="591"/>
      <c r="AB272" s="591"/>
      <c r="AC272" s="591"/>
      <c r="AD272" s="591"/>
      <c r="AE272" s="591"/>
      <c r="AF272" s="591"/>
      <c r="AG272" s="591"/>
      <c r="AH272" s="591"/>
      <c r="AI272" s="591"/>
      <c r="AJ272" s="591"/>
      <c r="AK272" s="591"/>
      <c r="AL272" s="591"/>
      <c r="AM272" s="591"/>
      <c r="AN272" s="591"/>
      <c r="AO272" s="591"/>
      <c r="AP272" s="591"/>
      <c r="AQ272" s="591"/>
      <c r="AR272" s="591"/>
      <c r="AS272" s="591"/>
      <c r="AT272" s="591"/>
      <c r="AU272" s="591"/>
      <c r="AV272" s="591"/>
      <c r="AW272" s="591"/>
      <c r="AX272" s="591"/>
      <c r="AY272" s="591"/>
      <c r="AZ272" s="591"/>
      <c r="BA272" s="591"/>
      <c r="BB272" s="591"/>
      <c r="BC272" s="591"/>
      <c r="BD272" s="591"/>
      <c r="BE272" s="591"/>
      <c r="BF272" s="591"/>
      <c r="BG272" s="591"/>
      <c r="BH272" s="591"/>
      <c r="BI272" s="591"/>
      <c r="BJ272" s="591"/>
      <c r="BK272" s="591"/>
      <c r="BL272" s="591"/>
      <c r="BM272" s="591"/>
      <c r="BN272" s="591"/>
      <c r="BO272" s="591"/>
      <c r="BP272" s="591"/>
      <c r="BQ272" s="591"/>
      <c r="BR272" s="591"/>
      <c r="BS272" s="591"/>
      <c r="BT272" s="591"/>
      <c r="BU272" s="591"/>
      <c r="BV272" s="591"/>
      <c r="BW272" s="591"/>
      <c r="BX272" s="591"/>
      <c r="BY272" s="591"/>
      <c r="BZ272" s="591"/>
      <c r="CA272" s="591"/>
      <c r="CB272" s="591"/>
      <c r="CC272" s="591"/>
      <c r="CD272" s="591"/>
      <c r="CE272" s="591"/>
      <c r="CF272" s="591"/>
    </row>
    <row r="273" spans="1:84">
      <c r="A273" s="591"/>
      <c r="B273" s="591"/>
      <c r="C273" s="591"/>
      <c r="D273" s="591"/>
      <c r="E273" s="591"/>
      <c r="F273" s="591"/>
      <c r="G273" s="591"/>
      <c r="H273" s="591"/>
      <c r="I273" s="591"/>
      <c r="J273" s="591"/>
      <c r="K273" s="591"/>
      <c r="L273" s="591"/>
      <c r="M273" s="591"/>
      <c r="N273" s="591"/>
      <c r="O273" s="591"/>
      <c r="P273" s="591"/>
      <c r="Q273" s="591"/>
      <c r="R273" s="591"/>
      <c r="S273" s="591"/>
      <c r="T273" s="591"/>
      <c r="U273" s="591"/>
      <c r="V273" s="591"/>
      <c r="W273" s="591"/>
      <c r="X273" s="591"/>
      <c r="Y273" s="591"/>
      <c r="Z273" s="591"/>
      <c r="AA273" s="591"/>
      <c r="AB273" s="591"/>
      <c r="AC273" s="591"/>
      <c r="AD273" s="591"/>
      <c r="AE273" s="591"/>
      <c r="AF273" s="591"/>
      <c r="AG273" s="591"/>
      <c r="AH273" s="591"/>
      <c r="AI273" s="591"/>
      <c r="AJ273" s="591"/>
      <c r="AK273" s="591"/>
      <c r="AL273" s="591"/>
      <c r="AM273" s="591"/>
      <c r="AN273" s="591"/>
      <c r="AO273" s="591"/>
      <c r="AP273" s="591"/>
      <c r="AQ273" s="591"/>
      <c r="AR273" s="591"/>
      <c r="AS273" s="591"/>
      <c r="AT273" s="591"/>
      <c r="AU273" s="591"/>
      <c r="AV273" s="591"/>
      <c r="AW273" s="591"/>
      <c r="AX273" s="591"/>
      <c r="AY273" s="591"/>
      <c r="AZ273" s="591"/>
      <c r="BA273" s="591"/>
      <c r="BB273" s="591"/>
      <c r="BC273" s="591"/>
      <c r="BD273" s="591"/>
      <c r="BE273" s="591"/>
      <c r="BF273" s="591"/>
      <c r="BG273" s="591"/>
      <c r="BH273" s="591"/>
      <c r="BI273" s="591"/>
      <c r="BJ273" s="591"/>
      <c r="BK273" s="591"/>
      <c r="BL273" s="591"/>
      <c r="BM273" s="591"/>
      <c r="BN273" s="591"/>
      <c r="BO273" s="591"/>
      <c r="BP273" s="591"/>
      <c r="BQ273" s="591"/>
      <c r="BR273" s="591"/>
      <c r="BS273" s="591"/>
      <c r="BT273" s="591"/>
      <c r="BU273" s="591"/>
      <c r="BV273" s="591"/>
      <c r="BW273" s="591"/>
      <c r="BX273" s="591"/>
      <c r="BY273" s="591"/>
      <c r="BZ273" s="591"/>
      <c r="CA273" s="591"/>
      <c r="CB273" s="591"/>
      <c r="CC273" s="591"/>
      <c r="CD273" s="591"/>
      <c r="CE273" s="591"/>
      <c r="CF273" s="591"/>
    </row>
    <row r="274" spans="1:84">
      <c r="A274" s="591"/>
      <c r="B274" s="591"/>
      <c r="C274" s="591"/>
      <c r="D274" s="591"/>
      <c r="E274" s="591"/>
      <c r="F274" s="591"/>
      <c r="G274" s="591"/>
      <c r="H274" s="591"/>
      <c r="I274" s="591"/>
      <c r="J274" s="591"/>
      <c r="K274" s="591"/>
      <c r="L274" s="591"/>
      <c r="M274" s="591"/>
      <c r="N274" s="591"/>
      <c r="O274" s="591"/>
      <c r="P274" s="591"/>
      <c r="Q274" s="591"/>
      <c r="R274" s="591"/>
      <c r="S274" s="591"/>
      <c r="T274" s="591"/>
      <c r="U274" s="591"/>
      <c r="V274" s="591"/>
      <c r="W274" s="591"/>
      <c r="X274" s="591"/>
      <c r="Y274" s="591"/>
      <c r="Z274" s="591"/>
      <c r="AA274" s="591"/>
      <c r="AB274" s="591"/>
      <c r="AC274" s="591"/>
      <c r="AD274" s="591"/>
      <c r="AE274" s="591"/>
      <c r="AF274" s="591"/>
      <c r="AG274" s="591"/>
      <c r="AH274" s="591"/>
      <c r="AI274" s="591"/>
      <c r="AJ274" s="591"/>
      <c r="AK274" s="591"/>
      <c r="AL274" s="591"/>
      <c r="AM274" s="591"/>
      <c r="AN274" s="591"/>
      <c r="AO274" s="591"/>
      <c r="AP274" s="591"/>
      <c r="AQ274" s="591"/>
      <c r="AR274" s="591"/>
      <c r="AS274" s="591"/>
      <c r="AT274" s="591"/>
      <c r="AU274" s="591"/>
      <c r="AV274" s="591"/>
      <c r="AW274" s="591"/>
      <c r="AX274" s="591"/>
      <c r="AY274" s="591"/>
      <c r="AZ274" s="591"/>
      <c r="BA274" s="591"/>
      <c r="BB274" s="591"/>
      <c r="BC274" s="591"/>
      <c r="BD274" s="591"/>
      <c r="BE274" s="591"/>
      <c r="BF274" s="591"/>
      <c r="BG274" s="591"/>
      <c r="BH274" s="591"/>
      <c r="BI274" s="591"/>
      <c r="BJ274" s="591"/>
      <c r="BK274" s="591"/>
      <c r="BL274" s="591"/>
      <c r="BM274" s="591"/>
      <c r="BN274" s="591"/>
      <c r="BO274" s="591"/>
      <c r="BP274" s="591"/>
      <c r="BQ274" s="591"/>
      <c r="BR274" s="591"/>
      <c r="BS274" s="591"/>
      <c r="BT274" s="591"/>
      <c r="BU274" s="591"/>
      <c r="BV274" s="591"/>
      <c r="BW274" s="591"/>
      <c r="BX274" s="591"/>
      <c r="BY274" s="591"/>
      <c r="BZ274" s="591"/>
      <c r="CA274" s="591"/>
      <c r="CB274" s="591"/>
      <c r="CC274" s="591"/>
      <c r="CD274" s="591"/>
      <c r="CE274" s="591"/>
      <c r="CF274" s="591"/>
    </row>
    <row r="275" spans="1:84">
      <c r="A275" s="591"/>
      <c r="B275" s="591"/>
      <c r="C275" s="591"/>
      <c r="D275" s="591"/>
      <c r="E275" s="591"/>
      <c r="F275" s="591"/>
      <c r="G275" s="591"/>
      <c r="H275" s="591"/>
      <c r="I275" s="591"/>
      <c r="J275" s="591"/>
      <c r="K275" s="591"/>
      <c r="L275" s="591"/>
      <c r="M275" s="591"/>
      <c r="N275" s="591"/>
      <c r="O275" s="591"/>
      <c r="P275" s="591"/>
      <c r="Q275" s="591"/>
      <c r="R275" s="591"/>
      <c r="S275" s="591"/>
      <c r="T275" s="591"/>
      <c r="U275" s="591"/>
      <c r="V275" s="591"/>
      <c r="W275" s="591"/>
      <c r="X275" s="591"/>
      <c r="Y275" s="591"/>
      <c r="Z275" s="591"/>
      <c r="AA275" s="591"/>
      <c r="AB275" s="591"/>
      <c r="AC275" s="591"/>
      <c r="AD275" s="591"/>
      <c r="AE275" s="591"/>
      <c r="AF275" s="591"/>
      <c r="AG275" s="591"/>
      <c r="AH275" s="591"/>
      <c r="AI275" s="591"/>
      <c r="AJ275" s="591"/>
      <c r="AK275" s="591"/>
      <c r="AL275" s="591"/>
      <c r="AM275" s="591"/>
      <c r="AN275" s="591"/>
      <c r="AO275" s="591"/>
      <c r="AP275" s="591"/>
      <c r="AQ275" s="591"/>
      <c r="AR275" s="591"/>
      <c r="AS275" s="591"/>
      <c r="AT275" s="591"/>
      <c r="AU275" s="591"/>
      <c r="AV275" s="591"/>
      <c r="AW275" s="591"/>
      <c r="AX275" s="591"/>
      <c r="AY275" s="591"/>
      <c r="AZ275" s="591"/>
      <c r="BA275" s="591"/>
      <c r="BB275" s="591"/>
      <c r="BC275" s="591"/>
      <c r="BD275" s="591"/>
      <c r="BE275" s="591"/>
      <c r="BF275" s="591"/>
      <c r="BG275" s="591"/>
      <c r="BH275" s="591"/>
      <c r="BI275" s="591"/>
      <c r="BJ275" s="591"/>
      <c r="BK275" s="591"/>
      <c r="BL275" s="591"/>
      <c r="BM275" s="591"/>
      <c r="BN275" s="591"/>
      <c r="BO275" s="591"/>
      <c r="BP275" s="591"/>
      <c r="BQ275" s="591"/>
      <c r="BR275" s="591"/>
      <c r="BS275" s="591"/>
      <c r="BT275" s="591"/>
      <c r="BU275" s="591"/>
      <c r="BV275" s="591"/>
      <c r="BW275" s="591"/>
      <c r="BX275" s="591"/>
      <c r="BY275" s="591"/>
      <c r="BZ275" s="591"/>
      <c r="CA275" s="591"/>
      <c r="CB275" s="591"/>
      <c r="CC275" s="591"/>
      <c r="CD275" s="591"/>
      <c r="CE275" s="591"/>
      <c r="CF275" s="591"/>
    </row>
    <row r="276" spans="1:84">
      <c r="A276" s="591"/>
      <c r="B276" s="591"/>
      <c r="C276" s="591"/>
      <c r="D276" s="591"/>
      <c r="E276" s="591"/>
      <c r="F276" s="591"/>
      <c r="G276" s="591"/>
      <c r="H276" s="591"/>
      <c r="I276" s="591"/>
      <c r="J276" s="591"/>
      <c r="K276" s="591"/>
      <c r="L276" s="591"/>
      <c r="M276" s="591"/>
      <c r="N276" s="591"/>
      <c r="O276" s="591"/>
      <c r="P276" s="591"/>
      <c r="Q276" s="591"/>
      <c r="R276" s="591"/>
      <c r="S276" s="591"/>
      <c r="T276" s="591"/>
      <c r="U276" s="591"/>
      <c r="V276" s="591"/>
      <c r="W276" s="591"/>
      <c r="X276" s="591"/>
      <c r="Y276" s="591"/>
      <c r="Z276" s="591"/>
      <c r="AA276" s="591"/>
      <c r="AB276" s="591"/>
      <c r="AC276" s="591"/>
      <c r="AD276" s="591"/>
      <c r="AE276" s="591"/>
      <c r="AF276" s="591"/>
      <c r="AG276" s="591"/>
      <c r="AH276" s="591"/>
      <c r="AI276" s="591"/>
      <c r="AJ276" s="591"/>
      <c r="AK276" s="591"/>
      <c r="AL276" s="591"/>
      <c r="AM276" s="591"/>
      <c r="AN276" s="591"/>
      <c r="AO276" s="591"/>
      <c r="AP276" s="591"/>
      <c r="AQ276" s="591"/>
      <c r="AR276" s="591"/>
      <c r="AS276" s="591"/>
      <c r="AT276" s="591"/>
      <c r="AU276" s="591"/>
      <c r="AV276" s="591"/>
      <c r="AW276" s="591"/>
      <c r="AX276" s="591"/>
      <c r="AY276" s="591"/>
      <c r="AZ276" s="591"/>
      <c r="BA276" s="591"/>
      <c r="BB276" s="591"/>
      <c r="BC276" s="591"/>
      <c r="BD276" s="591"/>
      <c r="BE276" s="591"/>
      <c r="BF276" s="591"/>
      <c r="BG276" s="591"/>
      <c r="BH276" s="591"/>
      <c r="BI276" s="591"/>
      <c r="BJ276" s="591"/>
      <c r="BK276" s="591"/>
      <c r="BL276" s="591"/>
      <c r="BM276" s="591"/>
      <c r="BN276" s="591"/>
      <c r="BO276" s="591"/>
      <c r="BP276" s="591"/>
      <c r="BQ276" s="591"/>
      <c r="BR276" s="591"/>
      <c r="BS276" s="591"/>
      <c r="BT276" s="591"/>
      <c r="BU276" s="591"/>
      <c r="BV276" s="591"/>
      <c r="BW276" s="591"/>
      <c r="BX276" s="591"/>
      <c r="BY276" s="591"/>
      <c r="BZ276" s="591"/>
      <c r="CA276" s="591"/>
      <c r="CB276" s="591"/>
      <c r="CC276" s="591"/>
      <c r="CD276" s="591"/>
      <c r="CE276" s="591"/>
      <c r="CF276" s="591"/>
    </row>
    <row r="277" spans="1:84">
      <c r="A277" s="591"/>
      <c r="B277" s="591"/>
      <c r="C277" s="591"/>
      <c r="D277" s="591"/>
      <c r="E277" s="591"/>
      <c r="F277" s="591"/>
      <c r="G277" s="591"/>
      <c r="H277" s="591"/>
      <c r="I277" s="591"/>
      <c r="J277" s="591"/>
      <c r="K277" s="591"/>
      <c r="L277" s="591"/>
      <c r="M277" s="591"/>
      <c r="N277" s="591"/>
      <c r="O277" s="591"/>
      <c r="P277" s="591"/>
      <c r="Q277" s="591"/>
      <c r="R277" s="591"/>
      <c r="S277" s="591"/>
      <c r="T277" s="591"/>
      <c r="U277" s="591"/>
      <c r="V277" s="591"/>
      <c r="W277" s="591"/>
      <c r="X277" s="591"/>
      <c r="Y277" s="591"/>
      <c r="Z277" s="591"/>
      <c r="AA277" s="591"/>
      <c r="AB277" s="591"/>
      <c r="AC277" s="591"/>
      <c r="AD277" s="591"/>
      <c r="AE277" s="591"/>
      <c r="AF277" s="591"/>
      <c r="AG277" s="591"/>
      <c r="AH277" s="591"/>
      <c r="AI277" s="591"/>
      <c r="AJ277" s="591"/>
      <c r="AK277" s="591"/>
      <c r="AL277" s="591"/>
      <c r="AM277" s="591"/>
      <c r="AN277" s="591"/>
      <c r="AO277" s="591"/>
      <c r="AP277" s="591"/>
      <c r="AQ277" s="591"/>
      <c r="AR277" s="591"/>
      <c r="AS277" s="591"/>
      <c r="AT277" s="591"/>
      <c r="AU277" s="591"/>
      <c r="AV277" s="591"/>
      <c r="AW277" s="591"/>
      <c r="AX277" s="591"/>
      <c r="AY277" s="591"/>
      <c r="AZ277" s="591"/>
      <c r="BA277" s="591"/>
      <c r="BB277" s="591"/>
      <c r="BC277" s="591"/>
      <c r="BD277" s="591"/>
      <c r="BE277" s="591"/>
      <c r="BF277" s="591"/>
      <c r="BG277" s="591"/>
      <c r="BH277" s="591"/>
      <c r="BI277" s="591"/>
      <c r="BJ277" s="591"/>
      <c r="BK277" s="591"/>
      <c r="BL277" s="591"/>
      <c r="BM277" s="591"/>
      <c r="BN277" s="591"/>
      <c r="BO277" s="591"/>
      <c r="BP277" s="591"/>
      <c r="BQ277" s="591"/>
      <c r="BR277" s="591"/>
      <c r="BS277" s="591"/>
      <c r="BT277" s="591"/>
      <c r="BU277" s="591"/>
      <c r="BV277" s="591"/>
      <c r="BW277" s="591"/>
      <c r="BX277" s="591"/>
      <c r="BY277" s="591"/>
      <c r="BZ277" s="591"/>
      <c r="CA277" s="591"/>
      <c r="CB277" s="591"/>
      <c r="CC277" s="591"/>
      <c r="CD277" s="591"/>
      <c r="CE277" s="591"/>
      <c r="CF277" s="591"/>
    </row>
    <row r="278" spans="1:84">
      <c r="A278" s="591"/>
      <c r="B278" s="591"/>
      <c r="C278" s="591"/>
      <c r="D278" s="591"/>
      <c r="E278" s="591"/>
      <c r="F278" s="591"/>
      <c r="G278" s="591"/>
      <c r="H278" s="591"/>
      <c r="I278" s="591"/>
      <c r="J278" s="591"/>
      <c r="K278" s="591"/>
      <c r="L278" s="591"/>
      <c r="M278" s="591"/>
      <c r="N278" s="591"/>
      <c r="O278" s="591"/>
      <c r="P278" s="591"/>
      <c r="Q278" s="591"/>
      <c r="R278" s="591"/>
      <c r="S278" s="591"/>
      <c r="T278" s="591"/>
      <c r="U278" s="591"/>
      <c r="V278" s="591"/>
      <c r="W278" s="591"/>
      <c r="X278" s="591"/>
      <c r="Y278" s="591"/>
      <c r="Z278" s="591"/>
      <c r="AA278" s="591"/>
      <c r="AB278" s="591"/>
      <c r="AC278" s="591"/>
      <c r="AD278" s="591"/>
      <c r="AE278" s="591"/>
      <c r="AF278" s="591"/>
      <c r="AG278" s="591"/>
      <c r="AH278" s="591"/>
      <c r="AI278" s="591"/>
      <c r="AJ278" s="591"/>
      <c r="AK278" s="591"/>
      <c r="AL278" s="591"/>
      <c r="AM278" s="591"/>
      <c r="AN278" s="591"/>
      <c r="AO278" s="591"/>
      <c r="AP278" s="591"/>
      <c r="AQ278" s="591"/>
      <c r="AR278" s="591"/>
      <c r="AS278" s="591"/>
      <c r="AT278" s="591"/>
      <c r="AU278" s="591"/>
      <c r="AV278" s="591"/>
      <c r="AW278" s="591"/>
      <c r="AX278" s="591"/>
      <c r="AY278" s="591"/>
      <c r="AZ278" s="591"/>
      <c r="BA278" s="591"/>
      <c r="BB278" s="591"/>
      <c r="BC278" s="591"/>
      <c r="BD278" s="591"/>
      <c r="BE278" s="591"/>
      <c r="BF278" s="591"/>
      <c r="BG278" s="591"/>
      <c r="BH278" s="591"/>
      <c r="BI278" s="591"/>
      <c r="BJ278" s="591"/>
      <c r="BK278" s="591"/>
      <c r="BL278" s="591"/>
      <c r="BM278" s="591"/>
      <c r="BN278" s="591"/>
      <c r="BO278" s="591"/>
      <c r="BP278" s="591"/>
      <c r="BQ278" s="591"/>
      <c r="BR278" s="591"/>
      <c r="BS278" s="591"/>
      <c r="BT278" s="591"/>
      <c r="BU278" s="591"/>
      <c r="BV278" s="591"/>
      <c r="BW278" s="591"/>
      <c r="BX278" s="591"/>
      <c r="BY278" s="591"/>
      <c r="BZ278" s="591"/>
      <c r="CA278" s="591"/>
      <c r="CB278" s="591"/>
      <c r="CC278" s="591"/>
      <c r="CD278" s="591"/>
      <c r="CE278" s="591"/>
      <c r="CF278" s="591"/>
    </row>
    <row r="279" spans="1:84">
      <c r="A279" s="591"/>
      <c r="B279" s="591"/>
      <c r="C279" s="591"/>
      <c r="D279" s="591"/>
      <c r="E279" s="591"/>
      <c r="F279" s="591"/>
      <c r="G279" s="591"/>
      <c r="H279" s="591"/>
      <c r="I279" s="591"/>
      <c r="J279" s="591"/>
      <c r="K279" s="591"/>
      <c r="L279" s="591"/>
      <c r="M279" s="591"/>
      <c r="N279" s="591"/>
      <c r="O279" s="591"/>
      <c r="P279" s="591"/>
      <c r="Q279" s="591"/>
      <c r="R279" s="591"/>
      <c r="S279" s="591"/>
      <c r="T279" s="591"/>
      <c r="U279" s="591"/>
      <c r="V279" s="591"/>
      <c r="W279" s="591"/>
      <c r="X279" s="591"/>
      <c r="Y279" s="591"/>
      <c r="Z279" s="591"/>
      <c r="AA279" s="591"/>
      <c r="AB279" s="591"/>
      <c r="AC279" s="591"/>
      <c r="AD279" s="591"/>
      <c r="AE279" s="591"/>
      <c r="AF279" s="591"/>
      <c r="AG279" s="591"/>
      <c r="AH279" s="591"/>
      <c r="AI279" s="591"/>
      <c r="AJ279" s="591"/>
      <c r="AK279" s="591"/>
      <c r="AL279" s="591"/>
      <c r="AM279" s="591"/>
      <c r="AN279" s="591"/>
      <c r="AO279" s="591"/>
      <c r="AP279" s="591"/>
      <c r="AQ279" s="591"/>
      <c r="AR279" s="591"/>
      <c r="AS279" s="591"/>
      <c r="AT279" s="591"/>
      <c r="AU279" s="591"/>
      <c r="AV279" s="591"/>
      <c r="AW279" s="591"/>
      <c r="AX279" s="591"/>
      <c r="AY279" s="591"/>
      <c r="AZ279" s="591"/>
      <c r="BA279" s="591"/>
      <c r="BB279" s="591"/>
      <c r="BC279" s="591"/>
      <c r="BD279" s="591"/>
      <c r="BE279" s="591"/>
      <c r="BF279" s="591"/>
      <c r="BG279" s="591"/>
      <c r="BH279" s="591"/>
      <c r="BI279" s="591"/>
      <c r="BJ279" s="591"/>
      <c r="BK279" s="591"/>
      <c r="BL279" s="591"/>
      <c r="BM279" s="591"/>
      <c r="BN279" s="591"/>
      <c r="BO279" s="591"/>
      <c r="BP279" s="591"/>
      <c r="BQ279" s="591"/>
      <c r="BR279" s="591"/>
      <c r="BS279" s="591"/>
      <c r="BT279" s="591"/>
      <c r="BU279" s="591"/>
      <c r="BV279" s="591"/>
      <c r="BW279" s="591"/>
      <c r="BX279" s="591"/>
      <c r="BY279" s="591"/>
      <c r="BZ279" s="591"/>
      <c r="CA279" s="591"/>
      <c r="CB279" s="591"/>
      <c r="CC279" s="591"/>
      <c r="CD279" s="591"/>
      <c r="CE279" s="591"/>
      <c r="CF279" s="591"/>
    </row>
    <row r="280" spans="1:84">
      <c r="A280" s="591"/>
      <c r="B280" s="591"/>
      <c r="C280" s="591"/>
      <c r="D280" s="591"/>
      <c r="E280" s="591"/>
      <c r="F280" s="591"/>
      <c r="G280" s="591"/>
      <c r="H280" s="591"/>
      <c r="I280" s="591"/>
      <c r="J280" s="591"/>
      <c r="K280" s="591"/>
      <c r="L280" s="591"/>
      <c r="M280" s="591"/>
      <c r="N280" s="591"/>
      <c r="O280" s="591"/>
      <c r="P280" s="591"/>
      <c r="Q280" s="591"/>
      <c r="R280" s="591"/>
      <c r="S280" s="591"/>
      <c r="T280" s="591"/>
      <c r="U280" s="591"/>
      <c r="V280" s="591"/>
      <c r="W280" s="591"/>
      <c r="X280" s="591"/>
      <c r="Y280" s="591"/>
      <c r="Z280" s="591"/>
      <c r="AA280" s="591"/>
      <c r="AB280" s="591"/>
      <c r="AC280" s="591"/>
      <c r="AD280" s="591"/>
      <c r="AE280" s="591"/>
      <c r="AF280" s="591"/>
      <c r="AG280" s="591"/>
      <c r="AH280" s="591"/>
      <c r="AI280" s="591"/>
      <c r="AJ280" s="591"/>
      <c r="AK280" s="591"/>
      <c r="AL280" s="591"/>
      <c r="AM280" s="591"/>
      <c r="AN280" s="591"/>
      <c r="AO280" s="591"/>
      <c r="AP280" s="591"/>
      <c r="AQ280" s="591"/>
      <c r="AR280" s="591"/>
      <c r="AS280" s="591"/>
      <c r="AT280" s="591"/>
      <c r="AU280" s="591"/>
      <c r="AV280" s="591"/>
      <c r="AW280" s="591"/>
      <c r="AX280" s="591"/>
      <c r="AY280" s="591"/>
      <c r="AZ280" s="591"/>
      <c r="BA280" s="591"/>
      <c r="BB280" s="591"/>
      <c r="BC280" s="591"/>
      <c r="BD280" s="591"/>
      <c r="BE280" s="591"/>
      <c r="BF280" s="591"/>
      <c r="BG280" s="591"/>
      <c r="BH280" s="591"/>
      <c r="BI280" s="591"/>
      <c r="BJ280" s="591"/>
      <c r="BK280" s="591"/>
      <c r="BL280" s="591"/>
      <c r="BM280" s="591"/>
      <c r="BN280" s="591"/>
      <c r="BO280" s="591"/>
      <c r="BP280" s="591"/>
      <c r="BQ280" s="591"/>
      <c r="BR280" s="591"/>
      <c r="BS280" s="591"/>
      <c r="BT280" s="591"/>
      <c r="BU280" s="591"/>
      <c r="BV280" s="591"/>
      <c r="BW280" s="591"/>
      <c r="BX280" s="591"/>
      <c r="BY280" s="591"/>
      <c r="BZ280" s="591"/>
      <c r="CA280" s="591"/>
      <c r="CB280" s="591"/>
      <c r="CC280" s="591"/>
      <c r="CD280" s="591"/>
      <c r="CE280" s="591"/>
      <c r="CF280" s="591"/>
    </row>
    <row r="281" spans="1:84">
      <c r="A281" s="591"/>
      <c r="B281" s="591"/>
      <c r="C281" s="591"/>
      <c r="D281" s="591"/>
      <c r="E281" s="591"/>
      <c r="F281" s="591"/>
      <c r="G281" s="591"/>
      <c r="H281" s="591"/>
      <c r="I281" s="591"/>
      <c r="J281" s="591"/>
      <c r="K281" s="591"/>
      <c r="L281" s="591"/>
      <c r="M281" s="591"/>
      <c r="N281" s="591"/>
      <c r="O281" s="591"/>
      <c r="P281" s="591"/>
      <c r="Q281" s="591"/>
      <c r="R281" s="591"/>
      <c r="S281" s="591"/>
      <c r="T281" s="591"/>
      <c r="U281" s="591"/>
      <c r="V281" s="591"/>
      <c r="W281" s="591"/>
      <c r="X281" s="591"/>
      <c r="Y281" s="591"/>
      <c r="Z281" s="591"/>
      <c r="AA281" s="591"/>
      <c r="AB281" s="591"/>
      <c r="AC281" s="591"/>
      <c r="AD281" s="591"/>
      <c r="AE281" s="591"/>
      <c r="AF281" s="591"/>
      <c r="AG281" s="591"/>
      <c r="AH281" s="591"/>
      <c r="AI281" s="591"/>
      <c r="AJ281" s="591"/>
      <c r="AK281" s="591"/>
      <c r="AL281" s="591"/>
      <c r="AM281" s="591"/>
      <c r="AN281" s="591"/>
      <c r="AO281" s="591"/>
      <c r="AP281" s="591"/>
      <c r="AQ281" s="591"/>
      <c r="AR281" s="591"/>
      <c r="AS281" s="591"/>
      <c r="AT281" s="591"/>
      <c r="AU281" s="591"/>
      <c r="AV281" s="591"/>
      <c r="AW281" s="591"/>
      <c r="AX281" s="591"/>
      <c r="AY281" s="591"/>
      <c r="AZ281" s="591"/>
      <c r="BA281" s="591"/>
      <c r="BB281" s="591"/>
      <c r="BC281" s="591"/>
      <c r="BD281" s="591"/>
      <c r="BE281" s="591"/>
      <c r="BF281" s="591"/>
      <c r="BG281" s="591"/>
      <c r="BH281" s="591"/>
      <c r="BI281" s="591"/>
      <c r="BJ281" s="591"/>
      <c r="BK281" s="591"/>
      <c r="BL281" s="591"/>
      <c r="BM281" s="591"/>
      <c r="BN281" s="591"/>
      <c r="BO281" s="591"/>
      <c r="BP281" s="591"/>
      <c r="BQ281" s="591"/>
      <c r="BR281" s="591"/>
      <c r="BS281" s="591"/>
      <c r="BT281" s="591"/>
      <c r="BU281" s="591"/>
      <c r="BV281" s="591"/>
      <c r="BW281" s="591"/>
      <c r="BX281" s="591"/>
      <c r="BY281" s="591"/>
      <c r="BZ281" s="591"/>
      <c r="CA281" s="591"/>
      <c r="CB281" s="591"/>
      <c r="CC281" s="591"/>
      <c r="CD281" s="591"/>
      <c r="CE281" s="591"/>
      <c r="CF281" s="591"/>
    </row>
    <row r="282" spans="1:84">
      <c r="A282" s="591"/>
      <c r="B282" s="591"/>
      <c r="C282" s="591"/>
      <c r="D282" s="591"/>
      <c r="E282" s="591"/>
      <c r="F282" s="591"/>
      <c r="G282" s="591"/>
      <c r="H282" s="591"/>
      <c r="I282" s="591"/>
      <c r="J282" s="591"/>
      <c r="K282" s="591"/>
      <c r="L282" s="591"/>
      <c r="M282" s="591"/>
      <c r="N282" s="591"/>
      <c r="O282" s="591"/>
      <c r="P282" s="591"/>
      <c r="Q282" s="591"/>
      <c r="R282" s="591"/>
      <c r="S282" s="591"/>
      <c r="T282" s="591"/>
      <c r="U282" s="591"/>
      <c r="V282" s="591"/>
      <c r="W282" s="591"/>
      <c r="X282" s="591"/>
      <c r="Y282" s="591"/>
      <c r="Z282" s="591"/>
      <c r="AA282" s="591"/>
      <c r="AB282" s="591"/>
      <c r="AC282" s="591"/>
      <c r="AD282" s="591"/>
      <c r="AE282" s="591"/>
      <c r="AF282" s="591"/>
      <c r="AG282" s="591"/>
      <c r="AH282" s="591"/>
      <c r="AI282" s="591"/>
      <c r="AJ282" s="591"/>
      <c r="AK282" s="591"/>
      <c r="AL282" s="591"/>
      <c r="AM282" s="591"/>
      <c r="AN282" s="591"/>
      <c r="AO282" s="591"/>
      <c r="AP282" s="591"/>
      <c r="AQ282" s="591"/>
      <c r="AR282" s="591"/>
      <c r="AS282" s="591"/>
      <c r="AT282" s="591"/>
      <c r="AU282" s="591"/>
      <c r="AV282" s="591"/>
      <c r="AW282" s="591"/>
      <c r="AX282" s="591"/>
      <c r="AY282" s="591"/>
      <c r="AZ282" s="591"/>
      <c r="BA282" s="591"/>
      <c r="BB282" s="591"/>
      <c r="BC282" s="591"/>
      <c r="BD282" s="591"/>
      <c r="BE282" s="591"/>
      <c r="BF282" s="591"/>
      <c r="BG282" s="591"/>
      <c r="BH282" s="591"/>
      <c r="BI282" s="591"/>
      <c r="BJ282" s="591"/>
      <c r="BK282" s="591"/>
      <c r="BL282" s="591"/>
      <c r="BM282" s="591"/>
      <c r="BN282" s="591"/>
      <c r="BO282" s="591"/>
      <c r="BP282" s="591"/>
      <c r="BQ282" s="591"/>
      <c r="BR282" s="591"/>
      <c r="BS282" s="591"/>
      <c r="BT282" s="591"/>
      <c r="BU282" s="591"/>
      <c r="BV282" s="591"/>
      <c r="BW282" s="591"/>
      <c r="BX282" s="591"/>
      <c r="BY282" s="591"/>
      <c r="BZ282" s="591"/>
      <c r="CA282" s="591"/>
      <c r="CB282" s="591"/>
      <c r="CC282" s="591"/>
      <c r="CD282" s="591"/>
      <c r="CE282" s="591"/>
      <c r="CF282" s="591"/>
    </row>
    <row r="283" spans="1:84">
      <c r="A283" s="591"/>
      <c r="B283" s="591"/>
      <c r="C283" s="591"/>
      <c r="D283" s="591"/>
      <c r="E283" s="591"/>
      <c r="F283" s="591"/>
      <c r="G283" s="591"/>
      <c r="H283" s="591"/>
      <c r="I283" s="591"/>
      <c r="J283" s="591"/>
      <c r="K283" s="591"/>
      <c r="L283" s="591"/>
      <c r="M283" s="591"/>
      <c r="N283" s="591"/>
      <c r="O283" s="591"/>
      <c r="P283" s="591"/>
      <c r="Q283" s="591"/>
      <c r="R283" s="591"/>
      <c r="S283" s="591"/>
      <c r="T283" s="591"/>
      <c r="U283" s="591"/>
      <c r="V283" s="591"/>
      <c r="W283" s="591"/>
      <c r="X283" s="591"/>
      <c r="Y283" s="591"/>
      <c r="Z283" s="591"/>
      <c r="AA283" s="591"/>
      <c r="AB283" s="591"/>
      <c r="AC283" s="591"/>
      <c r="AD283" s="591"/>
      <c r="AE283" s="591"/>
      <c r="AF283" s="591"/>
      <c r="AG283" s="591"/>
      <c r="AH283" s="591"/>
      <c r="AI283" s="591"/>
      <c r="AJ283" s="591"/>
      <c r="AK283" s="591"/>
      <c r="AL283" s="591"/>
      <c r="AM283" s="591"/>
      <c r="AN283" s="591"/>
      <c r="AO283" s="591"/>
      <c r="AP283" s="591"/>
      <c r="AQ283" s="591"/>
      <c r="AR283" s="591"/>
      <c r="AS283" s="591"/>
      <c r="AT283" s="591"/>
      <c r="AU283" s="591"/>
      <c r="AV283" s="591"/>
      <c r="AW283" s="591"/>
      <c r="AX283" s="591"/>
      <c r="AY283" s="591"/>
      <c r="AZ283" s="591"/>
      <c r="BA283" s="591"/>
      <c r="BB283" s="591"/>
      <c r="BC283" s="591"/>
      <c r="BD283" s="591"/>
      <c r="BE283" s="591"/>
      <c r="BF283" s="591"/>
      <c r="BG283" s="591"/>
      <c r="BH283" s="591"/>
      <c r="BI283" s="591"/>
      <c r="BJ283" s="591"/>
      <c r="BK283" s="591"/>
      <c r="BL283" s="591"/>
      <c r="BM283" s="591"/>
      <c r="BN283" s="591"/>
      <c r="BO283" s="591"/>
      <c r="BP283" s="591"/>
      <c r="BQ283" s="591"/>
      <c r="BR283" s="591"/>
      <c r="BS283" s="591"/>
      <c r="BT283" s="591"/>
      <c r="BU283" s="591"/>
      <c r="BV283" s="591"/>
      <c r="BW283" s="591"/>
      <c r="BX283" s="591"/>
      <c r="BY283" s="591"/>
      <c r="BZ283" s="591"/>
      <c r="CA283" s="591"/>
      <c r="CB283" s="591"/>
      <c r="CC283" s="591"/>
      <c r="CD283" s="591"/>
      <c r="CE283" s="591"/>
      <c r="CF283" s="591"/>
    </row>
    <row r="284" spans="1:84">
      <c r="A284" s="591"/>
      <c r="B284" s="591"/>
      <c r="C284" s="591"/>
      <c r="D284" s="591"/>
      <c r="E284" s="591"/>
      <c r="F284" s="591"/>
      <c r="G284" s="591"/>
      <c r="H284" s="591"/>
      <c r="I284" s="591"/>
      <c r="J284" s="591"/>
      <c r="K284" s="591"/>
      <c r="L284" s="591"/>
      <c r="M284" s="591"/>
      <c r="N284" s="591"/>
      <c r="O284" s="591"/>
      <c r="P284" s="591"/>
      <c r="Q284" s="591"/>
      <c r="R284" s="591"/>
      <c r="S284" s="591"/>
      <c r="T284" s="591"/>
      <c r="U284" s="591"/>
      <c r="V284" s="591"/>
      <c r="W284" s="591"/>
      <c r="X284" s="591"/>
      <c r="Y284" s="591"/>
      <c r="Z284" s="591"/>
      <c r="AA284" s="591"/>
      <c r="AB284" s="591"/>
      <c r="AC284" s="591"/>
      <c r="AD284" s="591"/>
      <c r="AE284" s="591"/>
      <c r="AF284" s="591"/>
      <c r="AG284" s="591"/>
      <c r="AH284" s="591"/>
      <c r="AI284" s="591"/>
      <c r="AJ284" s="591"/>
      <c r="AK284" s="591"/>
      <c r="AL284" s="591"/>
      <c r="AM284" s="591"/>
      <c r="AN284" s="591"/>
      <c r="AO284" s="591"/>
      <c r="AP284" s="591"/>
      <c r="AQ284" s="591"/>
      <c r="AR284" s="591"/>
      <c r="AS284" s="591"/>
      <c r="AT284" s="591"/>
      <c r="AU284" s="591"/>
      <c r="AV284" s="591"/>
      <c r="AW284" s="591"/>
      <c r="AX284" s="591"/>
      <c r="AY284" s="591"/>
      <c r="AZ284" s="591"/>
      <c r="BA284" s="591"/>
      <c r="BB284" s="591"/>
      <c r="BC284" s="591"/>
      <c r="BD284" s="591"/>
      <c r="BE284" s="591"/>
      <c r="BF284" s="591"/>
      <c r="BG284" s="591"/>
      <c r="BH284" s="591"/>
      <c r="BI284" s="591"/>
      <c r="BJ284" s="591"/>
      <c r="BK284" s="591"/>
      <c r="BL284" s="591"/>
      <c r="BM284" s="591"/>
      <c r="BN284" s="591"/>
      <c r="BO284" s="591"/>
      <c r="BP284" s="591"/>
      <c r="BQ284" s="591"/>
      <c r="BR284" s="591"/>
      <c r="BS284" s="591"/>
      <c r="BT284" s="591"/>
      <c r="BU284" s="591"/>
      <c r="BV284" s="591"/>
      <c r="BW284" s="591"/>
      <c r="BX284" s="591"/>
      <c r="BY284" s="591"/>
      <c r="BZ284" s="591"/>
      <c r="CA284" s="591"/>
      <c r="CB284" s="591"/>
      <c r="CC284" s="591"/>
      <c r="CD284" s="591"/>
      <c r="CE284" s="591"/>
      <c r="CF284" s="591"/>
    </row>
    <row r="285" spans="1:84">
      <c r="A285" s="591"/>
      <c r="B285" s="591"/>
      <c r="C285" s="591"/>
      <c r="D285" s="591"/>
      <c r="E285" s="591"/>
      <c r="F285" s="591"/>
      <c r="G285" s="591"/>
      <c r="H285" s="591"/>
      <c r="I285" s="591"/>
      <c r="J285" s="591"/>
      <c r="K285" s="591"/>
      <c r="L285" s="591"/>
      <c r="M285" s="591"/>
      <c r="N285" s="591"/>
      <c r="O285" s="591"/>
      <c r="P285" s="591"/>
      <c r="Q285" s="591"/>
      <c r="R285" s="591"/>
      <c r="S285" s="591"/>
      <c r="T285" s="591"/>
      <c r="U285" s="591"/>
      <c r="V285" s="591"/>
      <c r="W285" s="591"/>
      <c r="X285" s="591"/>
      <c r="Y285" s="591"/>
      <c r="Z285" s="591"/>
      <c r="AA285" s="591"/>
      <c r="AB285" s="591"/>
      <c r="AC285" s="591"/>
      <c r="AD285" s="591"/>
      <c r="AE285" s="591"/>
      <c r="AF285" s="591"/>
      <c r="AG285" s="591"/>
      <c r="AH285" s="591"/>
      <c r="AI285" s="591"/>
      <c r="AJ285" s="591"/>
      <c r="AK285" s="591"/>
      <c r="AL285" s="591"/>
      <c r="AM285" s="591"/>
      <c r="AN285" s="591"/>
      <c r="AO285" s="591"/>
      <c r="AP285" s="591"/>
      <c r="AQ285" s="591"/>
      <c r="AR285" s="591"/>
      <c r="AS285" s="591"/>
      <c r="AT285" s="591"/>
      <c r="AU285" s="591"/>
      <c r="AV285" s="591"/>
      <c r="AW285" s="591"/>
      <c r="AX285" s="591"/>
      <c r="AY285" s="591"/>
      <c r="AZ285" s="591"/>
      <c r="BA285" s="591"/>
      <c r="BB285" s="591"/>
      <c r="BC285" s="591"/>
      <c r="BD285" s="591"/>
      <c r="BE285" s="591"/>
      <c r="BF285" s="591"/>
      <c r="BG285" s="591"/>
      <c r="BH285" s="591"/>
      <c r="BI285" s="591"/>
      <c r="BJ285" s="591"/>
      <c r="BK285" s="591"/>
      <c r="BL285" s="591"/>
      <c r="BM285" s="591"/>
      <c r="BN285" s="591"/>
      <c r="BO285" s="591"/>
      <c r="BP285" s="591"/>
      <c r="BQ285" s="591"/>
      <c r="BR285" s="591"/>
      <c r="BS285" s="591"/>
      <c r="BT285" s="591"/>
      <c r="BU285" s="591"/>
      <c r="BV285" s="591"/>
      <c r="BW285" s="591"/>
      <c r="BX285" s="591"/>
      <c r="BY285" s="591"/>
      <c r="BZ285" s="591"/>
      <c r="CA285" s="591"/>
      <c r="CB285" s="591"/>
      <c r="CC285" s="591"/>
      <c r="CD285" s="591"/>
      <c r="CE285" s="591"/>
      <c r="CF285" s="591"/>
    </row>
    <row r="286" spans="1:84">
      <c r="A286" s="591"/>
      <c r="B286" s="591"/>
      <c r="C286" s="591"/>
      <c r="D286" s="591"/>
      <c r="E286" s="591"/>
      <c r="F286" s="591"/>
      <c r="G286" s="591"/>
      <c r="H286" s="591"/>
      <c r="I286" s="591"/>
      <c r="J286" s="591"/>
      <c r="K286" s="591"/>
      <c r="L286" s="591"/>
      <c r="M286" s="591"/>
      <c r="N286" s="591"/>
      <c r="O286" s="591"/>
      <c r="P286" s="591"/>
      <c r="Q286" s="591"/>
      <c r="R286" s="591"/>
      <c r="S286" s="591"/>
      <c r="T286" s="591"/>
      <c r="U286" s="591"/>
      <c r="V286" s="591"/>
      <c r="W286" s="591"/>
      <c r="X286" s="591"/>
      <c r="Y286" s="591"/>
      <c r="Z286" s="591"/>
      <c r="AA286" s="591"/>
      <c r="AB286" s="591"/>
      <c r="AC286" s="591"/>
      <c r="AD286" s="591"/>
      <c r="AE286" s="591"/>
      <c r="AF286" s="591"/>
      <c r="AG286" s="591"/>
      <c r="AH286" s="591"/>
      <c r="AI286" s="591"/>
      <c r="AJ286" s="591"/>
      <c r="AK286" s="591"/>
      <c r="AL286" s="591"/>
      <c r="AM286" s="591"/>
      <c r="AN286" s="591"/>
      <c r="AO286" s="591"/>
      <c r="AP286" s="591"/>
      <c r="AQ286" s="591"/>
      <c r="AR286" s="591"/>
      <c r="AS286" s="591"/>
      <c r="AT286" s="591"/>
      <c r="AU286" s="591"/>
      <c r="AV286" s="591"/>
      <c r="AW286" s="591"/>
      <c r="AX286" s="591"/>
      <c r="AY286" s="591"/>
      <c r="AZ286" s="591"/>
      <c r="BA286" s="591"/>
      <c r="BB286" s="591"/>
      <c r="BC286" s="591"/>
      <c r="BD286" s="591"/>
      <c r="BE286" s="591"/>
      <c r="BF286" s="591"/>
      <c r="BG286" s="591"/>
      <c r="BH286" s="591"/>
      <c r="BI286" s="591"/>
      <c r="BJ286" s="591"/>
      <c r="BK286" s="591"/>
      <c r="BL286" s="591"/>
      <c r="BM286" s="591"/>
      <c r="BN286" s="591"/>
      <c r="BO286" s="591"/>
      <c r="BP286" s="591"/>
      <c r="BQ286" s="591"/>
      <c r="BR286" s="591"/>
      <c r="BS286" s="591"/>
      <c r="BT286" s="591"/>
      <c r="BU286" s="591"/>
      <c r="BV286" s="591"/>
      <c r="BW286" s="591"/>
      <c r="BX286" s="591"/>
      <c r="BY286" s="591"/>
      <c r="BZ286" s="591"/>
      <c r="CA286" s="591"/>
      <c r="CB286" s="591"/>
      <c r="CC286" s="591"/>
      <c r="CD286" s="591"/>
      <c r="CE286" s="591"/>
      <c r="CF286" s="591"/>
    </row>
    <row r="287" spans="1:84">
      <c r="A287" s="591"/>
      <c r="B287" s="591"/>
      <c r="C287" s="591"/>
      <c r="D287" s="591"/>
      <c r="E287" s="591"/>
      <c r="F287" s="591"/>
      <c r="G287" s="591"/>
      <c r="H287" s="591"/>
      <c r="I287" s="591"/>
      <c r="J287" s="591"/>
      <c r="K287" s="591"/>
      <c r="L287" s="591"/>
      <c r="M287" s="591"/>
      <c r="N287" s="591"/>
      <c r="O287" s="591"/>
      <c r="P287" s="591"/>
      <c r="Q287" s="591"/>
      <c r="R287" s="591"/>
      <c r="S287" s="591"/>
      <c r="T287" s="591"/>
      <c r="U287" s="591"/>
      <c r="V287" s="591"/>
      <c r="W287" s="591"/>
      <c r="X287" s="591"/>
      <c r="Y287" s="591"/>
      <c r="Z287" s="591"/>
      <c r="AA287" s="591"/>
      <c r="AB287" s="591"/>
      <c r="AC287" s="591"/>
      <c r="AD287" s="591"/>
      <c r="AE287" s="591"/>
      <c r="AF287" s="591"/>
      <c r="AG287" s="591"/>
      <c r="AH287" s="591"/>
      <c r="AI287" s="591"/>
      <c r="AJ287" s="591"/>
      <c r="AK287" s="591"/>
      <c r="AL287" s="591"/>
      <c r="AM287" s="591"/>
      <c r="AN287" s="591"/>
      <c r="AO287" s="591"/>
      <c r="AP287" s="591"/>
      <c r="AQ287" s="591"/>
      <c r="AR287" s="591"/>
      <c r="AS287" s="591"/>
      <c r="AT287" s="591"/>
      <c r="AU287" s="591"/>
      <c r="AV287" s="591"/>
      <c r="AW287" s="591"/>
      <c r="AX287" s="591"/>
      <c r="AY287" s="591"/>
      <c r="AZ287" s="591"/>
      <c r="BA287" s="591"/>
      <c r="BB287" s="591"/>
      <c r="BC287" s="591"/>
      <c r="BD287" s="591"/>
      <c r="BE287" s="591"/>
      <c r="BF287" s="591"/>
      <c r="BG287" s="591"/>
      <c r="BH287" s="591"/>
      <c r="BI287" s="591"/>
      <c r="BJ287" s="591"/>
      <c r="BK287" s="591"/>
      <c r="BL287" s="591"/>
      <c r="BM287" s="591"/>
      <c r="BN287" s="591"/>
      <c r="BO287" s="591"/>
      <c r="BP287" s="591"/>
      <c r="BQ287" s="591"/>
      <c r="BR287" s="591"/>
      <c r="BS287" s="591"/>
      <c r="BT287" s="591"/>
      <c r="BU287" s="591"/>
      <c r="BV287" s="591"/>
      <c r="BW287" s="591"/>
      <c r="BX287" s="591"/>
      <c r="BY287" s="591"/>
      <c r="BZ287" s="591"/>
      <c r="CA287" s="591"/>
      <c r="CB287" s="591"/>
      <c r="CC287" s="591"/>
      <c r="CD287" s="591"/>
      <c r="CE287" s="591"/>
      <c r="CF287" s="591"/>
    </row>
    <row r="288" spans="1:84">
      <c r="A288" s="591"/>
      <c r="B288" s="591"/>
      <c r="C288" s="591"/>
      <c r="D288" s="591"/>
      <c r="E288" s="591"/>
      <c r="F288" s="591"/>
      <c r="G288" s="591"/>
      <c r="H288" s="591"/>
      <c r="I288" s="591"/>
      <c r="J288" s="591"/>
      <c r="K288" s="591"/>
      <c r="L288" s="591"/>
      <c r="M288" s="591"/>
      <c r="N288" s="591"/>
      <c r="O288" s="591"/>
      <c r="P288" s="591"/>
      <c r="Q288" s="591"/>
      <c r="R288" s="591"/>
      <c r="S288" s="591"/>
      <c r="T288" s="591"/>
      <c r="U288" s="591"/>
      <c r="V288" s="591"/>
      <c r="W288" s="591"/>
      <c r="X288" s="591"/>
      <c r="Y288" s="591"/>
      <c r="Z288" s="591"/>
      <c r="AA288" s="591"/>
      <c r="AB288" s="591"/>
      <c r="AC288" s="591"/>
      <c r="AD288" s="591"/>
      <c r="AE288" s="591"/>
      <c r="AF288" s="591"/>
      <c r="AG288" s="591"/>
      <c r="AH288" s="591"/>
      <c r="AI288" s="591"/>
      <c r="AJ288" s="591"/>
      <c r="AK288" s="591"/>
      <c r="AL288" s="591"/>
      <c r="AM288" s="591"/>
      <c r="AN288" s="591"/>
      <c r="AO288" s="591"/>
      <c r="AP288" s="591"/>
      <c r="AQ288" s="591"/>
      <c r="AR288" s="591"/>
      <c r="AS288" s="591"/>
      <c r="AT288" s="591"/>
      <c r="AU288" s="591"/>
      <c r="AV288" s="591"/>
      <c r="AW288" s="591"/>
      <c r="AX288" s="591"/>
      <c r="AY288" s="591"/>
      <c r="AZ288" s="591"/>
      <c r="BA288" s="591"/>
      <c r="BB288" s="591"/>
      <c r="BC288" s="591"/>
      <c r="BD288" s="591"/>
      <c r="BE288" s="591"/>
      <c r="BF288" s="591"/>
      <c r="BG288" s="591"/>
      <c r="BH288" s="591"/>
      <c r="BI288" s="591"/>
      <c r="BJ288" s="591"/>
      <c r="BK288" s="591"/>
      <c r="BL288" s="591"/>
      <c r="BM288" s="591"/>
      <c r="BN288" s="591"/>
      <c r="BO288" s="591"/>
      <c r="BP288" s="591"/>
      <c r="BQ288" s="591"/>
      <c r="BR288" s="591"/>
      <c r="BS288" s="591"/>
      <c r="BT288" s="591"/>
      <c r="BU288" s="591"/>
      <c r="BV288" s="591"/>
      <c r="BW288" s="591"/>
      <c r="BX288" s="591"/>
      <c r="BY288" s="591"/>
      <c r="BZ288" s="591"/>
      <c r="CA288" s="591"/>
      <c r="CB288" s="591"/>
      <c r="CC288" s="591"/>
      <c r="CD288" s="591"/>
      <c r="CE288" s="591"/>
      <c r="CF288" s="591"/>
    </row>
    <row r="289" spans="1:84">
      <c r="A289" s="591"/>
      <c r="B289" s="591"/>
      <c r="C289" s="591"/>
      <c r="D289" s="591"/>
      <c r="E289" s="591"/>
      <c r="F289" s="591"/>
      <c r="G289" s="591"/>
      <c r="H289" s="591"/>
      <c r="I289" s="591"/>
      <c r="J289" s="591"/>
      <c r="K289" s="591"/>
      <c r="L289" s="591"/>
      <c r="M289" s="591"/>
      <c r="N289" s="591"/>
      <c r="O289" s="591"/>
      <c r="P289" s="591"/>
      <c r="Q289" s="591"/>
      <c r="R289" s="591"/>
      <c r="S289" s="591"/>
      <c r="T289" s="591"/>
      <c r="U289" s="591"/>
      <c r="V289" s="591"/>
      <c r="W289" s="591"/>
      <c r="X289" s="591"/>
      <c r="Y289" s="591"/>
      <c r="Z289" s="591"/>
      <c r="AA289" s="591"/>
      <c r="AB289" s="591"/>
      <c r="AC289" s="591"/>
      <c r="AD289" s="591"/>
      <c r="AE289" s="591"/>
      <c r="AF289" s="591"/>
      <c r="AG289" s="591"/>
      <c r="AH289" s="591"/>
      <c r="AI289" s="591"/>
      <c r="AJ289" s="591"/>
      <c r="AK289" s="591"/>
      <c r="AL289" s="591"/>
      <c r="AM289" s="591"/>
      <c r="AN289" s="591"/>
      <c r="AO289" s="591"/>
      <c r="AP289" s="591"/>
      <c r="AQ289" s="591"/>
      <c r="AR289" s="591"/>
      <c r="AS289" s="591"/>
      <c r="AT289" s="591"/>
      <c r="AU289" s="591"/>
      <c r="AV289" s="591"/>
      <c r="AW289" s="591"/>
      <c r="AX289" s="591"/>
      <c r="AY289" s="591"/>
      <c r="AZ289" s="591"/>
      <c r="BA289" s="591"/>
      <c r="BB289" s="591"/>
      <c r="BC289" s="591"/>
      <c r="BD289" s="591"/>
      <c r="BE289" s="591"/>
      <c r="BF289" s="591"/>
      <c r="BG289" s="591"/>
      <c r="BH289" s="591"/>
      <c r="BI289" s="591"/>
      <c r="BJ289" s="591"/>
      <c r="BK289" s="591"/>
      <c r="BL289" s="591"/>
      <c r="BM289" s="591"/>
      <c r="BN289" s="591"/>
      <c r="BO289" s="591"/>
      <c r="BP289" s="591"/>
      <c r="BQ289" s="591"/>
      <c r="BR289" s="591"/>
      <c r="BS289" s="591"/>
      <c r="BT289" s="591"/>
      <c r="BU289" s="591"/>
      <c r="BV289" s="591"/>
      <c r="BW289" s="591"/>
      <c r="BX289" s="591"/>
      <c r="BY289" s="591"/>
      <c r="BZ289" s="591"/>
      <c r="CA289" s="591"/>
      <c r="CB289" s="591"/>
      <c r="CC289" s="591"/>
      <c r="CD289" s="591"/>
      <c r="CE289" s="591"/>
      <c r="CF289" s="591"/>
    </row>
    <row r="290" spans="1:84">
      <c r="A290" s="591"/>
      <c r="B290" s="591"/>
      <c r="C290" s="591"/>
      <c r="D290" s="591"/>
      <c r="E290" s="591"/>
      <c r="F290" s="591"/>
      <c r="G290" s="591"/>
      <c r="H290" s="591"/>
      <c r="I290" s="591"/>
      <c r="J290" s="591"/>
      <c r="K290" s="591"/>
      <c r="L290" s="591"/>
      <c r="M290" s="591"/>
      <c r="N290" s="591"/>
      <c r="O290" s="591"/>
      <c r="P290" s="591"/>
      <c r="Q290" s="591"/>
      <c r="R290" s="591"/>
      <c r="S290" s="591"/>
      <c r="T290" s="591"/>
      <c r="U290" s="591"/>
      <c r="V290" s="591"/>
      <c r="W290" s="591"/>
      <c r="X290" s="591"/>
      <c r="Y290" s="591"/>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c r="BD290" s="591"/>
      <c r="BE290" s="591"/>
      <c r="BF290" s="591"/>
      <c r="BG290" s="591"/>
      <c r="BH290" s="591"/>
      <c r="BI290" s="591"/>
      <c r="BJ290" s="591"/>
      <c r="BK290" s="591"/>
      <c r="BL290" s="591"/>
      <c r="BM290" s="591"/>
      <c r="BN290" s="591"/>
      <c r="BO290" s="591"/>
      <c r="BP290" s="591"/>
      <c r="BQ290" s="591"/>
      <c r="BR290" s="591"/>
      <c r="BS290" s="591"/>
      <c r="BT290" s="591"/>
      <c r="BU290" s="591"/>
      <c r="BV290" s="591"/>
      <c r="BW290" s="591"/>
      <c r="BX290" s="591"/>
      <c r="BY290" s="591"/>
      <c r="BZ290" s="591"/>
      <c r="CA290" s="591"/>
      <c r="CB290" s="591"/>
      <c r="CC290" s="591"/>
      <c r="CD290" s="591"/>
      <c r="CE290" s="591"/>
      <c r="CF290" s="591"/>
    </row>
    <row r="291" spans="1:84">
      <c r="A291" s="591"/>
      <c r="B291" s="591"/>
      <c r="C291" s="591"/>
      <c r="D291" s="591"/>
      <c r="E291" s="591"/>
      <c r="F291" s="591"/>
      <c r="G291" s="591"/>
      <c r="H291" s="591"/>
      <c r="I291" s="591"/>
      <c r="J291" s="591"/>
      <c r="K291" s="591"/>
      <c r="L291" s="591"/>
      <c r="M291" s="591"/>
      <c r="N291" s="591"/>
      <c r="O291" s="591"/>
      <c r="P291" s="591"/>
      <c r="Q291" s="591"/>
      <c r="R291" s="591"/>
      <c r="S291" s="591"/>
      <c r="T291" s="591"/>
      <c r="U291" s="591"/>
      <c r="V291" s="591"/>
      <c r="W291" s="591"/>
      <c r="X291" s="591"/>
      <c r="Y291" s="591"/>
      <c r="Z291" s="591"/>
      <c r="AA291" s="591"/>
      <c r="AB291" s="591"/>
      <c r="AC291" s="591"/>
      <c r="AD291" s="591"/>
      <c r="AE291" s="591"/>
      <c r="AF291" s="591"/>
      <c r="AG291" s="591"/>
      <c r="AH291" s="591"/>
      <c r="AI291" s="591"/>
      <c r="AJ291" s="591"/>
      <c r="AK291" s="591"/>
      <c r="AL291" s="591"/>
      <c r="AM291" s="591"/>
      <c r="AN291" s="591"/>
      <c r="AO291" s="591"/>
      <c r="AP291" s="591"/>
      <c r="AQ291" s="591"/>
      <c r="AR291" s="591"/>
      <c r="AS291" s="591"/>
      <c r="AT291" s="591"/>
      <c r="AU291" s="591"/>
      <c r="AV291" s="591"/>
      <c r="AW291" s="591"/>
      <c r="AX291" s="591"/>
      <c r="AY291" s="591"/>
      <c r="AZ291" s="591"/>
      <c r="BA291" s="591"/>
      <c r="BB291" s="591"/>
      <c r="BC291" s="591"/>
      <c r="BD291" s="591"/>
      <c r="BE291" s="591"/>
      <c r="BF291" s="591"/>
      <c r="BG291" s="591"/>
      <c r="BH291" s="591"/>
      <c r="BI291" s="591"/>
      <c r="BJ291" s="591"/>
      <c r="BK291" s="591"/>
      <c r="BL291" s="591"/>
      <c r="BM291" s="591"/>
      <c r="BN291" s="591"/>
      <c r="BO291" s="591"/>
      <c r="BP291" s="591"/>
      <c r="BQ291" s="591"/>
      <c r="BR291" s="591"/>
      <c r="BS291" s="591"/>
      <c r="BT291" s="591"/>
      <c r="BU291" s="591"/>
      <c r="BV291" s="591"/>
      <c r="BW291" s="591"/>
      <c r="BX291" s="591"/>
      <c r="BY291" s="591"/>
      <c r="BZ291" s="591"/>
      <c r="CA291" s="591"/>
      <c r="CB291" s="591"/>
      <c r="CC291" s="591"/>
      <c r="CD291" s="591"/>
      <c r="CE291" s="591"/>
      <c r="CF291" s="591"/>
    </row>
    <row r="292" spans="1:84">
      <c r="A292" s="591"/>
      <c r="B292" s="591"/>
      <c r="C292" s="591"/>
      <c r="D292" s="591"/>
      <c r="E292" s="591"/>
      <c r="F292" s="591"/>
      <c r="G292" s="591"/>
      <c r="H292" s="591"/>
      <c r="I292" s="591"/>
      <c r="J292" s="591"/>
      <c r="K292" s="591"/>
      <c r="L292" s="591"/>
      <c r="M292" s="591"/>
      <c r="N292" s="591"/>
      <c r="O292" s="591"/>
      <c r="P292" s="591"/>
      <c r="Q292" s="591"/>
      <c r="R292" s="591"/>
      <c r="S292" s="591"/>
      <c r="T292" s="591"/>
      <c r="U292" s="591"/>
      <c r="V292" s="591"/>
      <c r="W292" s="591"/>
      <c r="X292" s="591"/>
      <c r="Y292" s="591"/>
      <c r="Z292" s="591"/>
      <c r="AA292" s="591"/>
      <c r="AB292" s="591"/>
      <c r="AC292" s="591"/>
      <c r="AD292" s="591"/>
      <c r="AE292" s="591"/>
      <c r="AF292" s="591"/>
      <c r="AG292" s="591"/>
      <c r="AH292" s="591"/>
      <c r="AI292" s="591"/>
      <c r="AJ292" s="591"/>
      <c r="AK292" s="591"/>
      <c r="AL292" s="591"/>
      <c r="AM292" s="591"/>
      <c r="AN292" s="591"/>
      <c r="AO292" s="591"/>
      <c r="AP292" s="591"/>
      <c r="AQ292" s="591"/>
      <c r="AR292" s="591"/>
      <c r="AS292" s="591"/>
      <c r="AT292" s="591"/>
      <c r="AU292" s="591"/>
      <c r="AV292" s="591"/>
      <c r="AW292" s="591"/>
      <c r="AX292" s="591"/>
      <c r="AY292" s="591"/>
      <c r="AZ292" s="591"/>
      <c r="BA292" s="591"/>
      <c r="BB292" s="591"/>
      <c r="BC292" s="591"/>
      <c r="BD292" s="591"/>
      <c r="BE292" s="591"/>
      <c r="BF292" s="591"/>
      <c r="BG292" s="591"/>
      <c r="BH292" s="591"/>
      <c r="BI292" s="591"/>
      <c r="BJ292" s="591"/>
      <c r="BK292" s="591"/>
      <c r="BL292" s="591"/>
      <c r="BM292" s="591"/>
      <c r="BN292" s="591"/>
      <c r="BO292" s="591"/>
      <c r="BP292" s="591"/>
      <c r="BQ292" s="591"/>
      <c r="BR292" s="591"/>
      <c r="BS292" s="591"/>
      <c r="BT292" s="591"/>
      <c r="BU292" s="591"/>
      <c r="BV292" s="591"/>
      <c r="BW292" s="591"/>
      <c r="BX292" s="591"/>
      <c r="BY292" s="591"/>
      <c r="BZ292" s="591"/>
      <c r="CA292" s="591"/>
      <c r="CB292" s="591"/>
      <c r="CC292" s="591"/>
      <c r="CD292" s="591"/>
      <c r="CE292" s="591"/>
      <c r="CF292" s="591"/>
    </row>
    <row r="293" spans="1:84">
      <c r="A293" s="591"/>
      <c r="B293" s="591"/>
      <c r="C293" s="591"/>
      <c r="D293" s="591"/>
      <c r="E293" s="591"/>
      <c r="F293" s="591"/>
      <c r="G293" s="591"/>
      <c r="H293" s="591"/>
      <c r="I293" s="591"/>
      <c r="J293" s="591"/>
      <c r="K293" s="591"/>
      <c r="L293" s="591"/>
      <c r="M293" s="591"/>
      <c r="N293" s="591"/>
      <c r="O293" s="591"/>
      <c r="P293" s="591"/>
      <c r="Q293" s="591"/>
      <c r="R293" s="591"/>
      <c r="S293" s="591"/>
      <c r="T293" s="591"/>
      <c r="U293" s="591"/>
      <c r="V293" s="591"/>
      <c r="W293" s="591"/>
      <c r="X293" s="591"/>
      <c r="Y293" s="591"/>
      <c r="Z293" s="591"/>
      <c r="AA293" s="591"/>
      <c r="AB293" s="591"/>
      <c r="AC293" s="591"/>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1"/>
      <c r="AY293" s="591"/>
      <c r="AZ293" s="591"/>
      <c r="BA293" s="591"/>
      <c r="BB293" s="591"/>
      <c r="BC293" s="591"/>
      <c r="BD293" s="591"/>
      <c r="BE293" s="591"/>
      <c r="BF293" s="591"/>
      <c r="BG293" s="591"/>
      <c r="BH293" s="591"/>
      <c r="BI293" s="591"/>
      <c r="BJ293" s="591"/>
      <c r="BK293" s="591"/>
      <c r="BL293" s="591"/>
      <c r="BM293" s="591"/>
      <c r="BN293" s="591"/>
      <c r="BO293" s="591"/>
      <c r="BP293" s="591"/>
      <c r="BQ293" s="591"/>
      <c r="BR293" s="591"/>
      <c r="BS293" s="591"/>
      <c r="BT293" s="591"/>
      <c r="BU293" s="591"/>
      <c r="BV293" s="591"/>
      <c r="BW293" s="591"/>
      <c r="BX293" s="591"/>
      <c r="BY293" s="591"/>
      <c r="BZ293" s="591"/>
      <c r="CA293" s="591"/>
      <c r="CB293" s="591"/>
      <c r="CC293" s="591"/>
      <c r="CD293" s="591"/>
      <c r="CE293" s="591"/>
      <c r="CF293" s="591"/>
    </row>
    <row r="294" spans="1:84">
      <c r="A294" s="591"/>
      <c r="B294" s="591"/>
      <c r="C294" s="591"/>
      <c r="D294" s="591"/>
      <c r="E294" s="591"/>
      <c r="F294" s="591"/>
      <c r="G294" s="591"/>
      <c r="H294" s="591"/>
      <c r="I294" s="591"/>
      <c r="J294" s="591"/>
      <c r="K294" s="591"/>
      <c r="L294" s="591"/>
      <c r="M294" s="591"/>
      <c r="N294" s="591"/>
      <c r="O294" s="591"/>
      <c r="P294" s="591"/>
      <c r="Q294" s="591"/>
      <c r="R294" s="591"/>
      <c r="S294" s="591"/>
      <c r="T294" s="591"/>
      <c r="U294" s="591"/>
      <c r="V294" s="591"/>
      <c r="W294" s="591"/>
      <c r="X294" s="591"/>
      <c r="Y294" s="591"/>
      <c r="Z294" s="591"/>
      <c r="AA294" s="591"/>
      <c r="AB294" s="591"/>
      <c r="AC294" s="591"/>
      <c r="AD294" s="591"/>
      <c r="AE294" s="591"/>
      <c r="AF294" s="591"/>
      <c r="AG294" s="591"/>
      <c r="AH294" s="591"/>
      <c r="AI294" s="591"/>
      <c r="AJ294" s="591"/>
      <c r="AK294" s="591"/>
      <c r="AL294" s="591"/>
      <c r="AM294" s="591"/>
      <c r="AN294" s="591"/>
      <c r="AO294" s="591"/>
      <c r="AP294" s="591"/>
      <c r="AQ294" s="591"/>
      <c r="AR294" s="591"/>
      <c r="AS294" s="591"/>
      <c r="AT294" s="591"/>
      <c r="AU294" s="591"/>
      <c r="AV294" s="591"/>
      <c r="AW294" s="591"/>
      <c r="AX294" s="591"/>
      <c r="AY294" s="591"/>
      <c r="AZ294" s="591"/>
      <c r="BA294" s="591"/>
      <c r="BB294" s="591"/>
      <c r="BC294" s="591"/>
      <c r="BD294" s="591"/>
      <c r="BE294" s="591"/>
      <c r="BF294" s="591"/>
      <c r="BG294" s="591"/>
      <c r="BH294" s="591"/>
      <c r="BI294" s="591"/>
      <c r="BJ294" s="591"/>
      <c r="BK294" s="591"/>
      <c r="BL294" s="591"/>
      <c r="BM294" s="591"/>
      <c r="BN294" s="591"/>
      <c r="BO294" s="591"/>
      <c r="BP294" s="591"/>
      <c r="BQ294" s="591"/>
      <c r="BR294" s="591"/>
      <c r="BS294" s="591"/>
      <c r="BT294" s="591"/>
      <c r="BU294" s="591"/>
      <c r="BV294" s="591"/>
      <c r="BW294" s="591"/>
      <c r="BX294" s="591"/>
      <c r="BY294" s="591"/>
      <c r="BZ294" s="591"/>
      <c r="CA294" s="591"/>
      <c r="CB294" s="591"/>
      <c r="CC294" s="591"/>
      <c r="CD294" s="591"/>
      <c r="CE294" s="591"/>
      <c r="CF294" s="591"/>
    </row>
    <row r="295" spans="1:84">
      <c r="A295" s="591"/>
      <c r="B295" s="591"/>
      <c r="C295" s="591"/>
      <c r="D295" s="591"/>
      <c r="E295" s="591"/>
      <c r="F295" s="591"/>
      <c r="G295" s="591"/>
      <c r="H295" s="591"/>
      <c r="I295" s="591"/>
      <c r="J295" s="591"/>
      <c r="K295" s="591"/>
      <c r="L295" s="591"/>
      <c r="M295" s="591"/>
      <c r="N295" s="591"/>
      <c r="O295" s="591"/>
      <c r="P295" s="591"/>
      <c r="Q295" s="591"/>
      <c r="R295" s="591"/>
      <c r="S295" s="591"/>
      <c r="T295" s="591"/>
      <c r="U295" s="591"/>
      <c r="V295" s="591"/>
      <c r="W295" s="591"/>
      <c r="X295" s="591"/>
      <c r="Y295" s="591"/>
      <c r="Z295" s="591"/>
      <c r="AA295" s="591"/>
      <c r="AB295" s="591"/>
      <c r="AC295" s="591"/>
      <c r="AD295" s="591"/>
      <c r="AE295" s="591"/>
      <c r="AF295" s="591"/>
      <c r="AG295" s="591"/>
      <c r="AH295" s="591"/>
      <c r="AI295" s="591"/>
      <c r="AJ295" s="591"/>
      <c r="AK295" s="591"/>
      <c r="AL295" s="591"/>
      <c r="AM295" s="591"/>
      <c r="AN295" s="591"/>
      <c r="AO295" s="591"/>
      <c r="AP295" s="591"/>
      <c r="AQ295" s="591"/>
      <c r="AR295" s="591"/>
      <c r="AS295" s="591"/>
      <c r="AT295" s="591"/>
      <c r="AU295" s="591"/>
      <c r="AV295" s="591"/>
      <c r="AW295" s="591"/>
      <c r="AX295" s="591"/>
      <c r="AY295" s="591"/>
      <c r="AZ295" s="591"/>
      <c r="BA295" s="591"/>
      <c r="BB295" s="591"/>
      <c r="BC295" s="591"/>
      <c r="BD295" s="591"/>
      <c r="BE295" s="591"/>
      <c r="BF295" s="591"/>
      <c r="BG295" s="591"/>
      <c r="BH295" s="591"/>
      <c r="BI295" s="591"/>
      <c r="BJ295" s="591"/>
      <c r="BK295" s="591"/>
      <c r="BL295" s="591"/>
      <c r="BM295" s="591"/>
      <c r="BN295" s="591"/>
      <c r="BO295" s="591"/>
      <c r="BP295" s="591"/>
      <c r="BQ295" s="591"/>
      <c r="BR295" s="591"/>
      <c r="BS295" s="591"/>
      <c r="BT295" s="591"/>
      <c r="BU295" s="591"/>
      <c r="BV295" s="591"/>
      <c r="BW295" s="591"/>
      <c r="BX295" s="591"/>
      <c r="BY295" s="591"/>
      <c r="BZ295" s="591"/>
      <c r="CA295" s="591"/>
      <c r="CB295" s="591"/>
      <c r="CC295" s="591"/>
      <c r="CD295" s="591"/>
      <c r="CE295" s="591"/>
      <c r="CF295" s="591"/>
    </row>
    <row r="296" spans="1:84">
      <c r="A296" s="591"/>
      <c r="B296" s="591"/>
      <c r="C296" s="591"/>
      <c r="D296" s="591"/>
      <c r="E296" s="591"/>
      <c r="F296" s="591"/>
      <c r="G296" s="591"/>
      <c r="H296" s="591"/>
      <c r="I296" s="591"/>
      <c r="J296" s="591"/>
      <c r="K296" s="591"/>
      <c r="L296" s="591"/>
      <c r="M296" s="591"/>
      <c r="N296" s="591"/>
      <c r="O296" s="591"/>
      <c r="P296" s="591"/>
      <c r="Q296" s="591"/>
      <c r="R296" s="591"/>
      <c r="S296" s="591"/>
      <c r="T296" s="591"/>
      <c r="U296" s="591"/>
      <c r="V296" s="591"/>
      <c r="W296" s="591"/>
      <c r="X296" s="591"/>
      <c r="Y296" s="591"/>
      <c r="Z296" s="591"/>
      <c r="AA296" s="591"/>
      <c r="AB296" s="591"/>
      <c r="AC296" s="591"/>
      <c r="AD296" s="591"/>
      <c r="AE296" s="591"/>
      <c r="AF296" s="591"/>
      <c r="AG296" s="591"/>
      <c r="AH296" s="591"/>
      <c r="AI296" s="591"/>
      <c r="AJ296" s="591"/>
      <c r="AK296" s="591"/>
      <c r="AL296" s="591"/>
      <c r="AM296" s="591"/>
      <c r="AN296" s="591"/>
      <c r="AO296" s="591"/>
      <c r="AP296" s="591"/>
      <c r="AQ296" s="591"/>
      <c r="AR296" s="591"/>
      <c r="AS296" s="591"/>
      <c r="AT296" s="591"/>
      <c r="AU296" s="591"/>
      <c r="AV296" s="591"/>
      <c r="AW296" s="591"/>
      <c r="AX296" s="591"/>
      <c r="AY296" s="591"/>
      <c r="AZ296" s="591"/>
      <c r="BA296" s="591"/>
      <c r="BB296" s="591"/>
      <c r="BC296" s="591"/>
      <c r="BD296" s="591"/>
      <c r="BE296" s="591"/>
      <c r="BF296" s="591"/>
      <c r="BG296" s="591"/>
      <c r="BH296" s="591"/>
      <c r="BI296" s="591"/>
      <c r="BJ296" s="591"/>
      <c r="BK296" s="591"/>
      <c r="BL296" s="591"/>
      <c r="BM296" s="591"/>
      <c r="BN296" s="591"/>
      <c r="BO296" s="591"/>
      <c r="BP296" s="591"/>
      <c r="BQ296" s="591"/>
      <c r="BR296" s="591"/>
      <c r="BS296" s="591"/>
      <c r="BT296" s="591"/>
      <c r="BU296" s="591"/>
      <c r="BV296" s="591"/>
      <c r="BW296" s="591"/>
      <c r="BX296" s="591"/>
      <c r="BY296" s="591"/>
      <c r="BZ296" s="591"/>
      <c r="CA296" s="591"/>
      <c r="CB296" s="591"/>
      <c r="CC296" s="591"/>
      <c r="CD296" s="591"/>
      <c r="CE296" s="591"/>
      <c r="CF296" s="591"/>
    </row>
    <row r="297" spans="1:84">
      <c r="A297" s="591"/>
      <c r="B297" s="591"/>
      <c r="C297" s="591"/>
      <c r="D297" s="591"/>
      <c r="E297" s="591"/>
      <c r="F297" s="591"/>
      <c r="G297" s="591"/>
      <c r="H297" s="591"/>
      <c r="I297" s="591"/>
      <c r="J297" s="591"/>
      <c r="K297" s="591"/>
      <c r="L297" s="591"/>
      <c r="M297" s="591"/>
      <c r="N297" s="591"/>
      <c r="O297" s="591"/>
      <c r="P297" s="591"/>
      <c r="Q297" s="591"/>
      <c r="R297" s="591"/>
      <c r="S297" s="591"/>
      <c r="T297" s="591"/>
      <c r="U297" s="591"/>
      <c r="V297" s="591"/>
      <c r="W297" s="591"/>
      <c r="X297" s="591"/>
      <c r="Y297" s="591"/>
      <c r="Z297" s="591"/>
      <c r="AA297" s="591"/>
      <c r="AB297" s="591"/>
      <c r="AC297" s="591"/>
      <c r="AD297" s="591"/>
      <c r="AE297" s="591"/>
      <c r="AF297" s="591"/>
      <c r="AG297" s="591"/>
      <c r="AH297" s="591"/>
      <c r="AI297" s="591"/>
      <c r="AJ297" s="591"/>
      <c r="AK297" s="591"/>
      <c r="AL297" s="591"/>
      <c r="AM297" s="591"/>
      <c r="AN297" s="591"/>
      <c r="AO297" s="591"/>
      <c r="AP297" s="591"/>
      <c r="AQ297" s="591"/>
      <c r="AR297" s="591"/>
      <c r="AS297" s="591"/>
      <c r="AT297" s="591"/>
      <c r="AU297" s="591"/>
      <c r="AV297" s="591"/>
      <c r="AW297" s="591"/>
      <c r="AX297" s="591"/>
      <c r="AY297" s="591"/>
      <c r="AZ297" s="591"/>
      <c r="BA297" s="591"/>
      <c r="BB297" s="591"/>
      <c r="BC297" s="591"/>
      <c r="BD297" s="591"/>
      <c r="BE297" s="591"/>
      <c r="BF297" s="591"/>
      <c r="BG297" s="591"/>
      <c r="BH297" s="591"/>
      <c r="BI297" s="591"/>
      <c r="BJ297" s="591"/>
      <c r="BK297" s="591"/>
      <c r="BL297" s="591"/>
      <c r="BM297" s="591"/>
      <c r="BN297" s="591"/>
      <c r="BO297" s="591"/>
      <c r="BP297" s="591"/>
      <c r="BQ297" s="591"/>
      <c r="BR297" s="591"/>
      <c r="BS297" s="591"/>
      <c r="BT297" s="591"/>
      <c r="BU297" s="591"/>
      <c r="BV297" s="591"/>
      <c r="BW297" s="591"/>
      <c r="BX297" s="591"/>
      <c r="BY297" s="591"/>
      <c r="BZ297" s="591"/>
      <c r="CA297" s="591"/>
      <c r="CB297" s="591"/>
      <c r="CC297" s="591"/>
      <c r="CD297" s="591"/>
      <c r="CE297" s="591"/>
      <c r="CF297" s="591"/>
    </row>
    <row r="298" spans="1:84">
      <c r="A298" s="591"/>
      <c r="B298" s="591"/>
      <c r="C298" s="591"/>
      <c r="D298" s="591"/>
      <c r="E298" s="591"/>
      <c r="F298" s="591"/>
      <c r="G298" s="591"/>
      <c r="H298" s="591"/>
      <c r="I298" s="591"/>
      <c r="J298" s="591"/>
      <c r="K298" s="591"/>
      <c r="L298" s="591"/>
      <c r="M298" s="591"/>
      <c r="N298" s="591"/>
      <c r="O298" s="591"/>
      <c r="P298" s="591"/>
      <c r="Q298" s="591"/>
      <c r="R298" s="591"/>
      <c r="S298" s="591"/>
      <c r="T298" s="591"/>
      <c r="U298" s="591"/>
      <c r="V298" s="591"/>
      <c r="W298" s="591"/>
      <c r="X298" s="591"/>
      <c r="Y298" s="591"/>
      <c r="Z298" s="591"/>
      <c r="AA298" s="591"/>
      <c r="AB298" s="591"/>
      <c r="AC298" s="591"/>
      <c r="AD298" s="591"/>
      <c r="AE298" s="591"/>
      <c r="AF298" s="591"/>
      <c r="AG298" s="591"/>
      <c r="AH298" s="591"/>
      <c r="AI298" s="591"/>
      <c r="AJ298" s="591"/>
      <c r="AK298" s="591"/>
      <c r="AL298" s="591"/>
      <c r="AM298" s="591"/>
      <c r="AN298" s="591"/>
      <c r="AO298" s="591"/>
      <c r="AP298" s="591"/>
      <c r="AQ298" s="591"/>
      <c r="AR298" s="591"/>
      <c r="AS298" s="591"/>
      <c r="AT298" s="591"/>
      <c r="AU298" s="591"/>
      <c r="AV298" s="591"/>
      <c r="AW298" s="591"/>
      <c r="AX298" s="591"/>
      <c r="AY298" s="591"/>
      <c r="AZ298" s="591"/>
      <c r="BA298" s="591"/>
      <c r="BB298" s="591"/>
      <c r="BC298" s="591"/>
      <c r="BD298" s="591"/>
      <c r="BE298" s="591"/>
      <c r="BF298" s="591"/>
      <c r="BG298" s="591"/>
      <c r="BH298" s="591"/>
      <c r="BI298" s="591"/>
      <c r="BJ298" s="591"/>
      <c r="BK298" s="591"/>
      <c r="BL298" s="591"/>
      <c r="BM298" s="591"/>
      <c r="BN298" s="591"/>
      <c r="BO298" s="591"/>
      <c r="BP298" s="591"/>
      <c r="BQ298" s="591"/>
      <c r="BR298" s="591"/>
      <c r="BS298" s="591"/>
      <c r="BT298" s="591"/>
      <c r="BU298" s="591"/>
      <c r="BV298" s="591"/>
      <c r="BW298" s="591"/>
      <c r="BX298" s="591"/>
      <c r="BY298" s="591"/>
      <c r="BZ298" s="591"/>
      <c r="CA298" s="591"/>
      <c r="CB298" s="591"/>
      <c r="CC298" s="591"/>
      <c r="CD298" s="591"/>
      <c r="CE298" s="591"/>
      <c r="CF298" s="591"/>
    </row>
    <row r="299" spans="1:84">
      <c r="A299" s="591"/>
      <c r="B299" s="591"/>
      <c r="C299" s="591"/>
      <c r="D299" s="591"/>
      <c r="E299" s="591"/>
      <c r="F299" s="591"/>
      <c r="G299" s="591"/>
      <c r="H299" s="591"/>
      <c r="I299" s="591"/>
      <c r="J299" s="591"/>
      <c r="K299" s="591"/>
      <c r="L299" s="591"/>
      <c r="M299" s="591"/>
      <c r="N299" s="591"/>
      <c r="O299" s="591"/>
      <c r="P299" s="591"/>
      <c r="Q299" s="591"/>
      <c r="R299" s="591"/>
      <c r="S299" s="591"/>
      <c r="T299" s="591"/>
      <c r="U299" s="591"/>
      <c r="V299" s="591"/>
      <c r="W299" s="591"/>
      <c r="X299" s="591"/>
      <c r="Y299" s="591"/>
      <c r="Z299" s="591"/>
      <c r="AA299" s="591"/>
      <c r="AB299" s="591"/>
      <c r="AC299" s="591"/>
      <c r="AD299" s="591"/>
      <c r="AE299" s="591"/>
      <c r="AF299" s="591"/>
      <c r="AG299" s="591"/>
      <c r="AH299" s="591"/>
      <c r="AI299" s="591"/>
      <c r="AJ299" s="591"/>
      <c r="AK299" s="591"/>
      <c r="AL299" s="591"/>
      <c r="AM299" s="591"/>
      <c r="AN299" s="591"/>
      <c r="AO299" s="591"/>
      <c r="AP299" s="591"/>
      <c r="AQ299" s="591"/>
      <c r="AR299" s="591"/>
      <c r="AS299" s="591"/>
      <c r="AT299" s="591"/>
      <c r="AU299" s="591"/>
      <c r="AV299" s="591"/>
      <c r="AW299" s="591"/>
      <c r="AX299" s="591"/>
      <c r="AY299" s="591"/>
      <c r="AZ299" s="591"/>
      <c r="BA299" s="591"/>
      <c r="BB299" s="591"/>
      <c r="BC299" s="591"/>
      <c r="BD299" s="591"/>
      <c r="BE299" s="591"/>
      <c r="BF299" s="591"/>
      <c r="BG299" s="591"/>
      <c r="BH299" s="591"/>
      <c r="BI299" s="591"/>
      <c r="BJ299" s="591"/>
      <c r="BK299" s="591"/>
      <c r="BL299" s="591"/>
      <c r="BM299" s="591"/>
      <c r="BN299" s="591"/>
      <c r="BO299" s="591"/>
      <c r="BP299" s="591"/>
      <c r="BQ299" s="591"/>
      <c r="BR299" s="591"/>
      <c r="BS299" s="591"/>
      <c r="BT299" s="591"/>
      <c r="BU299" s="591"/>
      <c r="BV299" s="591"/>
      <c r="BW299" s="591"/>
      <c r="BX299" s="591"/>
      <c r="BY299" s="591"/>
      <c r="BZ299" s="591"/>
      <c r="CA299" s="591"/>
      <c r="CB299" s="591"/>
      <c r="CC299" s="591"/>
      <c r="CD299" s="591"/>
      <c r="CE299" s="591"/>
      <c r="CF299" s="591"/>
    </row>
    <row r="300" spans="1:84">
      <c r="A300" s="591"/>
      <c r="B300" s="591"/>
      <c r="C300" s="591"/>
      <c r="D300" s="591"/>
      <c r="E300" s="591"/>
      <c r="F300" s="591"/>
      <c r="G300" s="591"/>
      <c r="H300" s="591"/>
      <c r="I300" s="591"/>
      <c r="J300" s="591"/>
      <c r="K300" s="591"/>
      <c r="L300" s="591"/>
      <c r="M300" s="591"/>
      <c r="N300" s="591"/>
      <c r="O300" s="591"/>
      <c r="P300" s="591"/>
      <c r="Q300" s="591"/>
      <c r="R300" s="591"/>
      <c r="S300" s="591"/>
      <c r="T300" s="591"/>
      <c r="U300" s="591"/>
      <c r="V300" s="591"/>
      <c r="W300" s="591"/>
      <c r="X300" s="591"/>
      <c r="Y300" s="591"/>
      <c r="Z300" s="591"/>
      <c r="AA300" s="591"/>
      <c r="AB300" s="591"/>
      <c r="AC300" s="591"/>
      <c r="AD300" s="591"/>
      <c r="AE300" s="591"/>
      <c r="AF300" s="591"/>
      <c r="AG300" s="591"/>
      <c r="AH300" s="591"/>
      <c r="AI300" s="591"/>
      <c r="AJ300" s="591"/>
      <c r="AK300" s="591"/>
      <c r="AL300" s="591"/>
      <c r="AM300" s="591"/>
      <c r="AN300" s="591"/>
      <c r="AO300" s="591"/>
      <c r="AP300" s="591"/>
      <c r="AQ300" s="591"/>
      <c r="AR300" s="591"/>
      <c r="AS300" s="591"/>
      <c r="AT300" s="591"/>
      <c r="AU300" s="591"/>
      <c r="AV300" s="591"/>
      <c r="AW300" s="591"/>
      <c r="AX300" s="591"/>
      <c r="AY300" s="591"/>
      <c r="AZ300" s="591"/>
      <c r="BA300" s="591"/>
      <c r="BB300" s="591"/>
      <c r="BC300" s="591"/>
      <c r="BD300" s="591"/>
      <c r="BE300" s="591"/>
      <c r="BF300" s="591"/>
      <c r="BG300" s="591"/>
      <c r="BH300" s="591"/>
      <c r="BI300" s="591"/>
      <c r="BJ300" s="591"/>
      <c r="BK300" s="591"/>
      <c r="BL300" s="591"/>
      <c r="BM300" s="591"/>
      <c r="BN300" s="591"/>
      <c r="BO300" s="591"/>
      <c r="BP300" s="591"/>
      <c r="BQ300" s="591"/>
      <c r="BR300" s="591"/>
      <c r="BS300" s="591"/>
      <c r="BT300" s="591"/>
      <c r="BU300" s="591"/>
      <c r="BV300" s="591"/>
      <c r="BW300" s="591"/>
      <c r="BX300" s="591"/>
      <c r="BY300" s="591"/>
      <c r="BZ300" s="591"/>
      <c r="CA300" s="591"/>
      <c r="CB300" s="591"/>
      <c r="CC300" s="591"/>
      <c r="CD300" s="591"/>
      <c r="CE300" s="591"/>
      <c r="CF300" s="591"/>
    </row>
    <row r="301" spans="1:84">
      <c r="A301" s="591"/>
      <c r="B301" s="591"/>
      <c r="C301" s="591"/>
      <c r="D301" s="591"/>
      <c r="E301" s="591"/>
      <c r="F301" s="591"/>
      <c r="G301" s="591"/>
      <c r="H301" s="591"/>
      <c r="I301" s="591"/>
      <c r="J301" s="591"/>
      <c r="K301" s="591"/>
      <c r="L301" s="591"/>
      <c r="M301" s="591"/>
      <c r="N301" s="591"/>
      <c r="O301" s="591"/>
      <c r="P301" s="591"/>
      <c r="Q301" s="591"/>
      <c r="R301" s="591"/>
      <c r="S301" s="591"/>
      <c r="T301" s="591"/>
      <c r="U301" s="591"/>
      <c r="V301" s="591"/>
      <c r="W301" s="591"/>
      <c r="X301" s="591"/>
      <c r="Y301" s="591"/>
      <c r="Z301" s="591"/>
      <c r="AA301" s="591"/>
      <c r="AB301" s="591"/>
      <c r="AC301" s="591"/>
      <c r="AD301" s="591"/>
      <c r="AE301" s="591"/>
      <c r="AF301" s="591"/>
      <c r="AG301" s="591"/>
      <c r="AH301" s="591"/>
      <c r="AI301" s="591"/>
      <c r="AJ301" s="591"/>
      <c r="AK301" s="591"/>
      <c r="AL301" s="591"/>
      <c r="AM301" s="591"/>
      <c r="AN301" s="591"/>
      <c r="AO301" s="591"/>
      <c r="AP301" s="591"/>
      <c r="AQ301" s="591"/>
      <c r="AR301" s="591"/>
      <c r="AS301" s="591"/>
      <c r="AT301" s="591"/>
      <c r="AU301" s="591"/>
      <c r="AV301" s="591"/>
      <c r="AW301" s="591"/>
      <c r="AX301" s="591"/>
      <c r="AY301" s="591"/>
      <c r="AZ301" s="591"/>
      <c r="BA301" s="591"/>
      <c r="BB301" s="591"/>
      <c r="BC301" s="591"/>
      <c r="BD301" s="591"/>
      <c r="BE301" s="591"/>
      <c r="BF301" s="591"/>
      <c r="BG301" s="591"/>
      <c r="BH301" s="591"/>
      <c r="BI301" s="591"/>
      <c r="BJ301" s="591"/>
      <c r="BK301" s="591"/>
      <c r="BL301" s="591"/>
      <c r="BM301" s="591"/>
      <c r="BN301" s="591"/>
      <c r="BO301" s="591"/>
      <c r="BP301" s="591"/>
      <c r="BQ301" s="591"/>
      <c r="BR301" s="591"/>
      <c r="BS301" s="591"/>
      <c r="BT301" s="591"/>
      <c r="BU301" s="591"/>
      <c r="BV301" s="591"/>
      <c r="BW301" s="591"/>
      <c r="BX301" s="591"/>
      <c r="BY301" s="591"/>
      <c r="BZ301" s="591"/>
      <c r="CA301" s="591"/>
      <c r="CB301" s="591"/>
      <c r="CC301" s="591"/>
      <c r="CD301" s="591"/>
      <c r="CE301" s="591"/>
      <c r="CF301" s="591"/>
    </row>
    <row r="302" spans="1:84">
      <c r="A302" s="591"/>
      <c r="B302" s="591"/>
      <c r="C302" s="591"/>
      <c r="D302" s="591"/>
      <c r="E302" s="591"/>
      <c r="F302" s="591"/>
      <c r="G302" s="591"/>
      <c r="H302" s="591"/>
      <c r="I302" s="591"/>
      <c r="J302" s="591"/>
      <c r="K302" s="591"/>
      <c r="L302" s="591"/>
      <c r="M302" s="591"/>
      <c r="N302" s="591"/>
      <c r="O302" s="591"/>
      <c r="P302" s="591"/>
      <c r="Q302" s="591"/>
      <c r="R302" s="591"/>
      <c r="S302" s="591"/>
      <c r="T302" s="591"/>
      <c r="U302" s="591"/>
      <c r="V302" s="591"/>
      <c r="W302" s="591"/>
      <c r="X302" s="591"/>
      <c r="Y302" s="591"/>
      <c r="Z302" s="591"/>
      <c r="AA302" s="591"/>
      <c r="AB302" s="591"/>
      <c r="AC302" s="591"/>
      <c r="AD302" s="591"/>
      <c r="AE302" s="591"/>
      <c r="AF302" s="591"/>
      <c r="AG302" s="591"/>
      <c r="AH302" s="591"/>
      <c r="AI302" s="591"/>
      <c r="AJ302" s="591"/>
      <c r="AK302" s="591"/>
      <c r="AL302" s="591"/>
      <c r="AM302" s="591"/>
      <c r="AN302" s="591"/>
      <c r="AO302" s="591"/>
      <c r="AP302" s="591"/>
      <c r="AQ302" s="591"/>
      <c r="AR302" s="591"/>
      <c r="AS302" s="591"/>
      <c r="AT302" s="591"/>
      <c r="AU302" s="591"/>
      <c r="AV302" s="591"/>
      <c r="AW302" s="591"/>
      <c r="AX302" s="591"/>
      <c r="AY302" s="591"/>
      <c r="AZ302" s="591"/>
      <c r="BA302" s="591"/>
      <c r="BB302" s="591"/>
      <c r="BC302" s="591"/>
      <c r="BD302" s="591"/>
      <c r="BE302" s="591"/>
      <c r="BF302" s="591"/>
      <c r="BG302" s="591"/>
      <c r="BH302" s="591"/>
      <c r="BI302" s="591"/>
      <c r="BJ302" s="591"/>
      <c r="BK302" s="591"/>
      <c r="BL302" s="591"/>
      <c r="BM302" s="591"/>
      <c r="BN302" s="591"/>
      <c r="BO302" s="591"/>
      <c r="BP302" s="591"/>
      <c r="BQ302" s="591"/>
      <c r="BR302" s="591"/>
      <c r="BS302" s="591"/>
      <c r="BT302" s="591"/>
      <c r="BU302" s="591"/>
      <c r="BV302" s="591"/>
      <c r="BW302" s="591"/>
      <c r="BX302" s="591"/>
      <c r="BY302" s="591"/>
      <c r="BZ302" s="591"/>
      <c r="CA302" s="591"/>
      <c r="CB302" s="591"/>
      <c r="CC302" s="591"/>
      <c r="CD302" s="591"/>
      <c r="CE302" s="591"/>
      <c r="CF302" s="591"/>
    </row>
    <row r="303" spans="1:84">
      <c r="A303" s="591"/>
      <c r="B303" s="591"/>
      <c r="C303" s="591"/>
      <c r="D303" s="591"/>
      <c r="E303" s="591"/>
      <c r="F303" s="591"/>
      <c r="G303" s="591"/>
      <c r="H303" s="591"/>
      <c r="I303" s="591"/>
      <c r="J303" s="591"/>
      <c r="K303" s="591"/>
      <c r="L303" s="591"/>
      <c r="M303" s="591"/>
      <c r="N303" s="591"/>
      <c r="O303" s="591"/>
      <c r="P303" s="591"/>
      <c r="Q303" s="591"/>
      <c r="R303" s="591"/>
      <c r="S303" s="591"/>
      <c r="T303" s="591"/>
      <c r="U303" s="591"/>
      <c r="V303" s="591"/>
      <c r="W303" s="591"/>
      <c r="X303" s="591"/>
      <c r="Y303" s="591"/>
      <c r="Z303" s="591"/>
      <c r="AA303" s="591"/>
      <c r="AB303" s="591"/>
      <c r="AC303" s="591"/>
      <c r="AD303" s="591"/>
      <c r="AE303" s="591"/>
      <c r="AF303" s="591"/>
      <c r="AG303" s="591"/>
      <c r="AH303" s="591"/>
      <c r="AI303" s="591"/>
      <c r="AJ303" s="591"/>
      <c r="AK303" s="591"/>
      <c r="AL303" s="591"/>
      <c r="AM303" s="591"/>
      <c r="AN303" s="591"/>
      <c r="AO303" s="591"/>
      <c r="AP303" s="591"/>
      <c r="AQ303" s="591"/>
      <c r="AR303" s="591"/>
      <c r="AS303" s="591"/>
      <c r="AT303" s="591"/>
      <c r="AU303" s="591"/>
      <c r="AV303" s="591"/>
      <c r="AW303" s="591"/>
      <c r="AX303" s="591"/>
      <c r="AY303" s="591"/>
      <c r="AZ303" s="591"/>
      <c r="BA303" s="591"/>
      <c r="BB303" s="591"/>
      <c r="BC303" s="591"/>
      <c r="BD303" s="591"/>
      <c r="BE303" s="591"/>
      <c r="BF303" s="591"/>
      <c r="BG303" s="591"/>
      <c r="BH303" s="591"/>
      <c r="BI303" s="591"/>
      <c r="BJ303" s="591"/>
      <c r="BK303" s="591"/>
      <c r="BL303" s="591"/>
      <c r="BM303" s="591"/>
      <c r="BN303" s="591"/>
      <c r="BO303" s="591"/>
      <c r="BP303" s="591"/>
      <c r="BQ303" s="591"/>
      <c r="BR303" s="591"/>
      <c r="BS303" s="591"/>
      <c r="BT303" s="591"/>
      <c r="BU303" s="591"/>
      <c r="BV303" s="591"/>
      <c r="BW303" s="591"/>
      <c r="BX303" s="591"/>
      <c r="BY303" s="591"/>
      <c r="BZ303" s="591"/>
      <c r="CA303" s="591"/>
      <c r="CB303" s="591"/>
      <c r="CC303" s="591"/>
      <c r="CD303" s="591"/>
      <c r="CE303" s="591"/>
      <c r="CF303" s="591"/>
    </row>
    <row r="304" spans="1:84">
      <c r="A304" s="591"/>
      <c r="B304" s="591"/>
      <c r="C304" s="591"/>
      <c r="D304" s="591"/>
      <c r="E304" s="591"/>
      <c r="F304" s="591"/>
      <c r="G304" s="591"/>
      <c r="H304" s="591"/>
      <c r="I304" s="591"/>
      <c r="J304" s="591"/>
      <c r="K304" s="591"/>
      <c r="L304" s="591"/>
      <c r="M304" s="591"/>
      <c r="N304" s="591"/>
      <c r="O304" s="591"/>
      <c r="P304" s="591"/>
      <c r="Q304" s="591"/>
      <c r="R304" s="591"/>
      <c r="S304" s="591"/>
      <c r="T304" s="591"/>
      <c r="U304" s="591"/>
      <c r="V304" s="591"/>
      <c r="W304" s="591"/>
      <c r="X304" s="591"/>
      <c r="Y304" s="591"/>
      <c r="Z304" s="591"/>
      <c r="AA304" s="591"/>
      <c r="AB304" s="591"/>
      <c r="AC304" s="591"/>
      <c r="AD304" s="591"/>
      <c r="AE304" s="591"/>
      <c r="AF304" s="591"/>
      <c r="AG304" s="591"/>
      <c r="AH304" s="591"/>
      <c r="AI304" s="591"/>
      <c r="AJ304" s="591"/>
      <c r="AK304" s="591"/>
      <c r="AL304" s="591"/>
      <c r="AM304" s="591"/>
      <c r="AN304" s="591"/>
      <c r="AO304" s="591"/>
      <c r="AP304" s="591"/>
      <c r="AQ304" s="591"/>
      <c r="AR304" s="591"/>
      <c r="AS304" s="591"/>
      <c r="AT304" s="591"/>
      <c r="AU304" s="591"/>
      <c r="AV304" s="591"/>
      <c r="AW304" s="591"/>
      <c r="AX304" s="591"/>
      <c r="AY304" s="591"/>
      <c r="AZ304" s="591"/>
      <c r="BA304" s="591"/>
      <c r="BB304" s="591"/>
      <c r="BC304" s="591"/>
      <c r="BD304" s="591"/>
      <c r="BE304" s="591"/>
      <c r="BF304" s="591"/>
      <c r="BG304" s="591"/>
      <c r="BH304" s="591"/>
      <c r="BI304" s="591"/>
      <c r="BJ304" s="591"/>
      <c r="BK304" s="591"/>
      <c r="BL304" s="591"/>
      <c r="BM304" s="591"/>
      <c r="BN304" s="591"/>
      <c r="BO304" s="591"/>
      <c r="BP304" s="591"/>
      <c r="BQ304" s="591"/>
      <c r="BR304" s="591"/>
      <c r="BS304" s="591"/>
      <c r="BT304" s="591"/>
      <c r="BU304" s="591"/>
      <c r="BV304" s="591"/>
      <c r="BW304" s="591"/>
      <c r="BX304" s="591"/>
      <c r="BY304" s="591"/>
      <c r="BZ304" s="591"/>
      <c r="CA304" s="591"/>
      <c r="CB304" s="591"/>
      <c r="CC304" s="591"/>
      <c r="CD304" s="591"/>
      <c r="CE304" s="591"/>
      <c r="CF304" s="591"/>
    </row>
    <row r="305" spans="1:84">
      <c r="A305" s="591"/>
      <c r="B305" s="591"/>
      <c r="C305" s="591"/>
      <c r="D305" s="591"/>
      <c r="E305" s="591"/>
      <c r="F305" s="591"/>
      <c r="G305" s="591"/>
      <c r="H305" s="591"/>
      <c r="I305" s="591"/>
      <c r="J305" s="591"/>
      <c r="K305" s="591"/>
      <c r="L305" s="591"/>
      <c r="M305" s="591"/>
      <c r="N305" s="591"/>
      <c r="O305" s="591"/>
      <c r="P305" s="591"/>
      <c r="Q305" s="591"/>
      <c r="R305" s="591"/>
      <c r="S305" s="591"/>
      <c r="T305" s="591"/>
      <c r="U305" s="591"/>
      <c r="V305" s="591"/>
      <c r="W305" s="591"/>
      <c r="X305" s="591"/>
      <c r="Y305" s="591"/>
      <c r="Z305" s="591"/>
      <c r="AA305" s="591"/>
      <c r="AB305" s="591"/>
      <c r="AC305" s="591"/>
      <c r="AD305" s="591"/>
      <c r="AE305" s="591"/>
      <c r="AF305" s="591"/>
      <c r="AG305" s="591"/>
      <c r="AH305" s="591"/>
      <c r="AI305" s="591"/>
      <c r="AJ305" s="591"/>
      <c r="AK305" s="591"/>
      <c r="AL305" s="591"/>
      <c r="AM305" s="591"/>
      <c r="AN305" s="591"/>
      <c r="AO305" s="591"/>
      <c r="AP305" s="591"/>
      <c r="AQ305" s="591"/>
      <c r="AR305" s="591"/>
      <c r="AS305" s="591"/>
      <c r="AT305" s="591"/>
      <c r="AU305" s="591"/>
      <c r="AV305" s="591"/>
      <c r="AW305" s="591"/>
      <c r="AX305" s="591"/>
      <c r="AY305" s="591"/>
      <c r="AZ305" s="591"/>
      <c r="BA305" s="591"/>
      <c r="BB305" s="591"/>
      <c r="BC305" s="591"/>
      <c r="BD305" s="591"/>
      <c r="BE305" s="591"/>
      <c r="BF305" s="591"/>
      <c r="BG305" s="591"/>
      <c r="BH305" s="591"/>
      <c r="BI305" s="591"/>
      <c r="BJ305" s="591"/>
      <c r="BK305" s="591"/>
      <c r="BL305" s="591"/>
      <c r="BM305" s="591"/>
      <c r="BN305" s="591"/>
      <c r="BO305" s="591"/>
      <c r="BP305" s="591"/>
      <c r="BQ305" s="591"/>
      <c r="BR305" s="591"/>
      <c r="BS305" s="591"/>
      <c r="BT305" s="591"/>
      <c r="BU305" s="591"/>
      <c r="BV305" s="591"/>
      <c r="BW305" s="591"/>
      <c r="BX305" s="591"/>
      <c r="BY305" s="591"/>
      <c r="BZ305" s="591"/>
      <c r="CA305" s="591"/>
      <c r="CB305" s="591"/>
      <c r="CC305" s="591"/>
      <c r="CD305" s="591"/>
      <c r="CE305" s="591"/>
      <c r="CF305" s="591"/>
    </row>
    <row r="306" spans="1:84">
      <c r="A306" s="591"/>
      <c r="B306" s="591"/>
      <c r="C306" s="591"/>
      <c r="D306" s="591"/>
      <c r="E306" s="591"/>
      <c r="F306" s="591"/>
      <c r="G306" s="591"/>
      <c r="H306" s="591"/>
      <c r="I306" s="591"/>
      <c r="J306" s="591"/>
      <c r="K306" s="591"/>
      <c r="L306" s="591"/>
      <c r="M306" s="591"/>
      <c r="N306" s="591"/>
      <c r="O306" s="591"/>
      <c r="P306" s="591"/>
      <c r="Q306" s="591"/>
      <c r="R306" s="591"/>
      <c r="S306" s="591"/>
      <c r="T306" s="591"/>
      <c r="U306" s="591"/>
      <c r="V306" s="591"/>
      <c r="W306" s="591"/>
      <c r="X306" s="591"/>
      <c r="Y306" s="591"/>
      <c r="Z306" s="591"/>
      <c r="AA306" s="591"/>
      <c r="AB306" s="591"/>
      <c r="AC306" s="591"/>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1"/>
      <c r="AY306" s="591"/>
      <c r="AZ306" s="591"/>
      <c r="BA306" s="591"/>
      <c r="BB306" s="591"/>
      <c r="BC306" s="591"/>
      <c r="BD306" s="591"/>
      <c r="BE306" s="591"/>
      <c r="BF306" s="591"/>
      <c r="BG306" s="591"/>
      <c r="BH306" s="591"/>
      <c r="BI306" s="591"/>
      <c r="BJ306" s="591"/>
      <c r="BK306" s="591"/>
      <c r="BL306" s="591"/>
      <c r="BM306" s="591"/>
      <c r="BN306" s="591"/>
      <c r="BO306" s="591"/>
      <c r="BP306" s="591"/>
      <c r="BQ306" s="591"/>
      <c r="BR306" s="591"/>
      <c r="BS306" s="591"/>
      <c r="BT306" s="591"/>
      <c r="BU306" s="591"/>
      <c r="BV306" s="591"/>
      <c r="BW306" s="591"/>
      <c r="BX306" s="591"/>
      <c r="BY306" s="591"/>
      <c r="BZ306" s="591"/>
      <c r="CA306" s="591"/>
      <c r="CB306" s="591"/>
      <c r="CC306" s="591"/>
      <c r="CD306" s="591"/>
      <c r="CE306" s="591"/>
      <c r="CF306" s="591"/>
    </row>
    <row r="307" spans="1:84">
      <c r="A307" s="591"/>
      <c r="B307" s="591"/>
      <c r="C307" s="591"/>
      <c r="D307" s="591"/>
      <c r="E307" s="591"/>
      <c r="F307" s="591"/>
      <c r="G307" s="591"/>
      <c r="H307" s="591"/>
      <c r="I307" s="591"/>
      <c r="J307" s="591"/>
      <c r="K307" s="591"/>
      <c r="L307" s="591"/>
      <c r="M307" s="591"/>
      <c r="N307" s="591"/>
      <c r="O307" s="591"/>
      <c r="P307" s="591"/>
      <c r="Q307" s="591"/>
      <c r="R307" s="591"/>
      <c r="S307" s="591"/>
      <c r="T307" s="591"/>
      <c r="U307" s="591"/>
      <c r="V307" s="591"/>
      <c r="W307" s="591"/>
      <c r="X307" s="591"/>
      <c r="Y307" s="591"/>
      <c r="Z307" s="591"/>
      <c r="AA307" s="591"/>
      <c r="AB307" s="591"/>
      <c r="AC307" s="591"/>
      <c r="AD307" s="591"/>
      <c r="AE307" s="591"/>
      <c r="AF307" s="591"/>
      <c r="AG307" s="591"/>
      <c r="AH307" s="591"/>
      <c r="AI307" s="591"/>
      <c r="AJ307" s="591"/>
      <c r="AK307" s="591"/>
      <c r="AL307" s="591"/>
      <c r="AM307" s="591"/>
      <c r="AN307" s="591"/>
      <c r="AO307" s="591"/>
      <c r="AP307" s="591"/>
      <c r="AQ307" s="591"/>
      <c r="AR307" s="591"/>
      <c r="AS307" s="591"/>
      <c r="AT307" s="591"/>
      <c r="AU307" s="591"/>
      <c r="AV307" s="591"/>
      <c r="AW307" s="591"/>
      <c r="AX307" s="591"/>
      <c r="AY307" s="591"/>
      <c r="AZ307" s="591"/>
      <c r="BA307" s="591"/>
      <c r="BB307" s="591"/>
      <c r="BC307" s="591"/>
      <c r="BD307" s="591"/>
      <c r="BE307" s="591"/>
      <c r="BF307" s="591"/>
      <c r="BG307" s="591"/>
      <c r="BH307" s="591"/>
      <c r="BI307" s="591"/>
      <c r="BJ307" s="591"/>
      <c r="BK307" s="591"/>
      <c r="BL307" s="591"/>
      <c r="BM307" s="591"/>
      <c r="BN307" s="591"/>
      <c r="BO307" s="591"/>
      <c r="BP307" s="591"/>
      <c r="BQ307" s="591"/>
      <c r="BR307" s="591"/>
      <c r="BS307" s="591"/>
      <c r="BT307" s="591"/>
      <c r="BU307" s="591"/>
      <c r="BV307" s="591"/>
      <c r="BW307" s="591"/>
      <c r="BX307" s="591"/>
      <c r="BY307" s="591"/>
      <c r="BZ307" s="591"/>
      <c r="CA307" s="591"/>
      <c r="CB307" s="591"/>
      <c r="CC307" s="591"/>
      <c r="CD307" s="591"/>
      <c r="CE307" s="591"/>
      <c r="CF307" s="591"/>
    </row>
    <row r="308" spans="1:84">
      <c r="A308" s="591"/>
      <c r="B308" s="591"/>
      <c r="C308" s="591"/>
      <c r="D308" s="591"/>
      <c r="E308" s="591"/>
      <c r="F308" s="591"/>
      <c r="G308" s="591"/>
      <c r="H308" s="591"/>
      <c r="I308" s="591"/>
      <c r="J308" s="591"/>
      <c r="K308" s="591"/>
      <c r="L308" s="591"/>
      <c r="M308" s="591"/>
      <c r="N308" s="591"/>
      <c r="O308" s="591"/>
      <c r="P308" s="591"/>
      <c r="Q308" s="591"/>
      <c r="R308" s="591"/>
      <c r="S308" s="591"/>
      <c r="T308" s="591"/>
      <c r="U308" s="591"/>
      <c r="V308" s="591"/>
      <c r="W308" s="591"/>
      <c r="X308" s="591"/>
      <c r="Y308" s="591"/>
      <c r="Z308" s="591"/>
      <c r="AA308" s="591"/>
      <c r="AB308" s="591"/>
      <c r="AC308" s="591"/>
      <c r="AD308" s="591"/>
      <c r="AE308" s="591"/>
      <c r="AF308" s="591"/>
      <c r="AG308" s="591"/>
      <c r="AH308" s="591"/>
      <c r="AI308" s="591"/>
      <c r="AJ308" s="591"/>
      <c r="AK308" s="591"/>
      <c r="AL308" s="591"/>
      <c r="AM308" s="591"/>
      <c r="AN308" s="591"/>
      <c r="AO308" s="591"/>
      <c r="AP308" s="591"/>
      <c r="AQ308" s="591"/>
      <c r="AR308" s="591"/>
      <c r="AS308" s="591"/>
      <c r="AT308" s="591"/>
      <c r="AU308" s="591"/>
      <c r="AV308" s="591"/>
      <c r="AW308" s="591"/>
      <c r="AX308" s="591"/>
      <c r="AY308" s="591"/>
      <c r="AZ308" s="591"/>
      <c r="BA308" s="591"/>
      <c r="BB308" s="591"/>
      <c r="BC308" s="591"/>
      <c r="BD308" s="591"/>
      <c r="BE308" s="591"/>
      <c r="BF308" s="591"/>
      <c r="BG308" s="591"/>
      <c r="BH308" s="591"/>
      <c r="BI308" s="591"/>
      <c r="BJ308" s="591"/>
      <c r="BK308" s="591"/>
      <c r="BL308" s="591"/>
      <c r="BM308" s="591"/>
      <c r="BN308" s="591"/>
      <c r="BO308" s="591"/>
      <c r="BP308" s="591"/>
      <c r="BQ308" s="591"/>
      <c r="BR308" s="591"/>
      <c r="BS308" s="591"/>
      <c r="BT308" s="591"/>
      <c r="BU308" s="591"/>
      <c r="BV308" s="591"/>
      <c r="BW308" s="591"/>
      <c r="BX308" s="591"/>
      <c r="BY308" s="591"/>
      <c r="BZ308" s="591"/>
      <c r="CA308" s="591"/>
      <c r="CB308" s="591"/>
      <c r="CC308" s="591"/>
      <c r="CD308" s="591"/>
      <c r="CE308" s="591"/>
      <c r="CF308" s="591"/>
    </row>
    <row r="309" spans="1:84">
      <c r="A309" s="591"/>
      <c r="B309" s="591"/>
      <c r="C309" s="591"/>
      <c r="D309" s="591"/>
      <c r="E309" s="591"/>
      <c r="F309" s="591"/>
      <c r="G309" s="591"/>
      <c r="H309" s="591"/>
      <c r="I309" s="591"/>
      <c r="J309" s="591"/>
      <c r="K309" s="591"/>
      <c r="L309" s="591"/>
      <c r="M309" s="591"/>
      <c r="N309" s="591"/>
      <c r="O309" s="591"/>
      <c r="P309" s="591"/>
      <c r="Q309" s="591"/>
      <c r="R309" s="591"/>
      <c r="S309" s="591"/>
      <c r="T309" s="591"/>
      <c r="U309" s="591"/>
      <c r="V309" s="591"/>
      <c r="W309" s="591"/>
      <c r="X309" s="591"/>
      <c r="Y309" s="591"/>
      <c r="Z309" s="591"/>
      <c r="AA309" s="591"/>
      <c r="AB309" s="591"/>
      <c r="AC309" s="591"/>
      <c r="AD309" s="591"/>
      <c r="AE309" s="591"/>
      <c r="AF309" s="591"/>
      <c r="AG309" s="591"/>
      <c r="AH309" s="591"/>
      <c r="AI309" s="591"/>
      <c r="AJ309" s="591"/>
      <c r="AK309" s="591"/>
      <c r="AL309" s="591"/>
      <c r="AM309" s="591"/>
      <c r="AN309" s="591"/>
      <c r="AO309" s="591"/>
      <c r="AP309" s="591"/>
      <c r="AQ309" s="591"/>
      <c r="AR309" s="591"/>
      <c r="AS309" s="591"/>
      <c r="AT309" s="591"/>
      <c r="AU309" s="591"/>
      <c r="AV309" s="591"/>
      <c r="AW309" s="591"/>
      <c r="AX309" s="591"/>
      <c r="AY309" s="591"/>
      <c r="AZ309" s="591"/>
      <c r="BA309" s="591"/>
      <c r="BB309" s="591"/>
      <c r="BC309" s="591"/>
      <c r="BD309" s="591"/>
      <c r="BE309" s="591"/>
      <c r="BF309" s="591"/>
      <c r="BG309" s="591"/>
      <c r="BH309" s="591"/>
      <c r="BI309" s="591"/>
      <c r="BJ309" s="591"/>
      <c r="BK309" s="591"/>
      <c r="BL309" s="591"/>
      <c r="BM309" s="591"/>
      <c r="BN309" s="591"/>
      <c r="BO309" s="591"/>
      <c r="BP309" s="591"/>
      <c r="BQ309" s="591"/>
      <c r="BR309" s="591"/>
      <c r="BS309" s="591"/>
      <c r="BT309" s="591"/>
      <c r="BU309" s="591"/>
      <c r="BV309" s="591"/>
      <c r="BW309" s="591"/>
      <c r="BX309" s="591"/>
      <c r="BY309" s="591"/>
      <c r="BZ309" s="591"/>
      <c r="CA309" s="591"/>
      <c r="CB309" s="591"/>
      <c r="CC309" s="591"/>
      <c r="CD309" s="591"/>
      <c r="CE309" s="591"/>
      <c r="CF309" s="591"/>
    </row>
    <row r="310" spans="1:84">
      <c r="A310" s="591"/>
      <c r="B310" s="591"/>
      <c r="C310" s="591"/>
      <c r="D310" s="591"/>
      <c r="E310" s="591"/>
      <c r="F310" s="591"/>
      <c r="G310" s="591"/>
      <c r="H310" s="591"/>
      <c r="I310" s="591"/>
      <c r="J310" s="591"/>
      <c r="K310" s="591"/>
      <c r="L310" s="591"/>
      <c r="M310" s="591"/>
      <c r="N310" s="591"/>
      <c r="O310" s="591"/>
      <c r="P310" s="591"/>
      <c r="Q310" s="591"/>
      <c r="R310" s="591"/>
      <c r="S310" s="591"/>
      <c r="T310" s="591"/>
      <c r="U310" s="591"/>
      <c r="V310" s="591"/>
      <c r="W310" s="591"/>
      <c r="X310" s="591"/>
      <c r="Y310" s="591"/>
      <c r="Z310" s="591"/>
      <c r="AA310" s="591"/>
      <c r="AB310" s="591"/>
      <c r="AC310" s="591"/>
      <c r="AD310" s="591"/>
      <c r="AE310" s="591"/>
      <c r="AF310" s="591"/>
      <c r="AG310" s="591"/>
      <c r="AH310" s="591"/>
      <c r="AI310" s="591"/>
      <c r="AJ310" s="591"/>
      <c r="AK310" s="591"/>
      <c r="AL310" s="591"/>
      <c r="AM310" s="591"/>
      <c r="AN310" s="591"/>
      <c r="AO310" s="591"/>
      <c r="AP310" s="591"/>
      <c r="AQ310" s="591"/>
      <c r="AR310" s="591"/>
      <c r="AS310" s="591"/>
      <c r="AT310" s="591"/>
      <c r="AU310" s="591"/>
      <c r="AV310" s="591"/>
      <c r="AW310" s="591"/>
      <c r="AX310" s="591"/>
      <c r="AY310" s="591"/>
      <c r="AZ310" s="591"/>
      <c r="BA310" s="591"/>
      <c r="BB310" s="591"/>
      <c r="BC310" s="591"/>
      <c r="BD310" s="591"/>
      <c r="BE310" s="591"/>
      <c r="BF310" s="591"/>
      <c r="BG310" s="591"/>
      <c r="BH310" s="591"/>
      <c r="BI310" s="591"/>
      <c r="BJ310" s="591"/>
      <c r="BK310" s="591"/>
      <c r="BL310" s="591"/>
      <c r="BM310" s="591"/>
      <c r="BN310" s="591"/>
      <c r="BO310" s="591"/>
      <c r="BP310" s="591"/>
      <c r="BQ310" s="591"/>
      <c r="BR310" s="591"/>
      <c r="BS310" s="591"/>
      <c r="BT310" s="591"/>
      <c r="BU310" s="591"/>
      <c r="BV310" s="591"/>
      <c r="BW310" s="591"/>
      <c r="BX310" s="591"/>
      <c r="BY310" s="591"/>
      <c r="BZ310" s="591"/>
      <c r="CA310" s="591"/>
      <c r="CB310" s="591"/>
      <c r="CC310" s="591"/>
      <c r="CD310" s="591"/>
      <c r="CE310" s="591"/>
      <c r="CF310" s="591"/>
    </row>
    <row r="311" spans="1:84">
      <c r="A311" s="591"/>
      <c r="B311" s="591"/>
      <c r="C311" s="591"/>
      <c r="D311" s="591"/>
      <c r="E311" s="591"/>
      <c r="F311" s="591"/>
      <c r="G311" s="591"/>
      <c r="H311" s="591"/>
      <c r="I311" s="591"/>
      <c r="J311" s="591"/>
      <c r="K311" s="591"/>
      <c r="L311" s="591"/>
      <c r="M311" s="591"/>
      <c r="N311" s="591"/>
      <c r="O311" s="591"/>
      <c r="P311" s="591"/>
      <c r="Q311" s="591"/>
      <c r="R311" s="591"/>
      <c r="S311" s="591"/>
      <c r="T311" s="591"/>
      <c r="U311" s="591"/>
      <c r="V311" s="591"/>
      <c r="W311" s="591"/>
      <c r="X311" s="591"/>
      <c r="Y311" s="591"/>
      <c r="Z311" s="591"/>
      <c r="AA311" s="591"/>
      <c r="AB311" s="591"/>
      <c r="AC311" s="591"/>
      <c r="AD311" s="591"/>
      <c r="AE311" s="591"/>
      <c r="AF311" s="591"/>
      <c r="AG311" s="591"/>
      <c r="AH311" s="591"/>
      <c r="AI311" s="591"/>
      <c r="AJ311" s="591"/>
      <c r="AK311" s="591"/>
      <c r="AL311" s="591"/>
      <c r="AM311" s="591"/>
      <c r="AN311" s="591"/>
      <c r="AO311" s="591"/>
      <c r="AP311" s="591"/>
      <c r="AQ311" s="591"/>
      <c r="AR311" s="591"/>
      <c r="AS311" s="591"/>
      <c r="AT311" s="591"/>
      <c r="AU311" s="591"/>
      <c r="AV311" s="591"/>
      <c r="AW311" s="591"/>
      <c r="AX311" s="591"/>
      <c r="AY311" s="591"/>
      <c r="AZ311" s="591"/>
      <c r="BA311" s="591"/>
      <c r="BB311" s="591"/>
      <c r="BC311" s="591"/>
      <c r="BD311" s="591"/>
      <c r="BE311" s="591"/>
      <c r="BF311" s="591"/>
      <c r="BG311" s="591"/>
      <c r="BH311" s="591"/>
      <c r="BI311" s="591"/>
      <c r="BJ311" s="591"/>
      <c r="BK311" s="591"/>
      <c r="BL311" s="591"/>
      <c r="BM311" s="591"/>
      <c r="BN311" s="591"/>
      <c r="BO311" s="591"/>
      <c r="BP311" s="591"/>
      <c r="BQ311" s="591"/>
      <c r="BR311" s="591"/>
      <c r="BS311" s="591"/>
      <c r="BT311" s="591"/>
      <c r="BU311" s="591"/>
      <c r="BV311" s="591"/>
      <c r="BW311" s="591"/>
      <c r="BX311" s="591"/>
      <c r="BY311" s="591"/>
      <c r="BZ311" s="591"/>
      <c r="CA311" s="591"/>
      <c r="CB311" s="591"/>
      <c r="CC311" s="591"/>
      <c r="CD311" s="591"/>
      <c r="CE311" s="591"/>
      <c r="CF311" s="591"/>
    </row>
    <row r="312" spans="1:84">
      <c r="A312" s="591"/>
      <c r="B312" s="591"/>
      <c r="C312" s="591"/>
      <c r="D312" s="591"/>
      <c r="E312" s="591"/>
      <c r="F312" s="591"/>
      <c r="G312" s="591"/>
      <c r="H312" s="591"/>
      <c r="I312" s="591"/>
      <c r="J312" s="591"/>
      <c r="K312" s="591"/>
      <c r="L312" s="591"/>
      <c r="M312" s="591"/>
      <c r="N312" s="591"/>
      <c r="O312" s="591"/>
      <c r="P312" s="591"/>
      <c r="Q312" s="591"/>
      <c r="R312" s="591"/>
      <c r="S312" s="591"/>
      <c r="T312" s="591"/>
      <c r="U312" s="591"/>
      <c r="V312" s="591"/>
      <c r="W312" s="591"/>
      <c r="X312" s="591"/>
      <c r="Y312" s="591"/>
      <c r="Z312" s="591"/>
      <c r="AA312" s="591"/>
      <c r="AB312" s="591"/>
      <c r="AC312" s="591"/>
      <c r="AD312" s="591"/>
      <c r="AE312" s="591"/>
      <c r="AF312" s="591"/>
      <c r="AG312" s="591"/>
      <c r="AH312" s="591"/>
      <c r="AI312" s="591"/>
      <c r="AJ312" s="591"/>
      <c r="AK312" s="591"/>
      <c r="AL312" s="591"/>
      <c r="AM312" s="591"/>
      <c r="AN312" s="591"/>
      <c r="AO312" s="591"/>
      <c r="AP312" s="591"/>
      <c r="AQ312" s="591"/>
      <c r="AR312" s="591"/>
      <c r="AS312" s="591"/>
      <c r="AT312" s="591"/>
      <c r="AU312" s="591"/>
      <c r="AV312" s="591"/>
      <c r="AW312" s="591"/>
      <c r="AX312" s="591"/>
      <c r="AY312" s="591"/>
      <c r="AZ312" s="591"/>
      <c r="BA312" s="591"/>
      <c r="BB312" s="591"/>
      <c r="BC312" s="591"/>
      <c r="BD312" s="591"/>
      <c r="BE312" s="591"/>
      <c r="BF312" s="591"/>
      <c r="BG312" s="591"/>
      <c r="BH312" s="591"/>
      <c r="BI312" s="591"/>
      <c r="BJ312" s="591"/>
      <c r="BK312" s="591"/>
      <c r="BL312" s="591"/>
      <c r="BM312" s="591"/>
      <c r="BN312" s="591"/>
      <c r="BO312" s="591"/>
      <c r="BP312" s="591"/>
      <c r="BQ312" s="591"/>
      <c r="BR312" s="591"/>
      <c r="BS312" s="591"/>
      <c r="BT312" s="591"/>
      <c r="BU312" s="591"/>
      <c r="BV312" s="591"/>
      <c r="BW312" s="591"/>
      <c r="BX312" s="591"/>
      <c r="BY312" s="591"/>
      <c r="BZ312" s="591"/>
      <c r="CA312" s="591"/>
      <c r="CB312" s="591"/>
      <c r="CC312" s="591"/>
      <c r="CD312" s="591"/>
      <c r="CE312" s="591"/>
      <c r="CF312" s="591"/>
    </row>
    <row r="313" spans="1:84">
      <c r="A313" s="591"/>
      <c r="B313" s="591"/>
      <c r="C313" s="591"/>
      <c r="D313" s="591"/>
      <c r="E313" s="591"/>
      <c r="F313" s="591"/>
      <c r="G313" s="591"/>
      <c r="H313" s="591"/>
      <c r="I313" s="591"/>
      <c r="J313" s="591"/>
      <c r="K313" s="591"/>
      <c r="L313" s="591"/>
      <c r="M313" s="591"/>
      <c r="N313" s="591"/>
      <c r="O313" s="591"/>
      <c r="P313" s="591"/>
      <c r="Q313" s="591"/>
      <c r="R313" s="591"/>
      <c r="S313" s="591"/>
      <c r="T313" s="591"/>
      <c r="U313" s="591"/>
      <c r="V313" s="591"/>
      <c r="W313" s="591"/>
      <c r="X313" s="591"/>
      <c r="Y313" s="591"/>
      <c r="Z313" s="591"/>
      <c r="AA313" s="591"/>
      <c r="AB313" s="591"/>
      <c r="AC313" s="591"/>
      <c r="AD313" s="591"/>
      <c r="AE313" s="591"/>
      <c r="AF313" s="591"/>
      <c r="AG313" s="591"/>
      <c r="AH313" s="591"/>
      <c r="AI313" s="591"/>
      <c r="AJ313" s="591"/>
      <c r="AK313" s="591"/>
      <c r="AL313" s="591"/>
      <c r="AM313" s="591"/>
      <c r="AN313" s="591"/>
      <c r="AO313" s="591"/>
      <c r="AP313" s="591"/>
      <c r="AQ313" s="591"/>
      <c r="AR313" s="591"/>
      <c r="AS313" s="591"/>
      <c r="AT313" s="591"/>
      <c r="AU313" s="591"/>
      <c r="AV313" s="591"/>
      <c r="AW313" s="591"/>
      <c r="AX313" s="591"/>
      <c r="AY313" s="591"/>
      <c r="AZ313" s="591"/>
      <c r="BA313" s="591"/>
      <c r="BB313" s="591"/>
      <c r="BC313" s="591"/>
      <c r="BD313" s="591"/>
      <c r="BE313" s="591"/>
      <c r="BF313" s="591"/>
      <c r="BG313" s="591"/>
      <c r="BH313" s="591"/>
      <c r="BI313" s="591"/>
      <c r="BJ313" s="591"/>
      <c r="BK313" s="591"/>
      <c r="BL313" s="591"/>
      <c r="BM313" s="591"/>
      <c r="BN313" s="591"/>
      <c r="BO313" s="591"/>
      <c r="BP313" s="591"/>
      <c r="BQ313" s="591"/>
      <c r="BR313" s="591"/>
      <c r="BS313" s="591"/>
      <c r="BT313" s="591"/>
      <c r="BU313" s="591"/>
      <c r="BV313" s="591"/>
      <c r="BW313" s="591"/>
      <c r="BX313" s="591"/>
      <c r="BY313" s="591"/>
      <c r="BZ313" s="591"/>
      <c r="CA313" s="591"/>
      <c r="CB313" s="591"/>
      <c r="CC313" s="591"/>
      <c r="CD313" s="591"/>
      <c r="CE313" s="591"/>
      <c r="CF313" s="591"/>
    </row>
    <row r="314" spans="1:84">
      <c r="A314" s="591"/>
      <c r="B314" s="591"/>
      <c r="C314" s="591"/>
      <c r="D314" s="591"/>
      <c r="E314" s="591"/>
      <c r="F314" s="591"/>
      <c r="G314" s="591"/>
      <c r="H314" s="591"/>
      <c r="I314" s="591"/>
      <c r="J314" s="591"/>
      <c r="K314" s="591"/>
      <c r="L314" s="591"/>
      <c r="M314" s="591"/>
      <c r="N314" s="591"/>
      <c r="O314" s="591"/>
      <c r="P314" s="591"/>
      <c r="Q314" s="591"/>
      <c r="R314" s="591"/>
      <c r="S314" s="591"/>
      <c r="T314" s="591"/>
      <c r="U314" s="591"/>
      <c r="V314" s="591"/>
      <c r="W314" s="591"/>
      <c r="X314" s="591"/>
      <c r="Y314" s="591"/>
      <c r="Z314" s="591"/>
      <c r="AA314" s="591"/>
      <c r="AB314" s="591"/>
      <c r="AC314" s="591"/>
      <c r="AD314" s="591"/>
      <c r="AE314" s="591"/>
      <c r="AF314" s="591"/>
      <c r="AG314" s="591"/>
      <c r="AH314" s="591"/>
      <c r="AI314" s="591"/>
      <c r="AJ314" s="591"/>
      <c r="AK314" s="591"/>
      <c r="AL314" s="591"/>
      <c r="AM314" s="591"/>
      <c r="AN314" s="591"/>
      <c r="AO314" s="591"/>
      <c r="AP314" s="591"/>
      <c r="AQ314" s="591"/>
      <c r="AR314" s="591"/>
      <c r="AS314" s="591"/>
      <c r="AT314" s="591"/>
      <c r="AU314" s="591"/>
      <c r="AV314" s="591"/>
      <c r="AW314" s="591"/>
      <c r="AX314" s="591"/>
      <c r="AY314" s="591"/>
      <c r="AZ314" s="591"/>
      <c r="BA314" s="591"/>
      <c r="BB314" s="591"/>
      <c r="BC314" s="591"/>
      <c r="BD314" s="591"/>
      <c r="BE314" s="591"/>
      <c r="BF314" s="591"/>
      <c r="BG314" s="591"/>
      <c r="BH314" s="591"/>
      <c r="BI314" s="591"/>
      <c r="BJ314" s="591"/>
      <c r="BK314" s="591"/>
      <c r="BL314" s="591"/>
      <c r="BM314" s="591"/>
      <c r="BN314" s="591"/>
      <c r="BO314" s="591"/>
      <c r="BP314" s="591"/>
      <c r="BQ314" s="591"/>
      <c r="BR314" s="591"/>
      <c r="BS314" s="591"/>
      <c r="BT314" s="591"/>
      <c r="BU314" s="591"/>
      <c r="BV314" s="591"/>
      <c r="BW314" s="591"/>
      <c r="BX314" s="591"/>
      <c r="BY314" s="591"/>
      <c r="BZ314" s="591"/>
      <c r="CA314" s="591"/>
      <c r="CB314" s="591"/>
      <c r="CC314" s="591"/>
      <c r="CD314" s="591"/>
      <c r="CE314" s="591"/>
      <c r="CF314" s="591"/>
    </row>
    <row r="315" spans="1:84">
      <c r="A315" s="591"/>
      <c r="B315" s="591"/>
      <c r="C315" s="591"/>
      <c r="D315" s="591"/>
      <c r="E315" s="591"/>
      <c r="F315" s="591"/>
      <c r="G315" s="591"/>
      <c r="H315" s="591"/>
      <c r="I315" s="591"/>
      <c r="J315" s="591"/>
      <c r="K315" s="591"/>
      <c r="L315" s="591"/>
      <c r="M315" s="591"/>
      <c r="N315" s="591"/>
      <c r="O315" s="591"/>
      <c r="P315" s="591"/>
      <c r="Q315" s="591"/>
      <c r="R315" s="591"/>
      <c r="S315" s="591"/>
      <c r="T315" s="591"/>
      <c r="U315" s="591"/>
      <c r="V315" s="591"/>
      <c r="W315" s="591"/>
      <c r="X315" s="591"/>
      <c r="Y315" s="591"/>
      <c r="Z315" s="591"/>
      <c r="AA315" s="591"/>
      <c r="AB315" s="591"/>
      <c r="AC315" s="591"/>
      <c r="AD315" s="591"/>
      <c r="AE315" s="591"/>
      <c r="AF315" s="591"/>
      <c r="AG315" s="591"/>
      <c r="AH315" s="591"/>
      <c r="AI315" s="591"/>
      <c r="AJ315" s="591"/>
      <c r="AK315" s="591"/>
      <c r="AL315" s="591"/>
      <c r="AM315" s="591"/>
      <c r="AN315" s="591"/>
      <c r="AO315" s="591"/>
      <c r="AP315" s="591"/>
      <c r="AQ315" s="591"/>
      <c r="AR315" s="591"/>
      <c r="AS315" s="591"/>
      <c r="AT315" s="591"/>
      <c r="AU315" s="591"/>
      <c r="AV315" s="591"/>
      <c r="AW315" s="591"/>
      <c r="AX315" s="591"/>
      <c r="AY315" s="591"/>
      <c r="AZ315" s="591"/>
      <c r="BA315" s="591"/>
      <c r="BB315" s="591"/>
      <c r="BC315" s="591"/>
      <c r="BD315" s="591"/>
      <c r="BE315" s="591"/>
      <c r="BF315" s="591"/>
      <c r="BG315" s="591"/>
      <c r="BH315" s="591"/>
      <c r="BI315" s="591"/>
      <c r="BJ315" s="591"/>
      <c r="BK315" s="591"/>
      <c r="BL315" s="591"/>
      <c r="BM315" s="591"/>
      <c r="BN315" s="591"/>
      <c r="BO315" s="591"/>
      <c r="BP315" s="591"/>
      <c r="BQ315" s="591"/>
      <c r="BR315" s="591"/>
      <c r="BS315" s="591"/>
      <c r="BT315" s="591"/>
      <c r="BU315" s="591"/>
      <c r="BV315" s="591"/>
      <c r="BW315" s="591"/>
      <c r="BX315" s="591"/>
      <c r="BY315" s="591"/>
      <c r="BZ315" s="591"/>
      <c r="CA315" s="591"/>
      <c r="CB315" s="591"/>
      <c r="CC315" s="591"/>
      <c r="CD315" s="591"/>
      <c r="CE315" s="591"/>
      <c r="CF315" s="591"/>
    </row>
    <row r="316" spans="1:84">
      <c r="A316" s="591"/>
      <c r="B316" s="591"/>
      <c r="C316" s="591"/>
      <c r="D316" s="591"/>
      <c r="E316" s="591"/>
      <c r="F316" s="591"/>
      <c r="G316" s="591"/>
      <c r="H316" s="591"/>
      <c r="I316" s="591"/>
      <c r="J316" s="591"/>
      <c r="K316" s="591"/>
      <c r="L316" s="591"/>
      <c r="M316" s="591"/>
      <c r="N316" s="591"/>
      <c r="O316" s="591"/>
      <c r="P316" s="591"/>
      <c r="Q316" s="591"/>
      <c r="R316" s="591"/>
      <c r="S316" s="591"/>
      <c r="T316" s="591"/>
      <c r="U316" s="591"/>
      <c r="V316" s="591"/>
      <c r="W316" s="591"/>
      <c r="X316" s="591"/>
      <c r="Y316" s="591"/>
      <c r="Z316" s="591"/>
      <c r="AA316" s="591"/>
      <c r="AB316" s="591"/>
      <c r="AC316" s="591"/>
      <c r="AD316" s="591"/>
      <c r="AE316" s="591"/>
      <c r="AF316" s="591"/>
      <c r="AG316" s="591"/>
      <c r="AH316" s="591"/>
      <c r="AI316" s="591"/>
      <c r="AJ316" s="591"/>
      <c r="AK316" s="591"/>
      <c r="AL316" s="591"/>
      <c r="AM316" s="591"/>
      <c r="AN316" s="591"/>
      <c r="AO316" s="591"/>
      <c r="AP316" s="591"/>
      <c r="AQ316" s="591"/>
      <c r="AR316" s="591"/>
      <c r="AS316" s="591"/>
      <c r="AT316" s="591"/>
      <c r="AU316" s="591"/>
      <c r="AV316" s="591"/>
      <c r="AW316" s="591"/>
      <c r="AX316" s="591"/>
      <c r="AY316" s="591"/>
      <c r="AZ316" s="591"/>
      <c r="BA316" s="591"/>
      <c r="BB316" s="591"/>
      <c r="BC316" s="591"/>
      <c r="BD316" s="591"/>
      <c r="BE316" s="591"/>
      <c r="BF316" s="591"/>
      <c r="BG316" s="591"/>
      <c r="BH316" s="591"/>
      <c r="BI316" s="591"/>
      <c r="BJ316" s="591"/>
      <c r="BK316" s="591"/>
      <c r="BL316" s="591"/>
      <c r="BM316" s="591"/>
      <c r="BN316" s="591"/>
      <c r="BO316" s="591"/>
      <c r="BP316" s="591"/>
      <c r="BQ316" s="591"/>
      <c r="BR316" s="591"/>
      <c r="BS316" s="591"/>
      <c r="BT316" s="591"/>
      <c r="BU316" s="591"/>
      <c r="BV316" s="591"/>
      <c r="BW316" s="591"/>
      <c r="BX316" s="591"/>
      <c r="BY316" s="591"/>
      <c r="BZ316" s="591"/>
      <c r="CA316" s="591"/>
      <c r="CB316" s="591"/>
      <c r="CC316" s="591"/>
      <c r="CD316" s="591"/>
      <c r="CE316" s="591"/>
      <c r="CF316" s="591"/>
    </row>
    <row r="317" spans="1:84">
      <c r="A317" s="591"/>
      <c r="B317" s="591"/>
      <c r="C317" s="591"/>
      <c r="D317" s="591"/>
      <c r="E317" s="591"/>
      <c r="F317" s="591"/>
      <c r="G317" s="591"/>
      <c r="H317" s="591"/>
      <c r="I317" s="591"/>
      <c r="J317" s="591"/>
      <c r="K317" s="591"/>
      <c r="L317" s="591"/>
      <c r="M317" s="591"/>
      <c r="N317" s="591"/>
      <c r="O317" s="591"/>
      <c r="P317" s="591"/>
      <c r="Q317" s="591"/>
      <c r="R317" s="591"/>
      <c r="S317" s="591"/>
      <c r="T317" s="591"/>
      <c r="U317" s="591"/>
      <c r="V317" s="591"/>
      <c r="W317" s="591"/>
      <c r="X317" s="591"/>
      <c r="Y317" s="591"/>
      <c r="Z317" s="591"/>
      <c r="AA317" s="591"/>
      <c r="AB317" s="591"/>
      <c r="AC317" s="591"/>
      <c r="AD317" s="591"/>
      <c r="AE317" s="591"/>
      <c r="AF317" s="591"/>
      <c r="AG317" s="591"/>
      <c r="AH317" s="591"/>
      <c r="AI317" s="591"/>
      <c r="AJ317" s="591"/>
      <c r="AK317" s="591"/>
      <c r="AL317" s="591"/>
      <c r="AM317" s="591"/>
      <c r="AN317" s="591"/>
      <c r="AO317" s="591"/>
      <c r="AP317" s="591"/>
      <c r="AQ317" s="591"/>
      <c r="AR317" s="591"/>
      <c r="AS317" s="591"/>
      <c r="AT317" s="591"/>
      <c r="AU317" s="591"/>
      <c r="AV317" s="591"/>
      <c r="AW317" s="591"/>
      <c r="AX317" s="591"/>
      <c r="AY317" s="591"/>
      <c r="AZ317" s="591"/>
      <c r="BA317" s="591"/>
      <c r="BB317" s="591"/>
      <c r="BC317" s="591"/>
      <c r="BD317" s="591"/>
      <c r="BE317" s="591"/>
      <c r="BF317" s="591"/>
      <c r="BG317" s="591"/>
      <c r="BH317" s="591"/>
      <c r="BI317" s="591"/>
      <c r="BJ317" s="591"/>
      <c r="BK317" s="591"/>
      <c r="BL317" s="591"/>
      <c r="BM317" s="591"/>
      <c r="BN317" s="591"/>
      <c r="BO317" s="591"/>
      <c r="BP317" s="591"/>
      <c r="BQ317" s="591"/>
      <c r="BR317" s="591"/>
      <c r="BS317" s="591"/>
      <c r="BT317" s="591"/>
      <c r="BU317" s="591"/>
      <c r="BV317" s="591"/>
      <c r="BW317" s="591"/>
      <c r="BX317" s="591"/>
      <c r="BY317" s="591"/>
      <c r="BZ317" s="591"/>
      <c r="CA317" s="591"/>
      <c r="CB317" s="591"/>
      <c r="CC317" s="591"/>
      <c r="CD317" s="591"/>
      <c r="CE317" s="591"/>
      <c r="CF317" s="591"/>
    </row>
    <row r="318" spans="1:84">
      <c r="A318" s="591"/>
      <c r="B318" s="591"/>
      <c r="C318" s="591"/>
      <c r="D318" s="591"/>
      <c r="E318" s="591"/>
      <c r="F318" s="591"/>
      <c r="G318" s="591"/>
      <c r="H318" s="591"/>
      <c r="I318" s="591"/>
      <c r="J318" s="591"/>
      <c r="K318" s="591"/>
      <c r="L318" s="591"/>
      <c r="M318" s="591"/>
      <c r="N318" s="591"/>
      <c r="O318" s="591"/>
      <c r="P318" s="591"/>
      <c r="Q318" s="591"/>
      <c r="R318" s="591"/>
      <c r="S318" s="591"/>
      <c r="T318" s="591"/>
      <c r="U318" s="591"/>
      <c r="V318" s="591"/>
      <c r="W318" s="591"/>
      <c r="X318" s="591"/>
      <c r="Y318" s="591"/>
      <c r="Z318" s="591"/>
      <c r="AA318" s="591"/>
      <c r="AB318" s="591"/>
      <c r="AC318" s="591"/>
      <c r="AD318" s="591"/>
      <c r="AE318" s="591"/>
      <c r="AF318" s="591"/>
      <c r="AG318" s="591"/>
      <c r="AH318" s="591"/>
      <c r="AI318" s="591"/>
      <c r="AJ318" s="591"/>
      <c r="AK318" s="591"/>
      <c r="AL318" s="591"/>
      <c r="AM318" s="591"/>
      <c r="AN318" s="591"/>
      <c r="AO318" s="591"/>
      <c r="AP318" s="591"/>
      <c r="AQ318" s="591"/>
      <c r="AR318" s="591"/>
      <c r="AS318" s="591"/>
      <c r="AT318" s="591"/>
      <c r="AU318" s="591"/>
      <c r="AV318" s="591"/>
      <c r="AW318" s="591"/>
      <c r="AX318" s="591"/>
      <c r="AY318" s="591"/>
      <c r="AZ318" s="591"/>
      <c r="BA318" s="591"/>
      <c r="BB318" s="591"/>
      <c r="BC318" s="591"/>
      <c r="BD318" s="591"/>
      <c r="BE318" s="591"/>
      <c r="BF318" s="591"/>
      <c r="BG318" s="591"/>
      <c r="BH318" s="591"/>
      <c r="BI318" s="591"/>
      <c r="BJ318" s="591"/>
      <c r="BK318" s="591"/>
      <c r="BL318" s="591"/>
      <c r="BM318" s="591"/>
      <c r="BN318" s="591"/>
      <c r="BO318" s="591"/>
      <c r="BP318" s="591"/>
      <c r="BQ318" s="591"/>
      <c r="BR318" s="591"/>
      <c r="BS318" s="591"/>
      <c r="BT318" s="591"/>
      <c r="BU318" s="591"/>
      <c r="BV318" s="591"/>
      <c r="BW318" s="591"/>
      <c r="BX318" s="591"/>
      <c r="BY318" s="591"/>
      <c r="BZ318" s="591"/>
      <c r="CA318" s="591"/>
      <c r="CB318" s="591"/>
      <c r="CC318" s="591"/>
      <c r="CD318" s="591"/>
      <c r="CE318" s="591"/>
      <c r="CF318" s="591"/>
    </row>
    <row r="319" spans="1:84">
      <c r="A319" s="591"/>
      <c r="B319" s="591"/>
      <c r="C319" s="591"/>
      <c r="D319" s="591"/>
      <c r="E319" s="591"/>
      <c r="F319" s="591"/>
      <c r="G319" s="591"/>
      <c r="H319" s="591"/>
      <c r="I319" s="591"/>
      <c r="J319" s="591"/>
      <c r="K319" s="591"/>
      <c r="L319" s="591"/>
      <c r="M319" s="591"/>
      <c r="N319" s="591"/>
      <c r="O319" s="591"/>
      <c r="P319" s="591"/>
      <c r="Q319" s="591"/>
      <c r="R319" s="591"/>
      <c r="S319" s="591"/>
      <c r="T319" s="591"/>
      <c r="U319" s="591"/>
      <c r="V319" s="591"/>
      <c r="W319" s="591"/>
      <c r="X319" s="591"/>
      <c r="Y319" s="591"/>
      <c r="Z319" s="591"/>
      <c r="AA319" s="591"/>
      <c r="AB319" s="591"/>
      <c r="AC319" s="591"/>
      <c r="AD319" s="591"/>
      <c r="AE319" s="591"/>
      <c r="AF319" s="591"/>
      <c r="AG319" s="591"/>
      <c r="AH319" s="591"/>
      <c r="AI319" s="591"/>
      <c r="AJ319" s="591"/>
      <c r="AK319" s="591"/>
      <c r="AL319" s="591"/>
      <c r="AM319" s="591"/>
      <c r="AN319" s="591"/>
      <c r="AO319" s="591"/>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1"/>
      <c r="BM319" s="591"/>
      <c r="BN319" s="591"/>
      <c r="BO319" s="591"/>
      <c r="BP319" s="591"/>
      <c r="BQ319" s="591"/>
      <c r="BR319" s="591"/>
      <c r="BS319" s="591"/>
      <c r="BT319" s="591"/>
      <c r="BU319" s="591"/>
      <c r="BV319" s="591"/>
      <c r="BW319" s="591"/>
      <c r="BX319" s="591"/>
      <c r="BY319" s="591"/>
      <c r="BZ319" s="591"/>
      <c r="CA319" s="591"/>
      <c r="CB319" s="591"/>
      <c r="CC319" s="591"/>
      <c r="CD319" s="591"/>
      <c r="CE319" s="591"/>
      <c r="CF319" s="591"/>
    </row>
    <row r="320" spans="1:84">
      <c r="A320" s="591"/>
      <c r="B320" s="591"/>
      <c r="C320" s="591"/>
      <c r="D320" s="591"/>
      <c r="E320" s="591"/>
      <c r="F320" s="591"/>
      <c r="G320" s="591"/>
      <c r="H320" s="591"/>
      <c r="I320" s="591"/>
      <c r="J320" s="591"/>
      <c r="K320" s="591"/>
      <c r="L320" s="591"/>
      <c r="M320" s="591"/>
      <c r="N320" s="591"/>
      <c r="O320" s="591"/>
      <c r="P320" s="591"/>
      <c r="Q320" s="591"/>
      <c r="R320" s="591"/>
      <c r="S320" s="591"/>
      <c r="T320" s="591"/>
      <c r="U320" s="591"/>
      <c r="V320" s="591"/>
      <c r="W320" s="591"/>
      <c r="X320" s="591"/>
      <c r="Y320" s="591"/>
      <c r="Z320" s="591"/>
      <c r="AA320" s="591"/>
      <c r="AB320" s="591"/>
      <c r="AC320" s="591"/>
      <c r="AD320" s="591"/>
      <c r="AE320" s="591"/>
      <c r="AF320" s="591"/>
      <c r="AG320" s="591"/>
      <c r="AH320" s="591"/>
      <c r="AI320" s="591"/>
      <c r="AJ320" s="591"/>
      <c r="AK320" s="591"/>
      <c r="AL320" s="591"/>
      <c r="AM320" s="591"/>
      <c r="AN320" s="591"/>
      <c r="AO320" s="591"/>
      <c r="AP320" s="591"/>
      <c r="AQ320" s="591"/>
      <c r="AR320" s="591"/>
      <c r="AS320" s="591"/>
      <c r="AT320" s="591"/>
      <c r="AU320" s="591"/>
      <c r="AV320" s="591"/>
      <c r="AW320" s="591"/>
      <c r="AX320" s="591"/>
      <c r="AY320" s="591"/>
      <c r="AZ320" s="591"/>
      <c r="BA320" s="591"/>
      <c r="BB320" s="591"/>
      <c r="BC320" s="591"/>
      <c r="BD320" s="591"/>
      <c r="BE320" s="591"/>
      <c r="BF320" s="591"/>
      <c r="BG320" s="591"/>
      <c r="BH320" s="591"/>
      <c r="BI320" s="591"/>
      <c r="BJ320" s="591"/>
      <c r="BK320" s="591"/>
      <c r="BL320" s="591"/>
      <c r="BM320" s="591"/>
      <c r="BN320" s="591"/>
      <c r="BO320" s="591"/>
      <c r="BP320" s="591"/>
      <c r="BQ320" s="591"/>
      <c r="BR320" s="591"/>
      <c r="BS320" s="591"/>
      <c r="BT320" s="591"/>
      <c r="BU320" s="591"/>
      <c r="BV320" s="591"/>
      <c r="BW320" s="591"/>
      <c r="BX320" s="591"/>
      <c r="BY320" s="591"/>
      <c r="BZ320" s="591"/>
      <c r="CA320" s="591"/>
      <c r="CB320" s="591"/>
      <c r="CC320" s="591"/>
      <c r="CD320" s="591"/>
      <c r="CE320" s="591"/>
      <c r="CF320" s="591"/>
    </row>
    <row r="321" spans="1:84">
      <c r="A321" s="591"/>
      <c r="B321" s="591"/>
      <c r="C321" s="591"/>
      <c r="D321" s="591"/>
      <c r="E321" s="591"/>
      <c r="F321" s="591"/>
      <c r="G321" s="591"/>
      <c r="H321" s="591"/>
      <c r="I321" s="591"/>
      <c r="J321" s="591"/>
      <c r="K321" s="591"/>
      <c r="L321" s="591"/>
      <c r="M321" s="591"/>
      <c r="N321" s="591"/>
      <c r="O321" s="591"/>
      <c r="P321" s="591"/>
      <c r="Q321" s="591"/>
      <c r="R321" s="591"/>
      <c r="S321" s="591"/>
      <c r="T321" s="591"/>
      <c r="U321" s="591"/>
      <c r="V321" s="591"/>
      <c r="W321" s="591"/>
      <c r="X321" s="591"/>
      <c r="Y321" s="591"/>
      <c r="Z321" s="591"/>
      <c r="AA321" s="591"/>
      <c r="AB321" s="591"/>
      <c r="AC321" s="591"/>
      <c r="AD321" s="591"/>
      <c r="AE321" s="591"/>
      <c r="AF321" s="591"/>
      <c r="AG321" s="591"/>
      <c r="AH321" s="591"/>
      <c r="AI321" s="591"/>
      <c r="AJ321" s="591"/>
      <c r="AK321" s="591"/>
      <c r="AL321" s="591"/>
      <c r="AM321" s="591"/>
      <c r="AN321" s="591"/>
      <c r="AO321" s="591"/>
      <c r="AP321" s="591"/>
      <c r="AQ321" s="591"/>
      <c r="AR321" s="591"/>
      <c r="AS321" s="591"/>
      <c r="AT321" s="591"/>
      <c r="AU321" s="591"/>
      <c r="AV321" s="591"/>
      <c r="AW321" s="591"/>
      <c r="AX321" s="591"/>
      <c r="AY321" s="591"/>
      <c r="AZ321" s="591"/>
      <c r="BA321" s="591"/>
      <c r="BB321" s="591"/>
      <c r="BC321" s="591"/>
      <c r="BD321" s="591"/>
      <c r="BE321" s="591"/>
      <c r="BF321" s="591"/>
      <c r="BG321" s="591"/>
      <c r="BH321" s="591"/>
      <c r="BI321" s="591"/>
      <c r="BJ321" s="591"/>
      <c r="BK321" s="591"/>
      <c r="BL321" s="591"/>
      <c r="BM321" s="591"/>
      <c r="BN321" s="591"/>
      <c r="BO321" s="591"/>
      <c r="BP321" s="591"/>
      <c r="BQ321" s="591"/>
      <c r="BR321" s="591"/>
      <c r="BS321" s="591"/>
      <c r="BT321" s="591"/>
      <c r="BU321" s="591"/>
      <c r="BV321" s="591"/>
      <c r="BW321" s="591"/>
      <c r="BX321" s="591"/>
      <c r="BY321" s="591"/>
      <c r="BZ321" s="591"/>
      <c r="CA321" s="591"/>
      <c r="CB321" s="591"/>
      <c r="CC321" s="591"/>
      <c r="CD321" s="591"/>
      <c r="CE321" s="591"/>
      <c r="CF321" s="591"/>
    </row>
    <row r="322" spans="1:84">
      <c r="A322" s="591"/>
      <c r="B322" s="591"/>
      <c r="C322" s="591"/>
      <c r="D322" s="591"/>
      <c r="E322" s="591"/>
      <c r="F322" s="591"/>
      <c r="G322" s="591"/>
      <c r="H322" s="591"/>
      <c r="I322" s="591"/>
      <c r="J322" s="591"/>
      <c r="K322" s="591"/>
      <c r="L322" s="591"/>
      <c r="M322" s="591"/>
      <c r="N322" s="591"/>
      <c r="O322" s="591"/>
      <c r="P322" s="591"/>
      <c r="Q322" s="591"/>
      <c r="R322" s="591"/>
      <c r="S322" s="591"/>
      <c r="T322" s="591"/>
      <c r="U322" s="591"/>
      <c r="V322" s="591"/>
      <c r="W322" s="591"/>
      <c r="X322" s="591"/>
      <c r="Y322" s="591"/>
      <c r="Z322" s="591"/>
      <c r="AA322" s="591"/>
      <c r="AB322" s="591"/>
      <c r="AC322" s="591"/>
      <c r="AD322" s="591"/>
      <c r="AE322" s="591"/>
      <c r="AF322" s="591"/>
      <c r="AG322" s="591"/>
      <c r="AH322" s="591"/>
      <c r="AI322" s="591"/>
      <c r="AJ322" s="591"/>
      <c r="AK322" s="591"/>
      <c r="AL322" s="591"/>
      <c r="AM322" s="591"/>
      <c r="AN322" s="591"/>
      <c r="AO322" s="591"/>
      <c r="AP322" s="591"/>
      <c r="AQ322" s="591"/>
      <c r="AR322" s="591"/>
      <c r="AS322" s="591"/>
      <c r="AT322" s="591"/>
      <c r="AU322" s="591"/>
      <c r="AV322" s="591"/>
      <c r="AW322" s="591"/>
      <c r="AX322" s="591"/>
      <c r="AY322" s="591"/>
      <c r="AZ322" s="591"/>
      <c r="BA322" s="591"/>
      <c r="BB322" s="591"/>
      <c r="BC322" s="591"/>
      <c r="BD322" s="591"/>
      <c r="BE322" s="591"/>
      <c r="BF322" s="591"/>
      <c r="BG322" s="591"/>
      <c r="BH322" s="591"/>
      <c r="BI322" s="591"/>
      <c r="BJ322" s="591"/>
      <c r="BK322" s="591"/>
      <c r="BL322" s="591"/>
      <c r="BM322" s="591"/>
      <c r="BN322" s="591"/>
      <c r="BO322" s="591"/>
      <c r="BP322" s="591"/>
      <c r="BQ322" s="591"/>
      <c r="BR322" s="591"/>
      <c r="BS322" s="591"/>
      <c r="BT322" s="591"/>
      <c r="BU322" s="591"/>
      <c r="BV322" s="591"/>
      <c r="BW322" s="591"/>
      <c r="BX322" s="591"/>
      <c r="BY322" s="591"/>
      <c r="BZ322" s="591"/>
      <c r="CA322" s="591"/>
      <c r="CB322" s="591"/>
      <c r="CC322" s="591"/>
      <c r="CD322" s="591"/>
      <c r="CE322" s="591"/>
      <c r="CF322" s="591"/>
    </row>
    <row r="323" spans="1:84">
      <c r="A323" s="591"/>
      <c r="B323" s="591"/>
      <c r="C323" s="591"/>
      <c r="D323" s="591"/>
      <c r="E323" s="591"/>
      <c r="F323" s="591"/>
      <c r="G323" s="591"/>
      <c r="H323" s="591"/>
      <c r="I323" s="591"/>
      <c r="J323" s="591"/>
      <c r="K323" s="591"/>
      <c r="L323" s="591"/>
      <c r="M323" s="591"/>
      <c r="N323" s="591"/>
      <c r="O323" s="591"/>
      <c r="P323" s="591"/>
      <c r="Q323" s="591"/>
      <c r="R323" s="591"/>
      <c r="S323" s="591"/>
      <c r="T323" s="591"/>
      <c r="U323" s="591"/>
      <c r="V323" s="591"/>
      <c r="W323" s="591"/>
      <c r="X323" s="591"/>
      <c r="Y323" s="591"/>
      <c r="Z323" s="591"/>
      <c r="AA323" s="591"/>
      <c r="AB323" s="591"/>
      <c r="AC323" s="591"/>
      <c r="AD323" s="591"/>
      <c r="AE323" s="591"/>
      <c r="AF323" s="591"/>
      <c r="AG323" s="591"/>
      <c r="AH323" s="591"/>
      <c r="AI323" s="591"/>
      <c r="AJ323" s="591"/>
      <c r="AK323" s="591"/>
      <c r="AL323" s="591"/>
      <c r="AM323" s="591"/>
      <c r="AN323" s="591"/>
      <c r="AO323" s="591"/>
      <c r="AP323" s="591"/>
      <c r="AQ323" s="591"/>
      <c r="AR323" s="591"/>
      <c r="AS323" s="591"/>
      <c r="AT323" s="591"/>
      <c r="AU323" s="591"/>
      <c r="AV323" s="591"/>
      <c r="AW323" s="591"/>
      <c r="AX323" s="591"/>
      <c r="AY323" s="591"/>
      <c r="AZ323" s="591"/>
      <c r="BA323" s="591"/>
      <c r="BB323" s="591"/>
      <c r="BC323" s="591"/>
      <c r="BD323" s="591"/>
      <c r="BE323" s="591"/>
      <c r="BF323" s="591"/>
      <c r="BG323" s="591"/>
      <c r="BH323" s="591"/>
      <c r="BI323" s="591"/>
      <c r="BJ323" s="591"/>
      <c r="BK323" s="591"/>
      <c r="BL323" s="591"/>
      <c r="BM323" s="591"/>
      <c r="BN323" s="591"/>
      <c r="BO323" s="591"/>
      <c r="BP323" s="591"/>
      <c r="BQ323" s="591"/>
      <c r="BR323" s="591"/>
      <c r="BS323" s="591"/>
      <c r="BT323" s="591"/>
      <c r="BU323" s="591"/>
      <c r="BV323" s="591"/>
      <c r="BW323" s="591"/>
      <c r="BX323" s="591"/>
      <c r="BY323" s="591"/>
      <c r="BZ323" s="591"/>
      <c r="CA323" s="591"/>
      <c r="CB323" s="591"/>
      <c r="CC323" s="591"/>
      <c r="CD323" s="591"/>
      <c r="CE323" s="591"/>
      <c r="CF323" s="591"/>
    </row>
    <row r="324" spans="1:84">
      <c r="A324" s="591"/>
      <c r="B324" s="591"/>
      <c r="C324" s="591"/>
      <c r="D324" s="591"/>
      <c r="E324" s="591"/>
      <c r="F324" s="591"/>
      <c r="G324" s="591"/>
      <c r="H324" s="591"/>
      <c r="I324" s="591"/>
      <c r="J324" s="591"/>
      <c r="K324" s="591"/>
      <c r="L324" s="591"/>
      <c r="M324" s="591"/>
      <c r="N324" s="591"/>
      <c r="O324" s="591"/>
      <c r="P324" s="591"/>
      <c r="Q324" s="591"/>
      <c r="R324" s="591"/>
      <c r="S324" s="591"/>
      <c r="T324" s="591"/>
      <c r="U324" s="591"/>
      <c r="V324" s="591"/>
      <c r="W324" s="591"/>
      <c r="X324" s="591"/>
      <c r="Y324" s="591"/>
      <c r="Z324" s="591"/>
      <c r="AA324" s="591"/>
      <c r="AB324" s="591"/>
      <c r="AC324" s="591"/>
      <c r="AD324" s="591"/>
      <c r="AE324" s="591"/>
      <c r="AF324" s="591"/>
      <c r="AG324" s="591"/>
      <c r="AH324" s="591"/>
      <c r="AI324" s="591"/>
      <c r="AJ324" s="591"/>
      <c r="AK324" s="591"/>
      <c r="AL324" s="591"/>
      <c r="AM324" s="591"/>
      <c r="AN324" s="591"/>
      <c r="AO324" s="591"/>
      <c r="AP324" s="591"/>
      <c r="AQ324" s="591"/>
      <c r="AR324" s="591"/>
      <c r="AS324" s="591"/>
      <c r="AT324" s="591"/>
      <c r="AU324" s="591"/>
      <c r="AV324" s="591"/>
      <c r="AW324" s="591"/>
      <c r="AX324" s="591"/>
      <c r="AY324" s="591"/>
      <c r="AZ324" s="591"/>
      <c r="BA324" s="591"/>
      <c r="BB324" s="591"/>
      <c r="BC324" s="591"/>
      <c r="BD324" s="591"/>
      <c r="BE324" s="591"/>
      <c r="BF324" s="591"/>
      <c r="BG324" s="591"/>
      <c r="BH324" s="591"/>
      <c r="BI324" s="591"/>
      <c r="BJ324" s="591"/>
      <c r="BK324" s="591"/>
      <c r="BL324" s="591"/>
      <c r="BM324" s="591"/>
      <c r="BN324" s="591"/>
      <c r="BO324" s="591"/>
      <c r="BP324" s="591"/>
      <c r="BQ324" s="591"/>
      <c r="BR324" s="591"/>
      <c r="BS324" s="591"/>
      <c r="BT324" s="591"/>
      <c r="BU324" s="591"/>
      <c r="BV324" s="591"/>
      <c r="BW324" s="591"/>
      <c r="BX324" s="591"/>
      <c r="BY324" s="591"/>
      <c r="BZ324" s="591"/>
      <c r="CA324" s="591"/>
      <c r="CB324" s="591"/>
      <c r="CC324" s="591"/>
      <c r="CD324" s="591"/>
      <c r="CE324" s="591"/>
      <c r="CF324" s="591"/>
    </row>
    <row r="325" spans="1:84">
      <c r="A325" s="591"/>
      <c r="B325" s="591"/>
      <c r="C325" s="591"/>
      <c r="D325" s="591"/>
      <c r="E325" s="591"/>
      <c r="F325" s="591"/>
      <c r="G325" s="591"/>
      <c r="H325" s="591"/>
      <c r="I325" s="591"/>
      <c r="J325" s="591"/>
      <c r="K325" s="591"/>
      <c r="L325" s="591"/>
      <c r="M325" s="591"/>
      <c r="N325" s="591"/>
      <c r="O325" s="591"/>
      <c r="P325" s="591"/>
      <c r="Q325" s="591"/>
      <c r="R325" s="591"/>
      <c r="S325" s="591"/>
      <c r="T325" s="591"/>
      <c r="U325" s="591"/>
      <c r="V325" s="591"/>
      <c r="W325" s="591"/>
      <c r="X325" s="591"/>
      <c r="Y325" s="591"/>
      <c r="Z325" s="591"/>
      <c r="AA325" s="591"/>
      <c r="AB325" s="591"/>
      <c r="AC325" s="591"/>
      <c r="AD325" s="591"/>
      <c r="AE325" s="591"/>
      <c r="AF325" s="591"/>
      <c r="AG325" s="591"/>
      <c r="AH325" s="591"/>
      <c r="AI325" s="591"/>
      <c r="AJ325" s="591"/>
      <c r="AK325" s="591"/>
      <c r="AL325" s="591"/>
      <c r="AM325" s="591"/>
      <c r="AN325" s="591"/>
      <c r="AO325" s="591"/>
      <c r="AP325" s="591"/>
      <c r="AQ325" s="591"/>
      <c r="AR325" s="591"/>
      <c r="AS325" s="591"/>
      <c r="AT325" s="591"/>
      <c r="AU325" s="591"/>
      <c r="AV325" s="591"/>
      <c r="AW325" s="591"/>
      <c r="AX325" s="591"/>
      <c r="AY325" s="591"/>
      <c r="AZ325" s="591"/>
      <c r="BA325" s="591"/>
      <c r="BB325" s="591"/>
      <c r="BC325" s="591"/>
      <c r="BD325" s="591"/>
      <c r="BE325" s="591"/>
      <c r="BF325" s="591"/>
      <c r="BG325" s="591"/>
      <c r="BH325" s="591"/>
      <c r="BI325" s="591"/>
      <c r="BJ325" s="591"/>
      <c r="BK325" s="591"/>
      <c r="BL325" s="591"/>
      <c r="BM325" s="591"/>
      <c r="BN325" s="591"/>
      <c r="BO325" s="591"/>
      <c r="BP325" s="591"/>
      <c r="BQ325" s="591"/>
      <c r="BR325" s="591"/>
      <c r="BS325" s="591"/>
      <c r="BT325" s="591"/>
      <c r="BU325" s="591"/>
      <c r="BV325" s="591"/>
      <c r="BW325" s="591"/>
      <c r="BX325" s="591"/>
      <c r="BY325" s="591"/>
      <c r="BZ325" s="591"/>
      <c r="CA325" s="591"/>
      <c r="CB325" s="591"/>
      <c r="CC325" s="591"/>
      <c r="CD325" s="591"/>
      <c r="CE325" s="591"/>
      <c r="CF325" s="591"/>
    </row>
    <row r="326" spans="1:84">
      <c r="A326" s="591"/>
      <c r="B326" s="591"/>
      <c r="C326" s="591"/>
      <c r="D326" s="591"/>
      <c r="E326" s="591"/>
      <c r="F326" s="591"/>
      <c r="G326" s="591"/>
      <c r="H326" s="591"/>
      <c r="I326" s="591"/>
      <c r="J326" s="591"/>
      <c r="K326" s="591"/>
      <c r="L326" s="591"/>
      <c r="M326" s="591"/>
      <c r="N326" s="591"/>
      <c r="O326" s="591"/>
      <c r="P326" s="591"/>
      <c r="Q326" s="591"/>
      <c r="R326" s="591"/>
      <c r="S326" s="591"/>
      <c r="T326" s="591"/>
      <c r="U326" s="591"/>
      <c r="V326" s="591"/>
      <c r="W326" s="591"/>
      <c r="X326" s="591"/>
      <c r="Y326" s="591"/>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1"/>
      <c r="BM326" s="591"/>
      <c r="BN326" s="591"/>
      <c r="BO326" s="591"/>
      <c r="BP326" s="591"/>
      <c r="BQ326" s="591"/>
      <c r="BR326" s="591"/>
      <c r="BS326" s="591"/>
      <c r="BT326" s="591"/>
      <c r="BU326" s="591"/>
      <c r="BV326" s="591"/>
      <c r="BW326" s="591"/>
      <c r="BX326" s="591"/>
      <c r="BY326" s="591"/>
      <c r="BZ326" s="591"/>
      <c r="CA326" s="591"/>
      <c r="CB326" s="591"/>
      <c r="CC326" s="591"/>
      <c r="CD326" s="591"/>
      <c r="CE326" s="591"/>
      <c r="CF326" s="591"/>
    </row>
    <row r="327" spans="1:84">
      <c r="A327" s="591"/>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1"/>
      <c r="AD327" s="591"/>
      <c r="AE327" s="591"/>
      <c r="AF327" s="591"/>
      <c r="AG327" s="591"/>
      <c r="AH327" s="591"/>
      <c r="AI327" s="591"/>
      <c r="AJ327" s="591"/>
      <c r="AK327" s="591"/>
      <c r="AL327" s="591"/>
      <c r="AM327" s="591"/>
      <c r="AN327" s="591"/>
      <c r="AO327" s="591"/>
      <c r="AP327" s="591"/>
      <c r="AQ327" s="591"/>
      <c r="AR327" s="591"/>
      <c r="AS327" s="591"/>
      <c r="AT327" s="591"/>
      <c r="AU327" s="591"/>
      <c r="AV327" s="591"/>
      <c r="AW327" s="591"/>
      <c r="AX327" s="591"/>
      <c r="AY327" s="591"/>
      <c r="AZ327" s="591"/>
      <c r="BA327" s="591"/>
      <c r="BB327" s="591"/>
      <c r="BC327" s="591"/>
      <c r="BD327" s="591"/>
      <c r="BE327" s="591"/>
      <c r="BF327" s="591"/>
      <c r="BG327" s="591"/>
      <c r="BH327" s="591"/>
      <c r="BI327" s="591"/>
      <c r="BJ327" s="591"/>
      <c r="BK327" s="591"/>
      <c r="BL327" s="591"/>
      <c r="BM327" s="591"/>
      <c r="BN327" s="591"/>
      <c r="BO327" s="591"/>
      <c r="BP327" s="591"/>
      <c r="BQ327" s="591"/>
      <c r="BR327" s="591"/>
      <c r="BS327" s="591"/>
      <c r="BT327" s="591"/>
      <c r="BU327" s="591"/>
      <c r="BV327" s="591"/>
      <c r="BW327" s="591"/>
      <c r="BX327" s="591"/>
      <c r="BY327" s="591"/>
      <c r="BZ327" s="591"/>
      <c r="CA327" s="591"/>
      <c r="CB327" s="591"/>
      <c r="CC327" s="591"/>
      <c r="CD327" s="591"/>
      <c r="CE327" s="591"/>
      <c r="CF327" s="591"/>
    </row>
    <row r="328" spans="1:84">
      <c r="A328" s="591"/>
      <c r="B328" s="591"/>
      <c r="C328" s="591"/>
      <c r="D328" s="591"/>
      <c r="E328" s="591"/>
      <c r="F328" s="591"/>
      <c r="G328" s="591"/>
      <c r="H328" s="591"/>
      <c r="I328" s="591"/>
      <c r="J328" s="591"/>
      <c r="K328" s="591"/>
      <c r="L328" s="591"/>
      <c r="M328" s="591"/>
      <c r="N328" s="591"/>
      <c r="O328" s="591"/>
      <c r="P328" s="591"/>
      <c r="Q328" s="591"/>
      <c r="R328" s="591"/>
      <c r="S328" s="591"/>
      <c r="T328" s="591"/>
      <c r="U328" s="591"/>
      <c r="V328" s="591"/>
      <c r="W328" s="591"/>
      <c r="X328" s="591"/>
      <c r="Y328" s="591"/>
      <c r="Z328" s="591"/>
      <c r="AA328" s="591"/>
      <c r="AB328" s="591"/>
      <c r="AC328" s="591"/>
      <c r="AD328" s="591"/>
      <c r="AE328" s="591"/>
      <c r="AF328" s="591"/>
      <c r="AG328" s="591"/>
      <c r="AH328" s="591"/>
      <c r="AI328" s="591"/>
      <c r="AJ328" s="591"/>
      <c r="AK328" s="591"/>
      <c r="AL328" s="591"/>
      <c r="AM328" s="591"/>
      <c r="AN328" s="591"/>
      <c r="AO328" s="591"/>
      <c r="AP328" s="591"/>
      <c r="AQ328" s="591"/>
      <c r="AR328" s="591"/>
      <c r="AS328" s="591"/>
      <c r="AT328" s="591"/>
      <c r="AU328" s="591"/>
      <c r="AV328" s="591"/>
      <c r="AW328" s="591"/>
      <c r="AX328" s="591"/>
      <c r="AY328" s="591"/>
      <c r="AZ328" s="591"/>
      <c r="BA328" s="591"/>
      <c r="BB328" s="591"/>
      <c r="BC328" s="591"/>
      <c r="BD328" s="591"/>
      <c r="BE328" s="591"/>
      <c r="BF328" s="591"/>
      <c r="BG328" s="591"/>
      <c r="BH328" s="591"/>
      <c r="BI328" s="591"/>
      <c r="BJ328" s="591"/>
      <c r="BK328" s="591"/>
      <c r="BL328" s="591"/>
      <c r="BM328" s="591"/>
      <c r="BN328" s="591"/>
      <c r="BO328" s="591"/>
      <c r="BP328" s="591"/>
      <c r="BQ328" s="591"/>
      <c r="BR328" s="591"/>
      <c r="BS328" s="591"/>
      <c r="BT328" s="591"/>
      <c r="BU328" s="591"/>
      <c r="BV328" s="591"/>
      <c r="BW328" s="591"/>
      <c r="BX328" s="591"/>
      <c r="BY328" s="591"/>
      <c r="BZ328" s="591"/>
      <c r="CA328" s="591"/>
      <c r="CB328" s="591"/>
      <c r="CC328" s="591"/>
      <c r="CD328" s="591"/>
      <c r="CE328" s="591"/>
      <c r="CF328" s="591"/>
    </row>
    <row r="329" spans="1:84">
      <c r="A329" s="591"/>
      <c r="B329" s="591"/>
      <c r="C329" s="591"/>
      <c r="D329" s="591"/>
      <c r="E329" s="591"/>
      <c r="F329" s="591"/>
      <c r="G329" s="591"/>
      <c r="H329" s="591"/>
      <c r="I329" s="591"/>
      <c r="J329" s="591"/>
      <c r="K329" s="591"/>
      <c r="L329" s="591"/>
      <c r="M329" s="591"/>
      <c r="N329" s="591"/>
      <c r="O329" s="591"/>
      <c r="P329" s="591"/>
      <c r="Q329" s="591"/>
      <c r="R329" s="591"/>
      <c r="S329" s="591"/>
      <c r="T329" s="591"/>
      <c r="U329" s="591"/>
      <c r="V329" s="591"/>
      <c r="W329" s="591"/>
      <c r="X329" s="591"/>
      <c r="Y329" s="591"/>
      <c r="Z329" s="591"/>
      <c r="AA329" s="591"/>
      <c r="AB329" s="591"/>
      <c r="AC329" s="591"/>
      <c r="AD329" s="591"/>
      <c r="AE329" s="591"/>
      <c r="AF329" s="591"/>
      <c r="AG329" s="591"/>
      <c r="AH329" s="591"/>
      <c r="AI329" s="591"/>
      <c r="AJ329" s="591"/>
      <c r="AK329" s="591"/>
      <c r="AL329" s="591"/>
      <c r="AM329" s="591"/>
      <c r="AN329" s="591"/>
      <c r="AO329" s="591"/>
      <c r="AP329" s="591"/>
      <c r="AQ329" s="591"/>
      <c r="AR329" s="591"/>
      <c r="AS329" s="591"/>
      <c r="AT329" s="591"/>
      <c r="AU329" s="591"/>
      <c r="AV329" s="591"/>
      <c r="AW329" s="591"/>
      <c r="AX329" s="591"/>
      <c r="AY329" s="591"/>
      <c r="AZ329" s="591"/>
      <c r="BA329" s="591"/>
      <c r="BB329" s="591"/>
      <c r="BC329" s="591"/>
      <c r="BD329" s="591"/>
      <c r="BE329" s="591"/>
      <c r="BF329" s="591"/>
      <c r="BG329" s="591"/>
      <c r="BH329" s="591"/>
      <c r="BI329" s="591"/>
      <c r="BJ329" s="591"/>
      <c r="BK329" s="591"/>
      <c r="BL329" s="591"/>
      <c r="BM329" s="591"/>
      <c r="BN329" s="591"/>
      <c r="BO329" s="591"/>
      <c r="BP329" s="591"/>
      <c r="BQ329" s="591"/>
      <c r="BR329" s="591"/>
      <c r="BS329" s="591"/>
      <c r="BT329" s="591"/>
      <c r="BU329" s="591"/>
      <c r="BV329" s="591"/>
      <c r="BW329" s="591"/>
      <c r="BX329" s="591"/>
      <c r="BY329" s="591"/>
      <c r="BZ329" s="591"/>
      <c r="CA329" s="591"/>
      <c r="CB329" s="591"/>
      <c r="CC329" s="591"/>
      <c r="CD329" s="591"/>
      <c r="CE329" s="591"/>
      <c r="CF329" s="591"/>
    </row>
    <row r="330" spans="1:84">
      <c r="A330" s="591"/>
      <c r="B330" s="591"/>
      <c r="C330" s="591"/>
      <c r="D330" s="591"/>
      <c r="E330" s="591"/>
      <c r="F330" s="591"/>
      <c r="G330" s="591"/>
      <c r="H330" s="591"/>
      <c r="I330" s="591"/>
      <c r="J330" s="591"/>
      <c r="K330" s="591"/>
      <c r="L330" s="591"/>
      <c r="M330" s="591"/>
      <c r="N330" s="591"/>
      <c r="O330" s="591"/>
      <c r="P330" s="591"/>
      <c r="Q330" s="591"/>
      <c r="R330" s="591"/>
      <c r="S330" s="591"/>
      <c r="T330" s="591"/>
      <c r="U330" s="591"/>
      <c r="V330" s="591"/>
      <c r="W330" s="591"/>
      <c r="X330" s="591"/>
      <c r="Y330" s="591"/>
      <c r="Z330" s="591"/>
      <c r="AA330" s="591"/>
      <c r="AB330" s="591"/>
      <c r="AC330" s="591"/>
      <c r="AD330" s="591"/>
      <c r="AE330" s="591"/>
      <c r="AF330" s="591"/>
      <c r="AG330" s="591"/>
      <c r="AH330" s="591"/>
      <c r="AI330" s="591"/>
      <c r="AJ330" s="591"/>
      <c r="AK330" s="591"/>
      <c r="AL330" s="591"/>
      <c r="AM330" s="591"/>
      <c r="AN330" s="591"/>
      <c r="AO330" s="591"/>
      <c r="AP330" s="591"/>
      <c r="AQ330" s="591"/>
      <c r="AR330" s="591"/>
      <c r="AS330" s="591"/>
      <c r="AT330" s="591"/>
      <c r="AU330" s="591"/>
      <c r="AV330" s="591"/>
      <c r="AW330" s="591"/>
      <c r="AX330" s="591"/>
      <c r="AY330" s="591"/>
      <c r="AZ330" s="591"/>
      <c r="BA330" s="591"/>
      <c r="BB330" s="591"/>
      <c r="BC330" s="591"/>
      <c r="BD330" s="591"/>
      <c r="BE330" s="591"/>
      <c r="BF330" s="591"/>
      <c r="BG330" s="591"/>
      <c r="BH330" s="591"/>
      <c r="BI330" s="591"/>
      <c r="BJ330" s="591"/>
      <c r="BK330" s="591"/>
      <c r="BL330" s="591"/>
      <c r="BM330" s="591"/>
      <c r="BN330" s="591"/>
      <c r="BO330" s="591"/>
      <c r="BP330" s="591"/>
      <c r="BQ330" s="591"/>
      <c r="BR330" s="591"/>
      <c r="BS330" s="591"/>
      <c r="BT330" s="591"/>
      <c r="BU330" s="591"/>
      <c r="BV330" s="591"/>
      <c r="BW330" s="591"/>
      <c r="BX330" s="591"/>
      <c r="BY330" s="591"/>
      <c r="BZ330" s="591"/>
      <c r="CA330" s="591"/>
      <c r="CB330" s="591"/>
      <c r="CC330" s="591"/>
      <c r="CD330" s="591"/>
      <c r="CE330" s="591"/>
      <c r="CF330" s="591"/>
    </row>
    <row r="331" spans="1:84">
      <c r="A331" s="591"/>
      <c r="B331" s="591"/>
      <c r="C331" s="591"/>
      <c r="D331" s="591"/>
      <c r="E331" s="591"/>
      <c r="F331" s="591"/>
      <c r="G331" s="591"/>
      <c r="H331" s="591"/>
      <c r="I331" s="591"/>
      <c r="J331" s="591"/>
      <c r="K331" s="591"/>
      <c r="L331" s="591"/>
      <c r="M331" s="591"/>
      <c r="N331" s="591"/>
      <c r="O331" s="591"/>
      <c r="P331" s="591"/>
      <c r="Q331" s="591"/>
      <c r="R331" s="591"/>
      <c r="S331" s="591"/>
      <c r="T331" s="591"/>
      <c r="U331" s="591"/>
      <c r="V331" s="591"/>
      <c r="W331" s="591"/>
      <c r="X331" s="591"/>
      <c r="Y331" s="591"/>
      <c r="Z331" s="591"/>
      <c r="AA331" s="591"/>
      <c r="AB331" s="591"/>
      <c r="AC331" s="591"/>
      <c r="AD331" s="591"/>
      <c r="AE331" s="591"/>
      <c r="AF331" s="591"/>
      <c r="AG331" s="591"/>
      <c r="AH331" s="591"/>
      <c r="AI331" s="591"/>
      <c r="AJ331" s="591"/>
      <c r="AK331" s="591"/>
      <c r="AL331" s="591"/>
      <c r="AM331" s="591"/>
      <c r="AN331" s="591"/>
      <c r="AO331" s="591"/>
      <c r="AP331" s="591"/>
      <c r="AQ331" s="591"/>
      <c r="AR331" s="591"/>
      <c r="AS331" s="591"/>
      <c r="AT331" s="591"/>
      <c r="AU331" s="591"/>
      <c r="AV331" s="591"/>
      <c r="AW331" s="591"/>
      <c r="AX331" s="591"/>
      <c r="AY331" s="591"/>
      <c r="AZ331" s="591"/>
      <c r="BA331" s="591"/>
      <c r="BB331" s="591"/>
      <c r="BC331" s="591"/>
      <c r="BD331" s="591"/>
      <c r="BE331" s="591"/>
      <c r="BF331" s="591"/>
      <c r="BG331" s="591"/>
      <c r="BH331" s="591"/>
      <c r="BI331" s="591"/>
      <c r="BJ331" s="591"/>
      <c r="BK331" s="591"/>
      <c r="BL331" s="591"/>
      <c r="BM331" s="591"/>
      <c r="BN331" s="591"/>
      <c r="BO331" s="591"/>
      <c r="BP331" s="591"/>
      <c r="BQ331" s="591"/>
      <c r="BR331" s="591"/>
      <c r="BS331" s="591"/>
      <c r="BT331" s="591"/>
      <c r="BU331" s="591"/>
      <c r="BV331" s="591"/>
      <c r="BW331" s="591"/>
      <c r="BX331" s="591"/>
      <c r="BY331" s="591"/>
      <c r="BZ331" s="591"/>
      <c r="CA331" s="591"/>
      <c r="CB331" s="591"/>
      <c r="CC331" s="591"/>
      <c r="CD331" s="591"/>
      <c r="CE331" s="591"/>
      <c r="CF331" s="591"/>
    </row>
    <row r="332" spans="1:84">
      <c r="A332" s="591"/>
      <c r="B332" s="591"/>
      <c r="C332" s="591"/>
      <c r="D332" s="591"/>
      <c r="E332" s="591"/>
      <c r="F332" s="591"/>
      <c r="G332" s="591"/>
      <c r="H332" s="591"/>
      <c r="I332" s="591"/>
      <c r="J332" s="591"/>
      <c r="K332" s="591"/>
      <c r="L332" s="591"/>
      <c r="M332" s="591"/>
      <c r="N332" s="591"/>
      <c r="O332" s="591"/>
      <c r="P332" s="591"/>
      <c r="Q332" s="591"/>
      <c r="R332" s="591"/>
      <c r="S332" s="591"/>
      <c r="T332" s="591"/>
      <c r="U332" s="591"/>
      <c r="V332" s="591"/>
      <c r="W332" s="591"/>
      <c r="X332" s="591"/>
      <c r="Y332" s="591"/>
      <c r="Z332" s="591"/>
      <c r="AA332" s="591"/>
      <c r="AB332" s="591"/>
      <c r="AC332" s="591"/>
      <c r="AD332" s="591"/>
      <c r="AE332" s="591"/>
      <c r="AF332" s="591"/>
      <c r="AG332" s="591"/>
      <c r="AH332" s="591"/>
      <c r="AI332" s="591"/>
      <c r="AJ332" s="591"/>
      <c r="AK332" s="591"/>
      <c r="AL332" s="591"/>
      <c r="AM332" s="591"/>
      <c r="AN332" s="591"/>
      <c r="AO332" s="591"/>
      <c r="AP332" s="591"/>
      <c r="AQ332" s="591"/>
      <c r="AR332" s="591"/>
      <c r="AS332" s="591"/>
      <c r="AT332" s="591"/>
      <c r="AU332" s="591"/>
      <c r="AV332" s="591"/>
      <c r="AW332" s="591"/>
      <c r="AX332" s="591"/>
      <c r="AY332" s="591"/>
      <c r="AZ332" s="591"/>
      <c r="BA332" s="591"/>
      <c r="BB332" s="591"/>
      <c r="BC332" s="591"/>
      <c r="BD332" s="591"/>
      <c r="BE332" s="591"/>
      <c r="BF332" s="591"/>
      <c r="BG332" s="591"/>
      <c r="BH332" s="591"/>
      <c r="BI332" s="591"/>
      <c r="BJ332" s="591"/>
      <c r="BK332" s="591"/>
      <c r="BL332" s="591"/>
      <c r="BM332" s="591"/>
      <c r="BN332" s="591"/>
      <c r="BO332" s="591"/>
      <c r="BP332" s="591"/>
      <c r="BQ332" s="591"/>
      <c r="BR332" s="591"/>
      <c r="BS332" s="591"/>
      <c r="BT332" s="591"/>
      <c r="BU332" s="591"/>
      <c r="BV332" s="591"/>
      <c r="BW332" s="591"/>
      <c r="BX332" s="591"/>
      <c r="BY332" s="591"/>
      <c r="BZ332" s="591"/>
      <c r="CA332" s="591"/>
      <c r="CB332" s="591"/>
      <c r="CC332" s="591"/>
      <c r="CD332" s="591"/>
      <c r="CE332" s="591"/>
      <c r="CF332" s="591"/>
    </row>
    <row r="333" spans="1:84">
      <c r="A333" s="591"/>
      <c r="B333" s="591"/>
      <c r="C333" s="591"/>
      <c r="D333" s="591"/>
      <c r="E333" s="591"/>
      <c r="F333" s="591"/>
      <c r="G333" s="591"/>
      <c r="H333" s="591"/>
      <c r="I333" s="591"/>
      <c r="J333" s="591"/>
      <c r="K333" s="591"/>
      <c r="L333" s="591"/>
      <c r="M333" s="591"/>
      <c r="N333" s="591"/>
      <c r="O333" s="591"/>
      <c r="P333" s="591"/>
      <c r="Q333" s="591"/>
      <c r="R333" s="591"/>
      <c r="S333" s="591"/>
      <c r="T333" s="591"/>
      <c r="U333" s="591"/>
      <c r="V333" s="591"/>
      <c r="W333" s="591"/>
      <c r="X333" s="591"/>
      <c r="Y333" s="591"/>
      <c r="Z333" s="591"/>
      <c r="AA333" s="591"/>
      <c r="AB333" s="591"/>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591"/>
      <c r="BF333" s="591"/>
      <c r="BG333" s="591"/>
      <c r="BH333" s="591"/>
      <c r="BI333" s="591"/>
      <c r="BJ333" s="591"/>
      <c r="BK333" s="591"/>
      <c r="BL333" s="591"/>
      <c r="BM333" s="591"/>
      <c r="BN333" s="591"/>
      <c r="BO333" s="591"/>
      <c r="BP333" s="591"/>
      <c r="BQ333" s="591"/>
      <c r="BR333" s="591"/>
      <c r="BS333" s="591"/>
      <c r="BT333" s="591"/>
      <c r="BU333" s="591"/>
      <c r="BV333" s="591"/>
      <c r="BW333" s="591"/>
      <c r="BX333" s="591"/>
      <c r="BY333" s="591"/>
      <c r="BZ333" s="591"/>
      <c r="CA333" s="591"/>
      <c r="CB333" s="591"/>
      <c r="CC333" s="591"/>
      <c r="CD333" s="591"/>
      <c r="CE333" s="591"/>
      <c r="CF333" s="591"/>
    </row>
    <row r="334" spans="1:84">
      <c r="A334" s="591"/>
      <c r="B334" s="591"/>
      <c r="C334" s="591"/>
      <c r="D334" s="591"/>
      <c r="E334" s="591"/>
      <c r="F334" s="591"/>
      <c r="G334" s="591"/>
      <c r="H334" s="591"/>
      <c r="I334" s="591"/>
      <c r="J334" s="591"/>
      <c r="K334" s="591"/>
      <c r="L334" s="591"/>
      <c r="M334" s="591"/>
      <c r="N334" s="591"/>
      <c r="O334" s="591"/>
      <c r="P334" s="591"/>
      <c r="Q334" s="591"/>
      <c r="R334" s="591"/>
      <c r="S334" s="591"/>
      <c r="T334" s="591"/>
      <c r="U334" s="591"/>
      <c r="V334" s="591"/>
      <c r="W334" s="591"/>
      <c r="X334" s="591"/>
      <c r="Y334" s="591"/>
      <c r="Z334" s="591"/>
      <c r="AA334" s="591"/>
      <c r="AB334" s="591"/>
      <c r="AC334" s="591"/>
      <c r="AD334" s="591"/>
      <c r="AE334" s="591"/>
      <c r="AF334" s="591"/>
      <c r="AG334" s="591"/>
      <c r="AH334" s="591"/>
      <c r="AI334" s="591"/>
      <c r="AJ334" s="591"/>
      <c r="AK334" s="591"/>
      <c r="AL334" s="591"/>
      <c r="AM334" s="591"/>
      <c r="AN334" s="591"/>
      <c r="AO334" s="591"/>
      <c r="AP334" s="591"/>
      <c r="AQ334" s="591"/>
      <c r="AR334" s="591"/>
      <c r="AS334" s="591"/>
      <c r="AT334" s="591"/>
      <c r="AU334" s="591"/>
      <c r="AV334" s="591"/>
      <c r="AW334" s="591"/>
      <c r="AX334" s="591"/>
      <c r="AY334" s="591"/>
      <c r="AZ334" s="591"/>
      <c r="BA334" s="591"/>
      <c r="BB334" s="591"/>
      <c r="BC334" s="591"/>
      <c r="BD334" s="591"/>
      <c r="BE334" s="591"/>
      <c r="BF334" s="591"/>
      <c r="BG334" s="591"/>
      <c r="BH334" s="591"/>
      <c r="BI334" s="591"/>
      <c r="BJ334" s="591"/>
      <c r="BK334" s="591"/>
      <c r="BL334" s="591"/>
      <c r="BM334" s="591"/>
      <c r="BN334" s="591"/>
      <c r="BO334" s="591"/>
      <c r="BP334" s="591"/>
      <c r="BQ334" s="591"/>
      <c r="BR334" s="591"/>
      <c r="BS334" s="591"/>
      <c r="BT334" s="591"/>
      <c r="BU334" s="591"/>
      <c r="BV334" s="591"/>
      <c r="BW334" s="591"/>
      <c r="BX334" s="591"/>
      <c r="BY334" s="591"/>
      <c r="BZ334" s="591"/>
      <c r="CA334" s="591"/>
      <c r="CB334" s="591"/>
      <c r="CC334" s="591"/>
      <c r="CD334" s="591"/>
      <c r="CE334" s="591"/>
      <c r="CF334" s="591"/>
    </row>
    <row r="335" spans="1:84">
      <c r="A335" s="591"/>
      <c r="B335" s="591"/>
      <c r="C335" s="591"/>
      <c r="D335" s="591"/>
      <c r="E335" s="591"/>
      <c r="F335" s="591"/>
      <c r="G335" s="591"/>
      <c r="H335" s="591"/>
      <c r="I335" s="591"/>
      <c r="J335" s="591"/>
      <c r="K335" s="591"/>
      <c r="L335" s="591"/>
      <c r="M335" s="591"/>
      <c r="N335" s="591"/>
      <c r="O335" s="591"/>
      <c r="P335" s="591"/>
      <c r="Q335" s="591"/>
      <c r="R335" s="591"/>
      <c r="S335" s="591"/>
      <c r="T335" s="591"/>
      <c r="U335" s="591"/>
      <c r="V335" s="591"/>
      <c r="W335" s="591"/>
      <c r="X335" s="591"/>
      <c r="Y335" s="591"/>
      <c r="Z335" s="591"/>
      <c r="AA335" s="591"/>
      <c r="AB335" s="591"/>
      <c r="AC335" s="591"/>
      <c r="AD335" s="591"/>
      <c r="AE335" s="591"/>
      <c r="AF335" s="591"/>
      <c r="AG335" s="591"/>
      <c r="AH335" s="591"/>
      <c r="AI335" s="591"/>
      <c r="AJ335" s="591"/>
      <c r="AK335" s="591"/>
      <c r="AL335" s="591"/>
      <c r="AM335" s="591"/>
      <c r="AN335" s="591"/>
      <c r="AO335" s="591"/>
      <c r="AP335" s="591"/>
      <c r="AQ335" s="591"/>
      <c r="AR335" s="591"/>
      <c r="AS335" s="591"/>
      <c r="AT335" s="591"/>
      <c r="AU335" s="591"/>
      <c r="AV335" s="591"/>
      <c r="AW335" s="591"/>
      <c r="AX335" s="591"/>
      <c r="AY335" s="591"/>
      <c r="AZ335" s="591"/>
      <c r="BA335" s="591"/>
      <c r="BB335" s="591"/>
      <c r="BC335" s="591"/>
      <c r="BD335" s="591"/>
      <c r="BE335" s="591"/>
      <c r="BF335" s="591"/>
      <c r="BG335" s="591"/>
      <c r="BH335" s="591"/>
      <c r="BI335" s="591"/>
      <c r="BJ335" s="591"/>
      <c r="BK335" s="591"/>
      <c r="BL335" s="591"/>
      <c r="BM335" s="591"/>
      <c r="BN335" s="591"/>
      <c r="BO335" s="591"/>
      <c r="BP335" s="591"/>
      <c r="BQ335" s="591"/>
      <c r="BR335" s="591"/>
      <c r="BS335" s="591"/>
      <c r="BT335" s="591"/>
      <c r="BU335" s="591"/>
      <c r="BV335" s="591"/>
      <c r="BW335" s="591"/>
      <c r="BX335" s="591"/>
      <c r="BY335" s="591"/>
      <c r="BZ335" s="591"/>
      <c r="CA335" s="591"/>
      <c r="CB335" s="591"/>
      <c r="CC335" s="591"/>
      <c r="CD335" s="591"/>
      <c r="CE335" s="591"/>
      <c r="CF335" s="591"/>
    </row>
    <row r="336" spans="1:84">
      <c r="A336" s="591"/>
      <c r="B336" s="591"/>
      <c r="C336" s="591"/>
      <c r="D336" s="591"/>
      <c r="E336" s="591"/>
      <c r="F336" s="591"/>
      <c r="G336" s="591"/>
      <c r="H336" s="591"/>
      <c r="I336" s="591"/>
      <c r="J336" s="591"/>
      <c r="K336" s="591"/>
      <c r="L336" s="591"/>
      <c r="M336" s="591"/>
      <c r="N336" s="591"/>
      <c r="O336" s="591"/>
      <c r="P336" s="591"/>
      <c r="Q336" s="591"/>
      <c r="R336" s="591"/>
      <c r="S336" s="591"/>
      <c r="T336" s="591"/>
      <c r="U336" s="591"/>
      <c r="V336" s="591"/>
      <c r="W336" s="591"/>
      <c r="X336" s="591"/>
      <c r="Y336" s="591"/>
      <c r="Z336" s="591"/>
      <c r="AA336" s="591"/>
      <c r="AB336" s="591"/>
      <c r="AC336" s="591"/>
      <c r="AD336" s="591"/>
      <c r="AE336" s="591"/>
      <c r="AF336" s="591"/>
      <c r="AG336" s="591"/>
      <c r="AH336" s="591"/>
      <c r="AI336" s="591"/>
      <c r="AJ336" s="591"/>
      <c r="AK336" s="591"/>
      <c r="AL336" s="591"/>
      <c r="AM336" s="591"/>
      <c r="AN336" s="591"/>
      <c r="AO336" s="591"/>
      <c r="AP336" s="591"/>
      <c r="AQ336" s="591"/>
      <c r="AR336" s="591"/>
      <c r="AS336" s="591"/>
      <c r="AT336" s="591"/>
      <c r="AU336" s="591"/>
      <c r="AV336" s="591"/>
      <c r="AW336" s="591"/>
      <c r="AX336" s="591"/>
      <c r="AY336" s="591"/>
      <c r="AZ336" s="591"/>
      <c r="BA336" s="591"/>
      <c r="BB336" s="591"/>
      <c r="BC336" s="591"/>
      <c r="BD336" s="591"/>
      <c r="BE336" s="591"/>
      <c r="BF336" s="591"/>
      <c r="BG336" s="591"/>
      <c r="BH336" s="591"/>
      <c r="BI336" s="591"/>
      <c r="BJ336" s="591"/>
      <c r="BK336" s="591"/>
      <c r="BL336" s="591"/>
      <c r="BM336" s="591"/>
      <c r="BN336" s="591"/>
      <c r="BO336" s="591"/>
      <c r="BP336" s="591"/>
      <c r="BQ336" s="591"/>
      <c r="BR336" s="591"/>
      <c r="BS336" s="591"/>
      <c r="BT336" s="591"/>
      <c r="BU336" s="591"/>
      <c r="BV336" s="591"/>
      <c r="BW336" s="591"/>
      <c r="BX336" s="591"/>
      <c r="BY336" s="591"/>
      <c r="BZ336" s="591"/>
      <c r="CA336" s="591"/>
      <c r="CB336" s="591"/>
      <c r="CC336" s="591"/>
      <c r="CD336" s="591"/>
      <c r="CE336" s="591"/>
      <c r="CF336" s="591"/>
    </row>
    <row r="337" spans="1:84">
      <c r="A337" s="591"/>
      <c r="B337" s="591"/>
      <c r="C337" s="591"/>
      <c r="D337" s="591"/>
      <c r="E337" s="591"/>
      <c r="F337" s="591"/>
      <c r="G337" s="591"/>
      <c r="H337" s="591"/>
      <c r="I337" s="591"/>
      <c r="J337" s="591"/>
      <c r="K337" s="591"/>
      <c r="L337" s="591"/>
      <c r="M337" s="591"/>
      <c r="N337" s="591"/>
      <c r="O337" s="591"/>
      <c r="P337" s="591"/>
      <c r="Q337" s="591"/>
      <c r="R337" s="591"/>
      <c r="S337" s="591"/>
      <c r="T337" s="591"/>
      <c r="U337" s="591"/>
      <c r="V337" s="591"/>
      <c r="W337" s="591"/>
      <c r="X337" s="591"/>
      <c r="Y337" s="591"/>
      <c r="Z337" s="591"/>
      <c r="AA337" s="591"/>
      <c r="AB337" s="591"/>
      <c r="AC337" s="591"/>
      <c r="AD337" s="591"/>
      <c r="AE337" s="591"/>
      <c r="AF337" s="591"/>
      <c r="AG337" s="591"/>
      <c r="AH337" s="591"/>
      <c r="AI337" s="591"/>
      <c r="AJ337" s="591"/>
      <c r="AK337" s="591"/>
      <c r="AL337" s="591"/>
      <c r="AM337" s="591"/>
      <c r="AN337" s="591"/>
      <c r="AO337" s="591"/>
      <c r="AP337" s="591"/>
      <c r="AQ337" s="591"/>
      <c r="AR337" s="591"/>
      <c r="AS337" s="591"/>
      <c r="AT337" s="591"/>
      <c r="AU337" s="591"/>
      <c r="AV337" s="591"/>
      <c r="AW337" s="591"/>
      <c r="AX337" s="591"/>
      <c r="AY337" s="591"/>
      <c r="AZ337" s="591"/>
      <c r="BA337" s="591"/>
      <c r="BB337" s="591"/>
      <c r="BC337" s="591"/>
      <c r="BD337" s="591"/>
      <c r="BE337" s="591"/>
      <c r="BF337" s="591"/>
      <c r="BG337" s="591"/>
      <c r="BH337" s="591"/>
      <c r="BI337" s="591"/>
      <c r="BJ337" s="591"/>
      <c r="BK337" s="591"/>
      <c r="BL337" s="591"/>
      <c r="BM337" s="591"/>
      <c r="BN337" s="591"/>
      <c r="BO337" s="591"/>
      <c r="BP337" s="591"/>
      <c r="BQ337" s="591"/>
      <c r="BR337" s="591"/>
      <c r="BS337" s="591"/>
      <c r="BT337" s="591"/>
      <c r="BU337" s="591"/>
      <c r="BV337" s="591"/>
      <c r="BW337" s="591"/>
      <c r="BX337" s="591"/>
      <c r="BY337" s="591"/>
      <c r="BZ337" s="591"/>
      <c r="CA337" s="591"/>
      <c r="CB337" s="591"/>
      <c r="CC337" s="591"/>
      <c r="CD337" s="591"/>
      <c r="CE337" s="591"/>
      <c r="CF337" s="591"/>
    </row>
    <row r="338" spans="1:84">
      <c r="A338" s="591"/>
      <c r="B338" s="591"/>
      <c r="C338" s="591"/>
      <c r="D338" s="591"/>
      <c r="E338" s="591"/>
      <c r="F338" s="591"/>
      <c r="G338" s="591"/>
      <c r="H338" s="591"/>
      <c r="I338" s="591"/>
      <c r="J338" s="591"/>
      <c r="K338" s="591"/>
      <c r="L338" s="591"/>
      <c r="M338" s="591"/>
      <c r="N338" s="591"/>
      <c r="O338" s="591"/>
      <c r="P338" s="591"/>
      <c r="Q338" s="591"/>
      <c r="R338" s="591"/>
      <c r="S338" s="591"/>
      <c r="T338" s="591"/>
      <c r="U338" s="591"/>
      <c r="V338" s="591"/>
      <c r="W338" s="591"/>
      <c r="X338" s="591"/>
      <c r="Y338" s="591"/>
      <c r="Z338" s="591"/>
      <c r="AA338" s="591"/>
      <c r="AB338" s="591"/>
      <c r="AC338" s="591"/>
      <c r="AD338" s="591"/>
      <c r="AE338" s="591"/>
      <c r="AF338" s="591"/>
      <c r="AG338" s="591"/>
      <c r="AH338" s="591"/>
      <c r="AI338" s="591"/>
      <c r="AJ338" s="591"/>
      <c r="AK338" s="591"/>
      <c r="AL338" s="591"/>
      <c r="AM338" s="591"/>
      <c r="AN338" s="591"/>
      <c r="AO338" s="591"/>
      <c r="AP338" s="591"/>
      <c r="AQ338" s="591"/>
      <c r="AR338" s="591"/>
      <c r="AS338" s="591"/>
      <c r="AT338" s="591"/>
      <c r="AU338" s="591"/>
      <c r="AV338" s="591"/>
      <c r="AW338" s="591"/>
      <c r="AX338" s="591"/>
      <c r="AY338" s="591"/>
      <c r="AZ338" s="591"/>
      <c r="BA338" s="591"/>
      <c r="BB338" s="591"/>
      <c r="BC338" s="591"/>
      <c r="BD338" s="591"/>
      <c r="BE338" s="591"/>
      <c r="BF338" s="591"/>
      <c r="BG338" s="591"/>
      <c r="BH338" s="591"/>
      <c r="BI338" s="591"/>
      <c r="BJ338" s="591"/>
      <c r="BK338" s="591"/>
      <c r="BL338" s="591"/>
      <c r="BM338" s="591"/>
      <c r="BN338" s="591"/>
      <c r="BO338" s="591"/>
      <c r="BP338" s="591"/>
      <c r="BQ338" s="591"/>
      <c r="BR338" s="591"/>
      <c r="BS338" s="591"/>
      <c r="BT338" s="591"/>
      <c r="BU338" s="591"/>
      <c r="BV338" s="591"/>
      <c r="BW338" s="591"/>
      <c r="BX338" s="591"/>
      <c r="BY338" s="591"/>
      <c r="BZ338" s="591"/>
      <c r="CA338" s="591"/>
      <c r="CB338" s="591"/>
      <c r="CC338" s="591"/>
      <c r="CD338" s="591"/>
      <c r="CE338" s="591"/>
      <c r="CF338" s="591"/>
    </row>
    <row r="339" spans="1:84">
      <c r="A339" s="591"/>
      <c r="B339" s="591"/>
      <c r="C339" s="591"/>
      <c r="D339" s="591"/>
      <c r="E339" s="591"/>
      <c r="F339" s="591"/>
      <c r="G339" s="591"/>
      <c r="H339" s="591"/>
      <c r="I339" s="591"/>
      <c r="J339" s="591"/>
      <c r="K339" s="591"/>
      <c r="L339" s="591"/>
      <c r="M339" s="591"/>
      <c r="N339" s="591"/>
      <c r="O339" s="591"/>
      <c r="P339" s="591"/>
      <c r="Q339" s="591"/>
      <c r="R339" s="591"/>
      <c r="S339" s="591"/>
      <c r="T339" s="591"/>
      <c r="U339" s="591"/>
      <c r="V339" s="591"/>
      <c r="W339" s="591"/>
      <c r="X339" s="591"/>
      <c r="Y339" s="591"/>
      <c r="Z339" s="591"/>
      <c r="AA339" s="591"/>
      <c r="AB339" s="591"/>
      <c r="AC339" s="591"/>
      <c r="AD339" s="591"/>
      <c r="AE339" s="591"/>
      <c r="AF339" s="591"/>
      <c r="AG339" s="591"/>
      <c r="AH339" s="591"/>
      <c r="AI339" s="591"/>
      <c r="AJ339" s="591"/>
      <c r="AK339" s="591"/>
      <c r="AL339" s="591"/>
      <c r="AM339" s="591"/>
      <c r="AN339" s="591"/>
      <c r="AO339" s="591"/>
      <c r="AP339" s="591"/>
      <c r="AQ339" s="591"/>
      <c r="AR339" s="591"/>
      <c r="AS339" s="591"/>
      <c r="AT339" s="591"/>
      <c r="AU339" s="591"/>
      <c r="AV339" s="591"/>
      <c r="AW339" s="591"/>
      <c r="AX339" s="591"/>
      <c r="AY339" s="591"/>
      <c r="AZ339" s="591"/>
      <c r="BA339" s="591"/>
      <c r="BB339" s="591"/>
      <c r="BC339" s="591"/>
      <c r="BD339" s="591"/>
      <c r="BE339" s="591"/>
      <c r="BF339" s="591"/>
      <c r="BG339" s="591"/>
      <c r="BH339" s="591"/>
      <c r="BI339" s="591"/>
      <c r="BJ339" s="591"/>
      <c r="BK339" s="591"/>
      <c r="BL339" s="591"/>
      <c r="BM339" s="591"/>
      <c r="BN339" s="591"/>
      <c r="BO339" s="591"/>
      <c r="BP339" s="591"/>
      <c r="BQ339" s="591"/>
      <c r="BR339" s="591"/>
      <c r="BS339" s="591"/>
      <c r="BT339" s="591"/>
      <c r="BU339" s="591"/>
      <c r="BV339" s="591"/>
      <c r="BW339" s="591"/>
      <c r="BX339" s="591"/>
      <c r="BY339" s="591"/>
      <c r="BZ339" s="591"/>
      <c r="CA339" s="591"/>
      <c r="CB339" s="591"/>
      <c r="CC339" s="591"/>
      <c r="CD339" s="591"/>
      <c r="CE339" s="591"/>
      <c r="CF339" s="591"/>
    </row>
    <row r="340" spans="1:84">
      <c r="A340" s="591"/>
      <c r="B340" s="591"/>
      <c r="C340" s="591"/>
      <c r="D340" s="591"/>
      <c r="E340" s="591"/>
      <c r="F340" s="591"/>
      <c r="G340" s="591"/>
      <c r="H340" s="591"/>
      <c r="I340" s="591"/>
      <c r="J340" s="591"/>
      <c r="K340" s="591"/>
      <c r="L340" s="591"/>
      <c r="M340" s="591"/>
      <c r="N340" s="591"/>
      <c r="O340" s="591"/>
      <c r="P340" s="591"/>
      <c r="Q340" s="591"/>
      <c r="R340" s="591"/>
      <c r="S340" s="591"/>
      <c r="T340" s="591"/>
      <c r="U340" s="591"/>
      <c r="V340" s="591"/>
      <c r="W340" s="591"/>
      <c r="X340" s="591"/>
      <c r="Y340" s="591"/>
      <c r="Z340" s="591"/>
      <c r="AA340" s="591"/>
      <c r="AB340" s="591"/>
      <c r="AC340" s="591"/>
      <c r="AD340" s="591"/>
      <c r="AE340" s="591"/>
      <c r="AF340" s="591"/>
      <c r="AG340" s="591"/>
      <c r="AH340" s="591"/>
      <c r="AI340" s="591"/>
      <c r="AJ340" s="591"/>
      <c r="AK340" s="591"/>
      <c r="AL340" s="591"/>
      <c r="AM340" s="591"/>
      <c r="AN340" s="591"/>
      <c r="AO340" s="591"/>
      <c r="AP340" s="591"/>
      <c r="AQ340" s="591"/>
      <c r="AR340" s="591"/>
      <c r="AS340" s="591"/>
      <c r="AT340" s="591"/>
      <c r="AU340" s="591"/>
      <c r="AV340" s="591"/>
      <c r="AW340" s="591"/>
      <c r="AX340" s="591"/>
      <c r="AY340" s="591"/>
      <c r="AZ340" s="591"/>
      <c r="BA340" s="591"/>
      <c r="BB340" s="591"/>
      <c r="BC340" s="591"/>
      <c r="BD340" s="591"/>
      <c r="BE340" s="591"/>
      <c r="BF340" s="591"/>
      <c r="BG340" s="591"/>
      <c r="BH340" s="591"/>
      <c r="BI340" s="591"/>
      <c r="BJ340" s="591"/>
      <c r="BK340" s="591"/>
      <c r="BL340" s="591"/>
      <c r="BM340" s="591"/>
      <c r="BN340" s="591"/>
      <c r="BO340" s="591"/>
      <c r="BP340" s="591"/>
      <c r="BQ340" s="591"/>
      <c r="BR340" s="591"/>
      <c r="BS340" s="591"/>
      <c r="BT340" s="591"/>
      <c r="BU340" s="591"/>
      <c r="BV340" s="591"/>
      <c r="BW340" s="591"/>
      <c r="BX340" s="591"/>
      <c r="BY340" s="591"/>
      <c r="BZ340" s="591"/>
      <c r="CA340" s="591"/>
      <c r="CB340" s="591"/>
      <c r="CC340" s="591"/>
      <c r="CD340" s="591"/>
      <c r="CE340" s="591"/>
      <c r="CF340" s="591"/>
    </row>
    <row r="341" spans="1:84">
      <c r="A341" s="591"/>
      <c r="B341" s="591"/>
      <c r="C341" s="591"/>
      <c r="D341" s="591"/>
      <c r="E341" s="591"/>
      <c r="F341" s="591"/>
      <c r="G341" s="591"/>
      <c r="H341" s="591"/>
      <c r="I341" s="591"/>
      <c r="J341" s="591"/>
      <c r="K341" s="591"/>
      <c r="L341" s="591"/>
      <c r="M341" s="591"/>
      <c r="N341" s="591"/>
      <c r="O341" s="591"/>
      <c r="P341" s="591"/>
      <c r="Q341" s="591"/>
      <c r="R341" s="591"/>
      <c r="S341" s="591"/>
      <c r="T341" s="591"/>
      <c r="U341" s="591"/>
      <c r="V341" s="591"/>
      <c r="W341" s="591"/>
      <c r="X341" s="591"/>
      <c r="Y341" s="591"/>
      <c r="Z341" s="591"/>
      <c r="AA341" s="591"/>
      <c r="AB341" s="591"/>
      <c r="AC341" s="591"/>
      <c r="AD341" s="591"/>
      <c r="AE341" s="591"/>
      <c r="AF341" s="591"/>
      <c r="AG341" s="591"/>
      <c r="AH341" s="591"/>
      <c r="AI341" s="591"/>
      <c r="AJ341" s="591"/>
      <c r="AK341" s="591"/>
      <c r="AL341" s="591"/>
      <c r="AM341" s="591"/>
      <c r="AN341" s="591"/>
      <c r="AO341" s="591"/>
      <c r="AP341" s="591"/>
      <c r="AQ341" s="591"/>
      <c r="AR341" s="591"/>
      <c r="AS341" s="591"/>
      <c r="AT341" s="591"/>
      <c r="AU341" s="591"/>
      <c r="AV341" s="591"/>
      <c r="AW341" s="591"/>
      <c r="AX341" s="591"/>
      <c r="AY341" s="591"/>
      <c r="AZ341" s="591"/>
      <c r="BA341" s="591"/>
      <c r="BB341" s="591"/>
      <c r="BC341" s="591"/>
      <c r="BD341" s="591"/>
      <c r="BE341" s="591"/>
      <c r="BF341" s="591"/>
      <c r="BG341" s="591"/>
      <c r="BH341" s="591"/>
      <c r="BI341" s="591"/>
      <c r="BJ341" s="591"/>
      <c r="BK341" s="591"/>
      <c r="BL341" s="591"/>
      <c r="BM341" s="591"/>
      <c r="BN341" s="591"/>
      <c r="BO341" s="591"/>
      <c r="BP341" s="591"/>
      <c r="BQ341" s="591"/>
      <c r="BR341" s="591"/>
      <c r="BS341" s="591"/>
      <c r="BT341" s="591"/>
      <c r="BU341" s="591"/>
      <c r="BV341" s="591"/>
      <c r="BW341" s="591"/>
      <c r="BX341" s="591"/>
      <c r="BY341" s="591"/>
      <c r="BZ341" s="591"/>
      <c r="CA341" s="591"/>
      <c r="CB341" s="591"/>
      <c r="CC341" s="591"/>
      <c r="CD341" s="591"/>
      <c r="CE341" s="591"/>
      <c r="CF341" s="591"/>
    </row>
    <row r="342" spans="1:84">
      <c r="A342" s="591"/>
      <c r="B342" s="591"/>
      <c r="C342" s="591"/>
      <c r="D342" s="591"/>
      <c r="E342" s="591"/>
      <c r="F342" s="591"/>
      <c r="G342" s="591"/>
      <c r="H342" s="591"/>
      <c r="I342" s="591"/>
      <c r="J342" s="591"/>
      <c r="K342" s="591"/>
      <c r="L342" s="591"/>
      <c r="M342" s="591"/>
      <c r="N342" s="591"/>
      <c r="O342" s="591"/>
      <c r="P342" s="591"/>
      <c r="Q342" s="591"/>
      <c r="R342" s="591"/>
      <c r="S342" s="591"/>
      <c r="T342" s="591"/>
      <c r="U342" s="591"/>
      <c r="V342" s="591"/>
      <c r="W342" s="591"/>
      <c r="X342" s="591"/>
      <c r="Y342" s="591"/>
      <c r="Z342" s="591"/>
      <c r="AA342" s="591"/>
      <c r="AB342" s="591"/>
      <c r="AC342" s="591"/>
      <c r="AD342" s="591"/>
      <c r="AE342" s="591"/>
      <c r="AF342" s="591"/>
      <c r="AG342" s="591"/>
      <c r="AH342" s="591"/>
      <c r="AI342" s="591"/>
      <c r="AJ342" s="591"/>
      <c r="AK342" s="591"/>
      <c r="AL342" s="591"/>
      <c r="AM342" s="591"/>
      <c r="AN342" s="591"/>
      <c r="AO342" s="591"/>
      <c r="AP342" s="591"/>
      <c r="AQ342" s="591"/>
      <c r="AR342" s="591"/>
      <c r="AS342" s="591"/>
      <c r="AT342" s="591"/>
      <c r="AU342" s="591"/>
      <c r="AV342" s="591"/>
      <c r="AW342" s="591"/>
      <c r="AX342" s="591"/>
      <c r="AY342" s="591"/>
      <c r="AZ342" s="591"/>
      <c r="BA342" s="591"/>
      <c r="BB342" s="591"/>
      <c r="BC342" s="591"/>
      <c r="BD342" s="591"/>
      <c r="BE342" s="591"/>
      <c r="BF342" s="591"/>
      <c r="BG342" s="591"/>
      <c r="BH342" s="591"/>
      <c r="BI342" s="591"/>
      <c r="BJ342" s="591"/>
      <c r="BK342" s="591"/>
      <c r="BL342" s="591"/>
      <c r="BM342" s="591"/>
      <c r="BN342" s="591"/>
      <c r="BO342" s="591"/>
      <c r="BP342" s="591"/>
      <c r="BQ342" s="591"/>
      <c r="BR342" s="591"/>
      <c r="BS342" s="591"/>
      <c r="BT342" s="591"/>
      <c r="BU342" s="591"/>
      <c r="BV342" s="591"/>
      <c r="BW342" s="591"/>
      <c r="BX342" s="591"/>
      <c r="BY342" s="591"/>
      <c r="BZ342" s="591"/>
      <c r="CA342" s="591"/>
      <c r="CB342" s="591"/>
      <c r="CC342" s="591"/>
      <c r="CD342" s="591"/>
      <c r="CE342" s="591"/>
      <c r="CF342" s="591"/>
    </row>
    <row r="343" spans="1:84">
      <c r="A343" s="591"/>
      <c r="B343" s="591"/>
      <c r="C343" s="591"/>
      <c r="D343" s="591"/>
      <c r="E343" s="591"/>
      <c r="F343" s="591"/>
      <c r="G343" s="591"/>
      <c r="H343" s="591"/>
      <c r="I343" s="591"/>
      <c r="J343" s="591"/>
      <c r="K343" s="591"/>
      <c r="L343" s="591"/>
      <c r="M343" s="591"/>
      <c r="N343" s="591"/>
      <c r="O343" s="591"/>
      <c r="P343" s="591"/>
      <c r="Q343" s="591"/>
      <c r="R343" s="591"/>
      <c r="S343" s="591"/>
      <c r="T343" s="591"/>
      <c r="U343" s="591"/>
      <c r="V343" s="591"/>
      <c r="W343" s="591"/>
      <c r="X343" s="591"/>
      <c r="Y343" s="591"/>
      <c r="Z343" s="591"/>
      <c r="AA343" s="591"/>
      <c r="AB343" s="591"/>
      <c r="AC343" s="591"/>
      <c r="AD343" s="591"/>
      <c r="AE343" s="591"/>
      <c r="AF343" s="591"/>
      <c r="AG343" s="591"/>
      <c r="AH343" s="591"/>
      <c r="AI343" s="591"/>
      <c r="AJ343" s="591"/>
      <c r="AK343" s="591"/>
      <c r="AL343" s="591"/>
      <c r="AM343" s="591"/>
      <c r="AN343" s="591"/>
      <c r="AO343" s="591"/>
      <c r="AP343" s="591"/>
      <c r="AQ343" s="591"/>
      <c r="AR343" s="591"/>
      <c r="AS343" s="591"/>
      <c r="AT343" s="591"/>
      <c r="AU343" s="591"/>
      <c r="AV343" s="591"/>
      <c r="AW343" s="591"/>
      <c r="AX343" s="591"/>
      <c r="AY343" s="591"/>
      <c r="AZ343" s="591"/>
      <c r="BA343" s="591"/>
      <c r="BB343" s="591"/>
      <c r="BC343" s="591"/>
      <c r="BD343" s="591"/>
      <c r="BE343" s="591"/>
      <c r="BF343" s="591"/>
      <c r="BG343" s="591"/>
      <c r="BH343" s="591"/>
      <c r="BI343" s="591"/>
      <c r="BJ343" s="591"/>
      <c r="BK343" s="591"/>
      <c r="BL343" s="591"/>
      <c r="BM343" s="591"/>
      <c r="BN343" s="591"/>
      <c r="BO343" s="591"/>
      <c r="BP343" s="591"/>
      <c r="BQ343" s="591"/>
      <c r="BR343" s="591"/>
      <c r="BS343" s="591"/>
      <c r="BT343" s="591"/>
      <c r="BU343" s="591"/>
      <c r="BV343" s="591"/>
      <c r="BW343" s="591"/>
      <c r="BX343" s="591"/>
      <c r="BY343" s="591"/>
      <c r="BZ343" s="591"/>
      <c r="CA343" s="591"/>
      <c r="CB343" s="591"/>
      <c r="CC343" s="591"/>
      <c r="CD343" s="591"/>
      <c r="CE343" s="591"/>
      <c r="CF343" s="591"/>
    </row>
    <row r="344" spans="1:84">
      <c r="A344" s="591"/>
      <c r="B344" s="591"/>
      <c r="C344" s="591"/>
      <c r="D344" s="591"/>
      <c r="E344" s="591"/>
      <c r="F344" s="591"/>
      <c r="G344" s="591"/>
      <c r="H344" s="591"/>
      <c r="I344" s="591"/>
      <c r="J344" s="591"/>
      <c r="K344" s="591"/>
      <c r="L344" s="591"/>
      <c r="M344" s="591"/>
      <c r="N344" s="591"/>
      <c r="O344" s="591"/>
      <c r="P344" s="591"/>
      <c r="Q344" s="591"/>
      <c r="R344" s="591"/>
      <c r="S344" s="591"/>
      <c r="T344" s="591"/>
      <c r="U344" s="591"/>
      <c r="V344" s="591"/>
      <c r="W344" s="591"/>
      <c r="X344" s="591"/>
      <c r="Y344" s="591"/>
      <c r="Z344" s="591"/>
      <c r="AA344" s="591"/>
      <c r="AB344" s="591"/>
      <c r="AC344" s="591"/>
      <c r="AD344" s="591"/>
      <c r="AE344" s="591"/>
      <c r="AF344" s="591"/>
      <c r="AG344" s="591"/>
      <c r="AH344" s="591"/>
      <c r="AI344" s="591"/>
      <c r="AJ344" s="591"/>
      <c r="AK344" s="591"/>
      <c r="AL344" s="591"/>
      <c r="AM344" s="591"/>
      <c r="AN344" s="591"/>
      <c r="AO344" s="591"/>
      <c r="AP344" s="591"/>
      <c r="AQ344" s="591"/>
      <c r="AR344" s="591"/>
      <c r="AS344" s="591"/>
      <c r="AT344" s="591"/>
      <c r="AU344" s="591"/>
      <c r="AV344" s="591"/>
      <c r="AW344" s="591"/>
      <c r="AX344" s="591"/>
      <c r="AY344" s="591"/>
      <c r="AZ344" s="591"/>
      <c r="BA344" s="591"/>
      <c r="BB344" s="591"/>
      <c r="BC344" s="591"/>
      <c r="BD344" s="591"/>
      <c r="BE344" s="591"/>
      <c r="BF344" s="591"/>
      <c r="BG344" s="591"/>
      <c r="BH344" s="591"/>
      <c r="BI344" s="591"/>
      <c r="BJ344" s="591"/>
      <c r="BK344" s="591"/>
      <c r="BL344" s="591"/>
      <c r="BM344" s="591"/>
      <c r="BN344" s="591"/>
      <c r="BO344" s="591"/>
      <c r="BP344" s="591"/>
      <c r="BQ344" s="591"/>
      <c r="BR344" s="591"/>
      <c r="BS344" s="591"/>
      <c r="BT344" s="591"/>
      <c r="BU344" s="591"/>
      <c r="BV344" s="591"/>
      <c r="BW344" s="591"/>
      <c r="BX344" s="591"/>
      <c r="BY344" s="591"/>
      <c r="BZ344" s="591"/>
      <c r="CA344" s="591"/>
      <c r="CB344" s="591"/>
      <c r="CC344" s="591"/>
      <c r="CD344" s="591"/>
      <c r="CE344" s="591"/>
      <c r="CF344" s="591"/>
    </row>
    <row r="345" spans="1:84">
      <c r="A345" s="591"/>
      <c r="B345" s="591"/>
      <c r="C345" s="591"/>
      <c r="D345" s="591"/>
      <c r="E345" s="591"/>
      <c r="F345" s="591"/>
      <c r="G345" s="591"/>
      <c r="H345" s="591"/>
      <c r="I345" s="591"/>
      <c r="J345" s="591"/>
      <c r="K345" s="591"/>
      <c r="L345" s="591"/>
      <c r="M345" s="591"/>
      <c r="N345" s="591"/>
      <c r="O345" s="591"/>
      <c r="P345" s="591"/>
      <c r="Q345" s="591"/>
      <c r="R345" s="591"/>
      <c r="S345" s="591"/>
      <c r="T345" s="591"/>
      <c r="U345" s="591"/>
      <c r="V345" s="591"/>
      <c r="W345" s="591"/>
      <c r="X345" s="591"/>
      <c r="Y345" s="591"/>
      <c r="Z345" s="591"/>
      <c r="AA345" s="591"/>
      <c r="AB345" s="591"/>
      <c r="AC345" s="591"/>
      <c r="AD345" s="591"/>
      <c r="AE345" s="591"/>
      <c r="AF345" s="591"/>
      <c r="AG345" s="591"/>
      <c r="AH345" s="591"/>
      <c r="AI345" s="591"/>
      <c r="AJ345" s="591"/>
      <c r="AK345" s="591"/>
      <c r="AL345" s="591"/>
      <c r="AM345" s="591"/>
      <c r="AN345" s="591"/>
      <c r="AO345" s="591"/>
      <c r="AP345" s="591"/>
      <c r="AQ345" s="591"/>
      <c r="AR345" s="591"/>
      <c r="AS345" s="591"/>
      <c r="AT345" s="591"/>
      <c r="AU345" s="591"/>
      <c r="AV345" s="591"/>
      <c r="AW345" s="591"/>
      <c r="AX345" s="591"/>
      <c r="AY345" s="591"/>
      <c r="AZ345" s="591"/>
      <c r="BA345" s="591"/>
      <c r="BB345" s="591"/>
      <c r="BC345" s="591"/>
      <c r="BD345" s="591"/>
      <c r="BE345" s="591"/>
      <c r="BF345" s="591"/>
      <c r="BG345" s="591"/>
      <c r="BH345" s="591"/>
      <c r="BI345" s="591"/>
      <c r="BJ345" s="591"/>
      <c r="BK345" s="591"/>
      <c r="BL345" s="591"/>
      <c r="BM345" s="591"/>
      <c r="BN345" s="591"/>
      <c r="BO345" s="591"/>
      <c r="BP345" s="591"/>
      <c r="BQ345" s="591"/>
      <c r="BR345" s="591"/>
      <c r="BS345" s="591"/>
      <c r="BT345" s="591"/>
      <c r="BU345" s="591"/>
      <c r="BV345" s="591"/>
      <c r="BW345" s="591"/>
      <c r="BX345" s="591"/>
      <c r="BY345" s="591"/>
      <c r="BZ345" s="591"/>
      <c r="CA345" s="591"/>
      <c r="CB345" s="591"/>
      <c r="CC345" s="591"/>
      <c r="CD345" s="591"/>
      <c r="CE345" s="591"/>
      <c r="CF345" s="591"/>
    </row>
    <row r="346" spans="1:84">
      <c r="A346" s="591"/>
      <c r="B346" s="591"/>
      <c r="C346" s="591"/>
      <c r="D346" s="591"/>
      <c r="E346" s="591"/>
      <c r="F346" s="591"/>
      <c r="G346" s="591"/>
      <c r="H346" s="591"/>
      <c r="I346" s="591"/>
      <c r="J346" s="591"/>
      <c r="K346" s="591"/>
      <c r="L346" s="591"/>
      <c r="M346" s="591"/>
      <c r="N346" s="591"/>
      <c r="O346" s="591"/>
      <c r="P346" s="591"/>
      <c r="Q346" s="591"/>
      <c r="R346" s="591"/>
      <c r="S346" s="591"/>
      <c r="T346" s="591"/>
      <c r="U346" s="591"/>
      <c r="V346" s="591"/>
      <c r="W346" s="591"/>
      <c r="X346" s="591"/>
      <c r="Y346" s="591"/>
      <c r="Z346" s="591"/>
      <c r="AA346" s="591"/>
      <c r="AB346" s="591"/>
      <c r="AC346" s="591"/>
      <c r="AD346" s="591"/>
      <c r="AE346" s="591"/>
      <c r="AF346" s="591"/>
      <c r="AG346" s="591"/>
      <c r="AH346" s="591"/>
      <c r="AI346" s="591"/>
      <c r="AJ346" s="591"/>
      <c r="AK346" s="591"/>
      <c r="AL346" s="591"/>
      <c r="AM346" s="591"/>
      <c r="AN346" s="591"/>
      <c r="AO346" s="591"/>
      <c r="AP346" s="591"/>
      <c r="AQ346" s="591"/>
      <c r="AR346" s="591"/>
      <c r="AS346" s="591"/>
      <c r="AT346" s="591"/>
      <c r="AU346" s="591"/>
      <c r="AV346" s="591"/>
      <c r="AW346" s="591"/>
      <c r="AX346" s="591"/>
      <c r="AY346" s="591"/>
      <c r="AZ346" s="591"/>
      <c r="BA346" s="591"/>
      <c r="BB346" s="591"/>
      <c r="BC346" s="591"/>
      <c r="BD346" s="591"/>
      <c r="BE346" s="591"/>
      <c r="BF346" s="591"/>
      <c r="BG346" s="591"/>
      <c r="BH346" s="591"/>
      <c r="BI346" s="591"/>
      <c r="BJ346" s="591"/>
      <c r="BK346" s="591"/>
      <c r="BL346" s="591"/>
      <c r="BM346" s="591"/>
      <c r="BN346" s="591"/>
      <c r="BO346" s="591"/>
      <c r="BP346" s="591"/>
      <c r="BQ346" s="591"/>
      <c r="BR346" s="591"/>
      <c r="BS346" s="591"/>
      <c r="BT346" s="591"/>
      <c r="BU346" s="591"/>
      <c r="BV346" s="591"/>
      <c r="BW346" s="591"/>
      <c r="BX346" s="591"/>
      <c r="BY346" s="591"/>
      <c r="BZ346" s="591"/>
      <c r="CA346" s="591"/>
      <c r="CB346" s="591"/>
      <c r="CC346" s="591"/>
      <c r="CD346" s="591"/>
      <c r="CE346" s="591"/>
      <c r="CF346" s="591"/>
    </row>
    <row r="347" spans="1:84">
      <c r="A347" s="591"/>
      <c r="B347" s="591"/>
      <c r="C347" s="591"/>
      <c r="D347" s="591"/>
      <c r="E347" s="591"/>
      <c r="F347" s="591"/>
      <c r="G347" s="591"/>
      <c r="H347" s="591"/>
      <c r="I347" s="591"/>
      <c r="J347" s="591"/>
      <c r="K347" s="591"/>
      <c r="L347" s="591"/>
      <c r="M347" s="591"/>
      <c r="N347" s="591"/>
      <c r="O347" s="591"/>
      <c r="P347" s="591"/>
      <c r="Q347" s="591"/>
      <c r="R347" s="591"/>
      <c r="S347" s="591"/>
      <c r="T347" s="591"/>
      <c r="U347" s="591"/>
      <c r="V347" s="591"/>
      <c r="W347" s="591"/>
      <c r="X347" s="591"/>
      <c r="Y347" s="591"/>
      <c r="Z347" s="591"/>
      <c r="AA347" s="591"/>
      <c r="AB347" s="591"/>
      <c r="AC347" s="591"/>
      <c r="AD347" s="591"/>
      <c r="AE347" s="591"/>
      <c r="AF347" s="591"/>
      <c r="AG347" s="591"/>
      <c r="AH347" s="591"/>
      <c r="AI347" s="591"/>
      <c r="AJ347" s="591"/>
      <c r="AK347" s="591"/>
      <c r="AL347" s="591"/>
      <c r="AM347" s="591"/>
      <c r="AN347" s="591"/>
      <c r="AO347" s="591"/>
      <c r="AP347" s="591"/>
      <c r="AQ347" s="591"/>
      <c r="AR347" s="591"/>
      <c r="AS347" s="591"/>
      <c r="AT347" s="591"/>
      <c r="AU347" s="591"/>
      <c r="AV347" s="591"/>
      <c r="AW347" s="591"/>
      <c r="AX347" s="591"/>
      <c r="AY347" s="591"/>
      <c r="AZ347" s="591"/>
      <c r="BA347" s="591"/>
      <c r="BB347" s="591"/>
      <c r="BC347" s="591"/>
      <c r="BD347" s="591"/>
      <c r="BE347" s="591"/>
      <c r="BF347" s="591"/>
      <c r="BG347" s="591"/>
      <c r="BH347" s="591"/>
      <c r="BI347" s="591"/>
      <c r="BJ347" s="591"/>
      <c r="BK347" s="591"/>
      <c r="BL347" s="591"/>
      <c r="BM347" s="591"/>
      <c r="BN347" s="591"/>
      <c r="BO347" s="591"/>
      <c r="BP347" s="591"/>
      <c r="BQ347" s="591"/>
      <c r="BR347" s="591"/>
      <c r="BS347" s="591"/>
      <c r="BT347" s="591"/>
      <c r="BU347" s="591"/>
      <c r="BV347" s="591"/>
      <c r="BW347" s="591"/>
      <c r="BX347" s="591"/>
      <c r="BY347" s="591"/>
      <c r="BZ347" s="591"/>
      <c r="CA347" s="591"/>
      <c r="CB347" s="591"/>
      <c r="CC347" s="591"/>
      <c r="CD347" s="591"/>
      <c r="CE347" s="591"/>
      <c r="CF347" s="591"/>
    </row>
    <row r="348" spans="1:84">
      <c r="A348" s="591"/>
      <c r="B348" s="591"/>
      <c r="C348" s="591"/>
      <c r="D348" s="591"/>
      <c r="E348" s="591"/>
      <c r="F348" s="591"/>
      <c r="G348" s="591"/>
      <c r="H348" s="591"/>
      <c r="I348" s="591"/>
      <c r="J348" s="591"/>
      <c r="K348" s="591"/>
      <c r="L348" s="591"/>
      <c r="M348" s="591"/>
      <c r="N348" s="591"/>
      <c r="O348" s="591"/>
      <c r="P348" s="591"/>
      <c r="Q348" s="591"/>
      <c r="R348" s="591"/>
      <c r="S348" s="591"/>
      <c r="T348" s="591"/>
      <c r="U348" s="591"/>
      <c r="V348" s="591"/>
      <c r="W348" s="591"/>
      <c r="X348" s="591"/>
      <c r="Y348" s="591"/>
      <c r="Z348" s="591"/>
      <c r="AA348" s="591"/>
      <c r="AB348" s="591"/>
      <c r="AC348" s="591"/>
      <c r="AD348" s="591"/>
      <c r="AE348" s="591"/>
      <c r="AF348" s="591"/>
      <c r="AG348" s="591"/>
      <c r="AH348" s="591"/>
      <c r="AI348" s="591"/>
      <c r="AJ348" s="591"/>
      <c r="AK348" s="591"/>
      <c r="AL348" s="591"/>
      <c r="AM348" s="591"/>
      <c r="AN348" s="591"/>
      <c r="AO348" s="591"/>
      <c r="AP348" s="591"/>
      <c r="AQ348" s="591"/>
      <c r="AR348" s="591"/>
      <c r="AS348" s="591"/>
      <c r="AT348" s="591"/>
      <c r="AU348" s="591"/>
      <c r="AV348" s="591"/>
      <c r="AW348" s="591"/>
      <c r="AX348" s="591"/>
      <c r="AY348" s="591"/>
      <c r="AZ348" s="591"/>
      <c r="BA348" s="591"/>
      <c r="BB348" s="591"/>
      <c r="BC348" s="591"/>
      <c r="BD348" s="591"/>
      <c r="BE348" s="591"/>
      <c r="BF348" s="591"/>
      <c r="BG348" s="591"/>
      <c r="BH348" s="591"/>
      <c r="BI348" s="591"/>
      <c r="BJ348" s="591"/>
      <c r="BK348" s="591"/>
      <c r="BL348" s="591"/>
      <c r="BM348" s="591"/>
      <c r="BN348" s="591"/>
      <c r="BO348" s="591"/>
      <c r="BP348" s="591"/>
      <c r="BQ348" s="591"/>
      <c r="BR348" s="591"/>
      <c r="BS348" s="591"/>
      <c r="BT348" s="591"/>
      <c r="BU348" s="591"/>
      <c r="BV348" s="591"/>
      <c r="BW348" s="591"/>
      <c r="BX348" s="591"/>
      <c r="BY348" s="591"/>
      <c r="BZ348" s="591"/>
      <c r="CA348" s="591"/>
      <c r="CB348" s="591"/>
      <c r="CC348" s="591"/>
      <c r="CD348" s="591"/>
      <c r="CE348" s="591"/>
      <c r="CF348" s="591"/>
    </row>
    <row r="349" spans="1:84">
      <c r="A349" s="591"/>
      <c r="B349" s="591"/>
      <c r="C349" s="591"/>
      <c r="D349" s="591"/>
      <c r="E349" s="591"/>
      <c r="F349" s="591"/>
      <c r="G349" s="591"/>
      <c r="H349" s="591"/>
      <c r="I349" s="591"/>
      <c r="J349" s="591"/>
      <c r="K349" s="591"/>
      <c r="L349" s="591"/>
      <c r="M349" s="591"/>
      <c r="N349" s="591"/>
      <c r="O349" s="591"/>
      <c r="P349" s="591"/>
      <c r="Q349" s="591"/>
      <c r="R349" s="591"/>
      <c r="S349" s="591"/>
      <c r="T349" s="591"/>
      <c r="U349" s="591"/>
      <c r="V349" s="591"/>
      <c r="W349" s="591"/>
      <c r="X349" s="591"/>
      <c r="Y349" s="591"/>
      <c r="Z349" s="591"/>
      <c r="AA349" s="591"/>
      <c r="AB349" s="591"/>
      <c r="AC349" s="591"/>
      <c r="AD349" s="591"/>
      <c r="AE349" s="591"/>
      <c r="AF349" s="591"/>
      <c r="AG349" s="591"/>
      <c r="AH349" s="591"/>
      <c r="AI349" s="591"/>
      <c r="AJ349" s="591"/>
      <c r="AK349" s="591"/>
      <c r="AL349" s="591"/>
      <c r="AM349" s="591"/>
      <c r="AN349" s="591"/>
      <c r="AO349" s="591"/>
      <c r="AP349" s="591"/>
      <c r="AQ349" s="591"/>
      <c r="AR349" s="591"/>
      <c r="AS349" s="591"/>
      <c r="AT349" s="591"/>
      <c r="AU349" s="591"/>
      <c r="AV349" s="591"/>
      <c r="AW349" s="591"/>
      <c r="AX349" s="591"/>
      <c r="AY349" s="591"/>
      <c r="AZ349" s="591"/>
      <c r="BA349" s="591"/>
      <c r="BB349" s="591"/>
      <c r="BC349" s="591"/>
      <c r="BD349" s="591"/>
      <c r="BE349" s="591"/>
      <c r="BF349" s="591"/>
      <c r="BG349" s="591"/>
      <c r="BH349" s="591"/>
      <c r="BI349" s="591"/>
      <c r="BJ349" s="591"/>
      <c r="BK349" s="591"/>
      <c r="BL349" s="591"/>
      <c r="BM349" s="591"/>
      <c r="BN349" s="591"/>
      <c r="BO349" s="591"/>
      <c r="BP349" s="591"/>
      <c r="BQ349" s="591"/>
      <c r="BR349" s="591"/>
      <c r="BS349" s="591"/>
      <c r="BT349" s="591"/>
      <c r="BU349" s="591"/>
      <c r="BV349" s="591"/>
      <c r="BW349" s="591"/>
      <c r="BX349" s="591"/>
      <c r="BY349" s="591"/>
      <c r="BZ349" s="591"/>
      <c r="CA349" s="591"/>
      <c r="CB349" s="591"/>
      <c r="CC349" s="591"/>
      <c r="CD349" s="591"/>
      <c r="CE349" s="591"/>
      <c r="CF349" s="591"/>
    </row>
    <row r="350" spans="1:84">
      <c r="A350" s="591"/>
      <c r="B350" s="591"/>
      <c r="C350" s="591"/>
      <c r="D350" s="591"/>
      <c r="E350" s="591"/>
      <c r="F350" s="591"/>
      <c r="G350" s="591"/>
      <c r="H350" s="591"/>
      <c r="I350" s="591"/>
      <c r="J350" s="591"/>
      <c r="K350" s="591"/>
      <c r="L350" s="591"/>
      <c r="M350" s="591"/>
      <c r="N350" s="591"/>
      <c r="O350" s="591"/>
      <c r="P350" s="591"/>
      <c r="Q350" s="591"/>
      <c r="R350" s="591"/>
      <c r="S350" s="591"/>
      <c r="T350" s="591"/>
      <c r="U350" s="591"/>
      <c r="V350" s="591"/>
      <c r="W350" s="591"/>
      <c r="X350" s="591"/>
      <c r="Y350" s="591"/>
      <c r="Z350" s="591"/>
      <c r="AA350" s="591"/>
      <c r="AB350" s="591"/>
      <c r="AC350" s="591"/>
      <c r="AD350" s="591"/>
      <c r="AE350" s="591"/>
      <c r="AF350" s="591"/>
      <c r="AG350" s="591"/>
      <c r="AH350" s="591"/>
      <c r="AI350" s="591"/>
      <c r="AJ350" s="591"/>
      <c r="AK350" s="591"/>
      <c r="AL350" s="591"/>
      <c r="AM350" s="591"/>
      <c r="AN350" s="591"/>
      <c r="AO350" s="591"/>
      <c r="AP350" s="591"/>
      <c r="AQ350" s="591"/>
      <c r="AR350" s="591"/>
      <c r="AS350" s="591"/>
      <c r="AT350" s="591"/>
      <c r="AU350" s="591"/>
      <c r="AV350" s="591"/>
      <c r="AW350" s="591"/>
      <c r="AX350" s="591"/>
      <c r="AY350" s="591"/>
      <c r="AZ350" s="591"/>
      <c r="BA350" s="591"/>
      <c r="BB350" s="591"/>
      <c r="BC350" s="591"/>
      <c r="BD350" s="591"/>
      <c r="BE350" s="591"/>
      <c r="BF350" s="591"/>
      <c r="BG350" s="591"/>
      <c r="BH350" s="591"/>
      <c r="BI350" s="591"/>
      <c r="BJ350" s="591"/>
      <c r="BK350" s="591"/>
      <c r="BL350" s="591"/>
      <c r="BM350" s="591"/>
      <c r="BN350" s="591"/>
      <c r="BO350" s="591"/>
      <c r="BP350" s="591"/>
      <c r="BQ350" s="591"/>
      <c r="BR350" s="591"/>
      <c r="BS350" s="591"/>
      <c r="BT350" s="591"/>
      <c r="BU350" s="591"/>
      <c r="BV350" s="591"/>
      <c r="BW350" s="591"/>
      <c r="BX350" s="591"/>
      <c r="BY350" s="591"/>
      <c r="BZ350" s="591"/>
      <c r="CA350" s="591"/>
      <c r="CB350" s="591"/>
      <c r="CC350" s="591"/>
      <c r="CD350" s="591"/>
      <c r="CE350" s="591"/>
      <c r="CF350" s="591"/>
    </row>
    <row r="351" spans="1:84">
      <c r="A351" s="591"/>
      <c r="B351" s="591"/>
      <c r="C351" s="591"/>
      <c r="D351" s="591"/>
      <c r="E351" s="591"/>
      <c r="F351" s="591"/>
      <c r="G351" s="591"/>
      <c r="H351" s="591"/>
      <c r="I351" s="591"/>
      <c r="J351" s="591"/>
      <c r="K351" s="591"/>
      <c r="L351" s="591"/>
      <c r="M351" s="591"/>
      <c r="N351" s="591"/>
      <c r="O351" s="591"/>
      <c r="P351" s="591"/>
      <c r="Q351" s="591"/>
      <c r="R351" s="591"/>
      <c r="S351" s="591"/>
      <c r="T351" s="591"/>
      <c r="U351" s="591"/>
      <c r="V351" s="591"/>
      <c r="W351" s="591"/>
      <c r="X351" s="591"/>
      <c r="Y351" s="591"/>
      <c r="Z351" s="591"/>
      <c r="AA351" s="591"/>
      <c r="AB351" s="591"/>
      <c r="AC351" s="591"/>
      <c r="AD351" s="591"/>
      <c r="AE351" s="591"/>
      <c r="AF351" s="591"/>
      <c r="AG351" s="591"/>
      <c r="AH351" s="591"/>
      <c r="AI351" s="591"/>
      <c r="AJ351" s="591"/>
      <c r="AK351" s="591"/>
      <c r="AL351" s="591"/>
      <c r="AM351" s="591"/>
      <c r="AN351" s="591"/>
      <c r="AO351" s="591"/>
      <c r="AP351" s="591"/>
      <c r="AQ351" s="591"/>
      <c r="AR351" s="591"/>
      <c r="AS351" s="591"/>
      <c r="AT351" s="591"/>
      <c r="AU351" s="591"/>
      <c r="AV351" s="591"/>
      <c r="AW351" s="591"/>
      <c r="AX351" s="591"/>
      <c r="AY351" s="591"/>
      <c r="AZ351" s="591"/>
      <c r="BA351" s="591"/>
      <c r="BB351" s="591"/>
      <c r="BC351" s="591"/>
      <c r="BD351" s="591"/>
      <c r="BE351" s="591"/>
      <c r="BF351" s="591"/>
      <c r="BG351" s="591"/>
      <c r="BH351" s="591"/>
      <c r="BI351" s="591"/>
      <c r="BJ351" s="591"/>
      <c r="BK351" s="591"/>
      <c r="BL351" s="591"/>
      <c r="BM351" s="591"/>
      <c r="BN351" s="591"/>
      <c r="BO351" s="591"/>
      <c r="BP351" s="591"/>
      <c r="BQ351" s="591"/>
      <c r="BR351" s="591"/>
      <c r="BS351" s="591"/>
      <c r="BT351" s="591"/>
      <c r="BU351" s="591"/>
      <c r="BV351" s="591"/>
      <c r="BW351" s="591"/>
      <c r="BX351" s="591"/>
      <c r="BY351" s="591"/>
      <c r="BZ351" s="591"/>
      <c r="CA351" s="591"/>
      <c r="CB351" s="591"/>
      <c r="CC351" s="591"/>
      <c r="CD351" s="591"/>
      <c r="CE351" s="591"/>
      <c r="CF351" s="591"/>
    </row>
    <row r="352" spans="1:84">
      <c r="A352" s="591"/>
      <c r="B352" s="591"/>
      <c r="C352" s="591"/>
      <c r="D352" s="591"/>
      <c r="E352" s="591"/>
      <c r="F352" s="591"/>
      <c r="G352" s="591"/>
      <c r="H352" s="591"/>
      <c r="I352" s="591"/>
      <c r="J352" s="591"/>
      <c r="K352" s="591"/>
      <c r="L352" s="591"/>
      <c r="M352" s="591"/>
      <c r="N352" s="591"/>
      <c r="O352" s="591"/>
      <c r="P352" s="591"/>
      <c r="Q352" s="591"/>
      <c r="R352" s="591"/>
      <c r="S352" s="591"/>
      <c r="T352" s="591"/>
      <c r="U352" s="591"/>
      <c r="V352" s="591"/>
      <c r="W352" s="591"/>
      <c r="X352" s="591"/>
      <c r="Y352" s="591"/>
      <c r="Z352" s="591"/>
      <c r="AA352" s="591"/>
      <c r="AB352" s="591"/>
      <c r="AC352" s="591"/>
      <c r="AD352" s="591"/>
      <c r="AE352" s="591"/>
      <c r="AF352" s="591"/>
      <c r="AG352" s="591"/>
      <c r="AH352" s="591"/>
      <c r="AI352" s="591"/>
      <c r="AJ352" s="591"/>
      <c r="AK352" s="591"/>
      <c r="AL352" s="591"/>
      <c r="AM352" s="591"/>
      <c r="AN352" s="591"/>
      <c r="AO352" s="591"/>
      <c r="AP352" s="591"/>
      <c r="AQ352" s="591"/>
      <c r="AR352" s="591"/>
      <c r="AS352" s="591"/>
      <c r="AT352" s="591"/>
      <c r="AU352" s="591"/>
      <c r="AV352" s="591"/>
      <c r="AW352" s="591"/>
      <c r="AX352" s="591"/>
      <c r="AY352" s="591"/>
      <c r="AZ352" s="591"/>
      <c r="BA352" s="591"/>
      <c r="BB352" s="591"/>
      <c r="BC352" s="591"/>
      <c r="BD352" s="591"/>
      <c r="BE352" s="591"/>
      <c r="BF352" s="591"/>
      <c r="BG352" s="591"/>
      <c r="BH352" s="591"/>
      <c r="BI352" s="591"/>
      <c r="BJ352" s="591"/>
      <c r="BK352" s="591"/>
      <c r="BL352" s="591"/>
      <c r="BM352" s="591"/>
      <c r="BN352" s="591"/>
      <c r="BO352" s="591"/>
      <c r="BP352" s="591"/>
      <c r="BQ352" s="591"/>
      <c r="BR352" s="591"/>
      <c r="BS352" s="591"/>
      <c r="BT352" s="591"/>
      <c r="BU352" s="591"/>
      <c r="BV352" s="591"/>
      <c r="BW352" s="591"/>
      <c r="BX352" s="591"/>
      <c r="BY352" s="591"/>
      <c r="BZ352" s="591"/>
      <c r="CA352" s="591"/>
      <c r="CB352" s="591"/>
      <c r="CC352" s="591"/>
      <c r="CD352" s="591"/>
      <c r="CE352" s="591"/>
      <c r="CF352" s="591"/>
    </row>
    <row r="353" spans="1:84">
      <c r="A353" s="591"/>
      <c r="B353" s="591"/>
      <c r="C353" s="591"/>
      <c r="D353" s="591"/>
      <c r="E353" s="591"/>
      <c r="F353" s="591"/>
      <c r="G353" s="591"/>
      <c r="H353" s="591"/>
      <c r="I353" s="591"/>
      <c r="J353" s="591"/>
      <c r="K353" s="591"/>
      <c r="L353" s="591"/>
      <c r="M353" s="591"/>
      <c r="N353" s="591"/>
      <c r="O353" s="591"/>
      <c r="P353" s="591"/>
      <c r="Q353" s="591"/>
      <c r="R353" s="591"/>
      <c r="S353" s="591"/>
      <c r="T353" s="591"/>
      <c r="U353" s="591"/>
      <c r="V353" s="591"/>
      <c r="W353" s="591"/>
      <c r="X353" s="591"/>
      <c r="Y353" s="591"/>
      <c r="Z353" s="591"/>
      <c r="AA353" s="591"/>
      <c r="AB353" s="591"/>
      <c r="AC353" s="591"/>
      <c r="AD353" s="591"/>
      <c r="AE353" s="591"/>
      <c r="AF353" s="591"/>
      <c r="AG353" s="591"/>
      <c r="AH353" s="591"/>
      <c r="AI353" s="591"/>
      <c r="AJ353" s="591"/>
      <c r="AK353" s="591"/>
      <c r="AL353" s="591"/>
      <c r="AM353" s="591"/>
      <c r="AN353" s="591"/>
      <c r="AO353" s="591"/>
      <c r="AP353" s="591"/>
      <c r="AQ353" s="591"/>
      <c r="AR353" s="591"/>
      <c r="AS353" s="591"/>
      <c r="AT353" s="591"/>
      <c r="AU353" s="591"/>
      <c r="AV353" s="591"/>
      <c r="AW353" s="591"/>
      <c r="AX353" s="591"/>
      <c r="AY353" s="591"/>
      <c r="AZ353" s="591"/>
      <c r="BA353" s="591"/>
      <c r="BB353" s="591"/>
      <c r="BC353" s="591"/>
      <c r="BD353" s="591"/>
      <c r="BE353" s="591"/>
      <c r="BF353" s="591"/>
      <c r="BG353" s="591"/>
      <c r="BH353" s="591"/>
      <c r="BI353" s="591"/>
      <c r="BJ353" s="591"/>
      <c r="BK353" s="591"/>
      <c r="BL353" s="591"/>
      <c r="BM353" s="591"/>
      <c r="BN353" s="591"/>
      <c r="BO353" s="591"/>
      <c r="BP353" s="591"/>
      <c r="BQ353" s="591"/>
      <c r="BR353" s="591"/>
      <c r="BS353" s="591"/>
      <c r="BT353" s="591"/>
      <c r="BU353" s="591"/>
      <c r="BV353" s="591"/>
      <c r="BW353" s="591"/>
      <c r="BX353" s="591"/>
      <c r="BY353" s="591"/>
      <c r="BZ353" s="591"/>
      <c r="CA353" s="591"/>
      <c r="CB353" s="591"/>
      <c r="CC353" s="591"/>
      <c r="CD353" s="591"/>
      <c r="CE353" s="591"/>
      <c r="CF353" s="591"/>
    </row>
    <row r="354" spans="1:84">
      <c r="A354" s="591"/>
      <c r="B354" s="591"/>
      <c r="C354" s="591"/>
      <c r="D354" s="591"/>
      <c r="E354" s="591"/>
      <c r="F354" s="591"/>
      <c r="G354" s="591"/>
      <c r="H354" s="591"/>
      <c r="I354" s="591"/>
      <c r="J354" s="591"/>
      <c r="K354" s="591"/>
      <c r="L354" s="591"/>
      <c r="M354" s="591"/>
      <c r="N354" s="591"/>
      <c r="O354" s="591"/>
      <c r="P354" s="591"/>
      <c r="Q354" s="591"/>
      <c r="R354" s="591"/>
      <c r="S354" s="591"/>
      <c r="T354" s="591"/>
      <c r="U354" s="591"/>
      <c r="V354" s="591"/>
      <c r="W354" s="591"/>
      <c r="X354" s="591"/>
      <c r="Y354" s="591"/>
      <c r="Z354" s="591"/>
      <c r="AA354" s="591"/>
      <c r="AB354" s="591"/>
      <c r="AC354" s="591"/>
      <c r="AD354" s="591"/>
      <c r="AE354" s="591"/>
      <c r="AF354" s="591"/>
      <c r="AG354" s="591"/>
      <c r="AH354" s="591"/>
      <c r="AI354" s="591"/>
      <c r="AJ354" s="591"/>
      <c r="AK354" s="591"/>
      <c r="AL354" s="591"/>
      <c r="AM354" s="591"/>
      <c r="AN354" s="591"/>
      <c r="AO354" s="591"/>
      <c r="AP354" s="591"/>
      <c r="AQ354" s="591"/>
      <c r="AR354" s="591"/>
      <c r="AS354" s="591"/>
      <c r="AT354" s="591"/>
      <c r="AU354" s="591"/>
      <c r="AV354" s="591"/>
      <c r="AW354" s="591"/>
      <c r="AX354" s="591"/>
      <c r="AY354" s="591"/>
      <c r="AZ354" s="591"/>
      <c r="BA354" s="591"/>
      <c r="BB354" s="591"/>
      <c r="BC354" s="591"/>
      <c r="BD354" s="591"/>
      <c r="BE354" s="591"/>
      <c r="BF354" s="591"/>
      <c r="BG354" s="591"/>
      <c r="BH354" s="591"/>
      <c r="BI354" s="591"/>
      <c r="BJ354" s="591"/>
      <c r="BK354" s="591"/>
      <c r="BL354" s="591"/>
      <c r="BM354" s="591"/>
      <c r="BN354" s="591"/>
      <c r="BO354" s="591"/>
      <c r="BP354" s="591"/>
      <c r="BQ354" s="591"/>
      <c r="BR354" s="591"/>
      <c r="BS354" s="591"/>
      <c r="BT354" s="591"/>
      <c r="BU354" s="591"/>
      <c r="BV354" s="591"/>
      <c r="BW354" s="591"/>
      <c r="BX354" s="591"/>
      <c r="BY354" s="591"/>
      <c r="BZ354" s="591"/>
      <c r="CA354" s="591"/>
      <c r="CB354" s="591"/>
      <c r="CC354" s="591"/>
      <c r="CD354" s="591"/>
      <c r="CE354" s="591"/>
      <c r="CF354" s="591"/>
    </row>
    <row r="355" spans="1:84">
      <c r="A355" s="591"/>
      <c r="B355" s="591"/>
      <c r="C355" s="591"/>
      <c r="D355" s="591"/>
      <c r="E355" s="591"/>
      <c r="F355" s="591"/>
      <c r="G355" s="591"/>
      <c r="H355" s="591"/>
      <c r="I355" s="591"/>
      <c r="J355" s="591"/>
      <c r="K355" s="591"/>
      <c r="L355" s="591"/>
      <c r="M355" s="591"/>
      <c r="N355" s="591"/>
      <c r="O355" s="591"/>
      <c r="P355" s="591"/>
      <c r="Q355" s="591"/>
      <c r="R355" s="591"/>
      <c r="S355" s="591"/>
      <c r="T355" s="591"/>
      <c r="U355" s="591"/>
      <c r="V355" s="591"/>
      <c r="W355" s="591"/>
      <c r="X355" s="591"/>
      <c r="Y355" s="591"/>
      <c r="Z355" s="591"/>
      <c r="AA355" s="591"/>
      <c r="AB355" s="591"/>
      <c r="AC355" s="591"/>
      <c r="AD355" s="591"/>
      <c r="AE355" s="591"/>
      <c r="AF355" s="591"/>
      <c r="AG355" s="591"/>
      <c r="AH355" s="591"/>
      <c r="AI355" s="591"/>
      <c r="AJ355" s="591"/>
      <c r="AK355" s="591"/>
      <c r="AL355" s="591"/>
      <c r="AM355" s="591"/>
      <c r="AN355" s="591"/>
      <c r="AO355" s="591"/>
      <c r="AP355" s="591"/>
      <c r="AQ355" s="591"/>
      <c r="AR355" s="591"/>
      <c r="AS355" s="591"/>
      <c r="AT355" s="591"/>
      <c r="AU355" s="591"/>
      <c r="AV355" s="591"/>
      <c r="AW355" s="591"/>
      <c r="AX355" s="591"/>
      <c r="AY355" s="591"/>
      <c r="AZ355" s="591"/>
      <c r="BA355" s="591"/>
      <c r="BB355" s="591"/>
      <c r="BC355" s="591"/>
      <c r="BD355" s="591"/>
      <c r="BE355" s="591"/>
      <c r="BF355" s="591"/>
      <c r="BG355" s="591"/>
      <c r="BH355" s="591"/>
      <c r="BI355" s="591"/>
      <c r="BJ355" s="591"/>
      <c r="BK355" s="591"/>
      <c r="BL355" s="591"/>
      <c r="BM355" s="591"/>
      <c r="BN355" s="591"/>
      <c r="BO355" s="591"/>
      <c r="BP355" s="591"/>
      <c r="BQ355" s="591"/>
      <c r="BR355" s="591"/>
      <c r="BS355" s="591"/>
      <c r="BT355" s="591"/>
      <c r="BU355" s="591"/>
      <c r="BV355" s="591"/>
      <c r="BW355" s="591"/>
      <c r="BX355" s="591"/>
      <c r="BY355" s="591"/>
      <c r="BZ355" s="591"/>
      <c r="CA355" s="591"/>
      <c r="CB355" s="591"/>
      <c r="CC355" s="591"/>
      <c r="CD355" s="591"/>
      <c r="CE355" s="591"/>
      <c r="CF355" s="591"/>
    </row>
    <row r="356" spans="1:84">
      <c r="A356" s="591"/>
      <c r="B356" s="591"/>
      <c r="C356" s="591"/>
      <c r="D356" s="591"/>
      <c r="E356" s="591"/>
      <c r="F356" s="591"/>
      <c r="G356" s="591"/>
      <c r="H356" s="591"/>
      <c r="I356" s="591"/>
      <c r="J356" s="591"/>
      <c r="K356" s="591"/>
      <c r="L356" s="591"/>
      <c r="M356" s="591"/>
      <c r="N356" s="591"/>
      <c r="O356" s="591"/>
      <c r="P356" s="591"/>
      <c r="Q356" s="591"/>
      <c r="R356" s="591"/>
      <c r="S356" s="591"/>
      <c r="T356" s="591"/>
      <c r="U356" s="591"/>
      <c r="V356" s="591"/>
      <c r="W356" s="591"/>
      <c r="X356" s="591"/>
      <c r="Y356" s="591"/>
      <c r="Z356" s="591"/>
      <c r="AA356" s="591"/>
      <c r="AB356" s="591"/>
      <c r="AC356" s="591"/>
      <c r="AD356" s="591"/>
      <c r="AE356" s="591"/>
      <c r="AF356" s="591"/>
      <c r="AG356" s="591"/>
      <c r="AH356" s="591"/>
      <c r="AI356" s="591"/>
      <c r="AJ356" s="591"/>
      <c r="AK356" s="591"/>
      <c r="AL356" s="591"/>
      <c r="AM356" s="591"/>
      <c r="AN356" s="591"/>
      <c r="AO356" s="591"/>
      <c r="AP356" s="591"/>
      <c r="AQ356" s="591"/>
      <c r="AR356" s="591"/>
      <c r="AS356" s="591"/>
      <c r="AT356" s="591"/>
      <c r="AU356" s="591"/>
      <c r="AV356" s="591"/>
      <c r="AW356" s="591"/>
      <c r="AX356" s="591"/>
      <c r="AY356" s="591"/>
      <c r="AZ356" s="591"/>
      <c r="BA356" s="591"/>
      <c r="BB356" s="591"/>
      <c r="BC356" s="591"/>
      <c r="BD356" s="591"/>
      <c r="BE356" s="591"/>
      <c r="BF356" s="591"/>
      <c r="BG356" s="591"/>
      <c r="BH356" s="591"/>
      <c r="BI356" s="591"/>
      <c r="BJ356" s="591"/>
      <c r="BK356" s="591"/>
      <c r="BL356" s="591"/>
      <c r="BM356" s="591"/>
      <c r="BN356" s="591"/>
      <c r="BO356" s="591"/>
      <c r="BP356" s="591"/>
      <c r="BQ356" s="591"/>
      <c r="BR356" s="591"/>
      <c r="BS356" s="591"/>
      <c r="BT356" s="591"/>
      <c r="BU356" s="591"/>
      <c r="BV356" s="591"/>
      <c r="BW356" s="591"/>
      <c r="BX356" s="591"/>
      <c r="BY356" s="591"/>
      <c r="BZ356" s="591"/>
      <c r="CA356" s="591"/>
      <c r="CB356" s="591"/>
      <c r="CC356" s="591"/>
      <c r="CD356" s="591"/>
      <c r="CE356" s="591"/>
      <c r="CF356" s="591"/>
    </row>
    <row r="357" spans="1:84">
      <c r="A357" s="591"/>
      <c r="B357" s="591"/>
      <c r="C357" s="591"/>
      <c r="D357" s="591"/>
      <c r="E357" s="591"/>
      <c r="F357" s="591"/>
      <c r="G357" s="591"/>
      <c r="H357" s="591"/>
      <c r="I357" s="591"/>
      <c r="J357" s="591"/>
      <c r="K357" s="591"/>
      <c r="L357" s="591"/>
      <c r="M357" s="591"/>
      <c r="N357" s="591"/>
      <c r="O357" s="591"/>
      <c r="P357" s="591"/>
      <c r="Q357" s="591"/>
      <c r="R357" s="591"/>
      <c r="S357" s="591"/>
      <c r="T357" s="591"/>
      <c r="U357" s="591"/>
      <c r="V357" s="591"/>
      <c r="W357" s="591"/>
      <c r="X357" s="591"/>
      <c r="Y357" s="591"/>
      <c r="Z357" s="591"/>
      <c r="AA357" s="591"/>
      <c r="AB357" s="591"/>
      <c r="AC357" s="591"/>
      <c r="AD357" s="591"/>
      <c r="AE357" s="591"/>
      <c r="AF357" s="591"/>
      <c r="AG357" s="591"/>
      <c r="AH357" s="591"/>
      <c r="AI357" s="591"/>
      <c r="AJ357" s="591"/>
      <c r="AK357" s="591"/>
      <c r="AL357" s="591"/>
      <c r="AM357" s="591"/>
      <c r="AN357" s="591"/>
      <c r="AO357" s="591"/>
      <c r="AP357" s="591"/>
      <c r="AQ357" s="591"/>
      <c r="AR357" s="591"/>
      <c r="AS357" s="591"/>
      <c r="AT357" s="591"/>
      <c r="AU357" s="591"/>
      <c r="AV357" s="591"/>
      <c r="AW357" s="591"/>
      <c r="AX357" s="591"/>
      <c r="AY357" s="591"/>
      <c r="AZ357" s="591"/>
      <c r="BA357" s="591"/>
      <c r="BB357" s="591"/>
      <c r="BC357" s="591"/>
      <c r="BD357" s="591"/>
      <c r="BE357" s="591"/>
      <c r="BF357" s="591"/>
      <c r="BG357" s="591"/>
      <c r="BH357" s="591"/>
      <c r="BI357" s="591"/>
      <c r="BJ357" s="591"/>
      <c r="BK357" s="591"/>
      <c r="BL357" s="591"/>
      <c r="BM357" s="591"/>
      <c r="BN357" s="591"/>
      <c r="BO357" s="591"/>
      <c r="BP357" s="591"/>
      <c r="BQ357" s="591"/>
      <c r="BR357" s="591"/>
      <c r="BS357" s="591"/>
      <c r="BT357" s="591"/>
      <c r="BU357" s="591"/>
      <c r="BV357" s="591"/>
      <c r="BW357" s="591"/>
      <c r="BX357" s="591"/>
      <c r="BY357" s="591"/>
      <c r="BZ357" s="591"/>
      <c r="CA357" s="591"/>
      <c r="CB357" s="591"/>
      <c r="CC357" s="591"/>
      <c r="CD357" s="591"/>
      <c r="CE357" s="591"/>
      <c r="CF357" s="591"/>
    </row>
    <row r="358" spans="1:84">
      <c r="A358" s="591"/>
      <c r="B358" s="591"/>
      <c r="C358" s="591"/>
      <c r="D358" s="591"/>
      <c r="E358" s="591"/>
      <c r="F358" s="591"/>
      <c r="G358" s="591"/>
      <c r="H358" s="591"/>
      <c r="I358" s="591"/>
      <c r="J358" s="591"/>
      <c r="K358" s="591"/>
      <c r="L358" s="591"/>
      <c r="M358" s="591"/>
      <c r="N358" s="591"/>
      <c r="O358" s="591"/>
      <c r="P358" s="591"/>
      <c r="Q358" s="591"/>
      <c r="R358" s="591"/>
      <c r="S358" s="591"/>
      <c r="T358" s="591"/>
      <c r="U358" s="591"/>
      <c r="V358" s="591"/>
      <c r="W358" s="591"/>
      <c r="X358" s="591"/>
      <c r="Y358" s="591"/>
      <c r="Z358" s="591"/>
      <c r="AA358" s="591"/>
      <c r="AB358" s="591"/>
      <c r="AC358" s="591"/>
      <c r="AD358" s="591"/>
      <c r="AE358" s="591"/>
      <c r="AF358" s="591"/>
      <c r="AG358" s="591"/>
      <c r="AH358" s="591"/>
      <c r="AI358" s="591"/>
      <c r="AJ358" s="591"/>
      <c r="AK358" s="591"/>
      <c r="AL358" s="591"/>
      <c r="AM358" s="591"/>
      <c r="AN358" s="591"/>
      <c r="AO358" s="591"/>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1"/>
      <c r="BM358" s="591"/>
      <c r="BN358" s="591"/>
      <c r="BO358" s="591"/>
      <c r="BP358" s="591"/>
      <c r="BQ358" s="591"/>
      <c r="BR358" s="591"/>
      <c r="BS358" s="591"/>
      <c r="BT358" s="591"/>
      <c r="BU358" s="591"/>
      <c r="BV358" s="591"/>
      <c r="BW358" s="591"/>
      <c r="BX358" s="591"/>
      <c r="BY358" s="591"/>
      <c r="BZ358" s="591"/>
      <c r="CA358" s="591"/>
      <c r="CB358" s="591"/>
      <c r="CC358" s="591"/>
      <c r="CD358" s="591"/>
      <c r="CE358" s="591"/>
      <c r="CF358" s="591"/>
    </row>
    <row r="359" spans="1:84">
      <c r="A359" s="591"/>
      <c r="B359" s="591"/>
      <c r="C359" s="591"/>
      <c r="D359" s="591"/>
      <c r="E359" s="591"/>
      <c r="F359" s="591"/>
      <c r="G359" s="591"/>
      <c r="H359" s="591"/>
      <c r="I359" s="591"/>
      <c r="J359" s="591"/>
      <c r="K359" s="591"/>
      <c r="L359" s="591"/>
      <c r="M359" s="591"/>
      <c r="N359" s="591"/>
      <c r="O359" s="591"/>
      <c r="P359" s="591"/>
      <c r="Q359" s="591"/>
      <c r="R359" s="591"/>
      <c r="S359" s="591"/>
      <c r="T359" s="591"/>
      <c r="U359" s="591"/>
      <c r="V359" s="591"/>
      <c r="W359" s="591"/>
      <c r="X359" s="591"/>
      <c r="Y359" s="591"/>
      <c r="Z359" s="591"/>
      <c r="AA359" s="591"/>
      <c r="AB359" s="591"/>
      <c r="AC359" s="591"/>
      <c r="AD359" s="591"/>
      <c r="AE359" s="591"/>
      <c r="AF359" s="591"/>
      <c r="AG359" s="591"/>
      <c r="AH359" s="591"/>
      <c r="AI359" s="591"/>
      <c r="AJ359" s="591"/>
      <c r="AK359" s="591"/>
      <c r="AL359" s="591"/>
      <c r="AM359" s="591"/>
      <c r="AN359" s="591"/>
      <c r="AO359" s="591"/>
      <c r="AP359" s="591"/>
      <c r="AQ359" s="591"/>
      <c r="AR359" s="591"/>
      <c r="AS359" s="591"/>
      <c r="AT359" s="591"/>
      <c r="AU359" s="591"/>
      <c r="AV359" s="591"/>
      <c r="AW359" s="591"/>
      <c r="AX359" s="591"/>
      <c r="AY359" s="591"/>
      <c r="AZ359" s="591"/>
      <c r="BA359" s="591"/>
      <c r="BB359" s="591"/>
      <c r="BC359" s="591"/>
      <c r="BD359" s="591"/>
      <c r="BE359" s="591"/>
      <c r="BF359" s="591"/>
      <c r="BG359" s="591"/>
      <c r="BH359" s="591"/>
      <c r="BI359" s="591"/>
      <c r="BJ359" s="591"/>
      <c r="BK359" s="591"/>
      <c r="BL359" s="591"/>
      <c r="BM359" s="591"/>
      <c r="BN359" s="591"/>
      <c r="BO359" s="591"/>
      <c r="BP359" s="591"/>
      <c r="BQ359" s="591"/>
      <c r="BR359" s="591"/>
      <c r="BS359" s="591"/>
      <c r="BT359" s="591"/>
      <c r="BU359" s="591"/>
      <c r="BV359" s="591"/>
      <c r="BW359" s="591"/>
      <c r="BX359" s="591"/>
      <c r="BY359" s="591"/>
      <c r="BZ359" s="591"/>
      <c r="CA359" s="591"/>
      <c r="CB359" s="591"/>
      <c r="CC359" s="591"/>
      <c r="CD359" s="591"/>
      <c r="CE359" s="591"/>
      <c r="CF359" s="591"/>
    </row>
    <row r="360" spans="1:84">
      <c r="A360" s="591"/>
      <c r="B360" s="591"/>
      <c r="C360" s="591"/>
      <c r="D360" s="591"/>
      <c r="E360" s="591"/>
      <c r="F360" s="591"/>
      <c r="G360" s="591"/>
      <c r="H360" s="591"/>
      <c r="I360" s="591"/>
      <c r="J360" s="591"/>
      <c r="K360" s="591"/>
      <c r="L360" s="591"/>
      <c r="M360" s="591"/>
      <c r="N360" s="591"/>
      <c r="O360" s="591"/>
      <c r="P360" s="591"/>
      <c r="Q360" s="591"/>
      <c r="R360" s="591"/>
      <c r="S360" s="591"/>
      <c r="T360" s="591"/>
      <c r="U360" s="591"/>
      <c r="V360" s="591"/>
      <c r="W360" s="591"/>
      <c r="X360" s="591"/>
      <c r="Y360" s="591"/>
      <c r="Z360" s="591"/>
      <c r="AA360" s="591"/>
      <c r="AB360" s="591"/>
      <c r="AC360" s="591"/>
      <c r="AD360" s="591"/>
      <c r="AE360" s="591"/>
      <c r="AF360" s="591"/>
      <c r="AG360" s="591"/>
      <c r="AH360" s="591"/>
      <c r="AI360" s="591"/>
      <c r="AJ360" s="591"/>
      <c r="AK360" s="591"/>
      <c r="AL360" s="591"/>
      <c r="AM360" s="591"/>
      <c r="AN360" s="591"/>
      <c r="AO360" s="591"/>
      <c r="AP360" s="591"/>
      <c r="AQ360" s="591"/>
      <c r="AR360" s="591"/>
      <c r="AS360" s="591"/>
      <c r="AT360" s="591"/>
      <c r="AU360" s="591"/>
      <c r="AV360" s="591"/>
      <c r="AW360" s="591"/>
      <c r="AX360" s="591"/>
      <c r="AY360" s="591"/>
      <c r="AZ360" s="591"/>
      <c r="BA360" s="591"/>
      <c r="BB360" s="591"/>
      <c r="BC360" s="591"/>
      <c r="BD360" s="591"/>
      <c r="BE360" s="591"/>
      <c r="BF360" s="591"/>
      <c r="BG360" s="591"/>
      <c r="BH360" s="591"/>
      <c r="BI360" s="591"/>
      <c r="BJ360" s="591"/>
      <c r="BK360" s="591"/>
      <c r="BL360" s="591"/>
      <c r="BM360" s="591"/>
      <c r="BN360" s="591"/>
      <c r="BO360" s="591"/>
      <c r="BP360" s="591"/>
      <c r="BQ360" s="591"/>
      <c r="BR360" s="591"/>
      <c r="BS360" s="591"/>
      <c r="BT360" s="591"/>
      <c r="BU360" s="591"/>
      <c r="BV360" s="591"/>
      <c r="BW360" s="591"/>
      <c r="BX360" s="591"/>
      <c r="BY360" s="591"/>
      <c r="BZ360" s="591"/>
      <c r="CA360" s="591"/>
      <c r="CB360" s="591"/>
      <c r="CC360" s="591"/>
      <c r="CD360" s="591"/>
      <c r="CE360" s="591"/>
      <c r="CF360" s="591"/>
    </row>
    <row r="361" spans="1:84">
      <c r="A361" s="591"/>
      <c r="B361" s="591"/>
      <c r="C361" s="591"/>
      <c r="D361" s="591"/>
      <c r="E361" s="591"/>
      <c r="F361" s="591"/>
      <c r="G361" s="591"/>
      <c r="H361" s="591"/>
      <c r="I361" s="591"/>
      <c r="J361" s="591"/>
      <c r="K361" s="591"/>
      <c r="L361" s="591"/>
      <c r="M361" s="591"/>
      <c r="N361" s="591"/>
      <c r="O361" s="591"/>
      <c r="P361" s="591"/>
      <c r="Q361" s="591"/>
      <c r="R361" s="591"/>
      <c r="S361" s="591"/>
      <c r="T361" s="591"/>
      <c r="U361" s="591"/>
      <c r="V361" s="591"/>
      <c r="W361" s="591"/>
      <c r="X361" s="591"/>
      <c r="Y361" s="591"/>
      <c r="Z361" s="591"/>
      <c r="AA361" s="591"/>
      <c r="AB361" s="591"/>
      <c r="AC361" s="591"/>
      <c r="AD361" s="591"/>
      <c r="AE361" s="591"/>
      <c r="AF361" s="591"/>
      <c r="AG361" s="591"/>
      <c r="AH361" s="591"/>
      <c r="AI361" s="591"/>
      <c r="AJ361" s="591"/>
      <c r="AK361" s="591"/>
      <c r="AL361" s="591"/>
      <c r="AM361" s="591"/>
      <c r="AN361" s="591"/>
      <c r="AO361" s="591"/>
      <c r="AP361" s="591"/>
      <c r="AQ361" s="591"/>
      <c r="AR361" s="591"/>
      <c r="AS361" s="591"/>
      <c r="AT361" s="591"/>
      <c r="AU361" s="591"/>
      <c r="AV361" s="591"/>
      <c r="AW361" s="591"/>
      <c r="AX361" s="591"/>
      <c r="AY361" s="591"/>
      <c r="AZ361" s="591"/>
      <c r="BA361" s="591"/>
      <c r="BB361" s="591"/>
      <c r="BC361" s="591"/>
      <c r="BD361" s="591"/>
      <c r="BE361" s="591"/>
      <c r="BF361" s="591"/>
      <c r="BG361" s="591"/>
      <c r="BH361" s="591"/>
      <c r="BI361" s="591"/>
      <c r="BJ361" s="591"/>
      <c r="BK361" s="591"/>
      <c r="BL361" s="591"/>
      <c r="BM361" s="591"/>
      <c r="BN361" s="591"/>
      <c r="BO361" s="591"/>
      <c r="BP361" s="591"/>
      <c r="BQ361" s="591"/>
      <c r="BR361" s="591"/>
      <c r="BS361" s="591"/>
      <c r="BT361" s="591"/>
      <c r="BU361" s="591"/>
      <c r="BV361" s="591"/>
      <c r="BW361" s="591"/>
      <c r="BX361" s="591"/>
      <c r="BY361" s="591"/>
      <c r="BZ361" s="591"/>
      <c r="CA361" s="591"/>
      <c r="CB361" s="591"/>
      <c r="CC361" s="591"/>
      <c r="CD361" s="591"/>
      <c r="CE361" s="591"/>
      <c r="CF361" s="591"/>
    </row>
    <row r="362" spans="1:84">
      <c r="A362" s="591"/>
      <c r="B362" s="591"/>
      <c r="C362" s="591"/>
      <c r="D362" s="591"/>
      <c r="E362" s="591"/>
      <c r="F362" s="591"/>
      <c r="G362" s="591"/>
      <c r="H362" s="591"/>
      <c r="I362" s="591"/>
      <c r="J362" s="591"/>
      <c r="K362" s="591"/>
      <c r="L362" s="591"/>
      <c r="M362" s="591"/>
      <c r="N362" s="591"/>
      <c r="O362" s="591"/>
      <c r="P362" s="591"/>
      <c r="Q362" s="591"/>
      <c r="R362" s="591"/>
      <c r="S362" s="591"/>
      <c r="T362" s="591"/>
      <c r="U362" s="591"/>
      <c r="V362" s="591"/>
      <c r="W362" s="591"/>
      <c r="X362" s="591"/>
      <c r="Y362" s="591"/>
      <c r="Z362" s="591"/>
      <c r="AA362" s="591"/>
      <c r="AB362" s="591"/>
      <c r="AC362" s="591"/>
      <c r="AD362" s="591"/>
      <c r="AE362" s="591"/>
      <c r="AF362" s="591"/>
      <c r="AG362" s="591"/>
      <c r="AH362" s="591"/>
      <c r="AI362" s="591"/>
      <c r="AJ362" s="591"/>
      <c r="AK362" s="591"/>
      <c r="AL362" s="591"/>
      <c r="AM362" s="591"/>
      <c r="AN362" s="591"/>
      <c r="AO362" s="591"/>
      <c r="AP362" s="591"/>
      <c r="AQ362" s="591"/>
      <c r="AR362" s="591"/>
      <c r="AS362" s="591"/>
      <c r="AT362" s="591"/>
      <c r="AU362" s="591"/>
      <c r="AV362" s="591"/>
      <c r="AW362" s="591"/>
      <c r="AX362" s="591"/>
      <c r="AY362" s="591"/>
      <c r="AZ362" s="591"/>
      <c r="BA362" s="591"/>
      <c r="BB362" s="591"/>
      <c r="BC362" s="591"/>
      <c r="BD362" s="591"/>
      <c r="BE362" s="591"/>
      <c r="BF362" s="591"/>
      <c r="BG362" s="591"/>
      <c r="BH362" s="591"/>
      <c r="BI362" s="591"/>
      <c r="BJ362" s="591"/>
      <c r="BK362" s="591"/>
      <c r="BL362" s="591"/>
      <c r="BM362" s="591"/>
      <c r="BN362" s="591"/>
      <c r="BO362" s="591"/>
      <c r="BP362" s="591"/>
      <c r="BQ362" s="591"/>
      <c r="BR362" s="591"/>
      <c r="BS362" s="591"/>
      <c r="BT362" s="591"/>
      <c r="BU362" s="591"/>
      <c r="BV362" s="591"/>
      <c r="BW362" s="591"/>
      <c r="BX362" s="591"/>
      <c r="BY362" s="591"/>
      <c r="BZ362" s="591"/>
      <c r="CA362" s="591"/>
      <c r="CB362" s="591"/>
      <c r="CC362" s="591"/>
      <c r="CD362" s="591"/>
      <c r="CE362" s="591"/>
      <c r="CF362" s="591"/>
    </row>
    <row r="363" spans="1:84">
      <c r="A363" s="591"/>
      <c r="B363" s="591"/>
      <c r="C363" s="591"/>
      <c r="D363" s="591"/>
      <c r="E363" s="591"/>
      <c r="F363" s="591"/>
      <c r="G363" s="591"/>
      <c r="H363" s="591"/>
      <c r="I363" s="591"/>
      <c r="J363" s="591"/>
      <c r="K363" s="591"/>
      <c r="L363" s="591"/>
      <c r="M363" s="591"/>
      <c r="N363" s="591"/>
      <c r="O363" s="591"/>
      <c r="P363" s="591"/>
      <c r="Q363" s="591"/>
      <c r="R363" s="591"/>
      <c r="S363" s="591"/>
      <c r="T363" s="591"/>
      <c r="U363" s="591"/>
      <c r="V363" s="591"/>
      <c r="W363" s="591"/>
      <c r="X363" s="591"/>
      <c r="Y363" s="591"/>
      <c r="Z363" s="591"/>
      <c r="AA363" s="591"/>
      <c r="AB363" s="591"/>
      <c r="AC363" s="591"/>
      <c r="AD363" s="591"/>
      <c r="AE363" s="591"/>
      <c r="AF363" s="591"/>
      <c r="AG363" s="591"/>
      <c r="AH363" s="591"/>
      <c r="AI363" s="591"/>
      <c r="AJ363" s="591"/>
      <c r="AK363" s="591"/>
      <c r="AL363" s="591"/>
      <c r="AM363" s="591"/>
      <c r="AN363" s="591"/>
      <c r="AO363" s="591"/>
      <c r="AP363" s="591"/>
      <c r="AQ363" s="591"/>
      <c r="AR363" s="591"/>
      <c r="AS363" s="591"/>
      <c r="AT363" s="591"/>
      <c r="AU363" s="591"/>
      <c r="AV363" s="591"/>
      <c r="AW363" s="591"/>
      <c r="AX363" s="591"/>
      <c r="AY363" s="591"/>
      <c r="AZ363" s="591"/>
      <c r="BA363" s="591"/>
      <c r="BB363" s="591"/>
      <c r="BC363" s="591"/>
      <c r="BD363" s="591"/>
      <c r="BE363" s="591"/>
      <c r="BF363" s="591"/>
      <c r="BG363" s="591"/>
      <c r="BH363" s="591"/>
      <c r="BI363" s="591"/>
      <c r="BJ363" s="591"/>
      <c r="BK363" s="591"/>
      <c r="BL363" s="591"/>
      <c r="BM363" s="591"/>
      <c r="BN363" s="591"/>
      <c r="BO363" s="591"/>
      <c r="BP363" s="591"/>
      <c r="BQ363" s="591"/>
      <c r="BR363" s="591"/>
      <c r="BS363" s="591"/>
      <c r="BT363" s="591"/>
      <c r="BU363" s="591"/>
      <c r="BV363" s="591"/>
      <c r="BW363" s="591"/>
      <c r="BX363" s="591"/>
      <c r="BY363" s="591"/>
      <c r="BZ363" s="591"/>
      <c r="CA363" s="591"/>
      <c r="CB363" s="591"/>
      <c r="CC363" s="591"/>
      <c r="CD363" s="591"/>
      <c r="CE363" s="591"/>
      <c r="CF363" s="591"/>
    </row>
    <row r="364" spans="1:84">
      <c r="A364" s="591"/>
      <c r="B364" s="591"/>
      <c r="C364" s="591"/>
      <c r="D364" s="591"/>
      <c r="E364" s="591"/>
      <c r="F364" s="591"/>
      <c r="G364" s="591"/>
      <c r="H364" s="591"/>
      <c r="I364" s="591"/>
      <c r="J364" s="591"/>
      <c r="K364" s="591"/>
      <c r="L364" s="591"/>
      <c r="M364" s="591"/>
      <c r="N364" s="591"/>
      <c r="O364" s="591"/>
      <c r="P364" s="591"/>
      <c r="Q364" s="591"/>
      <c r="R364" s="591"/>
      <c r="S364" s="591"/>
      <c r="T364" s="591"/>
      <c r="U364" s="591"/>
      <c r="V364" s="591"/>
      <c r="W364" s="591"/>
      <c r="X364" s="591"/>
      <c r="Y364" s="591"/>
      <c r="Z364" s="591"/>
      <c r="AA364" s="591"/>
      <c r="AB364" s="591"/>
      <c r="AC364" s="591"/>
      <c r="AD364" s="591"/>
      <c r="AE364" s="591"/>
      <c r="AF364" s="591"/>
      <c r="AG364" s="591"/>
      <c r="AH364" s="591"/>
      <c r="AI364" s="591"/>
      <c r="AJ364" s="591"/>
      <c r="AK364" s="591"/>
      <c r="AL364" s="591"/>
      <c r="AM364" s="591"/>
      <c r="AN364" s="591"/>
      <c r="AO364" s="591"/>
      <c r="AP364" s="591"/>
      <c r="AQ364" s="591"/>
      <c r="AR364" s="591"/>
      <c r="AS364" s="591"/>
      <c r="AT364" s="591"/>
      <c r="AU364" s="591"/>
      <c r="AV364" s="591"/>
      <c r="AW364" s="591"/>
      <c r="AX364" s="591"/>
      <c r="AY364" s="591"/>
      <c r="AZ364" s="591"/>
      <c r="BA364" s="591"/>
      <c r="BB364" s="591"/>
      <c r="BC364" s="591"/>
      <c r="BD364" s="591"/>
      <c r="BE364" s="591"/>
      <c r="BF364" s="591"/>
      <c r="BG364" s="591"/>
      <c r="BH364" s="591"/>
      <c r="BI364" s="591"/>
      <c r="BJ364" s="591"/>
      <c r="BK364" s="591"/>
      <c r="BL364" s="591"/>
      <c r="BM364" s="591"/>
      <c r="BN364" s="591"/>
      <c r="BO364" s="591"/>
      <c r="BP364" s="591"/>
      <c r="BQ364" s="591"/>
      <c r="BR364" s="591"/>
      <c r="BS364" s="591"/>
      <c r="BT364" s="591"/>
      <c r="BU364" s="591"/>
      <c r="BV364" s="591"/>
      <c r="BW364" s="591"/>
      <c r="BX364" s="591"/>
      <c r="BY364" s="591"/>
      <c r="BZ364" s="591"/>
      <c r="CA364" s="591"/>
      <c r="CB364" s="591"/>
      <c r="CC364" s="591"/>
      <c r="CD364" s="591"/>
      <c r="CE364" s="591"/>
      <c r="CF364" s="591"/>
    </row>
    <row r="365" spans="1:84">
      <c r="A365" s="591"/>
      <c r="B365" s="591"/>
      <c r="C365" s="591"/>
      <c r="D365" s="591"/>
      <c r="E365" s="591"/>
      <c r="F365" s="591"/>
      <c r="G365" s="591"/>
      <c r="H365" s="591"/>
      <c r="I365" s="591"/>
      <c r="J365" s="591"/>
      <c r="K365" s="591"/>
      <c r="L365" s="591"/>
      <c r="M365" s="591"/>
      <c r="N365" s="591"/>
      <c r="O365" s="591"/>
      <c r="P365" s="591"/>
      <c r="Q365" s="591"/>
      <c r="R365" s="591"/>
      <c r="S365" s="591"/>
      <c r="T365" s="591"/>
      <c r="U365" s="591"/>
      <c r="V365" s="591"/>
      <c r="W365" s="591"/>
      <c r="X365" s="591"/>
      <c r="Y365" s="591"/>
      <c r="Z365" s="591"/>
      <c r="AA365" s="591"/>
      <c r="AB365" s="591"/>
      <c r="AC365" s="591"/>
      <c r="AD365" s="591"/>
      <c r="AE365" s="591"/>
      <c r="AF365" s="591"/>
      <c r="AG365" s="591"/>
      <c r="AH365" s="591"/>
      <c r="AI365" s="591"/>
      <c r="AJ365" s="591"/>
      <c r="AK365" s="591"/>
      <c r="AL365" s="591"/>
      <c r="AM365" s="591"/>
      <c r="AN365" s="591"/>
      <c r="AO365" s="591"/>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1"/>
      <c r="BM365" s="591"/>
      <c r="BN365" s="591"/>
      <c r="BO365" s="591"/>
      <c r="BP365" s="591"/>
      <c r="BQ365" s="591"/>
      <c r="BR365" s="591"/>
      <c r="BS365" s="591"/>
      <c r="BT365" s="591"/>
      <c r="BU365" s="591"/>
      <c r="BV365" s="591"/>
      <c r="BW365" s="591"/>
      <c r="BX365" s="591"/>
      <c r="BY365" s="591"/>
      <c r="BZ365" s="591"/>
      <c r="CA365" s="591"/>
      <c r="CB365" s="591"/>
      <c r="CC365" s="591"/>
      <c r="CD365" s="591"/>
      <c r="CE365" s="591"/>
      <c r="CF365" s="591"/>
    </row>
    <row r="366" spans="1:84">
      <c r="A366" s="591"/>
      <c r="B366" s="591"/>
      <c r="C366" s="591"/>
      <c r="D366" s="591"/>
      <c r="E366" s="591"/>
      <c r="F366" s="591"/>
      <c r="G366" s="591"/>
      <c r="H366" s="591"/>
      <c r="I366" s="591"/>
      <c r="J366" s="591"/>
      <c r="K366" s="591"/>
      <c r="L366" s="591"/>
      <c r="M366" s="591"/>
      <c r="N366" s="591"/>
      <c r="O366" s="591"/>
      <c r="P366" s="591"/>
      <c r="Q366" s="591"/>
      <c r="R366" s="591"/>
      <c r="S366" s="591"/>
      <c r="T366" s="591"/>
      <c r="U366" s="591"/>
      <c r="V366" s="591"/>
      <c r="W366" s="591"/>
      <c r="X366" s="591"/>
      <c r="Y366" s="591"/>
      <c r="Z366" s="591"/>
      <c r="AA366" s="591"/>
      <c r="AB366" s="591"/>
      <c r="AC366" s="591"/>
      <c r="AD366" s="591"/>
      <c r="AE366" s="591"/>
      <c r="AF366" s="591"/>
      <c r="AG366" s="591"/>
      <c r="AH366" s="591"/>
      <c r="AI366" s="591"/>
      <c r="AJ366" s="591"/>
      <c r="AK366" s="591"/>
      <c r="AL366" s="591"/>
      <c r="AM366" s="591"/>
      <c r="AN366" s="591"/>
      <c r="AO366" s="591"/>
      <c r="AP366" s="591"/>
      <c r="AQ366" s="591"/>
      <c r="AR366" s="591"/>
      <c r="AS366" s="591"/>
      <c r="AT366" s="591"/>
      <c r="AU366" s="591"/>
      <c r="AV366" s="591"/>
      <c r="AW366" s="591"/>
      <c r="AX366" s="591"/>
      <c r="AY366" s="591"/>
      <c r="AZ366" s="591"/>
      <c r="BA366" s="591"/>
      <c r="BB366" s="591"/>
      <c r="BC366" s="591"/>
      <c r="BD366" s="591"/>
      <c r="BE366" s="591"/>
      <c r="BF366" s="591"/>
      <c r="BG366" s="591"/>
      <c r="BH366" s="591"/>
      <c r="BI366" s="591"/>
      <c r="BJ366" s="591"/>
      <c r="BK366" s="591"/>
      <c r="BL366" s="591"/>
      <c r="BM366" s="591"/>
      <c r="BN366" s="591"/>
      <c r="BO366" s="591"/>
      <c r="BP366" s="591"/>
      <c r="BQ366" s="591"/>
      <c r="BR366" s="591"/>
      <c r="BS366" s="591"/>
      <c r="BT366" s="591"/>
      <c r="BU366" s="591"/>
      <c r="BV366" s="591"/>
      <c r="BW366" s="591"/>
      <c r="BX366" s="591"/>
      <c r="BY366" s="591"/>
      <c r="BZ366" s="591"/>
      <c r="CA366" s="591"/>
      <c r="CB366" s="591"/>
      <c r="CC366" s="591"/>
      <c r="CD366" s="591"/>
      <c r="CE366" s="591"/>
      <c r="CF366" s="591"/>
    </row>
    <row r="367" spans="1:84">
      <c r="A367" s="591"/>
      <c r="B367" s="591"/>
      <c r="C367" s="591"/>
      <c r="D367" s="591"/>
      <c r="E367" s="591"/>
      <c r="F367" s="591"/>
      <c r="G367" s="591"/>
      <c r="H367" s="591"/>
      <c r="I367" s="591"/>
      <c r="J367" s="591"/>
      <c r="K367" s="591"/>
      <c r="L367" s="591"/>
      <c r="M367" s="591"/>
      <c r="N367" s="591"/>
      <c r="O367" s="591"/>
      <c r="P367" s="591"/>
      <c r="Q367" s="591"/>
      <c r="R367" s="591"/>
      <c r="S367" s="591"/>
      <c r="T367" s="591"/>
      <c r="U367" s="591"/>
      <c r="V367" s="591"/>
      <c r="W367" s="591"/>
      <c r="X367" s="591"/>
      <c r="Y367" s="591"/>
      <c r="Z367" s="591"/>
      <c r="AA367" s="591"/>
      <c r="AB367" s="591"/>
      <c r="AC367" s="591"/>
      <c r="AD367" s="591"/>
      <c r="AE367" s="591"/>
      <c r="AF367" s="591"/>
      <c r="AG367" s="591"/>
      <c r="AH367" s="591"/>
      <c r="AI367" s="591"/>
      <c r="AJ367" s="591"/>
      <c r="AK367" s="591"/>
      <c r="AL367" s="591"/>
      <c r="AM367" s="591"/>
      <c r="AN367" s="591"/>
      <c r="AO367" s="591"/>
      <c r="AP367" s="591"/>
      <c r="AQ367" s="591"/>
      <c r="AR367" s="591"/>
      <c r="AS367" s="591"/>
      <c r="AT367" s="591"/>
      <c r="AU367" s="591"/>
      <c r="AV367" s="591"/>
      <c r="AW367" s="591"/>
      <c r="AX367" s="591"/>
      <c r="AY367" s="591"/>
      <c r="AZ367" s="591"/>
      <c r="BA367" s="591"/>
      <c r="BB367" s="591"/>
      <c r="BC367" s="591"/>
      <c r="BD367" s="591"/>
      <c r="BE367" s="591"/>
      <c r="BF367" s="591"/>
      <c r="BG367" s="591"/>
      <c r="BH367" s="591"/>
      <c r="BI367" s="591"/>
      <c r="BJ367" s="591"/>
      <c r="BK367" s="591"/>
      <c r="BL367" s="591"/>
      <c r="BM367" s="591"/>
      <c r="BN367" s="591"/>
      <c r="BO367" s="591"/>
      <c r="BP367" s="591"/>
      <c r="BQ367" s="591"/>
      <c r="BR367" s="591"/>
      <c r="BS367" s="591"/>
      <c r="BT367" s="591"/>
      <c r="BU367" s="591"/>
      <c r="BV367" s="591"/>
      <c r="BW367" s="591"/>
      <c r="BX367" s="591"/>
      <c r="BY367" s="591"/>
      <c r="BZ367" s="591"/>
      <c r="CA367" s="591"/>
      <c r="CB367" s="591"/>
      <c r="CC367" s="591"/>
      <c r="CD367" s="591"/>
      <c r="CE367" s="591"/>
      <c r="CF367" s="591"/>
    </row>
    <row r="368" spans="1:84">
      <c r="A368" s="591"/>
      <c r="B368" s="591"/>
      <c r="C368" s="591"/>
      <c r="D368" s="591"/>
      <c r="E368" s="591"/>
      <c r="F368" s="591"/>
      <c r="G368" s="591"/>
      <c r="H368" s="591"/>
      <c r="I368" s="591"/>
      <c r="J368" s="591"/>
      <c r="K368" s="591"/>
      <c r="L368" s="591"/>
      <c r="M368" s="591"/>
      <c r="N368" s="591"/>
      <c r="O368" s="591"/>
      <c r="P368" s="591"/>
      <c r="Q368" s="591"/>
      <c r="R368" s="591"/>
      <c r="S368" s="591"/>
      <c r="T368" s="591"/>
      <c r="U368" s="591"/>
      <c r="V368" s="591"/>
      <c r="W368" s="591"/>
      <c r="X368" s="591"/>
      <c r="Y368" s="591"/>
      <c r="Z368" s="591"/>
      <c r="AA368" s="591"/>
      <c r="AB368" s="591"/>
      <c r="AC368" s="591"/>
      <c r="AD368" s="591"/>
      <c r="AE368" s="591"/>
      <c r="AF368" s="591"/>
      <c r="AG368" s="591"/>
      <c r="AH368" s="591"/>
      <c r="AI368" s="591"/>
      <c r="AJ368" s="591"/>
      <c r="AK368" s="591"/>
      <c r="AL368" s="591"/>
      <c r="AM368" s="591"/>
      <c r="AN368" s="591"/>
      <c r="AO368" s="591"/>
      <c r="AP368" s="591"/>
      <c r="AQ368" s="591"/>
      <c r="AR368" s="591"/>
      <c r="AS368" s="591"/>
      <c r="AT368" s="591"/>
      <c r="AU368" s="591"/>
      <c r="AV368" s="591"/>
      <c r="AW368" s="591"/>
      <c r="AX368" s="591"/>
      <c r="AY368" s="591"/>
      <c r="AZ368" s="591"/>
      <c r="BA368" s="591"/>
      <c r="BB368" s="591"/>
      <c r="BC368" s="591"/>
      <c r="BD368" s="591"/>
      <c r="BE368" s="591"/>
      <c r="BF368" s="591"/>
      <c r="BG368" s="591"/>
      <c r="BH368" s="591"/>
      <c r="BI368" s="591"/>
      <c r="BJ368" s="591"/>
      <c r="BK368" s="591"/>
      <c r="BL368" s="591"/>
      <c r="BM368" s="591"/>
      <c r="BN368" s="591"/>
      <c r="BO368" s="591"/>
      <c r="BP368" s="591"/>
      <c r="BQ368" s="591"/>
      <c r="BR368" s="591"/>
      <c r="BS368" s="591"/>
      <c r="BT368" s="591"/>
      <c r="BU368" s="591"/>
      <c r="BV368" s="591"/>
      <c r="BW368" s="591"/>
      <c r="BX368" s="591"/>
      <c r="BY368" s="591"/>
      <c r="BZ368" s="591"/>
      <c r="CA368" s="591"/>
      <c r="CB368" s="591"/>
      <c r="CC368" s="591"/>
      <c r="CD368" s="591"/>
      <c r="CE368" s="591"/>
      <c r="CF368" s="591"/>
    </row>
    <row r="369" spans="1:84">
      <c r="A369" s="591"/>
      <c r="B369" s="591"/>
      <c r="C369" s="591"/>
      <c r="D369" s="591"/>
      <c r="E369" s="591"/>
      <c r="F369" s="591"/>
      <c r="G369" s="591"/>
      <c r="H369" s="591"/>
      <c r="I369" s="591"/>
      <c r="J369" s="591"/>
      <c r="K369" s="591"/>
      <c r="L369" s="591"/>
      <c r="M369" s="591"/>
      <c r="N369" s="591"/>
      <c r="O369" s="591"/>
      <c r="P369" s="591"/>
      <c r="Q369" s="591"/>
      <c r="R369" s="591"/>
      <c r="S369" s="591"/>
      <c r="T369" s="591"/>
      <c r="U369" s="591"/>
      <c r="V369" s="591"/>
      <c r="W369" s="591"/>
      <c r="X369" s="591"/>
      <c r="Y369" s="591"/>
      <c r="Z369" s="591"/>
      <c r="AA369" s="591"/>
      <c r="AB369" s="591"/>
      <c r="AC369" s="591"/>
      <c r="AD369" s="591"/>
      <c r="AE369" s="591"/>
      <c r="AF369" s="591"/>
      <c r="AG369" s="591"/>
      <c r="AH369" s="591"/>
      <c r="AI369" s="591"/>
      <c r="AJ369" s="591"/>
      <c r="AK369" s="591"/>
      <c r="AL369" s="591"/>
      <c r="AM369" s="591"/>
      <c r="AN369" s="591"/>
      <c r="AO369" s="591"/>
      <c r="AP369" s="591"/>
      <c r="AQ369" s="591"/>
      <c r="AR369" s="591"/>
      <c r="AS369" s="591"/>
      <c r="AT369" s="591"/>
      <c r="AU369" s="591"/>
      <c r="AV369" s="591"/>
      <c r="AW369" s="591"/>
      <c r="AX369" s="591"/>
      <c r="AY369" s="591"/>
      <c r="AZ369" s="591"/>
      <c r="BA369" s="591"/>
      <c r="BB369" s="591"/>
      <c r="BC369" s="591"/>
      <c r="BD369" s="591"/>
      <c r="BE369" s="591"/>
      <c r="BF369" s="591"/>
      <c r="BG369" s="591"/>
      <c r="BH369" s="591"/>
      <c r="BI369" s="591"/>
      <c r="BJ369" s="591"/>
      <c r="BK369" s="591"/>
      <c r="BL369" s="591"/>
      <c r="BM369" s="591"/>
      <c r="BN369" s="591"/>
      <c r="BO369" s="591"/>
      <c r="BP369" s="591"/>
      <c r="BQ369" s="591"/>
      <c r="BR369" s="591"/>
      <c r="BS369" s="591"/>
      <c r="BT369" s="591"/>
      <c r="BU369" s="591"/>
      <c r="BV369" s="591"/>
      <c r="BW369" s="591"/>
      <c r="BX369" s="591"/>
      <c r="BY369" s="591"/>
      <c r="BZ369" s="591"/>
      <c r="CA369" s="591"/>
      <c r="CB369" s="591"/>
      <c r="CC369" s="591"/>
      <c r="CD369" s="591"/>
      <c r="CE369" s="591"/>
      <c r="CF369" s="591"/>
    </row>
    <row r="370" spans="1:84">
      <c r="A370" s="591"/>
      <c r="B370" s="591"/>
      <c r="C370" s="591"/>
      <c r="D370" s="591"/>
      <c r="E370" s="591"/>
      <c r="F370" s="591"/>
      <c r="G370" s="591"/>
      <c r="H370" s="591"/>
      <c r="I370" s="591"/>
      <c r="J370" s="591"/>
      <c r="K370" s="591"/>
      <c r="L370" s="591"/>
      <c r="M370" s="591"/>
      <c r="N370" s="591"/>
      <c r="O370" s="591"/>
      <c r="P370" s="591"/>
      <c r="Q370" s="591"/>
      <c r="R370" s="591"/>
      <c r="S370" s="591"/>
      <c r="T370" s="591"/>
      <c r="U370" s="591"/>
      <c r="V370" s="591"/>
      <c r="W370" s="591"/>
      <c r="X370" s="591"/>
      <c r="Y370" s="591"/>
      <c r="Z370" s="591"/>
      <c r="AA370" s="591"/>
      <c r="AB370" s="591"/>
      <c r="AC370" s="591"/>
      <c r="AD370" s="591"/>
      <c r="AE370" s="591"/>
      <c r="AF370" s="591"/>
      <c r="AG370" s="591"/>
      <c r="AH370" s="591"/>
      <c r="AI370" s="591"/>
      <c r="AJ370" s="591"/>
      <c r="AK370" s="591"/>
      <c r="AL370" s="591"/>
      <c r="AM370" s="591"/>
      <c r="AN370" s="591"/>
      <c r="AO370" s="591"/>
      <c r="AP370" s="591"/>
      <c r="AQ370" s="591"/>
      <c r="AR370" s="591"/>
      <c r="AS370" s="591"/>
      <c r="AT370" s="591"/>
      <c r="AU370" s="591"/>
      <c r="AV370" s="591"/>
      <c r="AW370" s="591"/>
      <c r="AX370" s="591"/>
      <c r="AY370" s="591"/>
      <c r="AZ370" s="591"/>
      <c r="BA370" s="591"/>
      <c r="BB370" s="591"/>
      <c r="BC370" s="591"/>
      <c r="BD370" s="591"/>
      <c r="BE370" s="591"/>
      <c r="BF370" s="591"/>
      <c r="BG370" s="591"/>
      <c r="BH370" s="591"/>
      <c r="BI370" s="591"/>
      <c r="BJ370" s="591"/>
      <c r="BK370" s="591"/>
      <c r="BL370" s="591"/>
      <c r="BM370" s="591"/>
      <c r="BN370" s="591"/>
      <c r="BO370" s="591"/>
      <c r="BP370" s="591"/>
      <c r="BQ370" s="591"/>
      <c r="BR370" s="591"/>
      <c r="BS370" s="591"/>
      <c r="BT370" s="591"/>
      <c r="BU370" s="591"/>
      <c r="BV370" s="591"/>
      <c r="BW370" s="591"/>
      <c r="BX370" s="591"/>
      <c r="BY370" s="591"/>
      <c r="BZ370" s="591"/>
      <c r="CA370" s="591"/>
      <c r="CB370" s="591"/>
      <c r="CC370" s="591"/>
      <c r="CD370" s="591"/>
      <c r="CE370" s="591"/>
      <c r="CF370" s="591"/>
    </row>
    <row r="371" spans="1:84">
      <c r="A371" s="591"/>
      <c r="B371" s="591"/>
      <c r="C371" s="591"/>
      <c r="D371" s="591"/>
      <c r="E371" s="591"/>
      <c r="F371" s="591"/>
      <c r="G371" s="591"/>
      <c r="H371" s="591"/>
      <c r="I371" s="591"/>
      <c r="J371" s="591"/>
      <c r="K371" s="591"/>
      <c r="L371" s="591"/>
      <c r="M371" s="591"/>
      <c r="N371" s="591"/>
      <c r="O371" s="591"/>
      <c r="P371" s="591"/>
      <c r="Q371" s="591"/>
      <c r="R371" s="591"/>
      <c r="S371" s="591"/>
      <c r="T371" s="591"/>
      <c r="U371" s="591"/>
      <c r="V371" s="591"/>
      <c r="W371" s="591"/>
      <c r="X371" s="591"/>
      <c r="Y371" s="591"/>
      <c r="Z371" s="591"/>
      <c r="AA371" s="591"/>
      <c r="AB371" s="591"/>
      <c r="AC371" s="591"/>
      <c r="AD371" s="591"/>
      <c r="AE371" s="591"/>
      <c r="AF371" s="591"/>
      <c r="AG371" s="591"/>
      <c r="AH371" s="591"/>
      <c r="AI371" s="591"/>
      <c r="AJ371" s="591"/>
      <c r="AK371" s="591"/>
      <c r="AL371" s="591"/>
      <c r="AM371" s="591"/>
      <c r="AN371" s="591"/>
      <c r="AO371" s="591"/>
      <c r="AP371" s="591"/>
      <c r="AQ371" s="591"/>
      <c r="AR371" s="591"/>
      <c r="AS371" s="591"/>
      <c r="AT371" s="591"/>
      <c r="AU371" s="591"/>
      <c r="AV371" s="591"/>
      <c r="AW371" s="591"/>
      <c r="AX371" s="591"/>
      <c r="AY371" s="591"/>
      <c r="AZ371" s="591"/>
      <c r="BA371" s="591"/>
      <c r="BB371" s="591"/>
      <c r="BC371" s="591"/>
      <c r="BD371" s="591"/>
      <c r="BE371" s="591"/>
      <c r="BF371" s="591"/>
      <c r="BG371" s="591"/>
      <c r="BH371" s="591"/>
      <c r="BI371" s="591"/>
      <c r="BJ371" s="591"/>
      <c r="BK371" s="591"/>
      <c r="BL371" s="591"/>
      <c r="BM371" s="591"/>
      <c r="BN371" s="591"/>
      <c r="BO371" s="591"/>
      <c r="BP371" s="591"/>
      <c r="BQ371" s="591"/>
      <c r="BR371" s="591"/>
      <c r="BS371" s="591"/>
      <c r="BT371" s="591"/>
      <c r="BU371" s="591"/>
      <c r="BV371" s="591"/>
      <c r="BW371" s="591"/>
      <c r="BX371" s="591"/>
      <c r="BY371" s="591"/>
      <c r="BZ371" s="591"/>
      <c r="CA371" s="591"/>
      <c r="CB371" s="591"/>
      <c r="CC371" s="591"/>
      <c r="CD371" s="591"/>
      <c r="CE371" s="591"/>
      <c r="CF371" s="591"/>
    </row>
  </sheetData>
  <mergeCells count="1">
    <mergeCell ref="B27:H27"/>
  </mergeCells>
  <pageMargins left="0.7" right="0.7" top="0.75" bottom="0.75" header="0.3" footer="0.3"/>
  <pageSetup scale="8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2B8D58CC5AF254A96613606D8590740" ma:contentTypeVersion="76" ma:contentTypeDescription="" ma:contentTypeScope="" ma:versionID="1549edb702239468212a096ffcb5caf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2018-02-14T08:00:00+00:00</OpenedDate>
    <SignificantOrder xmlns="dc463f71-b30c-4ab2-9473-d307f9d35888">false</SignificantOrder>
    <Date1 xmlns="dc463f71-b30c-4ab2-9473-d307f9d35888">2018-02-14T08:00:00+00:00</Date1>
    <IsDocumentOrder xmlns="dc463f71-b30c-4ab2-9473-d307f9d35888">false</IsDocumentOrder>
    <IsHighlyConfidential xmlns="dc463f71-b30c-4ab2-9473-d307f9d35888">false</IsHighlyConfidential>
    <CaseCompanyNames xmlns="dc463f71-b30c-4ab2-9473-d307f9d35888">EMPIRE DISPOSAL INC</CaseCompanyNames>
    <Nickname xmlns="http://schemas.microsoft.com/sharepoint/v3" xsi:nil="true"/>
    <DocketNumber xmlns="dc463f71-b30c-4ab2-9473-d307f9d35888">180153</DocketNumber>
    <DelegatedOrder xmlns="dc463f71-b30c-4ab2-9473-d307f9d35888">false</DelegatedOrder>
  </documentManagement>
</p:properties>
</file>

<file path=customXml/itemProps1.xml><?xml version="1.0" encoding="utf-8"?>
<ds:datastoreItem xmlns:ds="http://schemas.openxmlformats.org/officeDocument/2006/customXml" ds:itemID="{F9512CAC-1DA0-4B9D-B419-C20237FDE5A8}"/>
</file>

<file path=customXml/itemProps2.xml><?xml version="1.0" encoding="utf-8"?>
<ds:datastoreItem xmlns:ds="http://schemas.openxmlformats.org/officeDocument/2006/customXml" ds:itemID="{4D91014B-C49F-4C7E-AAD1-3F406764114E}"/>
</file>

<file path=customXml/itemProps3.xml><?xml version="1.0" encoding="utf-8"?>
<ds:datastoreItem xmlns:ds="http://schemas.openxmlformats.org/officeDocument/2006/customXml" ds:itemID="{FEC5DF12-ABEA-46F0-BDEA-CECC42DEAB4C}"/>
</file>

<file path=customXml/itemProps4.xml><?xml version="1.0" encoding="utf-8"?>
<ds:datastoreItem xmlns:ds="http://schemas.openxmlformats.org/officeDocument/2006/customXml" ds:itemID="{33E42DF1-B90F-414E-94BD-752F92E5F6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140</vt:i4>
      </vt:variant>
    </vt:vector>
  </HeadingPairs>
  <TitlesOfParts>
    <vt:vector size="169" baseType="lpstr">
      <vt:lpstr>References</vt:lpstr>
      <vt:lpstr>2120_IS</vt:lpstr>
      <vt:lpstr>Consolidated IS</vt:lpstr>
      <vt:lpstr>Restating Adj's</vt:lpstr>
      <vt:lpstr>Pro-forma Adj's</vt:lpstr>
      <vt:lpstr>Ratios</vt:lpstr>
      <vt:lpstr>LG</vt:lpstr>
      <vt:lpstr>LG - Packer,RO</vt:lpstr>
      <vt:lpstr>LG - Recycle</vt:lpstr>
      <vt:lpstr>LG - Med Waste</vt:lpstr>
      <vt:lpstr>Spokane Reg - Price out</vt:lpstr>
      <vt:lpstr>Whitman Reg - Price Out</vt:lpstr>
      <vt:lpstr>Depr Summary</vt:lpstr>
      <vt:lpstr>Rate Sheet</vt:lpstr>
      <vt:lpstr>Disposal</vt:lpstr>
      <vt:lpstr>Empire Payroll</vt:lpstr>
      <vt:lpstr>Mgmt Alloc In</vt:lpstr>
      <vt:lpstr>Corp OH</vt:lpstr>
      <vt:lpstr>Region OH Calc</vt:lpstr>
      <vt:lpstr>WCI BS</vt:lpstr>
      <vt:lpstr>WCI IS</vt:lpstr>
      <vt:lpstr>40101</vt:lpstr>
      <vt:lpstr>40121</vt:lpstr>
      <vt:lpstr>40131</vt:lpstr>
      <vt:lpstr>70095</vt:lpstr>
      <vt:lpstr>70195</vt:lpstr>
      <vt:lpstr>12.31.16 BS</vt:lpstr>
      <vt:lpstr>12.31.17 BS</vt:lpstr>
      <vt:lpstr>IS End 1.31.18</vt:lpstr>
      <vt:lpstr>'40101'!Accounts</vt:lpstr>
      <vt:lpstr>'40121'!Accounts</vt:lpstr>
      <vt:lpstr>'40131'!Accounts</vt:lpstr>
      <vt:lpstr>'70195'!Accounts</vt:lpstr>
      <vt:lpstr>Accounts</vt:lpstr>
      <vt:lpstr>'40101'!AmountFrom</vt:lpstr>
      <vt:lpstr>'40121'!AmountFrom</vt:lpstr>
      <vt:lpstr>'40131'!AmountFrom</vt:lpstr>
      <vt:lpstr>'70195'!AmountFrom</vt:lpstr>
      <vt:lpstr>AmountFrom</vt:lpstr>
      <vt:lpstr>'40101'!AmountTo</vt:lpstr>
      <vt:lpstr>'40121'!AmountTo</vt:lpstr>
      <vt:lpstr>'40131'!AmountTo</vt:lpstr>
      <vt:lpstr>'70195'!AmountTo</vt:lpstr>
      <vt:lpstr>AmountTo</vt:lpstr>
      <vt:lpstr>'40101'!CurrentMonth</vt:lpstr>
      <vt:lpstr>'40121'!CurrentMonth</vt:lpstr>
      <vt:lpstr>'40131'!CurrentMonth</vt:lpstr>
      <vt:lpstr>'70095'!CurrentMonth</vt:lpstr>
      <vt:lpstr>'70195'!CurrentMonth</vt:lpstr>
      <vt:lpstr>'40101'!DateFrom</vt:lpstr>
      <vt:lpstr>'40121'!DateFrom</vt:lpstr>
      <vt:lpstr>'40131'!DateFrom</vt:lpstr>
      <vt:lpstr>'70095'!DateFrom</vt:lpstr>
      <vt:lpstr>'70195'!DateFrom</vt:lpstr>
      <vt:lpstr>'40101'!DateTo</vt:lpstr>
      <vt:lpstr>'40121'!DateTo</vt:lpstr>
      <vt:lpstr>'40131'!DateTo</vt:lpstr>
      <vt:lpstr>'70095'!DateTo</vt:lpstr>
      <vt:lpstr>'70195'!DateTo</vt:lpstr>
      <vt:lpstr>'12.31.16 BS'!District</vt:lpstr>
      <vt:lpstr>'12.31.17 BS'!District</vt:lpstr>
      <vt:lpstr>'2120_IS'!District</vt:lpstr>
      <vt:lpstr>'IS End 1.31.18'!District</vt:lpstr>
      <vt:lpstr>'Region OH Calc'!District</vt:lpstr>
      <vt:lpstr>'12.31.16 BS'!DistrictName</vt:lpstr>
      <vt:lpstr>'12.31.17 BS'!DistrictName</vt:lpstr>
      <vt:lpstr>'2120_IS'!DistrictName</vt:lpstr>
      <vt:lpstr>'IS End 1.31.18'!DistrictName</vt:lpstr>
      <vt:lpstr>'Region OH Calc'!DistrictName</vt:lpstr>
      <vt:lpstr>'40101'!Districts</vt:lpstr>
      <vt:lpstr>'40121'!Districts</vt:lpstr>
      <vt:lpstr>'40131'!Districts</vt:lpstr>
      <vt:lpstr>'70195'!Districts</vt:lpstr>
      <vt:lpstr>Districts</vt:lpstr>
      <vt:lpstr>'40101'!EntrieShownLimit</vt:lpstr>
      <vt:lpstr>'40121'!EntrieShownLimit</vt:lpstr>
      <vt:lpstr>'40131'!EntrieShownLimit</vt:lpstr>
      <vt:lpstr>'70095'!EntrieShownLimit</vt:lpstr>
      <vt:lpstr>'70195'!EntrieShownLimit</vt:lpstr>
      <vt:lpstr>'12.31.16 BS'!ExcludeIC</vt:lpstr>
      <vt:lpstr>'12.31.17 BS'!ExcludeIC</vt:lpstr>
      <vt:lpstr>'2120_IS'!ExcludeIC</vt:lpstr>
      <vt:lpstr>'IS End 1.31.18'!ExcludeIC</vt:lpstr>
      <vt:lpstr>'Region OH Calc'!ExcludeIC</vt:lpstr>
      <vt:lpstr>'40101'!FromMonth</vt:lpstr>
      <vt:lpstr>'40121'!FromMonth</vt:lpstr>
      <vt:lpstr>'40131'!FromMonth</vt:lpstr>
      <vt:lpstr>'70195'!FromMonth</vt:lpstr>
      <vt:lpstr>FromMonth</vt:lpstr>
      <vt:lpstr>'40101'!Posting</vt:lpstr>
      <vt:lpstr>'40121'!Posting</vt:lpstr>
      <vt:lpstr>'40131'!Posting</vt:lpstr>
      <vt:lpstr>'70195'!Posting</vt:lpstr>
      <vt:lpstr>Posting</vt:lpstr>
      <vt:lpstr>'12.31.16 BS'!Print_Area</vt:lpstr>
      <vt:lpstr>'12.31.17 BS'!Print_Area</vt:lpstr>
      <vt:lpstr>'2120_IS'!Print_Area</vt:lpstr>
      <vt:lpstr>'40101'!Print_Area</vt:lpstr>
      <vt:lpstr>'40121'!Print_Area</vt:lpstr>
      <vt:lpstr>'40131'!Print_Area</vt:lpstr>
      <vt:lpstr>'70095'!Print_Area</vt:lpstr>
      <vt:lpstr>'70195'!Print_Area</vt:lpstr>
      <vt:lpstr>'Consolidated IS'!Print_Area</vt:lpstr>
      <vt:lpstr>'Corp OH'!Print_Area</vt:lpstr>
      <vt:lpstr>'Depr Summary'!Print_Area</vt:lpstr>
      <vt:lpstr>Disposal!Print_Area</vt:lpstr>
      <vt:lpstr>'Empire Payroll'!Print_Area</vt:lpstr>
      <vt:lpstr>'IS End 1.31.18'!Print_Area</vt:lpstr>
      <vt:lpstr>LG!Print_Area</vt:lpstr>
      <vt:lpstr>'LG - Med Waste'!Print_Area</vt:lpstr>
      <vt:lpstr>'LG - Packer,RO'!Print_Area</vt:lpstr>
      <vt:lpstr>'LG - Recycle'!Print_Area</vt:lpstr>
      <vt:lpstr>'Mgmt Alloc In'!Print_Area</vt:lpstr>
      <vt:lpstr>'Pro-forma Adj''s'!Print_Area</vt:lpstr>
      <vt:lpstr>'Rate Sheet'!Print_Area</vt:lpstr>
      <vt:lpstr>Ratios!Print_Area</vt:lpstr>
      <vt:lpstr>'Region OH Calc'!Print_Area</vt:lpstr>
      <vt:lpstr>'Restating Adj''s'!Print_Area</vt:lpstr>
      <vt:lpstr>'Spokane Reg - Price out'!Print_Area</vt:lpstr>
      <vt:lpstr>'WCI BS'!Print_Area</vt:lpstr>
      <vt:lpstr>'WCI IS'!Print_Area</vt:lpstr>
      <vt:lpstr>'Whitman Reg - Price Out'!Print_Area</vt:lpstr>
      <vt:lpstr>'12.31.16 BS'!Print_Titles</vt:lpstr>
      <vt:lpstr>'12.31.17 BS'!Print_Titles</vt:lpstr>
      <vt:lpstr>'2120_IS'!Print_Titles</vt:lpstr>
      <vt:lpstr>'40101'!Print_Titles</vt:lpstr>
      <vt:lpstr>'40121'!Print_Titles</vt:lpstr>
      <vt:lpstr>'40131'!Print_Titles</vt:lpstr>
      <vt:lpstr>'70095'!Print_Titles</vt:lpstr>
      <vt:lpstr>'70195'!Print_Titles</vt:lpstr>
      <vt:lpstr>'Consolidated IS'!Print_Titles</vt:lpstr>
      <vt:lpstr>'Depr Summary'!Print_Titles</vt:lpstr>
      <vt:lpstr>Disposal!Print_Titles</vt:lpstr>
      <vt:lpstr>'IS End 1.31.18'!Print_Titles</vt:lpstr>
      <vt:lpstr>'Rate Sheet'!Print_Titles</vt:lpstr>
      <vt:lpstr>Ratios!Print_Titles</vt:lpstr>
      <vt:lpstr>'Region OH Calc'!Print_Titles</vt:lpstr>
      <vt:lpstr>'Restating Adj''s'!Print_Titles</vt:lpstr>
      <vt:lpstr>'WCI BS'!Print_Titles</vt:lpstr>
      <vt:lpstr>'40101'!SubSystems</vt:lpstr>
      <vt:lpstr>'40121'!SubSystems</vt:lpstr>
      <vt:lpstr>'40131'!SubSystems</vt:lpstr>
      <vt:lpstr>'70195'!SubSystems</vt:lpstr>
      <vt:lpstr>SubSystems</vt:lpstr>
      <vt:lpstr>'12.31.16 BS'!System</vt:lpstr>
      <vt:lpstr>'12.31.17 BS'!System</vt:lpstr>
      <vt:lpstr>'2120_IS'!System</vt:lpstr>
      <vt:lpstr>'IS End 1.31.18'!System</vt:lpstr>
      <vt:lpstr>'Region OH Calc'!System</vt:lpstr>
      <vt:lpstr>'40101'!Systems</vt:lpstr>
      <vt:lpstr>'40121'!Systems</vt:lpstr>
      <vt:lpstr>'40131'!Systems</vt:lpstr>
      <vt:lpstr>'70195'!Systems</vt:lpstr>
      <vt:lpstr>Systems</vt:lpstr>
      <vt:lpstr>'40101'!ToMonth</vt:lpstr>
      <vt:lpstr>'40121'!ToMonth</vt:lpstr>
      <vt:lpstr>'40131'!ToMonth</vt:lpstr>
      <vt:lpstr>'70195'!ToMonth</vt:lpstr>
      <vt:lpstr>ToMonth</vt:lpstr>
      <vt:lpstr>'40101'!VendorCode</vt:lpstr>
      <vt:lpstr>'40121'!VendorCode</vt:lpstr>
      <vt:lpstr>'40131'!VendorCode</vt:lpstr>
      <vt:lpstr>'70195'!VendorCode</vt:lpstr>
      <vt:lpstr>VendorCode</vt:lpstr>
      <vt:lpstr>'12.31.16 BS'!YearMonth</vt:lpstr>
      <vt:lpstr>'12.31.17 BS'!YearMonth</vt:lpstr>
      <vt:lpstr>'2120_IS'!YearMonth</vt:lpstr>
      <vt:lpstr>'IS End 1.31.18'!YearMonth</vt:lpstr>
      <vt:lpstr>'Region OH Calc'!YearMonth</vt:lpstr>
    </vt:vector>
  </TitlesOfParts>
  <Company>R360 Environmental Solutions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Lindsay Waldram</dc:creator>
  <cp:lastModifiedBy>Heather Garland</cp:lastModifiedBy>
  <cp:lastPrinted>2018-02-14T23:48:30Z</cp:lastPrinted>
  <dcterms:created xsi:type="dcterms:W3CDTF">2017-08-03T14:12:45Z</dcterms:created>
  <dcterms:modified xsi:type="dcterms:W3CDTF">2018-02-14T23:48:41Z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0x0101006E56B4D1795A2E4DB2F0B01679ED314A0052B8D58CC5AF254A96613606D8590740</vt:lpwstr>
  </property>
  <property fmtid="{D5CDD505-2E9C-101B-9397-08002B2CF9AE}" pid="3" name="_docset_NoMedatataSyncRequired">
    <vt:lpwstr>False</vt:lpwstr>
  </property>
  <property fmtid="{D5CDD505-2E9C-101B-9397-08002B2CF9AE}" pid="4" name="IsEFSEC">
    <vt:bool>false</vt:bool>
  </property>
</Properties>
</file>